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33326E50-2E70-4BF0-9145-EBE58285CF85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53" r:id="rId33"/>
    <pivotCache cacheId="54" r:id="rId34"/>
    <pivotCache cacheId="55" r:id="rId35"/>
    <pivotCache cacheId="56" r:id="rId36"/>
    <pivotCache cacheId="57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7" i="43" l="1"/>
  <c r="AC47" i="43"/>
  <c r="X47" i="43"/>
  <c r="Y47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AJ6" i="43"/>
  <c r="AK6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AJ7" i="43"/>
  <c r="AK7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AJ8" i="43"/>
  <c r="AK8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AJ9" i="43"/>
  <c r="AK9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AJ10" i="43"/>
  <c r="AK10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AJ11" i="43"/>
  <c r="AK11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AJ12" i="43"/>
  <c r="AK12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AJ13" i="43"/>
  <c r="AK13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AJ14" i="43"/>
  <c r="AK14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AJ15" i="43"/>
  <c r="AK15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J16" i="43"/>
  <c r="AK16" i="43"/>
  <c r="B6" i="43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B7" i="43"/>
  <c r="C7" i="43"/>
  <c r="D7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B8" i="43"/>
  <c r="C8" i="43"/>
  <c r="D8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B9" i="43"/>
  <c r="C9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28" i="43"/>
  <c r="T29" i="43"/>
  <c r="T32" i="43"/>
  <c r="T33" i="43"/>
  <c r="H37" i="43"/>
  <c r="I37" i="43"/>
  <c r="T26" i="43"/>
  <c r="T27" i="43"/>
  <c r="T30" i="43"/>
  <c r="T31" i="43"/>
  <c r="T34" i="43"/>
  <c r="T35" i="43"/>
  <c r="T36" i="43"/>
  <c r="Z47" i="43"/>
  <c r="AA47" i="43"/>
  <c r="AB47" i="43"/>
  <c r="AD47" i="43"/>
  <c r="J47" i="43"/>
  <c r="I47" i="43"/>
  <c r="G47" i="43"/>
  <c r="H47" i="43"/>
  <c r="N44" i="43"/>
  <c r="N45" i="43"/>
  <c r="N46" i="43"/>
  <c r="D47" i="43"/>
  <c r="E47" i="43"/>
  <c r="F47" i="43"/>
  <c r="AH37" i="43"/>
  <c r="AL35" i="43"/>
  <c r="AL31" i="43"/>
  <c r="AL27" i="43"/>
  <c r="AY190" i="5"/>
  <c r="BH190" i="5" s="1"/>
  <c r="AX190" i="5"/>
  <c r="AW190" i="5"/>
  <c r="AV190" i="5"/>
  <c r="AU190" i="5"/>
  <c r="AT190" i="5"/>
  <c r="AS190" i="5"/>
  <c r="AK190" i="5"/>
  <c r="AB190" i="5"/>
  <c r="AH46" i="43"/>
  <c r="AH45" i="43"/>
  <c r="AH44" i="43"/>
  <c r="B13" i="33"/>
  <c r="AL34" i="43"/>
  <c r="AL33" i="43"/>
  <c r="AL32" i="43"/>
  <c r="AL30" i="43"/>
  <c r="AL29" i="43"/>
  <c r="AL28" i="43"/>
  <c r="AL26" i="43"/>
  <c r="AL36" i="43"/>
  <c r="P555" i="5"/>
  <c r="AW555" i="5" s="1"/>
  <c r="AB555" i="5"/>
  <c r="AK555" i="5"/>
  <c r="AS555" i="5"/>
  <c r="AY555" i="5"/>
  <c r="BF555" i="5" s="1"/>
  <c r="P554" i="5"/>
  <c r="AW554" i="5" s="1"/>
  <c r="AB554" i="5"/>
  <c r="AK554" i="5"/>
  <c r="AS554" i="5"/>
  <c r="AY554" i="5"/>
  <c r="BF554" i="5" s="1"/>
  <c r="G37" i="43" l="1"/>
  <c r="F37" i="43"/>
  <c r="J37" i="43"/>
  <c r="AF37" i="43"/>
  <c r="BE190" i="5"/>
  <c r="BF190" i="5"/>
  <c r="BG190" i="5"/>
  <c r="AD37" i="43"/>
  <c r="AL11" i="43"/>
  <c r="AL7" i="43"/>
  <c r="AL9" i="43"/>
  <c r="AL15" i="43"/>
  <c r="AL14" i="43"/>
  <c r="AL10" i="43"/>
  <c r="AL6" i="43"/>
  <c r="AL13" i="43"/>
  <c r="AL8" i="43"/>
  <c r="T15" i="43"/>
  <c r="T13" i="43"/>
  <c r="T11" i="43"/>
  <c r="T9" i="43"/>
  <c r="T7" i="43"/>
  <c r="AL12" i="43"/>
  <c r="T16" i="43"/>
  <c r="T14" i="43"/>
  <c r="T12" i="43"/>
  <c r="T10" i="43"/>
  <c r="T8" i="43"/>
  <c r="T6" i="43"/>
  <c r="AX555" i="5"/>
  <c r="AV555" i="5"/>
  <c r="BE554" i="5"/>
  <c r="BE555" i="5"/>
  <c r="BH555" i="5"/>
  <c r="AU555" i="5"/>
  <c r="AV554" i="5"/>
  <c r="BG555" i="5"/>
  <c r="AT555" i="5"/>
  <c r="BH554" i="5"/>
  <c r="AU554" i="5"/>
  <c r="BG554" i="5"/>
  <c r="AT554" i="5"/>
  <c r="AX554" i="5"/>
  <c r="AY550" i="5" l="1"/>
  <c r="BH550" i="5" s="1"/>
  <c r="AX550" i="5"/>
  <c r="AW550" i="5"/>
  <c r="AV550" i="5"/>
  <c r="AU550" i="5"/>
  <c r="AT550" i="5"/>
  <c r="AS550" i="5"/>
  <c r="AK550" i="5"/>
  <c r="AB550" i="5"/>
  <c r="AC37" i="43"/>
  <c r="AA37" i="43"/>
  <c r="AB37" i="43"/>
  <c r="Z37" i="43"/>
  <c r="AY552" i="5"/>
  <c r="BH552" i="5" s="1"/>
  <c r="AX552" i="5"/>
  <c r="AW552" i="5"/>
  <c r="AV552" i="5"/>
  <c r="AU552" i="5"/>
  <c r="AT552" i="5"/>
  <c r="AS552" i="5"/>
  <c r="AK552" i="5"/>
  <c r="AB552" i="5"/>
  <c r="AY551" i="5"/>
  <c r="BE551" i="5" s="1"/>
  <c r="AX551" i="5"/>
  <c r="AW551" i="5"/>
  <c r="AV551" i="5"/>
  <c r="AU551" i="5"/>
  <c r="AT551" i="5"/>
  <c r="AS551" i="5"/>
  <c r="AK551" i="5"/>
  <c r="AB551" i="5"/>
  <c r="V4" i="33"/>
  <c r="V5" i="33"/>
  <c r="AY258" i="5"/>
  <c r="BH258" i="5" s="1"/>
  <c r="AS258" i="5"/>
  <c r="AK258" i="5"/>
  <c r="AB258" i="5"/>
  <c r="P258" i="5"/>
  <c r="AU258" i="5" s="1"/>
  <c r="P546" i="5"/>
  <c r="AW546" i="5" s="1"/>
  <c r="AB546" i="5"/>
  <c r="AK546" i="5"/>
  <c r="AS546" i="5"/>
  <c r="AY546" i="5"/>
  <c r="BF546" i="5" s="1"/>
  <c r="C47" i="35"/>
  <c r="BC571" i="5"/>
  <c r="BC572" i="5"/>
  <c r="AY130" i="5"/>
  <c r="BF130" i="5" s="1"/>
  <c r="E328" i="42"/>
  <c r="E329" i="42"/>
  <c r="AY259" i="5"/>
  <c r="BE259" i="5" s="1"/>
  <c r="P257" i="5"/>
  <c r="AX257" i="5" s="1"/>
  <c r="AB257" i="5"/>
  <c r="AK257" i="5"/>
  <c r="AS257" i="5"/>
  <c r="AY257" i="5"/>
  <c r="BH257" i="5" s="1"/>
  <c r="P256" i="5"/>
  <c r="AX256" i="5" s="1"/>
  <c r="AB256" i="5"/>
  <c r="AK256" i="5"/>
  <c r="AS256" i="5"/>
  <c r="AY256" i="5"/>
  <c r="BF256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E550" i="5" l="1"/>
  <c r="BF550" i="5"/>
  <c r="BG550" i="5"/>
  <c r="BF551" i="5"/>
  <c r="BG551" i="5"/>
  <c r="BH551" i="5"/>
  <c r="BE552" i="5"/>
  <c r="BF552" i="5"/>
  <c r="BG552" i="5"/>
  <c r="AL16" i="43"/>
  <c r="AV258" i="5"/>
  <c r="AW258" i="5"/>
  <c r="AX258" i="5"/>
  <c r="BE258" i="5"/>
  <c r="BF258" i="5"/>
  <c r="AT258" i="5"/>
  <c r="BG258" i="5"/>
  <c r="AV546" i="5"/>
  <c r="AX546" i="5"/>
  <c r="BE546" i="5"/>
  <c r="BH546" i="5"/>
  <c r="AU546" i="5"/>
  <c r="BG546" i="5"/>
  <c r="AT546" i="5"/>
  <c r="BH259" i="5"/>
  <c r="BH256" i="5"/>
  <c r="BH130" i="5"/>
  <c r="BG259" i="5"/>
  <c r="BE257" i="5"/>
  <c r="BG257" i="5"/>
  <c r="BE130" i="5"/>
  <c r="BG130" i="5"/>
  <c r="BF259" i="5"/>
  <c r="BF257" i="5"/>
  <c r="BE256" i="5"/>
  <c r="BG256" i="5"/>
  <c r="AW257" i="5"/>
  <c r="AV257" i="5"/>
  <c r="AU257" i="5"/>
  <c r="AW256" i="5"/>
  <c r="AT257" i="5"/>
  <c r="AU256" i="5"/>
  <c r="AV256" i="5"/>
  <c r="AT256" i="5"/>
  <c r="AY102" i="5"/>
  <c r="BH102" i="5" s="1"/>
  <c r="AX102" i="5"/>
  <c r="AW102" i="5"/>
  <c r="AV102" i="5"/>
  <c r="AU102" i="5"/>
  <c r="AT102" i="5"/>
  <c r="AS102" i="5"/>
  <c r="AK102" i="5"/>
  <c r="AB102" i="5"/>
  <c r="AY272" i="5"/>
  <c r="BH272" i="5" s="1"/>
  <c r="AX272" i="5"/>
  <c r="AW272" i="5"/>
  <c r="AV272" i="5"/>
  <c r="AU272" i="5"/>
  <c r="AT272" i="5"/>
  <c r="AS272" i="5"/>
  <c r="AK272" i="5"/>
  <c r="AB272" i="5"/>
  <c r="AB405" i="5"/>
  <c r="AW405" i="5"/>
  <c r="AS405" i="5"/>
  <c r="AV405" i="5"/>
  <c r="AX405" i="5"/>
  <c r="AY405" i="5"/>
  <c r="BH405" i="5" s="1"/>
  <c r="P408" i="5"/>
  <c r="AW408" i="5" s="1"/>
  <c r="AB408" i="5"/>
  <c r="AS408" i="5"/>
  <c r="AY408" i="5"/>
  <c r="BH408" i="5" s="1"/>
  <c r="P406" i="5"/>
  <c r="AW406" i="5" s="1"/>
  <c r="AB406" i="5"/>
  <c r="AS406" i="5"/>
  <c r="AY406" i="5"/>
  <c r="BH406" i="5" s="1"/>
  <c r="P407" i="5"/>
  <c r="AW407" i="5" s="1"/>
  <c r="AB407" i="5"/>
  <c r="AS407" i="5"/>
  <c r="AY407" i="5"/>
  <c r="BH407" i="5" s="1"/>
  <c r="P409" i="5"/>
  <c r="AW409" i="5" s="1"/>
  <c r="AB409" i="5"/>
  <c r="AS409" i="5"/>
  <c r="AY409" i="5"/>
  <c r="BH409" i="5" s="1"/>
  <c r="I580" i="7"/>
  <c r="H580" i="7"/>
  <c r="C27" i="22"/>
  <c r="B27" i="22"/>
  <c r="AY3" i="5"/>
  <c r="BH3" i="5" s="1"/>
  <c r="AY4" i="5"/>
  <c r="BH4" i="5" s="1"/>
  <c r="AY5" i="5"/>
  <c r="BH5" i="5" s="1"/>
  <c r="AY6" i="5"/>
  <c r="BH6" i="5" s="1"/>
  <c r="AY7" i="5"/>
  <c r="BH7" i="5" s="1"/>
  <c r="AY8" i="5"/>
  <c r="BH8" i="5" s="1"/>
  <c r="AY9" i="5"/>
  <c r="BH9" i="5" s="1"/>
  <c r="AY10" i="5"/>
  <c r="BH10" i="5" s="1"/>
  <c r="AY11" i="5"/>
  <c r="BH11" i="5" s="1"/>
  <c r="AY12" i="5"/>
  <c r="BH12" i="5" s="1"/>
  <c r="AY13" i="5"/>
  <c r="BH13" i="5" s="1"/>
  <c r="AY14" i="5"/>
  <c r="BH14" i="5" s="1"/>
  <c r="AY15" i="5"/>
  <c r="BH15" i="5" s="1"/>
  <c r="AY16" i="5"/>
  <c r="BH16" i="5" s="1"/>
  <c r="AY17" i="5"/>
  <c r="BH17" i="5" s="1"/>
  <c r="AY18" i="5"/>
  <c r="BH18" i="5" s="1"/>
  <c r="AY19" i="5"/>
  <c r="BH19" i="5" s="1"/>
  <c r="AY20" i="5"/>
  <c r="BH20" i="5" s="1"/>
  <c r="AY21" i="5"/>
  <c r="BH21" i="5" s="1"/>
  <c r="AY22" i="5"/>
  <c r="BH22" i="5" s="1"/>
  <c r="AY23" i="5"/>
  <c r="BH23" i="5" s="1"/>
  <c r="AY24" i="5"/>
  <c r="BH24" i="5" s="1"/>
  <c r="AY25" i="5"/>
  <c r="BH25" i="5" s="1"/>
  <c r="AY26" i="5"/>
  <c r="BH26" i="5" s="1"/>
  <c r="AY27" i="5"/>
  <c r="BH27" i="5" s="1"/>
  <c r="AY28" i="5"/>
  <c r="BH28" i="5" s="1"/>
  <c r="AY29" i="5"/>
  <c r="BH29" i="5" s="1"/>
  <c r="AY30" i="5"/>
  <c r="BH30" i="5" s="1"/>
  <c r="AY31" i="5"/>
  <c r="BH31" i="5" s="1"/>
  <c r="AY32" i="5"/>
  <c r="BH32" i="5" s="1"/>
  <c r="AY33" i="5"/>
  <c r="BH33" i="5" s="1"/>
  <c r="AY34" i="5"/>
  <c r="BH34" i="5" s="1"/>
  <c r="AY35" i="5"/>
  <c r="BH35" i="5" s="1"/>
  <c r="AY36" i="5"/>
  <c r="BH36" i="5" s="1"/>
  <c r="AY37" i="5"/>
  <c r="BH37" i="5" s="1"/>
  <c r="AY38" i="5"/>
  <c r="BH38" i="5" s="1"/>
  <c r="AY39" i="5"/>
  <c r="BH39" i="5" s="1"/>
  <c r="AY40" i="5"/>
  <c r="BH40" i="5" s="1"/>
  <c r="AY41" i="5"/>
  <c r="BH41" i="5" s="1"/>
  <c r="AY42" i="5"/>
  <c r="BH42" i="5" s="1"/>
  <c r="AY43" i="5"/>
  <c r="BH43" i="5" s="1"/>
  <c r="AY44" i="5"/>
  <c r="BH44" i="5" s="1"/>
  <c r="AY45" i="5"/>
  <c r="BH45" i="5" s="1"/>
  <c r="AY46" i="5"/>
  <c r="BH46" i="5" s="1"/>
  <c r="AY47" i="5"/>
  <c r="BH47" i="5" s="1"/>
  <c r="AY48" i="5"/>
  <c r="BH48" i="5" s="1"/>
  <c r="AY49" i="5"/>
  <c r="BH49" i="5" s="1"/>
  <c r="AY50" i="5"/>
  <c r="BH50" i="5" s="1"/>
  <c r="AY51" i="5"/>
  <c r="BH51" i="5" s="1"/>
  <c r="AY52" i="5"/>
  <c r="BH52" i="5" s="1"/>
  <c r="AY53" i="5"/>
  <c r="BH53" i="5" s="1"/>
  <c r="AY54" i="5"/>
  <c r="BH54" i="5" s="1"/>
  <c r="AY55" i="5"/>
  <c r="BH55" i="5" s="1"/>
  <c r="AY56" i="5"/>
  <c r="BH56" i="5" s="1"/>
  <c r="AY57" i="5"/>
  <c r="BH57" i="5" s="1"/>
  <c r="AY58" i="5"/>
  <c r="BH58" i="5" s="1"/>
  <c r="AY59" i="5"/>
  <c r="BH59" i="5" s="1"/>
  <c r="AY60" i="5"/>
  <c r="BH60" i="5" s="1"/>
  <c r="AY61" i="5"/>
  <c r="BH61" i="5" s="1"/>
  <c r="AY62" i="5"/>
  <c r="BH62" i="5" s="1"/>
  <c r="AY63" i="5"/>
  <c r="BH63" i="5" s="1"/>
  <c r="AY422" i="5"/>
  <c r="BH422" i="5" s="1"/>
  <c r="AY65" i="5"/>
  <c r="BH65" i="5" s="1"/>
  <c r="AY66" i="5"/>
  <c r="BH66" i="5" s="1"/>
  <c r="AY67" i="5"/>
  <c r="BH67" i="5" s="1"/>
  <c r="AY68" i="5"/>
  <c r="BH68" i="5" s="1"/>
  <c r="AY69" i="5"/>
  <c r="BH69" i="5" s="1"/>
  <c r="AY70" i="5"/>
  <c r="BH70" i="5" s="1"/>
  <c r="AY71" i="5"/>
  <c r="BH71" i="5" s="1"/>
  <c r="AY72" i="5"/>
  <c r="BH72" i="5" s="1"/>
  <c r="AY73" i="5"/>
  <c r="BH73" i="5" s="1"/>
  <c r="AY74" i="5"/>
  <c r="BH74" i="5" s="1"/>
  <c r="AY75" i="5"/>
  <c r="BH75" i="5" s="1"/>
  <c r="AY76" i="5"/>
  <c r="BH76" i="5" s="1"/>
  <c r="AY77" i="5"/>
  <c r="BH77" i="5" s="1"/>
  <c r="AY78" i="5"/>
  <c r="BH78" i="5" s="1"/>
  <c r="AY79" i="5"/>
  <c r="BH79" i="5" s="1"/>
  <c r="AY80" i="5"/>
  <c r="BH80" i="5" s="1"/>
  <c r="AY81" i="5"/>
  <c r="BH81" i="5" s="1"/>
  <c r="AY82" i="5"/>
  <c r="BH82" i="5" s="1"/>
  <c r="AY83" i="5"/>
  <c r="BH83" i="5" s="1"/>
  <c r="AY84" i="5"/>
  <c r="BH84" i="5" s="1"/>
  <c r="AY85" i="5"/>
  <c r="BH85" i="5" s="1"/>
  <c r="AY86" i="5"/>
  <c r="BH86" i="5" s="1"/>
  <c r="AY87" i="5"/>
  <c r="BH87" i="5" s="1"/>
  <c r="AY88" i="5"/>
  <c r="BH88" i="5" s="1"/>
  <c r="AY89" i="5"/>
  <c r="BH89" i="5" s="1"/>
  <c r="AY90" i="5"/>
  <c r="BH90" i="5" s="1"/>
  <c r="AY91" i="5"/>
  <c r="BH91" i="5" s="1"/>
  <c r="AY92" i="5"/>
  <c r="BH92" i="5" s="1"/>
  <c r="AY93" i="5"/>
  <c r="BH93" i="5" s="1"/>
  <c r="AY94" i="5"/>
  <c r="BH94" i="5" s="1"/>
  <c r="AY95" i="5"/>
  <c r="BH95" i="5" s="1"/>
  <c r="AY96" i="5"/>
  <c r="BH96" i="5" s="1"/>
  <c r="AY97" i="5"/>
  <c r="BH97" i="5" s="1"/>
  <c r="AY98" i="5"/>
  <c r="BH98" i="5" s="1"/>
  <c r="AY99" i="5"/>
  <c r="BH99" i="5" s="1"/>
  <c r="AY100" i="5"/>
  <c r="BH100" i="5" s="1"/>
  <c r="AY101" i="5"/>
  <c r="BH101" i="5" s="1"/>
  <c r="AY103" i="5"/>
  <c r="BH103" i="5" s="1"/>
  <c r="AY104" i="5"/>
  <c r="BH104" i="5" s="1"/>
  <c r="AY163" i="5"/>
  <c r="BH163" i="5" s="1"/>
  <c r="AY106" i="5"/>
  <c r="BH106" i="5" s="1"/>
  <c r="AY107" i="5"/>
  <c r="BH107" i="5" s="1"/>
  <c r="AY108" i="5"/>
  <c r="BH108" i="5" s="1"/>
  <c r="AY109" i="5"/>
  <c r="BH109" i="5" s="1"/>
  <c r="AY110" i="5"/>
  <c r="BH110" i="5" s="1"/>
  <c r="AY111" i="5"/>
  <c r="BH111" i="5" s="1"/>
  <c r="AY112" i="5"/>
  <c r="BH112" i="5" s="1"/>
  <c r="AY113" i="5"/>
  <c r="BH113" i="5" s="1"/>
  <c r="AY114" i="5"/>
  <c r="BH114" i="5" s="1"/>
  <c r="AY115" i="5"/>
  <c r="BH115" i="5" s="1"/>
  <c r="AY116" i="5"/>
  <c r="BH116" i="5" s="1"/>
  <c r="AY117" i="5"/>
  <c r="BH117" i="5" s="1"/>
  <c r="AY118" i="5"/>
  <c r="BH118" i="5" s="1"/>
  <c r="AY119" i="5"/>
  <c r="BH119" i="5" s="1"/>
  <c r="AY120" i="5"/>
  <c r="BH120" i="5" s="1"/>
  <c r="AY121" i="5"/>
  <c r="BH121" i="5" s="1"/>
  <c r="AY122" i="5"/>
  <c r="BH122" i="5" s="1"/>
  <c r="AY123" i="5"/>
  <c r="BH123" i="5" s="1"/>
  <c r="AY124" i="5"/>
  <c r="BH124" i="5" s="1"/>
  <c r="AY125" i="5"/>
  <c r="BH125" i="5" s="1"/>
  <c r="AY126" i="5"/>
  <c r="BH126" i="5" s="1"/>
  <c r="AY127" i="5"/>
  <c r="BH127" i="5" s="1"/>
  <c r="AY128" i="5"/>
  <c r="BH128" i="5" s="1"/>
  <c r="AY129" i="5"/>
  <c r="BH129" i="5" s="1"/>
  <c r="AY131" i="5"/>
  <c r="BH131" i="5" s="1"/>
  <c r="AY132" i="5"/>
  <c r="BH132" i="5" s="1"/>
  <c r="AY133" i="5"/>
  <c r="BH133" i="5" s="1"/>
  <c r="AY134" i="5"/>
  <c r="BH134" i="5" s="1"/>
  <c r="AY135" i="5"/>
  <c r="BH135" i="5" s="1"/>
  <c r="AY136" i="5"/>
  <c r="BH136" i="5" s="1"/>
  <c r="AY137" i="5"/>
  <c r="BH137" i="5" s="1"/>
  <c r="AY138" i="5"/>
  <c r="BH138" i="5" s="1"/>
  <c r="AY139" i="5"/>
  <c r="BH139" i="5" s="1"/>
  <c r="AY140" i="5"/>
  <c r="BH140" i="5" s="1"/>
  <c r="AY141" i="5"/>
  <c r="BH141" i="5" s="1"/>
  <c r="AY142" i="5"/>
  <c r="BH142" i="5" s="1"/>
  <c r="AY143" i="5"/>
  <c r="BH143" i="5" s="1"/>
  <c r="AY144" i="5"/>
  <c r="BH144" i="5" s="1"/>
  <c r="AY145" i="5"/>
  <c r="BH145" i="5" s="1"/>
  <c r="AY146" i="5"/>
  <c r="BH146" i="5" s="1"/>
  <c r="AY147" i="5"/>
  <c r="BH147" i="5" s="1"/>
  <c r="AY148" i="5"/>
  <c r="BH148" i="5" s="1"/>
  <c r="AY149" i="5"/>
  <c r="BH149" i="5" s="1"/>
  <c r="AY150" i="5"/>
  <c r="BH150" i="5" s="1"/>
  <c r="AY151" i="5"/>
  <c r="BH151" i="5" s="1"/>
  <c r="AY152" i="5"/>
  <c r="BH152" i="5" s="1"/>
  <c r="AY153" i="5"/>
  <c r="BH153" i="5" s="1"/>
  <c r="AY154" i="5"/>
  <c r="BH154" i="5" s="1"/>
  <c r="AY155" i="5"/>
  <c r="BH155" i="5" s="1"/>
  <c r="AY268" i="5"/>
  <c r="BH268" i="5" s="1"/>
  <c r="AY269" i="5"/>
  <c r="BH269" i="5" s="1"/>
  <c r="AY270" i="5"/>
  <c r="BH270" i="5" s="1"/>
  <c r="AY176" i="5"/>
  <c r="BH176" i="5" s="1"/>
  <c r="AY177" i="5"/>
  <c r="BH177" i="5" s="1"/>
  <c r="AY271" i="5"/>
  <c r="BH271" i="5" s="1"/>
  <c r="AY273" i="5"/>
  <c r="BH273" i="5" s="1"/>
  <c r="AY288" i="5"/>
  <c r="BH288" i="5" s="1"/>
  <c r="AY289" i="5"/>
  <c r="BH289" i="5" s="1"/>
  <c r="AY290" i="5"/>
  <c r="BH290" i="5" s="1"/>
  <c r="AY335" i="5"/>
  <c r="BH335" i="5" s="1"/>
  <c r="AY336" i="5"/>
  <c r="BH336" i="5" s="1"/>
  <c r="AY337" i="5"/>
  <c r="BH337" i="5" s="1"/>
  <c r="AY338" i="5"/>
  <c r="BH338" i="5" s="1"/>
  <c r="AY339" i="5"/>
  <c r="BH339" i="5" s="1"/>
  <c r="AY341" i="5"/>
  <c r="BH341" i="5" s="1"/>
  <c r="AY342" i="5"/>
  <c r="BH342" i="5" s="1"/>
  <c r="AY343" i="5"/>
  <c r="BH343" i="5" s="1"/>
  <c r="AY344" i="5"/>
  <c r="BH344" i="5" s="1"/>
  <c r="AY345" i="5"/>
  <c r="BH345" i="5" s="1"/>
  <c r="AY346" i="5"/>
  <c r="BH346" i="5" s="1"/>
  <c r="AY349" i="5"/>
  <c r="BH349" i="5" s="1"/>
  <c r="AY350" i="5"/>
  <c r="BH350" i="5" s="1"/>
  <c r="AY291" i="5"/>
  <c r="BH291" i="5" s="1"/>
  <c r="AY322" i="5"/>
  <c r="BH322" i="5" s="1"/>
  <c r="AY329" i="5"/>
  <c r="BH329" i="5" s="1"/>
  <c r="AY330" i="5"/>
  <c r="BH330" i="5" s="1"/>
  <c r="AY331" i="5"/>
  <c r="BH331" i="5" s="1"/>
  <c r="AY332" i="5"/>
  <c r="BH332" i="5" s="1"/>
  <c r="AY333" i="5"/>
  <c r="BH333" i="5" s="1"/>
  <c r="AY334" i="5"/>
  <c r="BH334" i="5" s="1"/>
  <c r="AY351" i="5"/>
  <c r="BH351" i="5" s="1"/>
  <c r="AY359" i="5"/>
  <c r="BH359" i="5" s="1"/>
  <c r="AY265" i="5"/>
  <c r="BH265" i="5" s="1"/>
  <c r="AY266" i="5"/>
  <c r="BH266" i="5" s="1"/>
  <c r="AY192" i="5"/>
  <c r="BH192" i="5" s="1"/>
  <c r="AY193" i="5"/>
  <c r="BH193" i="5" s="1"/>
  <c r="AY194" i="5"/>
  <c r="BH194" i="5" s="1"/>
  <c r="AY195" i="5"/>
  <c r="BH195" i="5" s="1"/>
  <c r="AY196" i="5"/>
  <c r="BH196" i="5" s="1"/>
  <c r="AY197" i="5"/>
  <c r="BH197" i="5" s="1"/>
  <c r="AY198" i="5"/>
  <c r="BH198" i="5" s="1"/>
  <c r="AY199" i="5"/>
  <c r="BH199" i="5" s="1"/>
  <c r="AY200" i="5"/>
  <c r="BH200" i="5" s="1"/>
  <c r="AY201" i="5"/>
  <c r="BH201" i="5" s="1"/>
  <c r="AY202" i="5"/>
  <c r="BH202" i="5" s="1"/>
  <c r="AY203" i="5"/>
  <c r="BH203" i="5" s="1"/>
  <c r="AY204" i="5"/>
  <c r="BH204" i="5" s="1"/>
  <c r="AY205" i="5"/>
  <c r="BH205" i="5" s="1"/>
  <c r="AY206" i="5"/>
  <c r="BH206" i="5" s="1"/>
  <c r="AY207" i="5"/>
  <c r="BH207" i="5" s="1"/>
  <c r="AY208" i="5"/>
  <c r="BH208" i="5" s="1"/>
  <c r="AY209" i="5"/>
  <c r="BH209" i="5" s="1"/>
  <c r="AY210" i="5"/>
  <c r="BH210" i="5" s="1"/>
  <c r="AY211" i="5"/>
  <c r="BH211" i="5" s="1"/>
  <c r="AY212" i="5"/>
  <c r="BH212" i="5" s="1"/>
  <c r="AY213" i="5"/>
  <c r="BH213" i="5" s="1"/>
  <c r="AY214" i="5"/>
  <c r="BH214" i="5" s="1"/>
  <c r="AY215" i="5"/>
  <c r="BH215" i="5" s="1"/>
  <c r="AY216" i="5"/>
  <c r="BH216" i="5" s="1"/>
  <c r="AY217" i="5"/>
  <c r="BH217" i="5" s="1"/>
  <c r="AY218" i="5"/>
  <c r="BH218" i="5" s="1"/>
  <c r="AY219" i="5"/>
  <c r="BH219" i="5" s="1"/>
  <c r="AY220" i="5"/>
  <c r="BH220" i="5" s="1"/>
  <c r="AY221" i="5"/>
  <c r="BH221" i="5" s="1"/>
  <c r="AY222" i="5"/>
  <c r="BH222" i="5" s="1"/>
  <c r="AY223" i="5"/>
  <c r="BH223" i="5" s="1"/>
  <c r="AY224" i="5"/>
  <c r="BH224" i="5" s="1"/>
  <c r="AY225" i="5"/>
  <c r="BH225" i="5" s="1"/>
  <c r="AY226" i="5"/>
  <c r="BH226" i="5" s="1"/>
  <c r="AY227" i="5"/>
  <c r="BH227" i="5" s="1"/>
  <c r="AY228" i="5"/>
  <c r="BH228" i="5" s="1"/>
  <c r="AY229" i="5"/>
  <c r="BH229" i="5" s="1"/>
  <c r="AY230" i="5"/>
  <c r="BH230" i="5" s="1"/>
  <c r="AY231" i="5"/>
  <c r="BH231" i="5" s="1"/>
  <c r="AY232" i="5"/>
  <c r="BH232" i="5" s="1"/>
  <c r="AY233" i="5"/>
  <c r="BH233" i="5" s="1"/>
  <c r="AY234" i="5"/>
  <c r="BH234" i="5" s="1"/>
  <c r="AY235" i="5"/>
  <c r="BH235" i="5" s="1"/>
  <c r="AY236" i="5"/>
  <c r="BH236" i="5" s="1"/>
  <c r="AY237" i="5"/>
  <c r="BH237" i="5" s="1"/>
  <c r="AY238" i="5"/>
  <c r="BH238" i="5" s="1"/>
  <c r="AY239" i="5"/>
  <c r="BH239" i="5" s="1"/>
  <c r="AY240" i="5"/>
  <c r="BH240" i="5" s="1"/>
  <c r="AY241" i="5"/>
  <c r="BH241" i="5" s="1"/>
  <c r="AY242" i="5"/>
  <c r="BH242" i="5" s="1"/>
  <c r="AY243" i="5"/>
  <c r="BH243" i="5" s="1"/>
  <c r="AY244" i="5"/>
  <c r="BH244" i="5" s="1"/>
  <c r="AY245" i="5"/>
  <c r="BH245" i="5" s="1"/>
  <c r="AY246" i="5"/>
  <c r="BH246" i="5" s="1"/>
  <c r="AY247" i="5"/>
  <c r="BH247" i="5" s="1"/>
  <c r="AY248" i="5"/>
  <c r="BH248" i="5" s="1"/>
  <c r="AY249" i="5"/>
  <c r="BH249" i="5" s="1"/>
  <c r="AY250" i="5"/>
  <c r="BH250" i="5" s="1"/>
  <c r="AY251" i="5"/>
  <c r="BH251" i="5" s="1"/>
  <c r="AY252" i="5"/>
  <c r="BH252" i="5" s="1"/>
  <c r="AY253" i="5"/>
  <c r="BH253" i="5" s="1"/>
  <c r="AY254" i="5"/>
  <c r="BH254" i="5" s="1"/>
  <c r="AY255" i="5"/>
  <c r="BH255" i="5" s="1"/>
  <c r="AY260" i="5"/>
  <c r="BH260" i="5" s="1"/>
  <c r="AY261" i="5"/>
  <c r="BH261" i="5" s="1"/>
  <c r="AY262" i="5"/>
  <c r="BH262" i="5" s="1"/>
  <c r="AY167" i="5"/>
  <c r="BH167" i="5" s="1"/>
  <c r="AY168" i="5"/>
  <c r="BH168" i="5" s="1"/>
  <c r="AY169" i="5"/>
  <c r="BH169" i="5" s="1"/>
  <c r="AY170" i="5"/>
  <c r="BH170" i="5" s="1"/>
  <c r="AY171" i="5"/>
  <c r="BH171" i="5" s="1"/>
  <c r="AY172" i="5"/>
  <c r="BH172" i="5" s="1"/>
  <c r="AY173" i="5"/>
  <c r="BH173" i="5" s="1"/>
  <c r="AY174" i="5"/>
  <c r="BH174" i="5" s="1"/>
  <c r="AY175" i="5"/>
  <c r="BH175" i="5" s="1"/>
  <c r="AY164" i="5"/>
  <c r="BH164" i="5" s="1"/>
  <c r="AY274" i="5"/>
  <c r="BH274" i="5" s="1"/>
  <c r="AY275" i="5"/>
  <c r="BH275" i="5" s="1"/>
  <c r="AY276" i="5"/>
  <c r="BH276" i="5" s="1"/>
  <c r="AY277" i="5"/>
  <c r="BH277" i="5" s="1"/>
  <c r="AY278" i="5"/>
  <c r="BH278" i="5" s="1"/>
  <c r="AY279" i="5"/>
  <c r="BH279" i="5" s="1"/>
  <c r="AY280" i="5"/>
  <c r="BH280" i="5" s="1"/>
  <c r="AY281" i="5"/>
  <c r="BH281" i="5" s="1"/>
  <c r="AY282" i="5"/>
  <c r="BH282" i="5" s="1"/>
  <c r="AY283" i="5"/>
  <c r="BH283" i="5" s="1"/>
  <c r="AY284" i="5"/>
  <c r="BH284" i="5" s="1"/>
  <c r="AY285" i="5"/>
  <c r="BH285" i="5" s="1"/>
  <c r="AY286" i="5"/>
  <c r="BH286" i="5" s="1"/>
  <c r="AY287" i="5"/>
  <c r="BH287" i="5" s="1"/>
  <c r="AY178" i="5"/>
  <c r="BH178" i="5" s="1"/>
  <c r="AY179" i="5"/>
  <c r="BH179" i="5" s="1"/>
  <c r="AY180" i="5"/>
  <c r="BH180" i="5" s="1"/>
  <c r="AY181" i="5"/>
  <c r="BH181" i="5" s="1"/>
  <c r="AY292" i="5"/>
  <c r="BH292" i="5" s="1"/>
  <c r="AY293" i="5"/>
  <c r="BH293" i="5" s="1"/>
  <c r="AY294" i="5"/>
  <c r="BH294" i="5" s="1"/>
  <c r="AY295" i="5"/>
  <c r="BH295" i="5" s="1"/>
  <c r="AY296" i="5"/>
  <c r="BH296" i="5" s="1"/>
  <c r="AY297" i="5"/>
  <c r="BH297" i="5" s="1"/>
  <c r="AY298" i="5"/>
  <c r="BH298" i="5" s="1"/>
  <c r="AY299" i="5"/>
  <c r="BH299" i="5" s="1"/>
  <c r="AY300" i="5"/>
  <c r="BH300" i="5" s="1"/>
  <c r="AY301" i="5"/>
  <c r="BH301" i="5" s="1"/>
  <c r="AY302" i="5"/>
  <c r="BH302" i="5" s="1"/>
  <c r="AY303" i="5"/>
  <c r="BH303" i="5" s="1"/>
  <c r="AY304" i="5"/>
  <c r="BH304" i="5" s="1"/>
  <c r="AY305" i="5"/>
  <c r="BH305" i="5" s="1"/>
  <c r="AY306" i="5"/>
  <c r="BH306" i="5" s="1"/>
  <c r="AY307" i="5"/>
  <c r="BH307" i="5" s="1"/>
  <c r="AY308" i="5"/>
  <c r="BH308" i="5" s="1"/>
  <c r="AY309" i="5"/>
  <c r="BH309" i="5" s="1"/>
  <c r="AY310" i="5"/>
  <c r="BH310" i="5" s="1"/>
  <c r="AY311" i="5"/>
  <c r="BH311" i="5" s="1"/>
  <c r="AY312" i="5"/>
  <c r="BH312" i="5" s="1"/>
  <c r="AY313" i="5"/>
  <c r="BH313" i="5" s="1"/>
  <c r="AY314" i="5"/>
  <c r="BH314" i="5" s="1"/>
  <c r="AY315" i="5"/>
  <c r="BH315" i="5" s="1"/>
  <c r="AY316" i="5"/>
  <c r="BH316" i="5" s="1"/>
  <c r="AY317" i="5"/>
  <c r="BH317" i="5" s="1"/>
  <c r="AY318" i="5"/>
  <c r="BH318" i="5" s="1"/>
  <c r="AY319" i="5"/>
  <c r="BH319" i="5" s="1"/>
  <c r="AY320" i="5"/>
  <c r="BH320" i="5" s="1"/>
  <c r="AY321" i="5"/>
  <c r="BH321" i="5" s="1"/>
  <c r="AY410" i="5"/>
  <c r="BH410" i="5" s="1"/>
  <c r="AY323" i="5"/>
  <c r="BH323" i="5" s="1"/>
  <c r="AY324" i="5"/>
  <c r="BH324" i="5" s="1"/>
  <c r="AY325" i="5"/>
  <c r="BH325" i="5" s="1"/>
  <c r="AY326" i="5"/>
  <c r="BH326" i="5" s="1"/>
  <c r="AY327" i="5"/>
  <c r="BH327" i="5" s="1"/>
  <c r="AY328" i="5"/>
  <c r="BH328" i="5" s="1"/>
  <c r="AY421" i="5"/>
  <c r="BH421" i="5" s="1"/>
  <c r="AY411" i="5"/>
  <c r="BH411" i="5" s="1"/>
  <c r="AY412" i="5"/>
  <c r="BH412" i="5" s="1"/>
  <c r="AY413" i="5"/>
  <c r="BH413" i="5" s="1"/>
  <c r="AY414" i="5"/>
  <c r="BH414" i="5" s="1"/>
  <c r="AY415" i="5"/>
  <c r="BH415" i="5" s="1"/>
  <c r="AY416" i="5"/>
  <c r="BH416" i="5" s="1"/>
  <c r="AY417" i="5"/>
  <c r="BH417" i="5" s="1"/>
  <c r="AY418" i="5"/>
  <c r="BH418" i="5" s="1"/>
  <c r="AY419" i="5"/>
  <c r="BH419" i="5" s="1"/>
  <c r="AY420" i="5"/>
  <c r="BH420" i="5" s="1"/>
  <c r="AY340" i="5"/>
  <c r="BH340" i="5" s="1"/>
  <c r="AY159" i="5"/>
  <c r="BH159" i="5" s="1"/>
  <c r="AY160" i="5"/>
  <c r="BH160" i="5" s="1"/>
  <c r="AY161" i="5"/>
  <c r="BH161" i="5" s="1"/>
  <c r="AY162" i="5"/>
  <c r="BH162" i="5" s="1"/>
  <c r="AY64" i="5"/>
  <c r="BH64" i="5" s="1"/>
  <c r="AY105" i="5"/>
  <c r="BH105" i="5" s="1"/>
  <c r="AY347" i="5"/>
  <c r="BH347" i="5" s="1"/>
  <c r="AY348" i="5"/>
  <c r="BH348" i="5" s="1"/>
  <c r="AY156" i="5"/>
  <c r="BH156" i="5" s="1"/>
  <c r="AY157" i="5"/>
  <c r="BH157" i="5" s="1"/>
  <c r="AY158" i="5"/>
  <c r="BH158" i="5" s="1"/>
  <c r="AY352" i="5"/>
  <c r="BH352" i="5" s="1"/>
  <c r="AY353" i="5"/>
  <c r="BH353" i="5" s="1"/>
  <c r="AY354" i="5"/>
  <c r="BH354" i="5" s="1"/>
  <c r="AY355" i="5"/>
  <c r="BH355" i="5" s="1"/>
  <c r="AY356" i="5"/>
  <c r="BH356" i="5" s="1"/>
  <c r="AY357" i="5"/>
  <c r="BH357" i="5" s="1"/>
  <c r="AY358" i="5"/>
  <c r="BH358" i="5" s="1"/>
  <c r="AY360" i="5"/>
  <c r="BH360" i="5" s="1"/>
  <c r="AY371" i="5"/>
  <c r="BH371" i="5" s="1"/>
  <c r="AY361" i="5"/>
  <c r="BH361" i="5" s="1"/>
  <c r="AY362" i="5"/>
  <c r="BH362" i="5" s="1"/>
  <c r="AY363" i="5"/>
  <c r="BH363" i="5" s="1"/>
  <c r="AY364" i="5"/>
  <c r="BH364" i="5" s="1"/>
  <c r="AY365" i="5"/>
  <c r="BH365" i="5" s="1"/>
  <c r="AY366" i="5"/>
  <c r="BH366" i="5" s="1"/>
  <c r="AY367" i="5"/>
  <c r="BH367" i="5" s="1"/>
  <c r="AY368" i="5"/>
  <c r="BH368" i="5" s="1"/>
  <c r="AY369" i="5"/>
  <c r="BH369" i="5" s="1"/>
  <c r="AY370" i="5"/>
  <c r="BH370" i="5" s="1"/>
  <c r="AY373" i="5"/>
  <c r="BH373" i="5" s="1"/>
  <c r="AY372" i="5"/>
  <c r="BH372" i="5" s="1"/>
  <c r="AY375" i="5"/>
  <c r="BH375" i="5" s="1"/>
  <c r="AY374" i="5"/>
  <c r="BH374" i="5" s="1"/>
  <c r="AY376" i="5"/>
  <c r="BH376" i="5" s="1"/>
  <c r="AY379" i="5"/>
  <c r="BH379" i="5" s="1"/>
  <c r="AY377" i="5"/>
  <c r="BH377" i="5" s="1"/>
  <c r="AY378" i="5"/>
  <c r="BH378" i="5" s="1"/>
  <c r="AY267" i="5"/>
  <c r="BH267" i="5" s="1"/>
  <c r="AY380" i="5"/>
  <c r="BH380" i="5" s="1"/>
  <c r="AY381" i="5"/>
  <c r="BH381" i="5" s="1"/>
  <c r="AY382" i="5"/>
  <c r="BH382" i="5" s="1"/>
  <c r="AY383" i="5"/>
  <c r="BH383" i="5" s="1"/>
  <c r="AY384" i="5"/>
  <c r="BH384" i="5" s="1"/>
  <c r="AY385" i="5"/>
  <c r="BH385" i="5" s="1"/>
  <c r="AY386" i="5"/>
  <c r="BH386" i="5" s="1"/>
  <c r="AY387" i="5"/>
  <c r="BH387" i="5" s="1"/>
  <c r="AY388" i="5"/>
  <c r="BH388" i="5" s="1"/>
  <c r="AY389" i="5"/>
  <c r="BH389" i="5" s="1"/>
  <c r="AY390" i="5"/>
  <c r="BH390" i="5" s="1"/>
  <c r="AY391" i="5"/>
  <c r="BH391" i="5" s="1"/>
  <c r="AY392" i="5"/>
  <c r="BH392" i="5" s="1"/>
  <c r="AY393" i="5"/>
  <c r="BH393" i="5" s="1"/>
  <c r="AY394" i="5"/>
  <c r="BH394" i="5" s="1"/>
  <c r="AY395" i="5"/>
  <c r="BH395" i="5" s="1"/>
  <c r="AY396" i="5"/>
  <c r="BH396" i="5" s="1"/>
  <c r="AY397" i="5"/>
  <c r="BH397" i="5" s="1"/>
  <c r="AY398" i="5"/>
  <c r="BH398" i="5" s="1"/>
  <c r="AY399" i="5"/>
  <c r="BH399" i="5" s="1"/>
  <c r="AY400" i="5"/>
  <c r="BH400" i="5" s="1"/>
  <c r="AY182" i="5"/>
  <c r="BH182" i="5" s="1"/>
  <c r="AY183" i="5"/>
  <c r="BH183" i="5" s="1"/>
  <c r="AY184" i="5"/>
  <c r="BH184" i="5" s="1"/>
  <c r="AY185" i="5"/>
  <c r="BH185" i="5" s="1"/>
  <c r="AY401" i="5"/>
  <c r="BH401" i="5" s="1"/>
  <c r="AY402" i="5"/>
  <c r="BH402" i="5" s="1"/>
  <c r="AY186" i="5"/>
  <c r="BH186" i="5" s="1"/>
  <c r="AY187" i="5"/>
  <c r="BH187" i="5" s="1"/>
  <c r="AY188" i="5"/>
  <c r="BH188" i="5" s="1"/>
  <c r="AY165" i="5"/>
  <c r="BH165" i="5" s="1"/>
  <c r="AY189" i="5"/>
  <c r="BH189" i="5" s="1"/>
  <c r="AY191" i="5"/>
  <c r="BH191" i="5" s="1"/>
  <c r="AY263" i="5"/>
  <c r="BH263" i="5" s="1"/>
  <c r="AY264" i="5"/>
  <c r="BH264" i="5" s="1"/>
  <c r="AY403" i="5"/>
  <c r="BH403" i="5" s="1"/>
  <c r="AY404" i="5"/>
  <c r="BH404" i="5" s="1"/>
  <c r="AY166" i="5"/>
  <c r="BH166" i="5" s="1"/>
  <c r="AY423" i="5"/>
  <c r="BH423" i="5" s="1"/>
  <c r="AY424" i="5"/>
  <c r="BH424" i="5" s="1"/>
  <c r="AY425" i="5"/>
  <c r="BH425" i="5" s="1"/>
  <c r="AY426" i="5"/>
  <c r="BH426" i="5" s="1"/>
  <c r="AY427" i="5"/>
  <c r="BH427" i="5" s="1"/>
  <c r="AY428" i="5"/>
  <c r="BH428" i="5" s="1"/>
  <c r="AY429" i="5"/>
  <c r="BH429" i="5" s="1"/>
  <c r="AY430" i="5"/>
  <c r="BH430" i="5" s="1"/>
  <c r="AY431" i="5"/>
  <c r="BH431" i="5" s="1"/>
  <c r="AY432" i="5"/>
  <c r="BH432" i="5" s="1"/>
  <c r="AY433" i="5"/>
  <c r="BH433" i="5" s="1"/>
  <c r="AY434" i="5"/>
  <c r="BH434" i="5" s="1"/>
  <c r="AY435" i="5"/>
  <c r="BH435" i="5" s="1"/>
  <c r="AY436" i="5"/>
  <c r="BH436" i="5" s="1"/>
  <c r="AY437" i="5"/>
  <c r="BH437" i="5" s="1"/>
  <c r="AY438" i="5"/>
  <c r="BH438" i="5" s="1"/>
  <c r="AY439" i="5"/>
  <c r="BH439" i="5" s="1"/>
  <c r="AY440" i="5"/>
  <c r="BH440" i="5" s="1"/>
  <c r="AY441" i="5"/>
  <c r="BH441" i="5" s="1"/>
  <c r="AY442" i="5"/>
  <c r="BH442" i="5" s="1"/>
  <c r="AY443" i="5"/>
  <c r="BH443" i="5" s="1"/>
  <c r="AY444" i="5"/>
  <c r="BH444" i="5" s="1"/>
  <c r="AY445" i="5"/>
  <c r="BH445" i="5" s="1"/>
  <c r="AY446" i="5"/>
  <c r="BH446" i="5" s="1"/>
  <c r="AY447" i="5"/>
  <c r="BH447" i="5" s="1"/>
  <c r="AY448" i="5"/>
  <c r="BH448" i="5" s="1"/>
  <c r="AY449" i="5"/>
  <c r="BH449" i="5" s="1"/>
  <c r="AY450" i="5"/>
  <c r="BH450" i="5" s="1"/>
  <c r="AY451" i="5"/>
  <c r="BH451" i="5" s="1"/>
  <c r="AY452" i="5"/>
  <c r="BH452" i="5" s="1"/>
  <c r="AY453" i="5"/>
  <c r="BH453" i="5" s="1"/>
  <c r="AY454" i="5"/>
  <c r="BH454" i="5" s="1"/>
  <c r="AY455" i="5"/>
  <c r="BH455" i="5" s="1"/>
  <c r="AY456" i="5"/>
  <c r="BH456" i="5" s="1"/>
  <c r="AY457" i="5"/>
  <c r="BH457" i="5" s="1"/>
  <c r="AY458" i="5"/>
  <c r="BH458" i="5" s="1"/>
  <c r="AY459" i="5"/>
  <c r="BH459" i="5" s="1"/>
  <c r="AY460" i="5"/>
  <c r="BH460" i="5" s="1"/>
  <c r="AY461" i="5"/>
  <c r="BH461" i="5" s="1"/>
  <c r="AY462" i="5"/>
  <c r="BH462" i="5" s="1"/>
  <c r="AY463" i="5"/>
  <c r="BH463" i="5" s="1"/>
  <c r="AY464" i="5"/>
  <c r="BH464" i="5" s="1"/>
  <c r="AY465" i="5"/>
  <c r="BH465" i="5" s="1"/>
  <c r="AY466" i="5"/>
  <c r="BH466" i="5" s="1"/>
  <c r="AY467" i="5"/>
  <c r="BH467" i="5" s="1"/>
  <c r="AY468" i="5"/>
  <c r="BH468" i="5" s="1"/>
  <c r="AY469" i="5"/>
  <c r="BH469" i="5" s="1"/>
  <c r="AY470" i="5"/>
  <c r="BH470" i="5" s="1"/>
  <c r="AY471" i="5"/>
  <c r="BH471" i="5" s="1"/>
  <c r="AY472" i="5"/>
  <c r="BH472" i="5" s="1"/>
  <c r="AY473" i="5"/>
  <c r="BH473" i="5" s="1"/>
  <c r="AY474" i="5"/>
  <c r="BH474" i="5" s="1"/>
  <c r="AY475" i="5"/>
  <c r="BH475" i="5" s="1"/>
  <c r="AY476" i="5"/>
  <c r="BH476" i="5" s="1"/>
  <c r="AY477" i="5"/>
  <c r="BH477" i="5" s="1"/>
  <c r="AY478" i="5"/>
  <c r="BH478" i="5" s="1"/>
  <c r="AY479" i="5"/>
  <c r="BH479" i="5" s="1"/>
  <c r="AY480" i="5"/>
  <c r="BH480" i="5" s="1"/>
  <c r="AY481" i="5"/>
  <c r="BH481" i="5" s="1"/>
  <c r="AY482" i="5"/>
  <c r="BH482" i="5" s="1"/>
  <c r="AY483" i="5"/>
  <c r="BH483" i="5" s="1"/>
  <c r="AY484" i="5"/>
  <c r="BH484" i="5" s="1"/>
  <c r="AY485" i="5"/>
  <c r="BH485" i="5" s="1"/>
  <c r="AY486" i="5"/>
  <c r="BH486" i="5" s="1"/>
  <c r="AY487" i="5"/>
  <c r="BH487" i="5" s="1"/>
  <c r="AY488" i="5"/>
  <c r="BH488" i="5" s="1"/>
  <c r="AY489" i="5"/>
  <c r="BH489" i="5" s="1"/>
  <c r="AY490" i="5"/>
  <c r="BH490" i="5" s="1"/>
  <c r="AY491" i="5"/>
  <c r="BH491" i="5" s="1"/>
  <c r="AY492" i="5"/>
  <c r="BH492" i="5" s="1"/>
  <c r="AY493" i="5"/>
  <c r="BH493" i="5" s="1"/>
  <c r="AY494" i="5"/>
  <c r="BH494" i="5" s="1"/>
  <c r="AY495" i="5"/>
  <c r="BH495" i="5" s="1"/>
  <c r="AY496" i="5"/>
  <c r="BH496" i="5" s="1"/>
  <c r="AY497" i="5"/>
  <c r="BH497" i="5" s="1"/>
  <c r="AY498" i="5"/>
  <c r="BH498" i="5" s="1"/>
  <c r="AY499" i="5"/>
  <c r="BH499" i="5" s="1"/>
  <c r="AY500" i="5"/>
  <c r="BH500" i="5" s="1"/>
  <c r="AY501" i="5"/>
  <c r="BH501" i="5" s="1"/>
  <c r="AY502" i="5"/>
  <c r="BH502" i="5" s="1"/>
  <c r="AY503" i="5"/>
  <c r="BH503" i="5" s="1"/>
  <c r="AY504" i="5"/>
  <c r="BH504" i="5" s="1"/>
  <c r="AY505" i="5"/>
  <c r="BH505" i="5" s="1"/>
  <c r="AY506" i="5"/>
  <c r="BH506" i="5" s="1"/>
  <c r="AY507" i="5"/>
  <c r="BH507" i="5" s="1"/>
  <c r="AY508" i="5"/>
  <c r="BH508" i="5" s="1"/>
  <c r="AY509" i="5"/>
  <c r="BH509" i="5" s="1"/>
  <c r="AY510" i="5"/>
  <c r="BH510" i="5" s="1"/>
  <c r="AY511" i="5"/>
  <c r="BH511" i="5" s="1"/>
  <c r="AY512" i="5"/>
  <c r="BH512" i="5" s="1"/>
  <c r="AY513" i="5"/>
  <c r="BH513" i="5" s="1"/>
  <c r="AY514" i="5"/>
  <c r="BH514" i="5" s="1"/>
  <c r="AY515" i="5"/>
  <c r="BH515" i="5" s="1"/>
  <c r="AY516" i="5"/>
  <c r="BH516" i="5" s="1"/>
  <c r="AY517" i="5"/>
  <c r="BH517" i="5" s="1"/>
  <c r="AY518" i="5"/>
  <c r="BH518" i="5" s="1"/>
  <c r="AY519" i="5"/>
  <c r="BH519" i="5" s="1"/>
  <c r="AY520" i="5"/>
  <c r="BH520" i="5" s="1"/>
  <c r="AY521" i="5"/>
  <c r="BH521" i="5" s="1"/>
  <c r="AY522" i="5"/>
  <c r="BH522" i="5" s="1"/>
  <c r="AY523" i="5"/>
  <c r="BH523" i="5" s="1"/>
  <c r="AY524" i="5"/>
  <c r="BH524" i="5" s="1"/>
  <c r="AY525" i="5"/>
  <c r="BH525" i="5" s="1"/>
  <c r="AY526" i="5"/>
  <c r="BH526" i="5" s="1"/>
  <c r="AY527" i="5"/>
  <c r="BH527" i="5" s="1"/>
  <c r="AY528" i="5"/>
  <c r="BH528" i="5" s="1"/>
  <c r="AY529" i="5"/>
  <c r="BH529" i="5" s="1"/>
  <c r="AY530" i="5"/>
  <c r="BH530" i="5" s="1"/>
  <c r="AY531" i="5"/>
  <c r="BH531" i="5" s="1"/>
  <c r="AY532" i="5"/>
  <c r="BH532" i="5" s="1"/>
  <c r="AY533" i="5"/>
  <c r="BH533" i="5" s="1"/>
  <c r="AY534" i="5"/>
  <c r="BH534" i="5" s="1"/>
  <c r="AY535" i="5"/>
  <c r="BH535" i="5" s="1"/>
  <c r="AY536" i="5"/>
  <c r="BH536" i="5" s="1"/>
  <c r="AY537" i="5"/>
  <c r="BH537" i="5" s="1"/>
  <c r="AY538" i="5"/>
  <c r="BH538" i="5" s="1"/>
  <c r="AY539" i="5"/>
  <c r="BH539" i="5" s="1"/>
  <c r="AY540" i="5"/>
  <c r="BH540" i="5" s="1"/>
  <c r="AY541" i="5"/>
  <c r="BH541" i="5" s="1"/>
  <c r="AY542" i="5"/>
  <c r="BH542" i="5" s="1"/>
  <c r="AY543" i="5"/>
  <c r="BH543" i="5" s="1"/>
  <c r="AY544" i="5"/>
  <c r="BH544" i="5" s="1"/>
  <c r="AY545" i="5"/>
  <c r="BH545" i="5" s="1"/>
  <c r="AY547" i="5"/>
  <c r="BH547" i="5" s="1"/>
  <c r="AY548" i="5"/>
  <c r="BH548" i="5" s="1"/>
  <c r="AY549" i="5"/>
  <c r="BH549" i="5" s="1"/>
  <c r="AY553" i="5"/>
  <c r="BH553" i="5" s="1"/>
  <c r="AY557" i="5"/>
  <c r="BH557" i="5" s="1"/>
  <c r="AY558" i="5"/>
  <c r="BH558" i="5" s="1"/>
  <c r="AY559" i="5"/>
  <c r="BH559" i="5" s="1"/>
  <c r="AY560" i="5"/>
  <c r="BH560" i="5" s="1"/>
  <c r="AY561" i="5"/>
  <c r="BH561" i="5" s="1"/>
  <c r="AY562" i="5"/>
  <c r="BH562" i="5" s="1"/>
  <c r="AY563" i="5"/>
  <c r="BH563" i="5" s="1"/>
  <c r="AY564" i="5"/>
  <c r="BH564" i="5" s="1"/>
  <c r="AY565" i="5"/>
  <c r="BH565" i="5" s="1"/>
  <c r="AY566" i="5"/>
  <c r="BH566" i="5" s="1"/>
  <c r="AY567" i="5"/>
  <c r="BH567" i="5" s="1"/>
  <c r="AY568" i="5"/>
  <c r="BH568" i="5" s="1"/>
  <c r="AY2" i="5"/>
  <c r="BH2" i="5" l="1"/>
  <c r="BE133" i="5"/>
  <c r="BG133" i="5"/>
  <c r="BF133" i="5"/>
  <c r="BE124" i="5"/>
  <c r="BG124" i="5"/>
  <c r="BF124" i="5"/>
  <c r="BE116" i="5"/>
  <c r="BF116" i="5"/>
  <c r="BG116" i="5"/>
  <c r="BE108" i="5"/>
  <c r="BF108" i="5"/>
  <c r="BG108" i="5"/>
  <c r="BE99" i="5"/>
  <c r="BG99" i="5"/>
  <c r="BF99" i="5"/>
  <c r="BE91" i="5"/>
  <c r="BG91" i="5"/>
  <c r="BF91" i="5"/>
  <c r="BE83" i="5"/>
  <c r="BG83" i="5"/>
  <c r="BF83" i="5"/>
  <c r="BE75" i="5"/>
  <c r="BG75" i="5"/>
  <c r="BF75" i="5"/>
  <c r="BE67" i="5"/>
  <c r="BG67" i="5"/>
  <c r="BF67" i="5"/>
  <c r="BE59" i="5"/>
  <c r="BG59" i="5"/>
  <c r="BF59" i="5"/>
  <c r="BE51" i="5"/>
  <c r="BG51" i="5"/>
  <c r="BF51" i="5"/>
  <c r="BE43" i="5"/>
  <c r="BG43" i="5"/>
  <c r="BF43" i="5"/>
  <c r="BE35" i="5"/>
  <c r="BG35" i="5"/>
  <c r="BF35" i="5"/>
  <c r="BE27" i="5"/>
  <c r="BG27" i="5"/>
  <c r="BF27" i="5"/>
  <c r="BE19" i="5"/>
  <c r="BG19" i="5"/>
  <c r="BF19" i="5"/>
  <c r="BE11" i="5"/>
  <c r="BG11" i="5"/>
  <c r="BF11" i="5"/>
  <c r="BE3" i="5"/>
  <c r="BG3" i="5"/>
  <c r="BF3" i="5"/>
  <c r="BE115" i="5"/>
  <c r="BG115" i="5"/>
  <c r="BF115" i="5"/>
  <c r="BE107" i="5"/>
  <c r="BG107" i="5"/>
  <c r="BF107" i="5"/>
  <c r="BE98" i="5"/>
  <c r="BG98" i="5"/>
  <c r="BF98" i="5"/>
  <c r="BE90" i="5"/>
  <c r="BG90" i="5"/>
  <c r="BF90" i="5"/>
  <c r="BE82" i="5"/>
  <c r="BG82" i="5"/>
  <c r="BF82" i="5"/>
  <c r="BE74" i="5"/>
  <c r="BG74" i="5"/>
  <c r="BF74" i="5"/>
  <c r="BE66" i="5"/>
  <c r="BG66" i="5"/>
  <c r="BF66" i="5"/>
  <c r="BE58" i="5"/>
  <c r="BG58" i="5"/>
  <c r="BF58" i="5"/>
  <c r="BE50" i="5"/>
  <c r="BG50" i="5"/>
  <c r="BF50" i="5"/>
  <c r="BE42" i="5"/>
  <c r="BG42" i="5"/>
  <c r="BF42" i="5"/>
  <c r="BE34" i="5"/>
  <c r="BG34" i="5"/>
  <c r="BF34" i="5"/>
  <c r="BE26" i="5"/>
  <c r="BG26" i="5"/>
  <c r="BF26" i="5"/>
  <c r="BE18" i="5"/>
  <c r="BG18" i="5"/>
  <c r="BF18" i="5"/>
  <c r="BE10" i="5"/>
  <c r="BG10" i="5"/>
  <c r="BF10" i="5"/>
  <c r="BE407" i="5"/>
  <c r="BG407" i="5"/>
  <c r="BF407" i="5"/>
  <c r="BE408" i="5"/>
  <c r="BG408" i="5"/>
  <c r="BF408" i="5"/>
  <c r="BE567" i="5"/>
  <c r="BG567" i="5"/>
  <c r="BF567" i="5"/>
  <c r="BE528" i="5"/>
  <c r="BG528" i="5"/>
  <c r="BF528" i="5"/>
  <c r="BE496" i="5"/>
  <c r="BG496" i="5"/>
  <c r="BF496" i="5"/>
  <c r="BE456" i="5"/>
  <c r="BG456" i="5"/>
  <c r="BF456" i="5"/>
  <c r="BE424" i="5"/>
  <c r="BG424" i="5"/>
  <c r="BF424" i="5"/>
  <c r="BE387" i="5"/>
  <c r="BF387" i="5"/>
  <c r="BG387" i="5"/>
  <c r="BE363" i="5"/>
  <c r="BG363" i="5"/>
  <c r="BF363" i="5"/>
  <c r="BE323" i="5"/>
  <c r="BF323" i="5"/>
  <c r="BG323" i="5"/>
  <c r="BE181" i="5"/>
  <c r="BG181" i="5"/>
  <c r="BF181" i="5"/>
  <c r="BE246" i="5"/>
  <c r="BG246" i="5"/>
  <c r="BF246" i="5"/>
  <c r="BE206" i="5"/>
  <c r="BG206" i="5"/>
  <c r="BF206" i="5"/>
  <c r="BE265" i="5"/>
  <c r="BG265" i="5"/>
  <c r="BF265" i="5"/>
  <c r="BE269" i="5"/>
  <c r="BG269" i="5"/>
  <c r="BF269" i="5"/>
  <c r="BE149" i="5"/>
  <c r="BG149" i="5"/>
  <c r="BF149" i="5"/>
  <c r="BE141" i="5"/>
  <c r="BG141" i="5"/>
  <c r="BF141" i="5"/>
  <c r="BE566" i="5"/>
  <c r="BG566" i="5"/>
  <c r="BF566" i="5"/>
  <c r="BE558" i="5"/>
  <c r="BG558" i="5"/>
  <c r="BF558" i="5"/>
  <c r="BE543" i="5"/>
  <c r="BG543" i="5"/>
  <c r="BF543" i="5"/>
  <c r="BE535" i="5"/>
  <c r="BG535" i="5"/>
  <c r="BF535" i="5"/>
  <c r="BE527" i="5"/>
  <c r="BG527" i="5"/>
  <c r="BF527" i="5"/>
  <c r="BE519" i="5"/>
  <c r="BG519" i="5"/>
  <c r="BF519" i="5"/>
  <c r="BE511" i="5"/>
  <c r="BG511" i="5"/>
  <c r="BF511" i="5"/>
  <c r="BE503" i="5"/>
  <c r="BG503" i="5"/>
  <c r="BF503" i="5"/>
  <c r="BE495" i="5"/>
  <c r="BG495" i="5"/>
  <c r="BF495" i="5"/>
  <c r="BE487" i="5"/>
  <c r="BG487" i="5"/>
  <c r="BF487" i="5"/>
  <c r="BE479" i="5"/>
  <c r="BG479" i="5"/>
  <c r="BF479" i="5"/>
  <c r="BE471" i="5"/>
  <c r="BG471" i="5"/>
  <c r="BF471" i="5"/>
  <c r="BE463" i="5"/>
  <c r="BG463" i="5"/>
  <c r="BF463" i="5"/>
  <c r="BE455" i="5"/>
  <c r="BG455" i="5"/>
  <c r="BF455" i="5"/>
  <c r="BE447" i="5"/>
  <c r="BG447" i="5"/>
  <c r="BF447" i="5"/>
  <c r="BE439" i="5"/>
  <c r="BG439" i="5"/>
  <c r="BF439" i="5"/>
  <c r="BE431" i="5"/>
  <c r="BG431" i="5"/>
  <c r="BF431" i="5"/>
  <c r="BE423" i="5"/>
  <c r="BG423" i="5"/>
  <c r="BF423" i="5"/>
  <c r="BE165" i="5"/>
  <c r="BG165" i="5"/>
  <c r="BF165" i="5"/>
  <c r="BE183" i="5"/>
  <c r="BG183" i="5"/>
  <c r="BF183" i="5"/>
  <c r="BE394" i="5"/>
  <c r="BG394" i="5"/>
  <c r="BF394" i="5"/>
  <c r="BE386" i="5"/>
  <c r="BG386" i="5"/>
  <c r="BF386" i="5"/>
  <c r="BE378" i="5"/>
  <c r="BG378" i="5"/>
  <c r="BF378" i="5"/>
  <c r="BE370" i="5"/>
  <c r="BG370" i="5"/>
  <c r="BF370" i="5"/>
  <c r="BE362" i="5"/>
  <c r="BG362" i="5"/>
  <c r="BF362" i="5"/>
  <c r="BE354" i="5"/>
  <c r="BG354" i="5"/>
  <c r="BF354" i="5"/>
  <c r="BE105" i="5"/>
  <c r="BF105" i="5"/>
  <c r="BG105" i="5"/>
  <c r="BE419" i="5"/>
  <c r="BG419" i="5"/>
  <c r="BF419" i="5"/>
  <c r="BE411" i="5"/>
  <c r="BG411" i="5"/>
  <c r="BF411" i="5"/>
  <c r="BE410" i="5"/>
  <c r="BG410" i="5"/>
  <c r="BF410" i="5"/>
  <c r="BE314" i="5"/>
  <c r="BG314" i="5"/>
  <c r="BF314" i="5"/>
  <c r="BE306" i="5"/>
  <c r="BG306" i="5"/>
  <c r="BF306" i="5"/>
  <c r="BE298" i="5"/>
  <c r="BG298" i="5"/>
  <c r="BF298" i="5"/>
  <c r="BE180" i="5"/>
  <c r="BG180" i="5"/>
  <c r="BF180" i="5"/>
  <c r="BE282" i="5"/>
  <c r="BG282" i="5"/>
  <c r="BF282" i="5"/>
  <c r="BE274" i="5"/>
  <c r="BG274" i="5"/>
  <c r="BF274" i="5"/>
  <c r="BE169" i="5"/>
  <c r="BG169" i="5"/>
  <c r="BF169" i="5"/>
  <c r="BE253" i="5"/>
  <c r="BG253" i="5"/>
  <c r="BF253" i="5"/>
  <c r="BE245" i="5"/>
  <c r="BG245" i="5"/>
  <c r="BF245" i="5"/>
  <c r="BE237" i="5"/>
  <c r="BG237" i="5"/>
  <c r="BF237" i="5"/>
  <c r="BE229" i="5"/>
  <c r="BG229" i="5"/>
  <c r="BF229" i="5"/>
  <c r="BE221" i="5"/>
  <c r="BG221" i="5"/>
  <c r="BF221" i="5"/>
  <c r="BE213" i="5"/>
  <c r="BG213" i="5"/>
  <c r="BF213" i="5"/>
  <c r="BE205" i="5"/>
  <c r="BG205" i="5"/>
  <c r="BF205" i="5"/>
  <c r="BE197" i="5"/>
  <c r="BG197" i="5"/>
  <c r="BF197" i="5"/>
  <c r="BE359" i="5"/>
  <c r="BG359" i="5"/>
  <c r="BF359" i="5"/>
  <c r="BE322" i="5"/>
  <c r="BG322" i="5"/>
  <c r="BF322" i="5"/>
  <c r="BE342" i="5"/>
  <c r="BG342" i="5"/>
  <c r="BF342" i="5"/>
  <c r="BE289" i="5"/>
  <c r="BG289" i="5"/>
  <c r="BF289" i="5"/>
  <c r="BE268" i="5"/>
  <c r="BG268" i="5"/>
  <c r="BF268" i="5"/>
  <c r="BE148" i="5"/>
  <c r="BG148" i="5"/>
  <c r="BF148" i="5"/>
  <c r="BE140" i="5"/>
  <c r="BG140" i="5"/>
  <c r="BF140" i="5"/>
  <c r="BE132" i="5"/>
  <c r="BG132" i="5"/>
  <c r="BF132" i="5"/>
  <c r="BE123" i="5"/>
  <c r="BG123" i="5"/>
  <c r="BF123" i="5"/>
  <c r="BE565" i="5"/>
  <c r="BG565" i="5"/>
  <c r="BF565" i="5"/>
  <c r="BE557" i="5"/>
  <c r="BG557" i="5"/>
  <c r="BF557" i="5"/>
  <c r="BE542" i="5"/>
  <c r="BG542" i="5"/>
  <c r="BF542" i="5"/>
  <c r="BE534" i="5"/>
  <c r="BG534" i="5"/>
  <c r="BF534" i="5"/>
  <c r="BE526" i="5"/>
  <c r="BG526" i="5"/>
  <c r="BF526" i="5"/>
  <c r="BE518" i="5"/>
  <c r="BG518" i="5"/>
  <c r="BF518" i="5"/>
  <c r="BE510" i="5"/>
  <c r="BG510" i="5"/>
  <c r="BF510" i="5"/>
  <c r="BE502" i="5"/>
  <c r="BG502" i="5"/>
  <c r="BF502" i="5"/>
  <c r="BE494" i="5"/>
  <c r="BG494" i="5"/>
  <c r="BF494" i="5"/>
  <c r="BE486" i="5"/>
  <c r="BG486" i="5"/>
  <c r="BF486" i="5"/>
  <c r="BE478" i="5"/>
  <c r="BG478" i="5"/>
  <c r="BF478" i="5"/>
  <c r="BE470" i="5"/>
  <c r="BG470" i="5"/>
  <c r="BF470" i="5"/>
  <c r="BE462" i="5"/>
  <c r="BG462" i="5"/>
  <c r="BF462" i="5"/>
  <c r="BE454" i="5"/>
  <c r="BG454" i="5"/>
  <c r="BF454" i="5"/>
  <c r="BE446" i="5"/>
  <c r="BG446" i="5"/>
  <c r="BF446" i="5"/>
  <c r="BE438" i="5"/>
  <c r="BG438" i="5"/>
  <c r="BF438" i="5"/>
  <c r="BE430" i="5"/>
  <c r="BG430" i="5"/>
  <c r="BF430" i="5"/>
  <c r="BE166" i="5"/>
  <c r="BG166" i="5"/>
  <c r="BF166" i="5"/>
  <c r="BE188" i="5"/>
  <c r="BG188" i="5"/>
  <c r="BF188" i="5"/>
  <c r="BE182" i="5"/>
  <c r="BG182" i="5"/>
  <c r="BF182" i="5"/>
  <c r="BE393" i="5"/>
  <c r="BG393" i="5"/>
  <c r="BF393" i="5"/>
  <c r="BE385" i="5"/>
  <c r="BG385" i="5"/>
  <c r="BF385" i="5"/>
  <c r="BE377" i="5"/>
  <c r="BG377" i="5"/>
  <c r="BF377" i="5"/>
  <c r="BE369" i="5"/>
  <c r="BG369" i="5"/>
  <c r="BF369" i="5"/>
  <c r="BE361" i="5"/>
  <c r="BG361" i="5"/>
  <c r="BF361" i="5"/>
  <c r="BE353" i="5"/>
  <c r="BG353" i="5"/>
  <c r="BF353" i="5"/>
  <c r="BE64" i="5"/>
  <c r="BF64" i="5"/>
  <c r="BG64" i="5"/>
  <c r="BE418" i="5"/>
  <c r="BG418" i="5"/>
  <c r="BF418" i="5"/>
  <c r="BE421" i="5"/>
  <c r="BG421" i="5"/>
  <c r="BF421" i="5"/>
  <c r="BE321" i="5"/>
  <c r="BG321" i="5"/>
  <c r="BF321" i="5"/>
  <c r="BE313" i="5"/>
  <c r="BG313" i="5"/>
  <c r="BF313" i="5"/>
  <c r="BE305" i="5"/>
  <c r="BG305" i="5"/>
  <c r="BF305" i="5"/>
  <c r="BE297" i="5"/>
  <c r="BG297" i="5"/>
  <c r="BF297" i="5"/>
  <c r="BE179" i="5"/>
  <c r="BG179" i="5"/>
  <c r="BF179" i="5"/>
  <c r="BE281" i="5"/>
  <c r="BG281" i="5"/>
  <c r="BF281" i="5"/>
  <c r="BE164" i="5"/>
  <c r="BG164" i="5"/>
  <c r="BF164" i="5"/>
  <c r="BE168" i="5"/>
  <c r="BG168" i="5"/>
  <c r="BF168" i="5"/>
  <c r="BE252" i="5"/>
  <c r="BG252" i="5"/>
  <c r="BF252" i="5"/>
  <c r="BE244" i="5"/>
  <c r="BG244" i="5"/>
  <c r="BF244" i="5"/>
  <c r="BE236" i="5"/>
  <c r="BG236" i="5"/>
  <c r="BF236" i="5"/>
  <c r="BE228" i="5"/>
  <c r="BG228" i="5"/>
  <c r="BF228" i="5"/>
  <c r="BE220" i="5"/>
  <c r="BG220" i="5"/>
  <c r="BF220" i="5"/>
  <c r="BE212" i="5"/>
  <c r="BG212" i="5"/>
  <c r="BF212" i="5"/>
  <c r="BE204" i="5"/>
  <c r="BG204" i="5"/>
  <c r="BF204" i="5"/>
  <c r="BE196" i="5"/>
  <c r="BG196" i="5"/>
  <c r="BF196" i="5"/>
  <c r="BE351" i="5"/>
  <c r="BG351" i="5"/>
  <c r="BF351" i="5"/>
  <c r="BE291" i="5"/>
  <c r="BG291" i="5"/>
  <c r="BF291" i="5"/>
  <c r="BE341" i="5"/>
  <c r="BG341" i="5"/>
  <c r="BF341" i="5"/>
  <c r="BE288" i="5"/>
  <c r="BG288" i="5"/>
  <c r="BF288" i="5"/>
  <c r="BE155" i="5"/>
  <c r="BG155" i="5"/>
  <c r="BF155" i="5"/>
  <c r="BE147" i="5"/>
  <c r="BG147" i="5"/>
  <c r="BF147" i="5"/>
  <c r="BE139" i="5"/>
  <c r="BG139" i="5"/>
  <c r="BF139" i="5"/>
  <c r="BE131" i="5"/>
  <c r="BG131" i="5"/>
  <c r="BF131" i="5"/>
  <c r="BE122" i="5"/>
  <c r="BG122" i="5"/>
  <c r="BF122" i="5"/>
  <c r="BE114" i="5"/>
  <c r="BG114" i="5"/>
  <c r="BF114" i="5"/>
  <c r="BE106" i="5"/>
  <c r="BG106" i="5"/>
  <c r="BF106" i="5"/>
  <c r="BE97" i="5"/>
  <c r="BF97" i="5"/>
  <c r="BG97" i="5"/>
  <c r="BE89" i="5"/>
  <c r="BF89" i="5"/>
  <c r="BG89" i="5"/>
  <c r="BE81" i="5"/>
  <c r="BF81" i="5"/>
  <c r="BG81" i="5"/>
  <c r="BE73" i="5"/>
  <c r="BF73" i="5"/>
  <c r="BG73" i="5"/>
  <c r="BE65" i="5"/>
  <c r="BF65" i="5"/>
  <c r="BG65" i="5"/>
  <c r="BE57" i="5"/>
  <c r="BF57" i="5"/>
  <c r="BG57" i="5"/>
  <c r="BE49" i="5"/>
  <c r="BF49" i="5"/>
  <c r="BG49" i="5"/>
  <c r="BE41" i="5"/>
  <c r="BF41" i="5"/>
  <c r="BG41" i="5"/>
  <c r="BE33" i="5"/>
  <c r="BF33" i="5"/>
  <c r="BG33" i="5"/>
  <c r="BE25" i="5"/>
  <c r="BF25" i="5"/>
  <c r="BG25" i="5"/>
  <c r="BE17" i="5"/>
  <c r="BF17" i="5"/>
  <c r="BG17" i="5"/>
  <c r="BE9" i="5"/>
  <c r="BF9" i="5"/>
  <c r="BG9" i="5"/>
  <c r="BE138" i="5"/>
  <c r="BG138" i="5"/>
  <c r="BF138" i="5"/>
  <c r="BE129" i="5"/>
  <c r="BF129" i="5"/>
  <c r="BG129" i="5"/>
  <c r="BE121" i="5"/>
  <c r="BF121" i="5"/>
  <c r="BG121" i="5"/>
  <c r="BE113" i="5"/>
  <c r="BG113" i="5"/>
  <c r="BF113" i="5"/>
  <c r="BE163" i="5"/>
  <c r="BG163" i="5"/>
  <c r="BF163" i="5"/>
  <c r="BE96" i="5"/>
  <c r="BF96" i="5"/>
  <c r="BG96" i="5"/>
  <c r="BE88" i="5"/>
  <c r="BF88" i="5"/>
  <c r="BG88" i="5"/>
  <c r="BE80" i="5"/>
  <c r="BF80" i="5"/>
  <c r="BG80" i="5"/>
  <c r="BE72" i="5"/>
  <c r="BF72" i="5"/>
  <c r="BG72" i="5"/>
  <c r="BE422" i="5"/>
  <c r="BG422" i="5"/>
  <c r="BF422" i="5"/>
  <c r="BE56" i="5"/>
  <c r="BF56" i="5"/>
  <c r="BG56" i="5"/>
  <c r="BE48" i="5"/>
  <c r="BF48" i="5"/>
  <c r="BG48" i="5"/>
  <c r="BE40" i="5"/>
  <c r="BF40" i="5"/>
  <c r="BG40" i="5"/>
  <c r="BE32" i="5"/>
  <c r="BF32" i="5"/>
  <c r="BG32" i="5"/>
  <c r="BE24" i="5"/>
  <c r="BF24" i="5"/>
  <c r="BG24" i="5"/>
  <c r="BE16" i="5"/>
  <c r="BF16" i="5"/>
  <c r="BG16" i="5"/>
  <c r="BE8" i="5"/>
  <c r="BF8" i="5"/>
  <c r="BG8" i="5"/>
  <c r="BE272" i="5"/>
  <c r="BG272" i="5"/>
  <c r="BF272" i="5"/>
  <c r="BE544" i="5"/>
  <c r="BG544" i="5"/>
  <c r="BF544" i="5"/>
  <c r="BE520" i="5"/>
  <c r="BG520" i="5"/>
  <c r="BF520" i="5"/>
  <c r="BE488" i="5"/>
  <c r="BG488" i="5"/>
  <c r="BF488" i="5"/>
  <c r="BE448" i="5"/>
  <c r="BG448" i="5"/>
  <c r="BF448" i="5"/>
  <c r="BE395" i="5"/>
  <c r="BG395" i="5"/>
  <c r="BF395" i="5"/>
  <c r="BE420" i="5"/>
  <c r="BG420" i="5"/>
  <c r="BF420" i="5"/>
  <c r="BE299" i="5"/>
  <c r="BG299" i="5"/>
  <c r="BF299" i="5"/>
  <c r="BE254" i="5"/>
  <c r="BG254" i="5"/>
  <c r="BF254" i="5"/>
  <c r="BE214" i="5"/>
  <c r="BG214" i="5"/>
  <c r="BF214" i="5"/>
  <c r="BE290" i="5"/>
  <c r="BG290" i="5"/>
  <c r="BF290" i="5"/>
  <c r="BE541" i="5"/>
  <c r="BG541" i="5"/>
  <c r="BF541" i="5"/>
  <c r="BE509" i="5"/>
  <c r="BG509" i="5"/>
  <c r="BF509" i="5"/>
  <c r="BE485" i="5"/>
  <c r="BG485" i="5"/>
  <c r="BF485" i="5"/>
  <c r="BE453" i="5"/>
  <c r="BG453" i="5"/>
  <c r="BF453" i="5"/>
  <c r="BE404" i="5"/>
  <c r="BG404" i="5"/>
  <c r="BF404" i="5"/>
  <c r="BE384" i="5"/>
  <c r="BG384" i="5"/>
  <c r="BF384" i="5"/>
  <c r="BE352" i="5"/>
  <c r="BG352" i="5"/>
  <c r="BF352" i="5"/>
  <c r="BE320" i="5"/>
  <c r="BG320" i="5"/>
  <c r="BF320" i="5"/>
  <c r="BE296" i="5"/>
  <c r="BG296" i="5"/>
  <c r="BF296" i="5"/>
  <c r="BE175" i="5"/>
  <c r="BG175" i="5"/>
  <c r="BF175" i="5"/>
  <c r="BE235" i="5"/>
  <c r="BG235" i="5"/>
  <c r="BF235" i="5"/>
  <c r="BE203" i="5"/>
  <c r="BG203" i="5"/>
  <c r="BF203" i="5"/>
  <c r="BE350" i="5"/>
  <c r="BG350" i="5"/>
  <c r="BF350" i="5"/>
  <c r="BE154" i="5"/>
  <c r="BG154" i="5"/>
  <c r="BF154" i="5"/>
  <c r="BE549" i="5"/>
  <c r="BG549" i="5"/>
  <c r="BF549" i="5"/>
  <c r="BE524" i="5"/>
  <c r="BG524" i="5"/>
  <c r="BF524" i="5"/>
  <c r="BE500" i="5"/>
  <c r="BG500" i="5"/>
  <c r="BF500" i="5"/>
  <c r="BE444" i="5"/>
  <c r="BG444" i="5"/>
  <c r="BF444" i="5"/>
  <c r="BE120" i="5"/>
  <c r="BG120" i="5"/>
  <c r="BF120" i="5"/>
  <c r="BE112" i="5"/>
  <c r="BG112" i="5"/>
  <c r="BF112" i="5"/>
  <c r="BE104" i="5"/>
  <c r="BG104" i="5"/>
  <c r="BF104" i="5"/>
  <c r="BE95" i="5"/>
  <c r="BF95" i="5"/>
  <c r="BG95" i="5"/>
  <c r="BE87" i="5"/>
  <c r="BF87" i="5"/>
  <c r="BG87" i="5"/>
  <c r="BE79" i="5"/>
  <c r="BF79" i="5"/>
  <c r="BG79" i="5"/>
  <c r="BE71" i="5"/>
  <c r="BF71" i="5"/>
  <c r="BG71" i="5"/>
  <c r="BE63" i="5"/>
  <c r="BF63" i="5"/>
  <c r="BG63" i="5"/>
  <c r="BE55" i="5"/>
  <c r="BF55" i="5"/>
  <c r="BG55" i="5"/>
  <c r="BE47" i="5"/>
  <c r="BF47" i="5"/>
  <c r="BG47" i="5"/>
  <c r="BE39" i="5"/>
  <c r="BF39" i="5"/>
  <c r="BG39" i="5"/>
  <c r="BE31" i="5"/>
  <c r="BF31" i="5"/>
  <c r="BG31" i="5"/>
  <c r="BE23" i="5"/>
  <c r="BF23" i="5"/>
  <c r="BG23" i="5"/>
  <c r="BE15" i="5"/>
  <c r="BF15" i="5"/>
  <c r="BG15" i="5"/>
  <c r="BE7" i="5"/>
  <c r="BF7" i="5"/>
  <c r="BG7" i="5"/>
  <c r="BE102" i="5"/>
  <c r="BF102" i="5"/>
  <c r="BG102" i="5"/>
  <c r="BE536" i="5"/>
  <c r="BG536" i="5"/>
  <c r="BF536" i="5"/>
  <c r="BE480" i="5"/>
  <c r="BG480" i="5"/>
  <c r="BF480" i="5"/>
  <c r="BE440" i="5"/>
  <c r="BG440" i="5"/>
  <c r="BF440" i="5"/>
  <c r="BE184" i="5"/>
  <c r="BG184" i="5"/>
  <c r="BF184" i="5"/>
  <c r="BE355" i="5"/>
  <c r="BG355" i="5"/>
  <c r="BF355" i="5"/>
  <c r="BE315" i="5"/>
  <c r="BF315" i="5"/>
  <c r="BG315" i="5"/>
  <c r="BE283" i="5"/>
  <c r="BG283" i="5"/>
  <c r="BF283" i="5"/>
  <c r="BE238" i="5"/>
  <c r="BG238" i="5"/>
  <c r="BF238" i="5"/>
  <c r="BE198" i="5"/>
  <c r="BG198" i="5"/>
  <c r="BF198" i="5"/>
  <c r="BE564" i="5"/>
  <c r="BG564" i="5"/>
  <c r="BF564" i="5"/>
  <c r="BE525" i="5"/>
  <c r="BG525" i="5"/>
  <c r="BF525" i="5"/>
  <c r="BE493" i="5"/>
  <c r="BG493" i="5"/>
  <c r="BF493" i="5"/>
  <c r="BE461" i="5"/>
  <c r="BG461" i="5"/>
  <c r="BF461" i="5"/>
  <c r="BE429" i="5"/>
  <c r="BG429" i="5"/>
  <c r="BF429" i="5"/>
  <c r="BE400" i="5"/>
  <c r="BG400" i="5"/>
  <c r="BF400" i="5"/>
  <c r="BE368" i="5"/>
  <c r="BG368" i="5"/>
  <c r="BF368" i="5"/>
  <c r="BE162" i="5"/>
  <c r="BG162" i="5"/>
  <c r="BF162" i="5"/>
  <c r="BE312" i="5"/>
  <c r="BG312" i="5"/>
  <c r="BF312" i="5"/>
  <c r="BE178" i="5"/>
  <c r="BG178" i="5"/>
  <c r="BF178" i="5"/>
  <c r="BE167" i="5"/>
  <c r="BG167" i="5"/>
  <c r="BF167" i="5"/>
  <c r="BE243" i="5"/>
  <c r="BG243" i="5"/>
  <c r="BF243" i="5"/>
  <c r="BE219" i="5"/>
  <c r="BG219" i="5"/>
  <c r="BF219" i="5"/>
  <c r="BE195" i="5"/>
  <c r="BG195" i="5"/>
  <c r="BF195" i="5"/>
  <c r="BE339" i="5"/>
  <c r="BG339" i="5"/>
  <c r="BF339" i="5"/>
  <c r="BE146" i="5"/>
  <c r="BG146" i="5"/>
  <c r="BF146" i="5"/>
  <c r="BE540" i="5"/>
  <c r="BG540" i="5"/>
  <c r="BF540" i="5"/>
  <c r="BE508" i="5"/>
  <c r="BG508" i="5"/>
  <c r="BF508" i="5"/>
  <c r="BE484" i="5"/>
  <c r="BG484" i="5"/>
  <c r="BF484" i="5"/>
  <c r="BE468" i="5"/>
  <c r="BG468" i="5"/>
  <c r="BF468" i="5"/>
  <c r="BE452" i="5"/>
  <c r="BG452" i="5"/>
  <c r="BF452" i="5"/>
  <c r="BE428" i="5"/>
  <c r="BG428" i="5"/>
  <c r="BF428" i="5"/>
  <c r="BE186" i="5"/>
  <c r="BG186" i="5"/>
  <c r="BF186" i="5"/>
  <c r="BE399" i="5"/>
  <c r="BG399" i="5"/>
  <c r="BF399" i="5"/>
  <c r="BE391" i="5"/>
  <c r="BG391" i="5"/>
  <c r="BF391" i="5"/>
  <c r="BE383" i="5"/>
  <c r="BG383" i="5"/>
  <c r="BF383" i="5"/>
  <c r="BE376" i="5"/>
  <c r="BG376" i="5"/>
  <c r="BF376" i="5"/>
  <c r="BE367" i="5"/>
  <c r="BG367" i="5"/>
  <c r="BF367" i="5"/>
  <c r="BE360" i="5"/>
  <c r="BG360" i="5"/>
  <c r="BF360" i="5"/>
  <c r="BE158" i="5"/>
  <c r="BG158" i="5"/>
  <c r="BF158" i="5"/>
  <c r="BE161" i="5"/>
  <c r="BG161" i="5"/>
  <c r="BF161" i="5"/>
  <c r="BE416" i="5"/>
  <c r="BG416" i="5"/>
  <c r="BF416" i="5"/>
  <c r="BE327" i="5"/>
  <c r="BG327" i="5"/>
  <c r="BF327" i="5"/>
  <c r="BE319" i="5"/>
  <c r="BG319" i="5"/>
  <c r="BF319" i="5"/>
  <c r="BE311" i="5"/>
  <c r="BG311" i="5"/>
  <c r="BF311" i="5"/>
  <c r="BE303" i="5"/>
  <c r="BG303" i="5"/>
  <c r="BF303" i="5"/>
  <c r="BE295" i="5"/>
  <c r="BG295" i="5"/>
  <c r="BF295" i="5"/>
  <c r="BE287" i="5"/>
  <c r="BG287" i="5"/>
  <c r="BF287" i="5"/>
  <c r="BE279" i="5"/>
  <c r="BG279" i="5"/>
  <c r="BF279" i="5"/>
  <c r="BE174" i="5"/>
  <c r="BG174" i="5"/>
  <c r="BF174" i="5"/>
  <c r="BE262" i="5"/>
  <c r="BG262" i="5"/>
  <c r="BF262" i="5"/>
  <c r="BE250" i="5"/>
  <c r="BF250" i="5"/>
  <c r="BG250" i="5"/>
  <c r="BE242" i="5"/>
  <c r="BG242" i="5"/>
  <c r="BF242" i="5"/>
  <c r="BE234" i="5"/>
  <c r="BG234" i="5"/>
  <c r="BF234" i="5"/>
  <c r="BE226" i="5"/>
  <c r="BG226" i="5"/>
  <c r="BF226" i="5"/>
  <c r="BE218" i="5"/>
  <c r="BG218" i="5"/>
  <c r="BF218" i="5"/>
  <c r="BE210" i="5"/>
  <c r="BG210" i="5"/>
  <c r="BF210" i="5"/>
  <c r="BE202" i="5"/>
  <c r="BG202" i="5"/>
  <c r="BF202" i="5"/>
  <c r="BE194" i="5"/>
  <c r="BF194" i="5"/>
  <c r="BG194" i="5"/>
  <c r="BE333" i="5"/>
  <c r="BG333" i="5"/>
  <c r="BF333" i="5"/>
  <c r="BE349" i="5"/>
  <c r="BG349" i="5"/>
  <c r="BF349" i="5"/>
  <c r="BE338" i="5"/>
  <c r="BG338" i="5"/>
  <c r="BF338" i="5"/>
  <c r="BE271" i="5"/>
  <c r="BG271" i="5"/>
  <c r="BF271" i="5"/>
  <c r="BE153" i="5"/>
  <c r="BG153" i="5"/>
  <c r="BF153" i="5"/>
  <c r="BE145" i="5"/>
  <c r="BG145" i="5"/>
  <c r="BF145" i="5"/>
  <c r="BE137" i="5"/>
  <c r="BG137" i="5"/>
  <c r="BF137" i="5"/>
  <c r="BE128" i="5"/>
  <c r="BG128" i="5"/>
  <c r="BF128" i="5"/>
  <c r="BE562" i="5"/>
  <c r="BG562" i="5"/>
  <c r="BF562" i="5"/>
  <c r="BE548" i="5"/>
  <c r="BG548" i="5"/>
  <c r="BF548" i="5"/>
  <c r="BE539" i="5"/>
  <c r="BG539" i="5"/>
  <c r="BF539" i="5"/>
  <c r="BE531" i="5"/>
  <c r="BG531" i="5"/>
  <c r="BF531" i="5"/>
  <c r="BE523" i="5"/>
  <c r="BG523" i="5"/>
  <c r="BF523" i="5"/>
  <c r="BE515" i="5"/>
  <c r="BF515" i="5"/>
  <c r="BG515" i="5"/>
  <c r="BE507" i="5"/>
  <c r="BF507" i="5"/>
  <c r="BG507" i="5"/>
  <c r="BE499" i="5"/>
  <c r="BG499" i="5"/>
  <c r="BF499" i="5"/>
  <c r="BE491" i="5"/>
  <c r="BG491" i="5"/>
  <c r="BF491" i="5"/>
  <c r="BE483" i="5"/>
  <c r="BG483" i="5"/>
  <c r="BF483" i="5"/>
  <c r="BE475" i="5"/>
  <c r="BG475" i="5"/>
  <c r="BF475" i="5"/>
  <c r="BE467" i="5"/>
  <c r="BG467" i="5"/>
  <c r="BF467" i="5"/>
  <c r="BE459" i="5"/>
  <c r="BG459" i="5"/>
  <c r="BF459" i="5"/>
  <c r="BE451" i="5"/>
  <c r="BF451" i="5"/>
  <c r="BG451" i="5"/>
  <c r="BE443" i="5"/>
  <c r="BF443" i="5"/>
  <c r="BG443" i="5"/>
  <c r="BE435" i="5"/>
  <c r="BG435" i="5"/>
  <c r="BF435" i="5"/>
  <c r="BE427" i="5"/>
  <c r="BG427" i="5"/>
  <c r="BF427" i="5"/>
  <c r="BE264" i="5"/>
  <c r="BG264" i="5"/>
  <c r="BF264" i="5"/>
  <c r="BE402" i="5"/>
  <c r="BG402" i="5"/>
  <c r="BF402" i="5"/>
  <c r="BE398" i="5"/>
  <c r="BG398" i="5"/>
  <c r="BF398" i="5"/>
  <c r="BE390" i="5"/>
  <c r="BG390" i="5"/>
  <c r="BF390" i="5"/>
  <c r="BE382" i="5"/>
  <c r="BG382" i="5"/>
  <c r="BF382" i="5"/>
  <c r="BE374" i="5"/>
  <c r="BG374" i="5"/>
  <c r="BF374" i="5"/>
  <c r="BE366" i="5"/>
  <c r="BG366" i="5"/>
  <c r="BF366" i="5"/>
  <c r="BE358" i="5"/>
  <c r="BG358" i="5"/>
  <c r="BF358" i="5"/>
  <c r="BE157" i="5"/>
  <c r="BG157" i="5"/>
  <c r="BF157" i="5"/>
  <c r="BE160" i="5"/>
  <c r="BG160" i="5"/>
  <c r="BF160" i="5"/>
  <c r="BE415" i="5"/>
  <c r="BG415" i="5"/>
  <c r="BF415" i="5"/>
  <c r="BE326" i="5"/>
  <c r="BG326" i="5"/>
  <c r="BF326" i="5"/>
  <c r="BE318" i="5"/>
  <c r="BG318" i="5"/>
  <c r="BF318" i="5"/>
  <c r="BE310" i="5"/>
  <c r="BG310" i="5"/>
  <c r="BF310" i="5"/>
  <c r="BE302" i="5"/>
  <c r="BG302" i="5"/>
  <c r="BF302" i="5"/>
  <c r="BE294" i="5"/>
  <c r="BG294" i="5"/>
  <c r="BF294" i="5"/>
  <c r="BE286" i="5"/>
  <c r="BG286" i="5"/>
  <c r="BF286" i="5"/>
  <c r="BE278" i="5"/>
  <c r="BG278" i="5"/>
  <c r="BF278" i="5"/>
  <c r="BE173" i="5"/>
  <c r="BG173" i="5"/>
  <c r="BF173" i="5"/>
  <c r="BE261" i="5"/>
  <c r="BG261" i="5"/>
  <c r="BF261" i="5"/>
  <c r="BE249" i="5"/>
  <c r="BG249" i="5"/>
  <c r="BF249" i="5"/>
  <c r="BE241" i="5"/>
  <c r="BG241" i="5"/>
  <c r="BF241" i="5"/>
  <c r="BE233" i="5"/>
  <c r="BG233" i="5"/>
  <c r="BF233" i="5"/>
  <c r="BE225" i="5"/>
  <c r="BG225" i="5"/>
  <c r="BF225" i="5"/>
  <c r="BE217" i="5"/>
  <c r="BG217" i="5"/>
  <c r="BF217" i="5"/>
  <c r="BE209" i="5"/>
  <c r="BG209" i="5"/>
  <c r="BF209" i="5"/>
  <c r="BE201" i="5"/>
  <c r="BG201" i="5"/>
  <c r="BF201" i="5"/>
  <c r="BE193" i="5"/>
  <c r="BG193" i="5"/>
  <c r="BF193" i="5"/>
  <c r="BE332" i="5"/>
  <c r="BG332" i="5"/>
  <c r="BF332" i="5"/>
  <c r="BE346" i="5"/>
  <c r="BG346" i="5"/>
  <c r="BF346" i="5"/>
  <c r="BE337" i="5"/>
  <c r="BG337" i="5"/>
  <c r="BF337" i="5"/>
  <c r="BE177" i="5"/>
  <c r="BG177" i="5"/>
  <c r="BF177" i="5"/>
  <c r="BE152" i="5"/>
  <c r="BG152" i="5"/>
  <c r="BF152" i="5"/>
  <c r="BE144" i="5"/>
  <c r="BG144" i="5"/>
  <c r="BF144" i="5"/>
  <c r="BE136" i="5"/>
  <c r="BG136" i="5"/>
  <c r="BF136" i="5"/>
  <c r="BE127" i="5"/>
  <c r="BG127" i="5"/>
  <c r="BF127" i="5"/>
  <c r="BE119" i="5"/>
  <c r="BG119" i="5"/>
  <c r="BF119" i="5"/>
  <c r="BE111" i="5"/>
  <c r="BF111" i="5"/>
  <c r="BG111" i="5"/>
  <c r="BE103" i="5"/>
  <c r="BF103" i="5"/>
  <c r="BG103" i="5"/>
  <c r="BE94" i="5"/>
  <c r="BF94" i="5"/>
  <c r="BG94" i="5"/>
  <c r="BE86" i="5"/>
  <c r="BF86" i="5"/>
  <c r="BG86" i="5"/>
  <c r="BE78" i="5"/>
  <c r="BF78" i="5"/>
  <c r="BG78" i="5"/>
  <c r="BE70" i="5"/>
  <c r="BF70" i="5"/>
  <c r="BG70" i="5"/>
  <c r="BE62" i="5"/>
  <c r="BF62" i="5"/>
  <c r="BG62" i="5"/>
  <c r="BE54" i="5"/>
  <c r="BF54" i="5"/>
  <c r="BG54" i="5"/>
  <c r="BE46" i="5"/>
  <c r="BF46" i="5"/>
  <c r="BG46" i="5"/>
  <c r="BE38" i="5"/>
  <c r="BF38" i="5"/>
  <c r="BG38" i="5"/>
  <c r="BE30" i="5"/>
  <c r="BF30" i="5"/>
  <c r="BG30" i="5"/>
  <c r="BE22" i="5"/>
  <c r="BF22" i="5"/>
  <c r="BG22" i="5"/>
  <c r="BE14" i="5"/>
  <c r="BF14" i="5"/>
  <c r="BG14" i="5"/>
  <c r="BE6" i="5"/>
  <c r="BF6" i="5"/>
  <c r="BG6" i="5"/>
  <c r="BE409" i="5"/>
  <c r="BG409" i="5"/>
  <c r="BF409" i="5"/>
  <c r="BE406" i="5"/>
  <c r="BG406" i="5"/>
  <c r="BF406" i="5"/>
  <c r="BE405" i="5"/>
  <c r="BG405" i="5"/>
  <c r="BF405" i="5"/>
  <c r="BE504" i="5"/>
  <c r="BG504" i="5"/>
  <c r="BF504" i="5"/>
  <c r="BE464" i="5"/>
  <c r="BG464" i="5"/>
  <c r="BF464" i="5"/>
  <c r="BE189" i="5"/>
  <c r="BG189" i="5"/>
  <c r="BF189" i="5"/>
  <c r="BE373" i="5"/>
  <c r="BG373" i="5"/>
  <c r="BF373" i="5"/>
  <c r="BE412" i="5"/>
  <c r="BG412" i="5"/>
  <c r="BF412" i="5"/>
  <c r="BE275" i="5"/>
  <c r="BG275" i="5"/>
  <c r="BF275" i="5"/>
  <c r="BE230" i="5"/>
  <c r="BG230" i="5"/>
  <c r="BF230" i="5"/>
  <c r="BE343" i="5"/>
  <c r="BG343" i="5"/>
  <c r="BF343" i="5"/>
  <c r="BE533" i="5"/>
  <c r="BG533" i="5"/>
  <c r="BF533" i="5"/>
  <c r="BE501" i="5"/>
  <c r="BG501" i="5"/>
  <c r="BF501" i="5"/>
  <c r="BE469" i="5"/>
  <c r="BG469" i="5"/>
  <c r="BF469" i="5"/>
  <c r="BE437" i="5"/>
  <c r="BG437" i="5"/>
  <c r="BF437" i="5"/>
  <c r="BE392" i="5"/>
  <c r="BG392" i="5"/>
  <c r="BF392" i="5"/>
  <c r="BE417" i="5"/>
  <c r="BG417" i="5"/>
  <c r="BF417" i="5"/>
  <c r="BE135" i="5"/>
  <c r="BG135" i="5"/>
  <c r="BF135" i="5"/>
  <c r="BE126" i="5"/>
  <c r="BG126" i="5"/>
  <c r="BF126" i="5"/>
  <c r="BE118" i="5"/>
  <c r="BF118" i="5"/>
  <c r="BG118" i="5"/>
  <c r="BE110" i="5"/>
  <c r="BF110" i="5"/>
  <c r="BG110" i="5"/>
  <c r="BE101" i="5"/>
  <c r="BF101" i="5"/>
  <c r="BG101" i="5"/>
  <c r="BE93" i="5"/>
  <c r="BF93" i="5"/>
  <c r="BG93" i="5"/>
  <c r="BE85" i="5"/>
  <c r="BF85" i="5"/>
  <c r="BG85" i="5"/>
  <c r="BE77" i="5"/>
  <c r="BF77" i="5"/>
  <c r="BG77" i="5"/>
  <c r="BE69" i="5"/>
  <c r="BF69" i="5"/>
  <c r="BG69" i="5"/>
  <c r="BE61" i="5"/>
  <c r="BF61" i="5"/>
  <c r="BG61" i="5"/>
  <c r="BE53" i="5"/>
  <c r="BF53" i="5"/>
  <c r="BG53" i="5"/>
  <c r="BE45" i="5"/>
  <c r="BF45" i="5"/>
  <c r="BG45" i="5"/>
  <c r="BE37" i="5"/>
  <c r="BF37" i="5"/>
  <c r="BG37" i="5"/>
  <c r="BE29" i="5"/>
  <c r="BF29" i="5"/>
  <c r="BG29" i="5"/>
  <c r="BE21" i="5"/>
  <c r="BF21" i="5"/>
  <c r="BG21" i="5"/>
  <c r="BE13" i="5"/>
  <c r="BF13" i="5"/>
  <c r="BG13" i="5"/>
  <c r="BE5" i="5"/>
  <c r="BF5" i="5"/>
  <c r="BG5" i="5"/>
  <c r="BE559" i="5"/>
  <c r="BG559" i="5"/>
  <c r="BF559" i="5"/>
  <c r="BE512" i="5"/>
  <c r="BG512" i="5"/>
  <c r="BF512" i="5"/>
  <c r="BE472" i="5"/>
  <c r="BG472" i="5"/>
  <c r="BF472" i="5"/>
  <c r="BE432" i="5"/>
  <c r="BG432" i="5"/>
  <c r="BF432" i="5"/>
  <c r="BE267" i="5"/>
  <c r="BG267" i="5"/>
  <c r="BF267" i="5"/>
  <c r="BE347" i="5"/>
  <c r="BG347" i="5"/>
  <c r="BF347" i="5"/>
  <c r="BE307" i="5"/>
  <c r="BG307" i="5"/>
  <c r="BF307" i="5"/>
  <c r="BE170" i="5"/>
  <c r="BG170" i="5"/>
  <c r="BF170" i="5"/>
  <c r="BE222" i="5"/>
  <c r="BG222" i="5"/>
  <c r="BF222" i="5"/>
  <c r="BE329" i="5"/>
  <c r="BG329" i="5"/>
  <c r="BF329" i="5"/>
  <c r="BE553" i="5"/>
  <c r="BG553" i="5"/>
  <c r="BF553" i="5"/>
  <c r="BE517" i="5"/>
  <c r="BG517" i="5"/>
  <c r="BF517" i="5"/>
  <c r="BE477" i="5"/>
  <c r="BG477" i="5"/>
  <c r="BF477" i="5"/>
  <c r="BE445" i="5"/>
  <c r="BG445" i="5"/>
  <c r="BF445" i="5"/>
  <c r="BE187" i="5"/>
  <c r="BG187" i="5"/>
  <c r="BF187" i="5"/>
  <c r="BE379" i="5"/>
  <c r="BF379" i="5"/>
  <c r="BG379" i="5"/>
  <c r="BE371" i="5"/>
  <c r="BG371" i="5"/>
  <c r="BF371" i="5"/>
  <c r="BE328" i="5"/>
  <c r="BG328" i="5"/>
  <c r="BF328" i="5"/>
  <c r="BE304" i="5"/>
  <c r="BG304" i="5"/>
  <c r="BF304" i="5"/>
  <c r="BE280" i="5"/>
  <c r="BG280" i="5"/>
  <c r="BF280" i="5"/>
  <c r="BE251" i="5"/>
  <c r="BG251" i="5"/>
  <c r="BF251" i="5"/>
  <c r="BE227" i="5"/>
  <c r="BG227" i="5"/>
  <c r="BF227" i="5"/>
  <c r="BE211" i="5"/>
  <c r="BG211" i="5"/>
  <c r="BF211" i="5"/>
  <c r="BE334" i="5"/>
  <c r="BG334" i="5"/>
  <c r="BF334" i="5"/>
  <c r="BE273" i="5"/>
  <c r="BG273" i="5"/>
  <c r="BF273" i="5"/>
  <c r="BE563" i="5"/>
  <c r="BG563" i="5"/>
  <c r="BF563" i="5"/>
  <c r="BE532" i="5"/>
  <c r="BG532" i="5"/>
  <c r="BF532" i="5"/>
  <c r="BE516" i="5"/>
  <c r="BG516" i="5"/>
  <c r="BF516" i="5"/>
  <c r="BE492" i="5"/>
  <c r="BG492" i="5"/>
  <c r="BF492" i="5"/>
  <c r="BE476" i="5"/>
  <c r="BG476" i="5"/>
  <c r="BF476" i="5"/>
  <c r="BE460" i="5"/>
  <c r="BG460" i="5"/>
  <c r="BF460" i="5"/>
  <c r="BE436" i="5"/>
  <c r="BG436" i="5"/>
  <c r="BF436" i="5"/>
  <c r="BE403" i="5"/>
  <c r="BG403" i="5"/>
  <c r="BF403" i="5"/>
  <c r="BE2" i="5"/>
  <c r="BG2" i="5"/>
  <c r="BF2" i="5"/>
  <c r="BE561" i="5"/>
  <c r="BG561" i="5"/>
  <c r="BF561" i="5"/>
  <c r="BE547" i="5"/>
  <c r="BG547" i="5"/>
  <c r="BF547" i="5"/>
  <c r="BE538" i="5"/>
  <c r="BG538" i="5"/>
  <c r="BF538" i="5"/>
  <c r="BE530" i="5"/>
  <c r="BG530" i="5"/>
  <c r="BF530" i="5"/>
  <c r="BE522" i="5"/>
  <c r="BG522" i="5"/>
  <c r="BF522" i="5"/>
  <c r="BE514" i="5"/>
  <c r="BG514" i="5"/>
  <c r="BF514" i="5"/>
  <c r="BE506" i="5"/>
  <c r="BG506" i="5"/>
  <c r="BF506" i="5"/>
  <c r="BE498" i="5"/>
  <c r="BG498" i="5"/>
  <c r="BF498" i="5"/>
  <c r="BE490" i="5"/>
  <c r="BG490" i="5"/>
  <c r="BF490" i="5"/>
  <c r="BE482" i="5"/>
  <c r="BG482" i="5"/>
  <c r="BF482" i="5"/>
  <c r="BE474" i="5"/>
  <c r="BG474" i="5"/>
  <c r="BF474" i="5"/>
  <c r="BE466" i="5"/>
  <c r="BG466" i="5"/>
  <c r="BF466" i="5"/>
  <c r="BE458" i="5"/>
  <c r="BG458" i="5"/>
  <c r="BF458" i="5"/>
  <c r="BE450" i="5"/>
  <c r="BG450" i="5"/>
  <c r="BF450" i="5"/>
  <c r="BE442" i="5"/>
  <c r="BG442" i="5"/>
  <c r="BF442" i="5"/>
  <c r="BE434" i="5"/>
  <c r="BG434" i="5"/>
  <c r="BF434" i="5"/>
  <c r="BE426" i="5"/>
  <c r="BG426" i="5"/>
  <c r="BF426" i="5"/>
  <c r="BE263" i="5"/>
  <c r="BG263" i="5"/>
  <c r="BF263" i="5"/>
  <c r="BE401" i="5"/>
  <c r="BG401" i="5"/>
  <c r="BF401" i="5"/>
  <c r="BE397" i="5"/>
  <c r="BG397" i="5"/>
  <c r="BF397" i="5"/>
  <c r="BE389" i="5"/>
  <c r="BG389" i="5"/>
  <c r="BF389" i="5"/>
  <c r="BE381" i="5"/>
  <c r="BG381" i="5"/>
  <c r="BF381" i="5"/>
  <c r="BE375" i="5"/>
  <c r="BG375" i="5"/>
  <c r="BF375" i="5"/>
  <c r="BE365" i="5"/>
  <c r="BG365" i="5"/>
  <c r="BF365" i="5"/>
  <c r="BE357" i="5"/>
  <c r="BG357" i="5"/>
  <c r="BF357" i="5"/>
  <c r="BE156" i="5"/>
  <c r="BG156" i="5"/>
  <c r="BF156" i="5"/>
  <c r="BE159" i="5"/>
  <c r="BG159" i="5"/>
  <c r="BF159" i="5"/>
  <c r="BE414" i="5"/>
  <c r="BG414" i="5"/>
  <c r="BF414" i="5"/>
  <c r="BE325" i="5"/>
  <c r="BG325" i="5"/>
  <c r="BF325" i="5"/>
  <c r="BE317" i="5"/>
  <c r="BG317" i="5"/>
  <c r="BF317" i="5"/>
  <c r="BE309" i="5"/>
  <c r="BG309" i="5"/>
  <c r="BF309" i="5"/>
  <c r="BE301" i="5"/>
  <c r="BG301" i="5"/>
  <c r="BF301" i="5"/>
  <c r="BE293" i="5"/>
  <c r="BG293" i="5"/>
  <c r="BF293" i="5"/>
  <c r="BE285" i="5"/>
  <c r="BG285" i="5"/>
  <c r="BF285" i="5"/>
  <c r="BE277" i="5"/>
  <c r="BG277" i="5"/>
  <c r="BF277" i="5"/>
  <c r="BE172" i="5"/>
  <c r="BG172" i="5"/>
  <c r="BF172" i="5"/>
  <c r="BE260" i="5"/>
  <c r="BG260" i="5"/>
  <c r="BF260" i="5"/>
  <c r="BE248" i="5"/>
  <c r="BG248" i="5"/>
  <c r="BF248" i="5"/>
  <c r="BE240" i="5"/>
  <c r="BG240" i="5"/>
  <c r="BF240" i="5"/>
  <c r="BE232" i="5"/>
  <c r="BG232" i="5"/>
  <c r="BF232" i="5"/>
  <c r="BE224" i="5"/>
  <c r="BG224" i="5"/>
  <c r="BF224" i="5"/>
  <c r="BE216" i="5"/>
  <c r="BG216" i="5"/>
  <c r="BF216" i="5"/>
  <c r="BE208" i="5"/>
  <c r="BG208" i="5"/>
  <c r="BF208" i="5"/>
  <c r="BE200" i="5"/>
  <c r="BG200" i="5"/>
  <c r="BF200" i="5"/>
  <c r="BE192" i="5"/>
  <c r="BG192" i="5"/>
  <c r="BF192" i="5"/>
  <c r="BE331" i="5"/>
  <c r="BG331" i="5"/>
  <c r="BF331" i="5"/>
  <c r="BE345" i="5"/>
  <c r="BG345" i="5"/>
  <c r="BF345" i="5"/>
  <c r="BE336" i="5"/>
  <c r="BG336" i="5"/>
  <c r="BF336" i="5"/>
  <c r="BE176" i="5"/>
  <c r="BG176" i="5"/>
  <c r="BF176" i="5"/>
  <c r="BE151" i="5"/>
  <c r="BG151" i="5"/>
  <c r="BF151" i="5"/>
  <c r="BE143" i="5"/>
  <c r="BG143" i="5"/>
  <c r="BF143" i="5"/>
  <c r="BE568" i="5"/>
  <c r="BG568" i="5"/>
  <c r="BF568" i="5"/>
  <c r="BE560" i="5"/>
  <c r="BG560" i="5"/>
  <c r="BF560" i="5"/>
  <c r="BE545" i="5"/>
  <c r="BG545" i="5"/>
  <c r="BF545" i="5"/>
  <c r="BE537" i="5"/>
  <c r="BG537" i="5"/>
  <c r="BF537" i="5"/>
  <c r="BE529" i="5"/>
  <c r="BG529" i="5"/>
  <c r="BF529" i="5"/>
  <c r="BE521" i="5"/>
  <c r="BG521" i="5"/>
  <c r="BF521" i="5"/>
  <c r="BE513" i="5"/>
  <c r="BG513" i="5"/>
  <c r="BF513" i="5"/>
  <c r="BE505" i="5"/>
  <c r="BG505" i="5"/>
  <c r="BF505" i="5"/>
  <c r="BE497" i="5"/>
  <c r="BG497" i="5"/>
  <c r="BF497" i="5"/>
  <c r="BE489" i="5"/>
  <c r="BG489" i="5"/>
  <c r="BF489" i="5"/>
  <c r="BE481" i="5"/>
  <c r="BG481" i="5"/>
  <c r="BF481" i="5"/>
  <c r="BE473" i="5"/>
  <c r="BG473" i="5"/>
  <c r="BF473" i="5"/>
  <c r="BE465" i="5"/>
  <c r="BG465" i="5"/>
  <c r="BF465" i="5"/>
  <c r="BE457" i="5"/>
  <c r="BG457" i="5"/>
  <c r="BF457" i="5"/>
  <c r="BE449" i="5"/>
  <c r="BG449" i="5"/>
  <c r="BF449" i="5"/>
  <c r="BE441" i="5"/>
  <c r="BG441" i="5"/>
  <c r="BF441" i="5"/>
  <c r="BE433" i="5"/>
  <c r="BG433" i="5"/>
  <c r="BF433" i="5"/>
  <c r="BE425" i="5"/>
  <c r="BG425" i="5"/>
  <c r="BF425" i="5"/>
  <c r="BE191" i="5"/>
  <c r="BG191" i="5"/>
  <c r="BF191" i="5"/>
  <c r="BE185" i="5"/>
  <c r="BF185" i="5"/>
  <c r="BG185" i="5"/>
  <c r="BE396" i="5"/>
  <c r="BG396" i="5"/>
  <c r="BF396" i="5"/>
  <c r="BE388" i="5"/>
  <c r="BG388" i="5"/>
  <c r="BF388" i="5"/>
  <c r="BE380" i="5"/>
  <c r="BG380" i="5"/>
  <c r="BF380" i="5"/>
  <c r="BE372" i="5"/>
  <c r="BG372" i="5"/>
  <c r="BF372" i="5"/>
  <c r="BE364" i="5"/>
  <c r="BG364" i="5"/>
  <c r="BF364" i="5"/>
  <c r="BE356" i="5"/>
  <c r="BG356" i="5"/>
  <c r="BF356" i="5"/>
  <c r="BE348" i="5"/>
  <c r="BG348" i="5"/>
  <c r="BF348" i="5"/>
  <c r="BE340" i="5"/>
  <c r="BG340" i="5"/>
  <c r="BF340" i="5"/>
  <c r="BE413" i="5"/>
  <c r="BG413" i="5"/>
  <c r="BF413" i="5"/>
  <c r="BE324" i="5"/>
  <c r="BG324" i="5"/>
  <c r="BF324" i="5"/>
  <c r="BE316" i="5"/>
  <c r="BG316" i="5"/>
  <c r="BF316" i="5"/>
  <c r="BE308" i="5"/>
  <c r="BG308" i="5"/>
  <c r="BF308" i="5"/>
  <c r="BE300" i="5"/>
  <c r="BG300" i="5"/>
  <c r="BF300" i="5"/>
  <c r="BE292" i="5"/>
  <c r="BG292" i="5"/>
  <c r="BF292" i="5"/>
  <c r="BE284" i="5"/>
  <c r="BG284" i="5"/>
  <c r="BF284" i="5"/>
  <c r="BE276" i="5"/>
  <c r="BG276" i="5"/>
  <c r="BF276" i="5"/>
  <c r="BE171" i="5"/>
  <c r="BG171" i="5"/>
  <c r="BF171" i="5"/>
  <c r="BE255" i="5"/>
  <c r="BG255" i="5"/>
  <c r="BF255" i="5"/>
  <c r="BE247" i="5"/>
  <c r="BG247" i="5"/>
  <c r="BF247" i="5"/>
  <c r="BE239" i="5"/>
  <c r="BG239" i="5"/>
  <c r="BF239" i="5"/>
  <c r="BE231" i="5"/>
  <c r="BG231" i="5"/>
  <c r="BF231" i="5"/>
  <c r="BE223" i="5"/>
  <c r="BG223" i="5"/>
  <c r="BF223" i="5"/>
  <c r="BE215" i="5"/>
  <c r="BG215" i="5"/>
  <c r="BF215" i="5"/>
  <c r="BE207" i="5"/>
  <c r="BG207" i="5"/>
  <c r="BF207" i="5"/>
  <c r="BE199" i="5"/>
  <c r="BG199" i="5"/>
  <c r="BF199" i="5"/>
  <c r="BE266" i="5"/>
  <c r="BG266" i="5"/>
  <c r="BF266" i="5"/>
  <c r="BE330" i="5"/>
  <c r="BG330" i="5"/>
  <c r="BF330" i="5"/>
  <c r="BE344" i="5"/>
  <c r="BG344" i="5"/>
  <c r="BF344" i="5"/>
  <c r="BE335" i="5"/>
  <c r="BG335" i="5"/>
  <c r="BF335" i="5"/>
  <c r="BE270" i="5"/>
  <c r="BG270" i="5"/>
  <c r="BF270" i="5"/>
  <c r="BE150" i="5"/>
  <c r="BG150" i="5"/>
  <c r="BF150" i="5"/>
  <c r="BE142" i="5"/>
  <c r="BG142" i="5"/>
  <c r="BF142" i="5"/>
  <c r="BE134" i="5"/>
  <c r="BG134" i="5"/>
  <c r="BF134" i="5"/>
  <c r="BE125" i="5"/>
  <c r="BG125" i="5"/>
  <c r="BF125" i="5"/>
  <c r="BE117" i="5"/>
  <c r="BG117" i="5"/>
  <c r="BF117" i="5"/>
  <c r="BE109" i="5"/>
  <c r="BG109" i="5"/>
  <c r="BF109" i="5"/>
  <c r="BE100" i="5"/>
  <c r="BF100" i="5"/>
  <c r="BG100" i="5"/>
  <c r="BE92" i="5"/>
  <c r="BF92" i="5"/>
  <c r="BG92" i="5"/>
  <c r="BE84" i="5"/>
  <c r="BF84" i="5"/>
  <c r="BG84" i="5"/>
  <c r="BE76" i="5"/>
  <c r="BF76" i="5"/>
  <c r="BG76" i="5"/>
  <c r="BE68" i="5"/>
  <c r="BF68" i="5"/>
  <c r="BG68" i="5"/>
  <c r="BE60" i="5"/>
  <c r="BF60" i="5"/>
  <c r="BG60" i="5"/>
  <c r="BE52" i="5"/>
  <c r="BF52" i="5"/>
  <c r="BG52" i="5"/>
  <c r="BE44" i="5"/>
  <c r="BF44" i="5"/>
  <c r="BG44" i="5"/>
  <c r="BE36" i="5"/>
  <c r="BF36" i="5"/>
  <c r="BG36" i="5"/>
  <c r="BE28" i="5"/>
  <c r="BF28" i="5"/>
  <c r="BG28" i="5"/>
  <c r="BE20" i="5"/>
  <c r="BF20" i="5"/>
  <c r="BG20" i="5"/>
  <c r="BE12" i="5"/>
  <c r="BF12" i="5"/>
  <c r="BG12" i="5"/>
  <c r="BE4" i="5"/>
  <c r="BF4" i="5"/>
  <c r="BG4" i="5"/>
  <c r="D27" i="22"/>
  <c r="AK407" i="5"/>
  <c r="AK409" i="5"/>
  <c r="AK408" i="5"/>
  <c r="AK406" i="5"/>
  <c r="AU405" i="5"/>
  <c r="AT405" i="5"/>
  <c r="AV406" i="5"/>
  <c r="AU406" i="5"/>
  <c r="AV408" i="5"/>
  <c r="AU408" i="5"/>
  <c r="AT408" i="5"/>
  <c r="AX406" i="5"/>
  <c r="AX409" i="5"/>
  <c r="AT406" i="5"/>
  <c r="AX408" i="5"/>
  <c r="AV407" i="5"/>
  <c r="AU407" i="5"/>
  <c r="AT407" i="5"/>
  <c r="AV409" i="5"/>
  <c r="AU409" i="5"/>
  <c r="AX407" i="5"/>
  <c r="AT409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H570" i="5" l="1"/>
  <c r="BH571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F570" i="5"/>
  <c r="BG570" i="5"/>
  <c r="BG571" i="5" s="1"/>
  <c r="BE570" i="5"/>
  <c r="BE572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F571" i="5"/>
  <c r="BF572" i="5"/>
  <c r="BI570" i="5"/>
  <c r="BE571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I571" i="5"/>
  <c r="P237" i="5"/>
  <c r="AV237" i="5" s="1"/>
  <c r="AB237" i="5"/>
  <c r="AS237" i="5"/>
  <c r="AV192" i="5"/>
  <c r="AS192" i="5"/>
  <c r="AU192" i="5"/>
  <c r="AX192" i="5"/>
  <c r="AV188" i="5"/>
  <c r="AB188" i="5"/>
  <c r="AK188" i="5"/>
  <c r="AS188" i="5"/>
  <c r="AW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V327" i="5"/>
  <c r="AB327" i="5"/>
  <c r="AK327" i="5"/>
  <c r="AS327" i="5"/>
  <c r="AV263" i="5"/>
  <c r="AU264" i="5"/>
  <c r="AK263" i="5"/>
  <c r="AK264" i="5"/>
  <c r="AS263" i="5"/>
  <c r="AS264" i="5"/>
  <c r="AT263" i="5"/>
  <c r="AU263" i="5"/>
  <c r="AV264" i="5"/>
  <c r="AX263" i="5"/>
  <c r="AX304" i="5"/>
  <c r="AW304" i="5"/>
  <c r="AV304" i="5"/>
  <c r="AU304" i="5"/>
  <c r="AT304" i="5"/>
  <c r="AS304" i="5"/>
  <c r="AK304" i="5"/>
  <c r="AB304" i="5"/>
  <c r="AX23" i="6"/>
  <c r="AW23" i="6"/>
  <c r="AV23" i="6"/>
  <c r="AU23" i="6"/>
  <c r="AT23" i="6"/>
  <c r="AS23" i="6"/>
  <c r="AR23" i="6"/>
  <c r="AH23" i="6"/>
  <c r="Y23" i="6"/>
  <c r="AV568" i="5"/>
  <c r="AB568" i="5"/>
  <c r="AK568" i="5"/>
  <c r="AS568" i="5"/>
  <c r="AV567" i="5"/>
  <c r="AB567" i="5"/>
  <c r="AK567" i="5"/>
  <c r="AS567" i="5"/>
  <c r="AU566" i="5"/>
  <c r="AB566" i="5"/>
  <c r="AK566" i="5"/>
  <c r="AS566" i="5"/>
  <c r="AT565" i="5"/>
  <c r="AB565" i="5"/>
  <c r="AK565" i="5"/>
  <c r="AS565" i="5"/>
  <c r="C38" i="35" l="1"/>
  <c r="AK237" i="5"/>
  <c r="AW237" i="5"/>
  <c r="AU237" i="5"/>
  <c r="AX237" i="5"/>
  <c r="AT237" i="5"/>
  <c r="AT192" i="5"/>
  <c r="AW192" i="5"/>
  <c r="AU188" i="5"/>
  <c r="AX188" i="5"/>
  <c r="AT188" i="5"/>
  <c r="C23" i="35"/>
  <c r="C48" i="35"/>
  <c r="C9" i="35"/>
  <c r="C17" i="35"/>
  <c r="C51" i="35"/>
  <c r="C31" i="35"/>
  <c r="AU327" i="5"/>
  <c r="AT327" i="5"/>
  <c r="AX327" i="5"/>
  <c r="AW327" i="5"/>
  <c r="AT264" i="5"/>
  <c r="AX264" i="5"/>
  <c r="AW264" i="5"/>
  <c r="AW263" i="5"/>
  <c r="AU568" i="5"/>
  <c r="AT568" i="5"/>
  <c r="AX568" i="5"/>
  <c r="AW568" i="5"/>
  <c r="AU567" i="5"/>
  <c r="AT567" i="5"/>
  <c r="AX567" i="5"/>
  <c r="AW567" i="5"/>
  <c r="AT566" i="5"/>
  <c r="AX566" i="5"/>
  <c r="AW566" i="5"/>
  <c r="AV566" i="5"/>
  <c r="AX565" i="5"/>
  <c r="AW565" i="5"/>
  <c r="AV565" i="5"/>
  <c r="AU565" i="5"/>
  <c r="AX414" i="5"/>
  <c r="AW414" i="5"/>
  <c r="AV414" i="5"/>
  <c r="AU414" i="5"/>
  <c r="AT414" i="5"/>
  <c r="AS414" i="5"/>
  <c r="AK414" i="5"/>
  <c r="AB414" i="5"/>
  <c r="B74" i="3"/>
  <c r="C74" i="3"/>
  <c r="J74" i="3" s="1"/>
  <c r="D74" i="3"/>
  <c r="H74" i="3"/>
  <c r="F5" i="40"/>
  <c r="E5" i="40"/>
  <c r="I74" i="3" l="1"/>
  <c r="D25" i="22"/>
  <c r="AX54" i="5"/>
  <c r="AW54" i="5"/>
  <c r="AV54" i="5"/>
  <c r="AU54" i="5"/>
  <c r="AT54" i="5"/>
  <c r="AS54" i="5"/>
  <c r="AK54" i="5"/>
  <c r="AB54" i="5"/>
  <c r="AS53" i="5"/>
  <c r="AK53" i="5"/>
  <c r="AB53" i="5"/>
  <c r="AX53" i="5" l="1"/>
  <c r="AU53" i="5"/>
  <c r="AT53" i="5"/>
  <c r="AV53" i="5"/>
  <c r="AW53" i="5"/>
  <c r="AX52" i="5" l="1"/>
  <c r="AW52" i="5"/>
  <c r="AV52" i="5"/>
  <c r="AU52" i="5"/>
  <c r="AT52" i="5"/>
  <c r="AS52" i="5"/>
  <c r="AK52" i="5"/>
  <c r="AB52" i="5"/>
  <c r="AX51" i="5"/>
  <c r="AW51" i="5"/>
  <c r="AV51" i="5"/>
  <c r="AU51" i="5"/>
  <c r="AT51" i="5"/>
  <c r="AS51" i="5"/>
  <c r="AK51" i="5"/>
  <c r="AB51" i="5"/>
  <c r="AU17" i="5"/>
  <c r="C4" i="35"/>
  <c r="C63" i="35" s="1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5" i="5"/>
  <c r="AS56" i="5"/>
  <c r="AS57" i="5"/>
  <c r="AS58" i="5"/>
  <c r="AS59" i="5"/>
  <c r="AS60" i="5"/>
  <c r="AS61" i="5"/>
  <c r="AS62" i="5"/>
  <c r="AS63" i="5"/>
  <c r="AS422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3" i="5"/>
  <c r="AS104" i="5"/>
  <c r="AS163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349" i="5"/>
  <c r="AS404" i="5"/>
  <c r="AS350" i="5"/>
  <c r="AS176" i="5"/>
  <c r="AS177" i="5"/>
  <c r="AS271" i="5"/>
  <c r="AS330" i="5"/>
  <c r="AS268" i="5"/>
  <c r="AS291" i="5"/>
  <c r="AS341" i="5"/>
  <c r="AS375" i="5"/>
  <c r="AS342" i="5"/>
  <c r="AS376" i="5"/>
  <c r="AS270" i="5"/>
  <c r="AS329" i="5"/>
  <c r="AS289" i="5"/>
  <c r="AS333" i="5"/>
  <c r="AS339" i="5"/>
  <c r="AS373" i="5"/>
  <c r="AS269" i="5"/>
  <c r="AS322" i="5"/>
  <c r="AS338" i="5"/>
  <c r="AS371" i="5"/>
  <c r="AS273" i="5"/>
  <c r="AS331" i="5"/>
  <c r="AS288" i="5"/>
  <c r="AS332" i="5"/>
  <c r="AS335" i="5"/>
  <c r="AS351" i="5"/>
  <c r="AS337" i="5"/>
  <c r="AS360" i="5"/>
  <c r="AS343" i="5"/>
  <c r="AS379" i="5"/>
  <c r="AS265" i="5"/>
  <c r="AS266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60" i="5"/>
  <c r="AS261" i="5"/>
  <c r="AS262" i="5"/>
  <c r="AS167" i="5"/>
  <c r="AS168" i="5"/>
  <c r="AS169" i="5"/>
  <c r="AS170" i="5"/>
  <c r="AS171" i="5"/>
  <c r="AS172" i="5"/>
  <c r="AS173" i="5"/>
  <c r="AS174" i="5"/>
  <c r="AS175" i="5"/>
  <c r="AS164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178" i="5"/>
  <c r="AS179" i="5"/>
  <c r="AS180" i="5"/>
  <c r="AS181" i="5"/>
  <c r="AS292" i="5"/>
  <c r="AS293" i="5"/>
  <c r="AS294" i="5"/>
  <c r="AS295" i="5"/>
  <c r="AS296" i="5"/>
  <c r="AS297" i="5"/>
  <c r="AS298" i="5"/>
  <c r="AS299" i="5"/>
  <c r="AS300" i="5"/>
  <c r="AS301" i="5"/>
  <c r="AS302" i="5"/>
  <c r="AS303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410" i="5"/>
  <c r="AS323" i="5"/>
  <c r="AS324" i="5"/>
  <c r="AS325" i="5"/>
  <c r="AS326" i="5"/>
  <c r="AS328" i="5"/>
  <c r="AS421" i="5"/>
  <c r="AS411" i="5"/>
  <c r="AS412" i="5"/>
  <c r="AS413" i="5"/>
  <c r="AS415" i="5"/>
  <c r="AS416" i="5"/>
  <c r="AS417" i="5"/>
  <c r="AS418" i="5"/>
  <c r="AS419" i="5"/>
  <c r="AS420" i="5"/>
  <c r="AS340" i="5"/>
  <c r="AS159" i="5"/>
  <c r="AS160" i="5"/>
  <c r="AS161" i="5"/>
  <c r="AS162" i="5"/>
  <c r="AS64" i="5"/>
  <c r="AS105" i="5"/>
  <c r="AS347" i="5"/>
  <c r="AS348" i="5"/>
  <c r="AS156" i="5"/>
  <c r="AS157" i="5"/>
  <c r="AS158" i="5"/>
  <c r="AS352" i="5"/>
  <c r="AS353" i="5"/>
  <c r="AS354" i="5"/>
  <c r="AS355" i="5"/>
  <c r="AS356" i="5"/>
  <c r="AS357" i="5"/>
  <c r="AS358" i="5"/>
  <c r="AS345" i="5"/>
  <c r="AS402" i="5"/>
  <c r="AS361" i="5"/>
  <c r="AS362" i="5"/>
  <c r="AS363" i="5"/>
  <c r="AS364" i="5"/>
  <c r="AS365" i="5"/>
  <c r="AS366" i="5"/>
  <c r="AS367" i="5"/>
  <c r="AS368" i="5"/>
  <c r="AS369" i="5"/>
  <c r="AS370" i="5"/>
  <c r="AS346" i="5"/>
  <c r="AS372" i="5"/>
  <c r="AS403" i="5"/>
  <c r="AS374" i="5"/>
  <c r="AS344" i="5"/>
  <c r="AS401" i="5"/>
  <c r="AS377" i="5"/>
  <c r="AS378" i="5"/>
  <c r="AS267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182" i="5"/>
  <c r="AS183" i="5"/>
  <c r="AS184" i="5"/>
  <c r="AS185" i="5"/>
  <c r="AS336" i="5"/>
  <c r="AS359" i="5"/>
  <c r="AS186" i="5"/>
  <c r="AS187" i="5"/>
  <c r="AS165" i="5"/>
  <c r="AS189" i="5"/>
  <c r="AS191" i="5"/>
  <c r="AS290" i="5"/>
  <c r="AS334" i="5"/>
  <c r="AS166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547" i="5"/>
  <c r="AS548" i="5"/>
  <c r="AS549" i="5"/>
  <c r="AS553" i="5"/>
  <c r="AS557" i="5"/>
  <c r="AS558" i="5"/>
  <c r="AS559" i="5"/>
  <c r="AS560" i="5"/>
  <c r="AS561" i="5"/>
  <c r="AS562" i="5"/>
  <c r="AS563" i="5"/>
  <c r="AS564" i="5"/>
  <c r="AS2" i="5"/>
  <c r="AU7" i="5"/>
  <c r="AU8" i="5"/>
  <c r="AU9" i="5"/>
  <c r="AU13" i="5"/>
  <c r="AU14" i="5"/>
  <c r="AU15" i="5"/>
  <c r="AU16" i="5"/>
  <c r="AU22" i="5"/>
  <c r="AU26" i="5"/>
  <c r="AU30" i="5"/>
  <c r="AU34" i="5"/>
  <c r="AU35" i="5"/>
  <c r="AU36" i="5"/>
  <c r="AU37" i="5"/>
  <c r="AU38" i="5"/>
  <c r="AU39" i="5"/>
  <c r="AU46" i="5"/>
  <c r="AU47" i="5"/>
  <c r="AU48" i="5"/>
  <c r="AU50" i="5"/>
  <c r="AU56" i="5"/>
  <c r="AU60" i="5"/>
  <c r="AU63" i="5"/>
  <c r="AU422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76" i="5"/>
  <c r="AU177" i="5"/>
  <c r="AU271" i="5"/>
  <c r="AU330" i="5"/>
  <c r="AU268" i="5"/>
  <c r="AU291" i="5"/>
  <c r="AU341" i="5"/>
  <c r="AU375" i="5"/>
  <c r="AU342" i="5"/>
  <c r="AU376" i="5"/>
  <c r="AU270" i="5"/>
  <c r="AU329" i="5"/>
  <c r="AU289" i="5"/>
  <c r="AU333" i="5"/>
  <c r="AU339" i="5"/>
  <c r="AU373" i="5"/>
  <c r="AU269" i="5"/>
  <c r="AU322" i="5"/>
  <c r="AU338" i="5"/>
  <c r="AU371" i="5"/>
  <c r="AU273" i="5"/>
  <c r="AU331" i="5"/>
  <c r="AU288" i="5"/>
  <c r="AU332" i="5"/>
  <c r="AU335" i="5"/>
  <c r="AU351" i="5"/>
  <c r="AU337" i="5"/>
  <c r="AU360" i="5"/>
  <c r="AU343" i="5"/>
  <c r="AU379" i="5"/>
  <c r="AU265" i="5"/>
  <c r="AU266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9" i="5"/>
  <c r="AU231" i="5"/>
  <c r="AU233" i="5"/>
  <c r="AU234" i="5"/>
  <c r="AU235" i="5"/>
  <c r="AU238" i="5"/>
  <c r="AU239" i="5"/>
  <c r="AU240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60" i="5"/>
  <c r="AU261" i="5"/>
  <c r="AU262" i="5"/>
  <c r="AU167" i="5"/>
  <c r="AU168" i="5"/>
  <c r="AU169" i="5"/>
  <c r="AU170" i="5"/>
  <c r="AU171" i="5"/>
  <c r="AU172" i="5"/>
  <c r="AU173" i="5"/>
  <c r="AU174" i="5"/>
  <c r="AU175" i="5"/>
  <c r="AU164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178" i="5"/>
  <c r="AU179" i="5"/>
  <c r="AU180" i="5"/>
  <c r="AU181" i="5"/>
  <c r="AU292" i="5"/>
  <c r="AU294" i="5"/>
  <c r="AU296" i="5"/>
  <c r="AU297" i="5"/>
  <c r="AU298" i="5"/>
  <c r="AU299" i="5"/>
  <c r="AU301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410" i="5"/>
  <c r="AU323" i="5"/>
  <c r="AU324" i="5"/>
  <c r="AU325" i="5"/>
  <c r="AU326" i="5"/>
  <c r="AU328" i="5"/>
  <c r="AU421" i="5"/>
  <c r="AU411" i="5"/>
  <c r="AU412" i="5"/>
  <c r="AU413" i="5"/>
  <c r="AU415" i="5"/>
  <c r="AU416" i="5"/>
  <c r="AU417" i="5"/>
  <c r="AU418" i="5"/>
  <c r="AU419" i="5"/>
  <c r="AU420" i="5"/>
  <c r="AU340" i="5"/>
  <c r="AU159" i="5"/>
  <c r="AU160" i="5"/>
  <c r="AU161" i="5"/>
  <c r="AU162" i="5"/>
  <c r="AU64" i="5"/>
  <c r="AU105" i="5"/>
  <c r="AU347" i="5"/>
  <c r="AU348" i="5"/>
  <c r="AU156" i="5"/>
  <c r="AU157" i="5"/>
  <c r="AU158" i="5"/>
  <c r="AU352" i="5"/>
  <c r="AU353" i="5"/>
  <c r="AU354" i="5"/>
  <c r="AU355" i="5"/>
  <c r="AU356" i="5"/>
  <c r="AU357" i="5"/>
  <c r="AU358" i="5"/>
  <c r="AU345" i="5"/>
  <c r="AU402" i="5"/>
  <c r="AU361" i="5"/>
  <c r="AU362" i="5"/>
  <c r="AU363" i="5"/>
  <c r="AU364" i="5"/>
  <c r="AU365" i="5"/>
  <c r="AU366" i="5"/>
  <c r="AU367" i="5"/>
  <c r="AU368" i="5"/>
  <c r="AU369" i="5"/>
  <c r="AU370" i="5"/>
  <c r="AU346" i="5"/>
  <c r="AU372" i="5"/>
  <c r="AU403" i="5"/>
  <c r="AU374" i="5"/>
  <c r="AU344" i="5"/>
  <c r="AU401" i="5"/>
  <c r="AU377" i="5"/>
  <c r="AU378" i="5"/>
  <c r="AU267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182" i="5"/>
  <c r="AU183" i="5"/>
  <c r="AU184" i="5"/>
  <c r="AU185" i="5"/>
  <c r="AU336" i="5"/>
  <c r="AU359" i="5"/>
  <c r="AU186" i="5"/>
  <c r="AU187" i="5"/>
  <c r="AU165" i="5"/>
  <c r="AU189" i="5"/>
  <c r="AU191" i="5"/>
  <c r="AU290" i="5"/>
  <c r="AU334" i="5"/>
  <c r="AU166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3" i="5"/>
  <c r="AU545" i="5"/>
  <c r="AU549" i="5"/>
  <c r="AU553" i="5"/>
  <c r="AU557" i="5"/>
  <c r="AU558" i="5"/>
  <c r="AU559" i="5"/>
  <c r="AU560" i="5"/>
  <c r="AU561" i="5"/>
  <c r="AU562" i="5"/>
  <c r="AU563" i="5"/>
  <c r="AX7" i="5"/>
  <c r="AX8" i="5"/>
  <c r="AX9" i="5"/>
  <c r="AX13" i="5"/>
  <c r="AX14" i="5"/>
  <c r="AX15" i="5"/>
  <c r="AX16" i="5"/>
  <c r="AX17" i="5"/>
  <c r="AX22" i="5"/>
  <c r="AX26" i="5"/>
  <c r="AX30" i="5"/>
  <c r="AX34" i="5"/>
  <c r="AX35" i="5"/>
  <c r="AX36" i="5"/>
  <c r="AX37" i="5"/>
  <c r="AX38" i="5"/>
  <c r="AX39" i="5"/>
  <c r="AX40" i="5"/>
  <c r="AX46" i="5"/>
  <c r="AX47" i="5"/>
  <c r="AX48" i="5"/>
  <c r="AX49" i="5"/>
  <c r="AX50" i="5"/>
  <c r="AX56" i="5"/>
  <c r="AX60" i="5"/>
  <c r="AX63" i="5"/>
  <c r="AX422" i="5"/>
  <c r="AX65" i="5"/>
  <c r="AX67" i="5"/>
  <c r="AX68" i="5"/>
  <c r="AX72" i="5"/>
  <c r="AX75" i="5"/>
  <c r="AX76" i="5"/>
  <c r="AX77" i="5"/>
  <c r="AX78" i="5"/>
  <c r="AX81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100" i="5"/>
  <c r="AX101" i="5"/>
  <c r="AX103" i="5"/>
  <c r="AX104" i="5"/>
  <c r="AX163" i="5"/>
  <c r="AX106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4" i="5"/>
  <c r="AX136" i="5"/>
  <c r="AX137" i="5"/>
  <c r="AX139" i="5"/>
  <c r="AX141" i="5"/>
  <c r="AX142" i="5"/>
  <c r="AX144" i="5"/>
  <c r="AX145" i="5"/>
  <c r="AX146" i="5"/>
  <c r="AX147" i="5"/>
  <c r="AX148" i="5"/>
  <c r="AX149" i="5"/>
  <c r="AX153" i="5"/>
  <c r="AX176" i="5"/>
  <c r="AX177" i="5"/>
  <c r="AX271" i="5"/>
  <c r="AX330" i="5"/>
  <c r="AX268" i="5"/>
  <c r="AX291" i="5"/>
  <c r="AX341" i="5"/>
  <c r="AX375" i="5"/>
  <c r="AX342" i="5"/>
  <c r="AX376" i="5"/>
  <c r="AX270" i="5"/>
  <c r="AX329" i="5"/>
  <c r="AX289" i="5"/>
  <c r="AX333" i="5"/>
  <c r="AX339" i="5"/>
  <c r="AX373" i="5"/>
  <c r="AX269" i="5"/>
  <c r="AX322" i="5"/>
  <c r="AX338" i="5"/>
  <c r="AX371" i="5"/>
  <c r="AX273" i="5"/>
  <c r="AX331" i="5"/>
  <c r="AX288" i="5"/>
  <c r="AX332" i="5"/>
  <c r="AX335" i="5"/>
  <c r="AX351" i="5"/>
  <c r="AX337" i="5"/>
  <c r="AX360" i="5"/>
  <c r="AX343" i="5"/>
  <c r="AX379" i="5"/>
  <c r="AX265" i="5"/>
  <c r="AX266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9" i="5"/>
  <c r="AX231" i="5"/>
  <c r="AX233" i="5"/>
  <c r="AX234" i="5"/>
  <c r="AX235" i="5"/>
  <c r="AX238" i="5"/>
  <c r="AX239" i="5"/>
  <c r="AX240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60" i="5"/>
  <c r="AX261" i="5"/>
  <c r="AX262" i="5"/>
  <c r="AX167" i="5"/>
  <c r="AX168" i="5"/>
  <c r="AX169" i="5"/>
  <c r="AX170" i="5"/>
  <c r="AX171" i="5"/>
  <c r="AX172" i="5"/>
  <c r="AX173" i="5"/>
  <c r="AX174" i="5"/>
  <c r="AX175" i="5"/>
  <c r="AX164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178" i="5"/>
  <c r="AX179" i="5"/>
  <c r="AX180" i="5"/>
  <c r="AX181" i="5"/>
  <c r="AX292" i="5"/>
  <c r="AX293" i="5"/>
  <c r="AX294" i="5"/>
  <c r="AX295" i="5"/>
  <c r="AX296" i="5"/>
  <c r="AX297" i="5"/>
  <c r="AX298" i="5"/>
  <c r="AX299" i="5"/>
  <c r="AX301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410" i="5"/>
  <c r="AX323" i="5"/>
  <c r="AX324" i="5"/>
  <c r="AX325" i="5"/>
  <c r="AX326" i="5"/>
  <c r="AX328" i="5"/>
  <c r="AX421" i="5"/>
  <c r="AX411" i="5"/>
  <c r="AX412" i="5"/>
  <c r="AX413" i="5"/>
  <c r="AX415" i="5"/>
  <c r="AX416" i="5"/>
  <c r="AX417" i="5"/>
  <c r="AX418" i="5"/>
  <c r="AX419" i="5"/>
  <c r="AX420" i="5"/>
  <c r="AX340" i="5"/>
  <c r="AX159" i="5"/>
  <c r="AX160" i="5"/>
  <c r="AX161" i="5"/>
  <c r="AX162" i="5"/>
  <c r="AX64" i="5"/>
  <c r="AX105" i="5"/>
  <c r="AX347" i="5"/>
  <c r="AX348" i="5"/>
  <c r="AX156" i="5"/>
  <c r="AX157" i="5"/>
  <c r="AX158" i="5"/>
  <c r="AX352" i="5"/>
  <c r="AX353" i="5"/>
  <c r="AX354" i="5"/>
  <c r="AX355" i="5"/>
  <c r="AX356" i="5"/>
  <c r="AX357" i="5"/>
  <c r="AX358" i="5"/>
  <c r="AX345" i="5"/>
  <c r="AX402" i="5"/>
  <c r="AX361" i="5"/>
  <c r="AX362" i="5"/>
  <c r="AX363" i="5"/>
  <c r="AX364" i="5"/>
  <c r="AX365" i="5"/>
  <c r="AX366" i="5"/>
  <c r="AX367" i="5"/>
  <c r="AX368" i="5"/>
  <c r="AX369" i="5"/>
  <c r="AX370" i="5"/>
  <c r="AX346" i="5"/>
  <c r="AX372" i="5"/>
  <c r="AX403" i="5"/>
  <c r="AX374" i="5"/>
  <c r="AX344" i="5"/>
  <c r="AX401" i="5"/>
  <c r="AX377" i="5"/>
  <c r="AX378" i="5"/>
  <c r="AX267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398" i="5"/>
  <c r="AX399" i="5"/>
  <c r="AX400" i="5"/>
  <c r="AX182" i="5"/>
  <c r="AX183" i="5"/>
  <c r="AX184" i="5"/>
  <c r="AX185" i="5"/>
  <c r="AX336" i="5"/>
  <c r="AX359" i="5"/>
  <c r="AX186" i="5"/>
  <c r="AX187" i="5"/>
  <c r="AX165" i="5"/>
  <c r="AX189" i="5"/>
  <c r="AX191" i="5"/>
  <c r="AX290" i="5"/>
  <c r="AX334" i="5"/>
  <c r="AX166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5" i="5"/>
  <c r="AX549" i="5"/>
  <c r="AX553" i="5"/>
  <c r="AX557" i="5"/>
  <c r="AX558" i="5"/>
  <c r="AX559" i="5"/>
  <c r="AX560" i="5"/>
  <c r="AX561" i="5"/>
  <c r="AX562" i="5"/>
  <c r="AX563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2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1" i="5"/>
  <c r="AW330" i="5"/>
  <c r="AW268" i="5"/>
  <c r="AW291" i="5"/>
  <c r="AW341" i="5"/>
  <c r="AW375" i="5"/>
  <c r="AW342" i="5"/>
  <c r="AW376" i="5"/>
  <c r="AW270" i="5"/>
  <c r="AW329" i="5"/>
  <c r="AW289" i="5"/>
  <c r="AW333" i="5"/>
  <c r="AW339" i="5"/>
  <c r="AW373" i="5"/>
  <c r="AW269" i="5"/>
  <c r="AW322" i="5"/>
  <c r="AW338" i="5"/>
  <c r="AW371" i="5"/>
  <c r="AW273" i="5"/>
  <c r="AW331" i="5"/>
  <c r="AW288" i="5"/>
  <c r="AW332" i="5"/>
  <c r="AW335" i="5"/>
  <c r="AW351" i="5"/>
  <c r="AW337" i="5"/>
  <c r="AW360" i="5"/>
  <c r="AW343" i="5"/>
  <c r="AW379" i="5"/>
  <c r="AW265" i="5"/>
  <c r="AW266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9" i="5"/>
  <c r="AW231" i="5"/>
  <c r="AW233" i="5"/>
  <c r="AW234" i="5"/>
  <c r="AW235" i="5"/>
  <c r="AW238" i="5"/>
  <c r="AW239" i="5"/>
  <c r="AW240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60" i="5"/>
  <c r="AW261" i="5"/>
  <c r="AW262" i="5"/>
  <c r="AW167" i="5"/>
  <c r="AW168" i="5"/>
  <c r="AW169" i="5"/>
  <c r="AW170" i="5"/>
  <c r="AW171" i="5"/>
  <c r="AW172" i="5"/>
  <c r="AW173" i="5"/>
  <c r="AW174" i="5"/>
  <c r="AW175" i="5"/>
  <c r="AW164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178" i="5"/>
  <c r="AW179" i="5"/>
  <c r="AW180" i="5"/>
  <c r="AW181" i="5"/>
  <c r="AW292" i="5"/>
  <c r="AW293" i="5"/>
  <c r="AW294" i="5"/>
  <c r="AW295" i="5"/>
  <c r="AW296" i="5"/>
  <c r="AW297" i="5"/>
  <c r="AW298" i="5"/>
  <c r="AW299" i="5"/>
  <c r="AW301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410" i="5"/>
  <c r="AW323" i="5"/>
  <c r="AW324" i="5"/>
  <c r="AW325" i="5"/>
  <c r="AW326" i="5"/>
  <c r="AW328" i="5"/>
  <c r="AW421" i="5"/>
  <c r="AW411" i="5"/>
  <c r="AW412" i="5"/>
  <c r="AW413" i="5"/>
  <c r="AW415" i="5"/>
  <c r="AW416" i="5"/>
  <c r="AW417" i="5"/>
  <c r="AW418" i="5"/>
  <c r="AW419" i="5"/>
  <c r="AW420" i="5"/>
  <c r="AW340" i="5"/>
  <c r="AW159" i="5"/>
  <c r="AW160" i="5"/>
  <c r="AW161" i="5"/>
  <c r="AW162" i="5"/>
  <c r="AW64" i="5"/>
  <c r="AW105" i="5"/>
  <c r="AW347" i="5"/>
  <c r="AW348" i="5"/>
  <c r="AW156" i="5"/>
  <c r="AW157" i="5"/>
  <c r="AW158" i="5"/>
  <c r="AW352" i="5"/>
  <c r="AW353" i="5"/>
  <c r="AW354" i="5"/>
  <c r="AW355" i="5"/>
  <c r="AW356" i="5"/>
  <c r="AW357" i="5"/>
  <c r="AW358" i="5"/>
  <c r="AW345" i="5"/>
  <c r="AW402" i="5"/>
  <c r="AW361" i="5"/>
  <c r="AW362" i="5"/>
  <c r="AW363" i="5"/>
  <c r="AW364" i="5"/>
  <c r="AW365" i="5"/>
  <c r="AW366" i="5"/>
  <c r="AW367" i="5"/>
  <c r="AW368" i="5"/>
  <c r="AW369" i="5"/>
  <c r="AW370" i="5"/>
  <c r="AW346" i="5"/>
  <c r="AW372" i="5"/>
  <c r="AW403" i="5"/>
  <c r="AW374" i="5"/>
  <c r="AW344" i="5"/>
  <c r="AW401" i="5"/>
  <c r="AW377" i="5"/>
  <c r="AW378" i="5"/>
  <c r="AW267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182" i="5"/>
  <c r="AW183" i="5"/>
  <c r="AW184" i="5"/>
  <c r="AW185" i="5"/>
  <c r="AW336" i="5"/>
  <c r="AW359" i="5"/>
  <c r="AW186" i="5"/>
  <c r="AW187" i="5"/>
  <c r="AW165" i="5"/>
  <c r="AW189" i="5"/>
  <c r="AW191" i="5"/>
  <c r="AW290" i="5"/>
  <c r="AW334" i="5"/>
  <c r="AW166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5" i="5"/>
  <c r="AW549" i="5"/>
  <c r="AW553" i="5"/>
  <c r="AW557" i="5"/>
  <c r="AW558" i="5"/>
  <c r="AW559" i="5"/>
  <c r="AW560" i="5"/>
  <c r="AW561" i="5"/>
  <c r="AW562" i="5"/>
  <c r="AW563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2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1" i="5"/>
  <c r="AV330" i="5"/>
  <c r="AV268" i="5"/>
  <c r="AV291" i="5"/>
  <c r="AV341" i="5"/>
  <c r="AV375" i="5"/>
  <c r="AV342" i="5"/>
  <c r="AV376" i="5"/>
  <c r="AV270" i="5"/>
  <c r="AV329" i="5"/>
  <c r="AV289" i="5"/>
  <c r="AV333" i="5"/>
  <c r="AV339" i="5"/>
  <c r="AV373" i="5"/>
  <c r="AV269" i="5"/>
  <c r="AV322" i="5"/>
  <c r="AV338" i="5"/>
  <c r="AV371" i="5"/>
  <c r="AV273" i="5"/>
  <c r="AV331" i="5"/>
  <c r="AV288" i="5"/>
  <c r="AV332" i="5"/>
  <c r="AV335" i="5"/>
  <c r="AV351" i="5"/>
  <c r="AV337" i="5"/>
  <c r="AV360" i="5"/>
  <c r="AV343" i="5"/>
  <c r="AV379" i="5"/>
  <c r="AV265" i="5"/>
  <c r="AV266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4" i="5"/>
  <c r="AV216" i="5"/>
  <c r="AV217" i="5"/>
  <c r="AV218" i="5"/>
  <c r="AV219" i="5"/>
  <c r="AV220" i="5"/>
  <c r="AV221" i="5"/>
  <c r="AV222" i="5"/>
  <c r="AV223" i="5"/>
  <c r="AV224" i="5"/>
  <c r="AV225" i="5"/>
  <c r="AV226" i="5"/>
  <c r="AV227" i="5"/>
  <c r="AV229" i="5"/>
  <c r="AV231" i="5"/>
  <c r="AV233" i="5"/>
  <c r="AV234" i="5"/>
  <c r="AV235" i="5"/>
  <c r="AV238" i="5"/>
  <c r="AV239" i="5"/>
  <c r="AV240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60" i="5"/>
  <c r="AV261" i="5"/>
  <c r="AV262" i="5"/>
  <c r="AV167" i="5"/>
  <c r="AV168" i="5"/>
  <c r="AV169" i="5"/>
  <c r="AV170" i="5"/>
  <c r="AV171" i="5"/>
  <c r="AV172" i="5"/>
  <c r="AV173" i="5"/>
  <c r="AV174" i="5"/>
  <c r="AV175" i="5"/>
  <c r="AV164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178" i="5"/>
  <c r="AV179" i="5"/>
  <c r="AV180" i="5"/>
  <c r="AV181" i="5"/>
  <c r="AV292" i="5"/>
  <c r="AV293" i="5"/>
  <c r="AV294" i="5"/>
  <c r="AV295" i="5"/>
  <c r="AV296" i="5"/>
  <c r="AV297" i="5"/>
  <c r="AV298" i="5"/>
  <c r="AV299" i="5"/>
  <c r="AV301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410" i="5"/>
  <c r="AV323" i="5"/>
  <c r="AV324" i="5"/>
  <c r="AV325" i="5"/>
  <c r="AV326" i="5"/>
  <c r="AV328" i="5"/>
  <c r="AV421" i="5"/>
  <c r="AV411" i="5"/>
  <c r="AV412" i="5"/>
  <c r="AV413" i="5"/>
  <c r="AV415" i="5"/>
  <c r="AV416" i="5"/>
  <c r="AV417" i="5"/>
  <c r="AV418" i="5"/>
  <c r="AV419" i="5"/>
  <c r="AV420" i="5"/>
  <c r="AV340" i="5"/>
  <c r="AV159" i="5"/>
  <c r="AV160" i="5"/>
  <c r="AV161" i="5"/>
  <c r="AV162" i="5"/>
  <c r="AV64" i="5"/>
  <c r="AV105" i="5"/>
  <c r="AV347" i="5"/>
  <c r="AV348" i="5"/>
  <c r="AV156" i="5"/>
  <c r="AV157" i="5"/>
  <c r="AV158" i="5"/>
  <c r="AV352" i="5"/>
  <c r="AV353" i="5"/>
  <c r="AV354" i="5"/>
  <c r="AV355" i="5"/>
  <c r="AV356" i="5"/>
  <c r="AV357" i="5"/>
  <c r="AV358" i="5"/>
  <c r="AV345" i="5"/>
  <c r="AV402" i="5"/>
  <c r="AV361" i="5"/>
  <c r="AV362" i="5"/>
  <c r="AV363" i="5"/>
  <c r="AV364" i="5"/>
  <c r="AV365" i="5"/>
  <c r="AV366" i="5"/>
  <c r="AV367" i="5"/>
  <c r="AV368" i="5"/>
  <c r="AV369" i="5"/>
  <c r="AV370" i="5"/>
  <c r="AV346" i="5"/>
  <c r="AV372" i="5"/>
  <c r="AV403" i="5"/>
  <c r="AV374" i="5"/>
  <c r="AV344" i="5"/>
  <c r="AV401" i="5"/>
  <c r="AV377" i="5"/>
  <c r="AV378" i="5"/>
  <c r="AV267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182" i="5"/>
  <c r="AV183" i="5"/>
  <c r="AV184" i="5"/>
  <c r="AV185" i="5"/>
  <c r="AV336" i="5"/>
  <c r="AV359" i="5"/>
  <c r="AV186" i="5"/>
  <c r="AV187" i="5"/>
  <c r="AV165" i="5"/>
  <c r="AV189" i="5"/>
  <c r="AV191" i="5"/>
  <c r="AV290" i="5"/>
  <c r="AV334" i="5"/>
  <c r="AV166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3" i="5"/>
  <c r="AV545" i="5"/>
  <c r="AV549" i="5"/>
  <c r="AV553" i="5"/>
  <c r="AV557" i="5"/>
  <c r="AV558" i="5"/>
  <c r="AV559" i="5"/>
  <c r="AV560" i="5"/>
  <c r="AV561" i="5"/>
  <c r="AV562" i="5"/>
  <c r="AV563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2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1" i="5"/>
  <c r="AT330" i="5"/>
  <c r="AT268" i="5"/>
  <c r="AT291" i="5"/>
  <c r="AT341" i="5"/>
  <c r="AT375" i="5"/>
  <c r="AT342" i="5"/>
  <c r="AT376" i="5"/>
  <c r="AT270" i="5"/>
  <c r="AT329" i="5"/>
  <c r="AT289" i="5"/>
  <c r="AT333" i="5"/>
  <c r="AT339" i="5"/>
  <c r="AT373" i="5"/>
  <c r="AT269" i="5"/>
  <c r="AT322" i="5"/>
  <c r="AT338" i="5"/>
  <c r="AT371" i="5"/>
  <c r="AT273" i="5"/>
  <c r="AT331" i="5"/>
  <c r="AT288" i="5"/>
  <c r="AT332" i="5"/>
  <c r="AT335" i="5"/>
  <c r="AT351" i="5"/>
  <c r="AT337" i="5"/>
  <c r="AT360" i="5"/>
  <c r="AT343" i="5"/>
  <c r="AT379" i="5"/>
  <c r="AT265" i="5"/>
  <c r="AT266" i="5"/>
  <c r="AT193" i="5"/>
  <c r="AT194" i="5"/>
  <c r="AT195" i="5"/>
  <c r="AT196" i="5"/>
  <c r="AT197" i="5"/>
  <c r="AT198" i="5"/>
  <c r="AT199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9" i="5"/>
  <c r="AT231" i="5"/>
  <c r="AT233" i="5"/>
  <c r="AT234" i="5"/>
  <c r="AT235" i="5"/>
  <c r="AT238" i="5"/>
  <c r="AT239" i="5"/>
  <c r="AT240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60" i="5"/>
  <c r="AT261" i="5"/>
  <c r="AT262" i="5"/>
  <c r="AT167" i="5"/>
  <c r="AT168" i="5"/>
  <c r="AT169" i="5"/>
  <c r="AT170" i="5"/>
  <c r="AT171" i="5"/>
  <c r="AT172" i="5"/>
  <c r="AT173" i="5"/>
  <c r="AT174" i="5"/>
  <c r="AT175" i="5"/>
  <c r="AT164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178" i="5"/>
  <c r="AT179" i="5"/>
  <c r="AT180" i="5"/>
  <c r="AT181" i="5"/>
  <c r="AT292" i="5"/>
  <c r="AT294" i="5"/>
  <c r="AT296" i="5"/>
  <c r="AT297" i="5"/>
  <c r="AT298" i="5"/>
  <c r="AT299" i="5"/>
  <c r="AT301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410" i="5"/>
  <c r="AT421" i="5"/>
  <c r="AT411" i="5"/>
  <c r="AT412" i="5"/>
  <c r="AT413" i="5"/>
  <c r="AT415" i="5"/>
  <c r="AT416" i="5"/>
  <c r="AT417" i="5"/>
  <c r="AT418" i="5"/>
  <c r="AT419" i="5"/>
  <c r="AT420" i="5"/>
  <c r="AT340" i="5"/>
  <c r="AT159" i="5"/>
  <c r="AT160" i="5"/>
  <c r="AT161" i="5"/>
  <c r="AT162" i="5"/>
  <c r="AT64" i="5"/>
  <c r="AT105" i="5"/>
  <c r="AT347" i="5"/>
  <c r="AT348" i="5"/>
  <c r="AT156" i="5"/>
  <c r="AT157" i="5"/>
  <c r="AT158" i="5"/>
  <c r="AT352" i="5"/>
  <c r="AT353" i="5"/>
  <c r="AT354" i="5"/>
  <c r="AT355" i="5"/>
  <c r="AT356" i="5"/>
  <c r="AT357" i="5"/>
  <c r="AT358" i="5"/>
  <c r="AT345" i="5"/>
  <c r="AT402" i="5"/>
  <c r="AT361" i="5"/>
  <c r="AT362" i="5"/>
  <c r="AT363" i="5"/>
  <c r="AT364" i="5"/>
  <c r="AT365" i="5"/>
  <c r="AT366" i="5"/>
  <c r="AT367" i="5"/>
  <c r="AT368" i="5"/>
  <c r="AT369" i="5"/>
  <c r="AT370" i="5"/>
  <c r="AT346" i="5"/>
  <c r="AT372" i="5"/>
  <c r="AT403" i="5"/>
  <c r="AT374" i="5"/>
  <c r="AT344" i="5"/>
  <c r="AT401" i="5"/>
  <c r="AT377" i="5"/>
  <c r="AT378" i="5"/>
  <c r="AT267" i="5"/>
  <c r="AT380" i="5"/>
  <c r="AT381" i="5"/>
  <c r="AT382" i="5"/>
  <c r="AT383" i="5"/>
  <c r="AT399" i="5"/>
  <c r="AT400" i="5"/>
  <c r="AT182" i="5"/>
  <c r="AT183" i="5"/>
  <c r="AT184" i="5"/>
  <c r="AT185" i="5"/>
  <c r="AT336" i="5"/>
  <c r="AT359" i="5"/>
  <c r="AT186" i="5"/>
  <c r="AT187" i="5"/>
  <c r="AT165" i="5"/>
  <c r="AT189" i="5"/>
  <c r="AT290" i="5"/>
  <c r="AT334" i="5"/>
  <c r="AT166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3" i="5"/>
  <c r="AT545" i="5"/>
  <c r="AT553" i="5"/>
  <c r="AS570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K328" i="5"/>
  <c r="AB328" i="5"/>
  <c r="AT328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X151" i="5" l="1"/>
  <c r="AW151" i="5"/>
  <c r="AV151" i="5"/>
  <c r="AX150" i="5"/>
  <c r="AW150" i="5"/>
  <c r="AV150" i="5"/>
  <c r="AX152" i="5"/>
  <c r="AW152" i="5"/>
  <c r="AV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K420" i="5"/>
  <c r="AB420" i="5"/>
  <c r="U18" i="33"/>
  <c r="S18" i="33"/>
  <c r="V3" i="33"/>
  <c r="T3" i="33"/>
  <c r="AK233" i="5"/>
  <c r="AB233" i="5"/>
  <c r="AK214" i="5"/>
  <c r="AB214" i="5"/>
  <c r="AK218" i="5"/>
  <c r="AB218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K564" i="5"/>
  <c r="AB564" i="5"/>
  <c r="AK563" i="5"/>
  <c r="AB563" i="5"/>
  <c r="AT563" i="5"/>
  <c r="AK562" i="5"/>
  <c r="AB562" i="5"/>
  <c r="AT562" i="5"/>
  <c r="AK561" i="5"/>
  <c r="AB561" i="5"/>
  <c r="AT561" i="5"/>
  <c r="AK560" i="5"/>
  <c r="AB560" i="5"/>
  <c r="AT560" i="5"/>
  <c r="AK559" i="5"/>
  <c r="AB559" i="5"/>
  <c r="AT559" i="5"/>
  <c r="AK558" i="5"/>
  <c r="AB558" i="5"/>
  <c r="AT558" i="5"/>
  <c r="AK557" i="5"/>
  <c r="AB557" i="5"/>
  <c r="AT557" i="5"/>
  <c r="AK553" i="5"/>
  <c r="AB553" i="5"/>
  <c r="AT549" i="5"/>
  <c r="P548" i="5"/>
  <c r="P547" i="5"/>
  <c r="P544" i="5"/>
  <c r="AK539" i="5"/>
  <c r="AB539" i="5"/>
  <c r="AB538" i="5"/>
  <c r="AK538" i="5"/>
  <c r="AK537" i="5"/>
  <c r="AB537" i="5"/>
  <c r="AB536" i="5"/>
  <c r="AK536" i="5"/>
  <c r="AK535" i="5"/>
  <c r="AB535" i="5"/>
  <c r="AK534" i="5"/>
  <c r="AB534" i="5"/>
  <c r="AK533" i="5"/>
  <c r="AB533" i="5"/>
  <c r="AK532" i="5"/>
  <c r="AB532" i="5"/>
  <c r="AK531" i="5"/>
  <c r="AB531" i="5"/>
  <c r="AK530" i="5"/>
  <c r="AB530" i="5"/>
  <c r="AK529" i="5"/>
  <c r="AB529" i="5"/>
  <c r="AK528" i="5"/>
  <c r="AB528" i="5"/>
  <c r="AK527" i="5"/>
  <c r="AB527" i="5"/>
  <c r="AK526" i="5"/>
  <c r="AB526" i="5"/>
  <c r="AK525" i="5"/>
  <c r="AB525" i="5"/>
  <c r="AK524" i="5"/>
  <c r="AB524" i="5"/>
  <c r="AK523" i="5"/>
  <c r="AB523" i="5"/>
  <c r="AK522" i="5"/>
  <c r="AB522" i="5"/>
  <c r="AK521" i="5"/>
  <c r="AB521" i="5"/>
  <c r="AK520" i="5"/>
  <c r="AB520" i="5"/>
  <c r="AK519" i="5"/>
  <c r="AB519" i="5"/>
  <c r="AK518" i="5"/>
  <c r="AB518" i="5"/>
  <c r="AK517" i="5"/>
  <c r="AB517" i="5"/>
  <c r="AK516" i="5"/>
  <c r="AB516" i="5"/>
  <c r="AK515" i="5"/>
  <c r="AB515" i="5"/>
  <c r="AK514" i="5"/>
  <c r="AB514" i="5"/>
  <c r="AK513" i="5"/>
  <c r="AB513" i="5"/>
  <c r="AK512" i="5"/>
  <c r="AB512" i="5"/>
  <c r="AK511" i="5"/>
  <c r="AB511" i="5"/>
  <c r="AK510" i="5"/>
  <c r="AB510" i="5"/>
  <c r="AK509" i="5"/>
  <c r="AB509" i="5"/>
  <c r="AK508" i="5"/>
  <c r="AB508" i="5"/>
  <c r="AK507" i="5"/>
  <c r="AB507" i="5"/>
  <c r="AK506" i="5"/>
  <c r="AB506" i="5"/>
  <c r="AK505" i="5"/>
  <c r="AB505" i="5"/>
  <c r="AK504" i="5"/>
  <c r="AB504" i="5"/>
  <c r="AK503" i="5"/>
  <c r="AB503" i="5"/>
  <c r="AK502" i="5"/>
  <c r="AB502" i="5"/>
  <c r="AK501" i="5"/>
  <c r="AB501" i="5"/>
  <c r="AK500" i="5"/>
  <c r="AB500" i="5"/>
  <c r="AK499" i="5"/>
  <c r="AB499" i="5"/>
  <c r="AK498" i="5"/>
  <c r="AB498" i="5"/>
  <c r="AK497" i="5"/>
  <c r="AB497" i="5"/>
  <c r="AT497" i="5"/>
  <c r="AK496" i="5"/>
  <c r="AB496" i="5"/>
  <c r="AT496" i="5"/>
  <c r="AK495" i="5"/>
  <c r="AB495" i="5"/>
  <c r="AT495" i="5"/>
  <c r="AK494" i="5"/>
  <c r="AB494" i="5"/>
  <c r="AT494" i="5"/>
  <c r="AK493" i="5"/>
  <c r="AB493" i="5"/>
  <c r="AT493" i="5"/>
  <c r="AK492" i="5"/>
  <c r="AB492" i="5"/>
  <c r="AT492" i="5"/>
  <c r="AK491" i="5"/>
  <c r="AB491" i="5"/>
  <c r="AT491" i="5"/>
  <c r="AK490" i="5"/>
  <c r="AB490" i="5"/>
  <c r="AT490" i="5"/>
  <c r="AK489" i="5"/>
  <c r="AB489" i="5"/>
  <c r="AT489" i="5"/>
  <c r="AK488" i="5"/>
  <c r="AB488" i="5"/>
  <c r="AT488" i="5"/>
  <c r="AK487" i="5"/>
  <c r="AB487" i="5"/>
  <c r="AT487" i="5"/>
  <c r="AK486" i="5"/>
  <c r="AB486" i="5"/>
  <c r="AT486" i="5"/>
  <c r="AK485" i="5"/>
  <c r="AB485" i="5"/>
  <c r="AT485" i="5"/>
  <c r="AK484" i="5"/>
  <c r="AB484" i="5"/>
  <c r="AT484" i="5"/>
  <c r="AK483" i="5"/>
  <c r="AB483" i="5"/>
  <c r="AT483" i="5"/>
  <c r="AK482" i="5"/>
  <c r="AB482" i="5"/>
  <c r="AT482" i="5"/>
  <c r="AK481" i="5"/>
  <c r="AB481" i="5"/>
  <c r="AT481" i="5"/>
  <c r="AK480" i="5"/>
  <c r="AB480" i="5"/>
  <c r="AT480" i="5"/>
  <c r="AK479" i="5"/>
  <c r="AB479" i="5"/>
  <c r="AT479" i="5"/>
  <c r="AK478" i="5"/>
  <c r="AB478" i="5"/>
  <c r="AT478" i="5"/>
  <c r="AK477" i="5"/>
  <c r="AB477" i="5"/>
  <c r="AT477" i="5"/>
  <c r="AK476" i="5"/>
  <c r="AB476" i="5"/>
  <c r="AT476" i="5"/>
  <c r="AK475" i="5"/>
  <c r="AB475" i="5"/>
  <c r="AT475" i="5"/>
  <c r="AK474" i="5"/>
  <c r="AB474" i="5"/>
  <c r="AT474" i="5"/>
  <c r="AK473" i="5"/>
  <c r="AB473" i="5"/>
  <c r="AT473" i="5"/>
  <c r="AK472" i="5"/>
  <c r="AB472" i="5"/>
  <c r="AT472" i="5"/>
  <c r="AK471" i="5"/>
  <c r="AB471" i="5"/>
  <c r="AT471" i="5"/>
  <c r="AK470" i="5"/>
  <c r="AB470" i="5"/>
  <c r="AT470" i="5"/>
  <c r="AK469" i="5"/>
  <c r="AB469" i="5"/>
  <c r="AT469" i="5"/>
  <c r="AK468" i="5"/>
  <c r="AB468" i="5"/>
  <c r="AT468" i="5"/>
  <c r="AK467" i="5"/>
  <c r="AB467" i="5"/>
  <c r="AT467" i="5"/>
  <c r="AK466" i="5"/>
  <c r="AB466" i="5"/>
  <c r="AT466" i="5"/>
  <c r="AK465" i="5"/>
  <c r="AB465" i="5"/>
  <c r="AT465" i="5"/>
  <c r="AK464" i="5"/>
  <c r="AB464" i="5"/>
  <c r="AT464" i="5"/>
  <c r="AK463" i="5"/>
  <c r="AB463" i="5"/>
  <c r="AT463" i="5"/>
  <c r="AK462" i="5"/>
  <c r="AB462" i="5"/>
  <c r="AT462" i="5"/>
  <c r="AK461" i="5"/>
  <c r="AB461" i="5"/>
  <c r="AT461" i="5"/>
  <c r="AK460" i="5"/>
  <c r="AB460" i="5"/>
  <c r="AK459" i="5"/>
  <c r="AB459" i="5"/>
  <c r="AK458" i="5"/>
  <c r="AB458" i="5"/>
  <c r="AK457" i="5"/>
  <c r="AB457" i="5"/>
  <c r="AK456" i="5"/>
  <c r="AB456" i="5"/>
  <c r="AK455" i="5"/>
  <c r="AB455" i="5"/>
  <c r="AK454" i="5"/>
  <c r="AB454" i="5"/>
  <c r="AK453" i="5"/>
  <c r="AB453" i="5"/>
  <c r="AK452" i="5"/>
  <c r="AB452" i="5"/>
  <c r="AK451" i="5"/>
  <c r="AB451" i="5"/>
  <c r="AK450" i="5"/>
  <c r="AB450" i="5"/>
  <c r="AK449" i="5"/>
  <c r="AB449" i="5"/>
  <c r="AK448" i="5"/>
  <c r="AB448" i="5"/>
  <c r="AK447" i="5"/>
  <c r="AB447" i="5"/>
  <c r="AK446" i="5"/>
  <c r="AB446" i="5"/>
  <c r="AK445" i="5"/>
  <c r="AB445" i="5"/>
  <c r="AK444" i="5"/>
  <c r="AB444" i="5"/>
  <c r="AK443" i="5"/>
  <c r="AB443" i="5"/>
  <c r="AK442" i="5"/>
  <c r="AB442" i="5"/>
  <c r="AK441" i="5"/>
  <c r="AB441" i="5"/>
  <c r="AK440" i="5"/>
  <c r="AB440" i="5"/>
  <c r="AK439" i="5"/>
  <c r="AB439" i="5"/>
  <c r="AK438" i="5"/>
  <c r="AB438" i="5"/>
  <c r="AK437" i="5"/>
  <c r="AB437" i="5"/>
  <c r="AK436" i="5"/>
  <c r="AB436" i="5"/>
  <c r="AK435" i="5"/>
  <c r="AB435" i="5"/>
  <c r="AK434" i="5"/>
  <c r="AB434" i="5"/>
  <c r="AK433" i="5"/>
  <c r="AB433" i="5"/>
  <c r="AK432" i="5"/>
  <c r="AB432" i="5"/>
  <c r="AK431" i="5"/>
  <c r="AB431" i="5"/>
  <c r="AK430" i="5"/>
  <c r="AB430" i="5"/>
  <c r="AK429" i="5"/>
  <c r="AB429" i="5"/>
  <c r="AK428" i="5"/>
  <c r="AB428" i="5"/>
  <c r="AK427" i="5"/>
  <c r="AB427" i="5"/>
  <c r="AK426" i="5"/>
  <c r="AB426" i="5"/>
  <c r="AK425" i="5"/>
  <c r="AB425" i="5"/>
  <c r="AK424" i="5"/>
  <c r="AB424" i="5"/>
  <c r="AK423" i="5"/>
  <c r="AB423" i="5"/>
  <c r="AK191" i="5"/>
  <c r="AB191" i="5"/>
  <c r="AT191" i="5"/>
  <c r="AK189" i="5"/>
  <c r="AB189" i="5"/>
  <c r="AK165" i="5"/>
  <c r="AB165" i="5"/>
  <c r="AK187" i="5"/>
  <c r="AB187" i="5"/>
  <c r="AK186" i="5"/>
  <c r="AB186" i="5"/>
  <c r="AK359" i="5"/>
  <c r="AB359" i="5"/>
  <c r="AK336" i="5"/>
  <c r="AB336" i="5"/>
  <c r="AK166" i="5"/>
  <c r="AB166" i="5"/>
  <c r="AK185" i="5"/>
  <c r="AB185" i="5"/>
  <c r="AK184" i="5"/>
  <c r="AB184" i="5"/>
  <c r="AK334" i="5"/>
  <c r="AB334" i="5"/>
  <c r="AK290" i="5"/>
  <c r="AB290" i="5"/>
  <c r="AK183" i="5"/>
  <c r="AB183" i="5"/>
  <c r="AK182" i="5"/>
  <c r="AB182" i="5"/>
  <c r="AK400" i="5"/>
  <c r="AB400" i="5"/>
  <c r="AK399" i="5"/>
  <c r="AB399" i="5"/>
  <c r="AK398" i="5"/>
  <c r="AB398" i="5"/>
  <c r="AT398" i="5"/>
  <c r="AK397" i="5"/>
  <c r="AB397" i="5"/>
  <c r="AT397" i="5"/>
  <c r="AK396" i="5"/>
  <c r="AB396" i="5"/>
  <c r="AT396" i="5"/>
  <c r="AK395" i="5"/>
  <c r="AB395" i="5"/>
  <c r="AT395" i="5"/>
  <c r="AK394" i="5"/>
  <c r="AB394" i="5"/>
  <c r="AT394" i="5"/>
  <c r="AK393" i="5"/>
  <c r="AB393" i="5"/>
  <c r="AT393" i="5"/>
  <c r="AK392" i="5"/>
  <c r="AB392" i="5"/>
  <c r="AT392" i="5"/>
  <c r="AK391" i="5"/>
  <c r="AB391" i="5"/>
  <c r="AT391" i="5"/>
  <c r="AK390" i="5"/>
  <c r="AB390" i="5"/>
  <c r="AT390" i="5"/>
  <c r="AK389" i="5"/>
  <c r="AB389" i="5"/>
  <c r="AT389" i="5"/>
  <c r="AK388" i="5"/>
  <c r="AB388" i="5"/>
  <c r="AT388" i="5"/>
  <c r="AK387" i="5"/>
  <c r="AB387" i="5"/>
  <c r="AT387" i="5"/>
  <c r="AK386" i="5"/>
  <c r="AB386" i="5"/>
  <c r="AT386" i="5"/>
  <c r="AK385" i="5"/>
  <c r="AB385" i="5"/>
  <c r="AT385" i="5"/>
  <c r="AK384" i="5"/>
  <c r="AB384" i="5"/>
  <c r="AT384" i="5"/>
  <c r="AK383" i="5"/>
  <c r="AB383" i="5"/>
  <c r="AK382" i="5"/>
  <c r="AB382" i="5"/>
  <c r="AK381" i="5"/>
  <c r="AB381" i="5"/>
  <c r="AK380" i="5"/>
  <c r="AB380" i="5"/>
  <c r="AK267" i="5"/>
  <c r="AB267" i="5"/>
  <c r="AK378" i="5"/>
  <c r="AB378" i="5"/>
  <c r="AK377" i="5"/>
  <c r="AB377" i="5"/>
  <c r="AK401" i="5"/>
  <c r="AB401" i="5"/>
  <c r="AK344" i="5"/>
  <c r="AB344" i="5"/>
  <c r="AK374" i="5"/>
  <c r="AB374" i="5"/>
  <c r="AK403" i="5"/>
  <c r="AB403" i="5"/>
  <c r="AK372" i="5"/>
  <c r="AB372" i="5"/>
  <c r="AK346" i="5"/>
  <c r="AB346" i="5"/>
  <c r="AK370" i="5"/>
  <c r="AB370" i="5"/>
  <c r="AK369" i="5"/>
  <c r="AB369" i="5"/>
  <c r="AK368" i="5"/>
  <c r="AB368" i="5"/>
  <c r="AK367" i="5"/>
  <c r="AB367" i="5"/>
  <c r="AK366" i="5"/>
  <c r="AB366" i="5"/>
  <c r="AK365" i="5"/>
  <c r="AB365" i="5"/>
  <c r="AK364" i="5"/>
  <c r="AB364" i="5"/>
  <c r="AK363" i="5"/>
  <c r="AB363" i="5"/>
  <c r="AK362" i="5"/>
  <c r="AB362" i="5"/>
  <c r="AK361" i="5"/>
  <c r="AB361" i="5"/>
  <c r="AK402" i="5"/>
  <c r="AB402" i="5"/>
  <c r="AK345" i="5"/>
  <c r="AB345" i="5"/>
  <c r="AK356" i="5"/>
  <c r="AB356" i="5"/>
  <c r="AK355" i="5"/>
  <c r="AB355" i="5"/>
  <c r="AK354" i="5"/>
  <c r="AB354" i="5"/>
  <c r="AK353" i="5"/>
  <c r="AB353" i="5"/>
  <c r="AK352" i="5"/>
  <c r="AB352" i="5"/>
  <c r="AK158" i="5"/>
  <c r="AB158" i="5"/>
  <c r="AK157" i="5"/>
  <c r="AB157" i="5"/>
  <c r="AK156" i="5"/>
  <c r="AB156" i="5"/>
  <c r="AK348" i="5"/>
  <c r="AB348" i="5"/>
  <c r="AK347" i="5"/>
  <c r="AB347" i="5"/>
  <c r="AK105" i="5"/>
  <c r="AB105" i="5"/>
  <c r="AK64" i="5"/>
  <c r="AB64" i="5"/>
  <c r="AK162" i="5"/>
  <c r="AB162" i="5"/>
  <c r="AK161" i="5"/>
  <c r="AB161" i="5"/>
  <c r="AK160" i="5"/>
  <c r="AB160" i="5"/>
  <c r="AK159" i="5"/>
  <c r="AB159" i="5"/>
  <c r="AK340" i="5"/>
  <c r="AB340" i="5"/>
  <c r="AK419" i="5"/>
  <c r="AB419" i="5"/>
  <c r="AK418" i="5"/>
  <c r="AB418" i="5"/>
  <c r="AK417" i="5"/>
  <c r="AB417" i="5"/>
  <c r="AK416" i="5"/>
  <c r="AB416" i="5"/>
  <c r="AK415" i="5"/>
  <c r="AB415" i="5"/>
  <c r="AK413" i="5"/>
  <c r="AB413" i="5"/>
  <c r="AK412" i="5"/>
  <c r="AB412" i="5"/>
  <c r="AK411" i="5"/>
  <c r="AB411" i="5"/>
  <c r="AK421" i="5"/>
  <c r="AB421" i="5"/>
  <c r="AK326" i="5"/>
  <c r="AB326" i="5"/>
  <c r="AT326" i="5"/>
  <c r="AK325" i="5"/>
  <c r="AB325" i="5"/>
  <c r="AT325" i="5"/>
  <c r="AK324" i="5"/>
  <c r="AB324" i="5"/>
  <c r="AT324" i="5"/>
  <c r="AK323" i="5"/>
  <c r="AB323" i="5"/>
  <c r="AT323" i="5"/>
  <c r="AK410" i="5"/>
  <c r="AB410" i="5"/>
  <c r="AK321" i="5"/>
  <c r="AB321" i="5"/>
  <c r="AK320" i="5"/>
  <c r="AB320" i="5"/>
  <c r="AK319" i="5"/>
  <c r="AB319" i="5"/>
  <c r="AK318" i="5"/>
  <c r="AB318" i="5"/>
  <c r="AK317" i="5"/>
  <c r="AB317" i="5"/>
  <c r="AK316" i="5"/>
  <c r="AB316" i="5"/>
  <c r="AK315" i="5"/>
  <c r="AB315" i="5"/>
  <c r="AK314" i="5"/>
  <c r="AB314" i="5"/>
  <c r="AK313" i="5"/>
  <c r="AB313" i="5"/>
  <c r="AK312" i="5"/>
  <c r="AB312" i="5"/>
  <c r="AK311" i="5"/>
  <c r="AB311" i="5"/>
  <c r="AK310" i="5"/>
  <c r="AB310" i="5"/>
  <c r="AK309" i="5"/>
  <c r="AB309" i="5"/>
  <c r="AK308" i="5"/>
  <c r="AB308" i="5"/>
  <c r="AK307" i="5"/>
  <c r="AB307" i="5"/>
  <c r="AK306" i="5"/>
  <c r="AB306" i="5"/>
  <c r="AB305" i="5"/>
  <c r="P305" i="5"/>
  <c r="AK305" i="5" s="1"/>
  <c r="AB303" i="5"/>
  <c r="P303" i="5"/>
  <c r="AK303" i="5" s="1"/>
  <c r="AB302" i="5"/>
  <c r="P302" i="5"/>
  <c r="AK302" i="5" s="1"/>
  <c r="AK301" i="5"/>
  <c r="AB301" i="5"/>
  <c r="AB300" i="5"/>
  <c r="P300" i="5"/>
  <c r="AK300" i="5" s="1"/>
  <c r="AK299" i="5"/>
  <c r="AB299" i="5"/>
  <c r="AK298" i="5"/>
  <c r="AB298" i="5"/>
  <c r="AK297" i="5"/>
  <c r="AB297" i="5"/>
  <c r="AK296" i="5"/>
  <c r="AB296" i="5"/>
  <c r="AK295" i="5"/>
  <c r="AF295" i="5"/>
  <c r="AE295" i="5"/>
  <c r="AB295" i="5"/>
  <c r="AK294" i="5"/>
  <c r="AB294" i="5"/>
  <c r="AK293" i="5"/>
  <c r="AF293" i="5"/>
  <c r="AE293" i="5"/>
  <c r="AB293" i="5"/>
  <c r="AK292" i="5"/>
  <c r="AK181" i="5"/>
  <c r="AB181" i="5"/>
  <c r="AK180" i="5"/>
  <c r="AB180" i="5"/>
  <c r="AK179" i="5"/>
  <c r="AB179" i="5"/>
  <c r="AK178" i="5"/>
  <c r="AB178" i="5"/>
  <c r="AK287" i="5"/>
  <c r="AB287" i="5"/>
  <c r="AK286" i="5"/>
  <c r="AB286" i="5"/>
  <c r="AK285" i="5"/>
  <c r="AB285" i="5"/>
  <c r="AK284" i="5"/>
  <c r="AB284" i="5"/>
  <c r="AK283" i="5"/>
  <c r="AB283" i="5"/>
  <c r="AK282" i="5"/>
  <c r="AB282" i="5"/>
  <c r="AK281" i="5"/>
  <c r="AB281" i="5"/>
  <c r="AK280" i="5"/>
  <c r="AB280" i="5"/>
  <c r="AK279" i="5"/>
  <c r="AB279" i="5"/>
  <c r="AK278" i="5"/>
  <c r="AB278" i="5"/>
  <c r="AK277" i="5"/>
  <c r="AB277" i="5"/>
  <c r="AK276" i="5"/>
  <c r="AB276" i="5"/>
  <c r="AK275" i="5"/>
  <c r="AB275" i="5"/>
  <c r="AK274" i="5"/>
  <c r="AB274" i="5"/>
  <c r="AK164" i="5"/>
  <c r="AB164" i="5"/>
  <c r="AK175" i="5"/>
  <c r="AB175" i="5"/>
  <c r="AK174" i="5"/>
  <c r="AB174" i="5"/>
  <c r="AK173" i="5"/>
  <c r="AB173" i="5"/>
  <c r="AK172" i="5"/>
  <c r="AB172" i="5"/>
  <c r="AK171" i="5"/>
  <c r="AB171" i="5"/>
  <c r="AK170" i="5"/>
  <c r="AB170" i="5"/>
  <c r="AK169" i="5"/>
  <c r="AB169" i="5"/>
  <c r="AK168" i="5"/>
  <c r="AB168" i="5"/>
  <c r="AK167" i="5"/>
  <c r="AB167" i="5"/>
  <c r="AK262" i="5"/>
  <c r="AB262" i="5"/>
  <c r="AK261" i="5"/>
  <c r="AB261" i="5"/>
  <c r="AK260" i="5"/>
  <c r="AB260" i="5"/>
  <c r="AK255" i="5"/>
  <c r="AB255" i="5"/>
  <c r="AK254" i="5"/>
  <c r="AB254" i="5"/>
  <c r="AK253" i="5"/>
  <c r="AB253" i="5"/>
  <c r="AK252" i="5"/>
  <c r="AB252" i="5"/>
  <c r="AK251" i="5"/>
  <c r="AB251" i="5"/>
  <c r="AK250" i="5"/>
  <c r="AB250" i="5"/>
  <c r="AK249" i="5"/>
  <c r="AB249" i="5"/>
  <c r="AK248" i="5"/>
  <c r="AB248" i="5"/>
  <c r="AK247" i="5"/>
  <c r="AB247" i="5"/>
  <c r="AK246" i="5"/>
  <c r="AB246" i="5"/>
  <c r="AK245" i="5"/>
  <c r="AB245" i="5"/>
  <c r="AK244" i="5"/>
  <c r="AB244" i="5"/>
  <c r="AK243" i="5"/>
  <c r="AB243" i="5"/>
  <c r="AK242" i="5"/>
  <c r="AB242" i="5"/>
  <c r="AB241" i="5"/>
  <c r="P241" i="5"/>
  <c r="AK241" i="5" s="1"/>
  <c r="AK240" i="5"/>
  <c r="AB240" i="5"/>
  <c r="AK239" i="5"/>
  <c r="AB239" i="5"/>
  <c r="AK238" i="5"/>
  <c r="AB238" i="5"/>
  <c r="AB236" i="5"/>
  <c r="P236" i="5"/>
  <c r="AK236" i="5" s="1"/>
  <c r="AK235" i="5"/>
  <c r="AB235" i="5"/>
  <c r="AK234" i="5"/>
  <c r="AB234" i="5"/>
  <c r="AB232" i="5"/>
  <c r="P232" i="5"/>
  <c r="AK232" i="5" s="1"/>
  <c r="AK231" i="5"/>
  <c r="AB231" i="5"/>
  <c r="AB230" i="5"/>
  <c r="P230" i="5"/>
  <c r="AK230" i="5" s="1"/>
  <c r="AK229" i="5"/>
  <c r="AB229" i="5"/>
  <c r="AB228" i="5"/>
  <c r="P228" i="5"/>
  <c r="AK228" i="5" s="1"/>
  <c r="AK227" i="5"/>
  <c r="AB227" i="5"/>
  <c r="AK226" i="5"/>
  <c r="AB226" i="5"/>
  <c r="AK225" i="5"/>
  <c r="AB225" i="5"/>
  <c r="AK224" i="5"/>
  <c r="AB224" i="5"/>
  <c r="AK223" i="5"/>
  <c r="AB223" i="5"/>
  <c r="AK222" i="5"/>
  <c r="AB222" i="5"/>
  <c r="AK221" i="5"/>
  <c r="AB221" i="5"/>
  <c r="AK220" i="5"/>
  <c r="AB220" i="5"/>
  <c r="AK219" i="5"/>
  <c r="AB219" i="5"/>
  <c r="AK217" i="5"/>
  <c r="AB217" i="5"/>
  <c r="AK216" i="5"/>
  <c r="AB216" i="5"/>
  <c r="AB215" i="5"/>
  <c r="P215" i="5"/>
  <c r="AK215" i="5" s="1"/>
  <c r="AK213" i="5"/>
  <c r="AB213" i="5"/>
  <c r="AK212" i="5"/>
  <c r="AB212" i="5"/>
  <c r="AK211" i="5"/>
  <c r="AB211" i="5"/>
  <c r="AK210" i="5"/>
  <c r="AB210" i="5"/>
  <c r="AK209" i="5"/>
  <c r="AB209" i="5"/>
  <c r="AK208" i="5"/>
  <c r="AB208" i="5"/>
  <c r="AK207" i="5"/>
  <c r="AB207" i="5"/>
  <c r="AK206" i="5"/>
  <c r="AB206" i="5"/>
  <c r="AK205" i="5"/>
  <c r="AB205" i="5"/>
  <c r="AK204" i="5"/>
  <c r="AB204" i="5"/>
  <c r="AK203" i="5"/>
  <c r="AB203" i="5"/>
  <c r="AK202" i="5"/>
  <c r="AB202" i="5"/>
  <c r="AK201" i="5"/>
  <c r="AB201" i="5"/>
  <c r="AK200" i="5"/>
  <c r="AB200" i="5"/>
  <c r="AT200" i="5"/>
  <c r="AK199" i="5"/>
  <c r="AB199" i="5"/>
  <c r="AK198" i="5"/>
  <c r="AB198" i="5"/>
  <c r="AK197" i="5"/>
  <c r="AB197" i="5"/>
  <c r="AK196" i="5"/>
  <c r="AB196" i="5"/>
  <c r="AK195" i="5"/>
  <c r="AB195" i="5"/>
  <c r="AK194" i="5"/>
  <c r="AB194" i="5"/>
  <c r="AK193" i="5"/>
  <c r="AB193" i="5"/>
  <c r="AK266" i="5"/>
  <c r="AB266" i="5"/>
  <c r="AK265" i="5"/>
  <c r="AB265" i="5"/>
  <c r="AK379" i="5"/>
  <c r="AB379" i="5"/>
  <c r="AK343" i="5"/>
  <c r="AB343" i="5"/>
  <c r="AK360" i="5"/>
  <c r="AB360" i="5"/>
  <c r="AK337" i="5"/>
  <c r="AB337" i="5"/>
  <c r="AK351" i="5"/>
  <c r="AB351" i="5"/>
  <c r="AK335" i="5"/>
  <c r="AB335" i="5"/>
  <c r="AK332" i="5"/>
  <c r="AB332" i="5"/>
  <c r="AK288" i="5"/>
  <c r="AB288" i="5"/>
  <c r="AK331" i="5"/>
  <c r="AB331" i="5"/>
  <c r="AK273" i="5"/>
  <c r="AB273" i="5"/>
  <c r="AK371" i="5"/>
  <c r="AB371" i="5"/>
  <c r="AK338" i="5"/>
  <c r="AB338" i="5"/>
  <c r="AK322" i="5"/>
  <c r="AB322" i="5"/>
  <c r="AK269" i="5"/>
  <c r="AB269" i="5"/>
  <c r="AK373" i="5"/>
  <c r="AB373" i="5"/>
  <c r="AK339" i="5"/>
  <c r="AB339" i="5"/>
  <c r="AK333" i="5"/>
  <c r="AB333" i="5"/>
  <c r="AK289" i="5"/>
  <c r="AB289" i="5"/>
  <c r="AK329" i="5"/>
  <c r="AB329" i="5"/>
  <c r="AK270" i="5"/>
  <c r="AB270" i="5"/>
  <c r="AK376" i="5"/>
  <c r="AB376" i="5"/>
  <c r="AK342" i="5"/>
  <c r="AB342" i="5"/>
  <c r="AK375" i="5"/>
  <c r="AB375" i="5"/>
  <c r="AK341" i="5"/>
  <c r="AB341" i="5"/>
  <c r="AK291" i="5"/>
  <c r="AB291" i="5"/>
  <c r="AK268" i="5"/>
  <c r="AB268" i="5"/>
  <c r="AK330" i="5"/>
  <c r="AB330" i="5"/>
  <c r="AK271" i="5"/>
  <c r="AB271" i="5"/>
  <c r="AK177" i="5"/>
  <c r="AB177" i="5"/>
  <c r="AK176" i="5"/>
  <c r="AB176" i="5"/>
  <c r="AB350" i="5"/>
  <c r="P350" i="5"/>
  <c r="AK350" i="5" s="1"/>
  <c r="AB404" i="5"/>
  <c r="P404" i="5"/>
  <c r="AB349" i="5"/>
  <c r="P349" i="5"/>
  <c r="AK349" i="5" s="1"/>
  <c r="AF155" i="5"/>
  <c r="AE155" i="5"/>
  <c r="AB155" i="5"/>
  <c r="P155" i="5"/>
  <c r="AK155" i="5" s="1"/>
  <c r="AF154" i="5"/>
  <c r="AE154" i="5"/>
  <c r="AB154" i="5"/>
  <c r="P154" i="5"/>
  <c r="AK154" i="5" s="1"/>
  <c r="AK153" i="5"/>
  <c r="AF153" i="5"/>
  <c r="AE153" i="5"/>
  <c r="AB153" i="5"/>
  <c r="AK152" i="5"/>
  <c r="AF152" i="5"/>
  <c r="AT152" i="5" s="1"/>
  <c r="AE152" i="5"/>
  <c r="AB152" i="5"/>
  <c r="AK151" i="5"/>
  <c r="AF151" i="5"/>
  <c r="AT151" i="5" s="1"/>
  <c r="AE151" i="5"/>
  <c r="AB151" i="5"/>
  <c r="AK150" i="5"/>
  <c r="AF150" i="5"/>
  <c r="AT150" i="5" s="1"/>
  <c r="AE150" i="5"/>
  <c r="AB150" i="5"/>
  <c r="AK149" i="5"/>
  <c r="AF149" i="5"/>
  <c r="AE149" i="5"/>
  <c r="AB149" i="5"/>
  <c r="AK148" i="5"/>
  <c r="AF148" i="5"/>
  <c r="AE148" i="5"/>
  <c r="AB148" i="5"/>
  <c r="AK147" i="5"/>
  <c r="AF147" i="5"/>
  <c r="AE147" i="5"/>
  <c r="AB147" i="5"/>
  <c r="AK146" i="5"/>
  <c r="AF146" i="5"/>
  <c r="AE146" i="5"/>
  <c r="AB146" i="5"/>
  <c r="AK145" i="5"/>
  <c r="AF145" i="5"/>
  <c r="AE145" i="5"/>
  <c r="AB145" i="5"/>
  <c r="AK144" i="5"/>
  <c r="AF144" i="5"/>
  <c r="AE144" i="5"/>
  <c r="AB144" i="5"/>
  <c r="AF143" i="5"/>
  <c r="AE143" i="5"/>
  <c r="AB143" i="5"/>
  <c r="P143" i="5"/>
  <c r="AK143" i="5" s="1"/>
  <c r="AK142" i="5"/>
  <c r="AF142" i="5"/>
  <c r="AE142" i="5"/>
  <c r="AB142" i="5"/>
  <c r="AK141" i="5"/>
  <c r="AF141" i="5"/>
  <c r="AE141" i="5"/>
  <c r="AB141" i="5"/>
  <c r="AF140" i="5"/>
  <c r="AE140" i="5"/>
  <c r="AB140" i="5"/>
  <c r="P140" i="5"/>
  <c r="AK140" i="5" s="1"/>
  <c r="AK139" i="5"/>
  <c r="AF139" i="5"/>
  <c r="AE139" i="5"/>
  <c r="AB139" i="5"/>
  <c r="AF138" i="5"/>
  <c r="AE138" i="5"/>
  <c r="AB138" i="5"/>
  <c r="P138" i="5"/>
  <c r="AK138" i="5" s="1"/>
  <c r="AK137" i="5"/>
  <c r="AF137" i="5"/>
  <c r="AE137" i="5"/>
  <c r="AB137" i="5"/>
  <c r="AK136" i="5"/>
  <c r="AF136" i="5"/>
  <c r="AE136" i="5"/>
  <c r="AB136" i="5"/>
  <c r="AF135" i="5"/>
  <c r="AE135" i="5"/>
  <c r="AB135" i="5"/>
  <c r="P135" i="5"/>
  <c r="AK135" i="5" s="1"/>
  <c r="AK134" i="5"/>
  <c r="AF134" i="5"/>
  <c r="AE134" i="5"/>
  <c r="AB134" i="5"/>
  <c r="AF133" i="5"/>
  <c r="AE133" i="5"/>
  <c r="AB133" i="5"/>
  <c r="P133" i="5"/>
  <c r="AK133" i="5" s="1"/>
  <c r="AF132" i="5"/>
  <c r="AE132" i="5"/>
  <c r="AB132" i="5"/>
  <c r="P132" i="5"/>
  <c r="AK132" i="5" s="1"/>
  <c r="AK131" i="5"/>
  <c r="AF131" i="5"/>
  <c r="AE131" i="5"/>
  <c r="AB131" i="5"/>
  <c r="AK130" i="5"/>
  <c r="AF130" i="5"/>
  <c r="AE130" i="5"/>
  <c r="AB130" i="5"/>
  <c r="AK129" i="5"/>
  <c r="AB129" i="5"/>
  <c r="AK128" i="5"/>
  <c r="AB128" i="5"/>
  <c r="AK127" i="5"/>
  <c r="AB127" i="5"/>
  <c r="AK126" i="5"/>
  <c r="AB126" i="5"/>
  <c r="AK125" i="5"/>
  <c r="AB125" i="5"/>
  <c r="AK124" i="5"/>
  <c r="AB124" i="5"/>
  <c r="AK123" i="5"/>
  <c r="AB123" i="5"/>
  <c r="AK122" i="5"/>
  <c r="AB122" i="5"/>
  <c r="AK121" i="5"/>
  <c r="AB121" i="5"/>
  <c r="AK120" i="5"/>
  <c r="AB120" i="5"/>
  <c r="AK119" i="5"/>
  <c r="AB119" i="5"/>
  <c r="AK118" i="5"/>
  <c r="AB118" i="5"/>
  <c r="AO117" i="5"/>
  <c r="AK117" i="5"/>
  <c r="AB117" i="5"/>
  <c r="AK116" i="5"/>
  <c r="AB116" i="5"/>
  <c r="AK115" i="5"/>
  <c r="AB115" i="5"/>
  <c r="AO114" i="5"/>
  <c r="AK114" i="5"/>
  <c r="AB114" i="5"/>
  <c r="AK113" i="5"/>
  <c r="AB113" i="5"/>
  <c r="AF112" i="5"/>
  <c r="AE112" i="5"/>
  <c r="AB112" i="5"/>
  <c r="P112" i="5"/>
  <c r="AK112" i="5" s="1"/>
  <c r="AF111" i="5"/>
  <c r="AE111" i="5"/>
  <c r="AB111" i="5"/>
  <c r="P111" i="5"/>
  <c r="AK111" i="5" s="1"/>
  <c r="AF110" i="5"/>
  <c r="AE110" i="5"/>
  <c r="AB110" i="5"/>
  <c r="P110" i="5"/>
  <c r="AK110" i="5" s="1"/>
  <c r="AB109" i="5"/>
  <c r="P109" i="5"/>
  <c r="AK109" i="5" s="1"/>
  <c r="AB108" i="5"/>
  <c r="P108" i="5"/>
  <c r="AK108" i="5" s="1"/>
  <c r="AB107" i="5"/>
  <c r="P107" i="5"/>
  <c r="AK107" i="5" s="1"/>
  <c r="AK106" i="5"/>
  <c r="AB106" i="5"/>
  <c r="AK163" i="5"/>
  <c r="AB163" i="5"/>
  <c r="AK104" i="5"/>
  <c r="AB104" i="5"/>
  <c r="AK103" i="5"/>
  <c r="AB103" i="5"/>
  <c r="AK101" i="5"/>
  <c r="AB101" i="5"/>
  <c r="AK100" i="5"/>
  <c r="AB100" i="5"/>
  <c r="AB99" i="5"/>
  <c r="P99" i="5"/>
  <c r="AK99" i="5" s="1"/>
  <c r="AK98" i="5"/>
  <c r="AB98" i="5"/>
  <c r="AK97" i="5"/>
  <c r="AB97" i="5"/>
  <c r="AK96" i="5"/>
  <c r="AB96" i="5"/>
  <c r="AK95" i="5"/>
  <c r="AB95" i="5"/>
  <c r="AK94" i="5"/>
  <c r="AB94" i="5"/>
  <c r="AK93" i="5"/>
  <c r="AB93" i="5"/>
  <c r="AK92" i="5"/>
  <c r="AB92" i="5"/>
  <c r="AK91" i="5"/>
  <c r="AB91" i="5"/>
  <c r="AK90" i="5"/>
  <c r="AB90" i="5"/>
  <c r="AK89" i="5"/>
  <c r="AB89" i="5"/>
  <c r="AK88" i="5"/>
  <c r="AB88" i="5"/>
  <c r="AK87" i="5"/>
  <c r="AB87" i="5"/>
  <c r="AK86" i="5"/>
  <c r="AB86" i="5"/>
  <c r="AK85" i="5"/>
  <c r="AB85" i="5"/>
  <c r="AK84" i="5"/>
  <c r="AB84" i="5"/>
  <c r="AK83" i="5"/>
  <c r="AB83" i="5"/>
  <c r="AB82" i="5"/>
  <c r="P82" i="5"/>
  <c r="AK82" i="5" s="1"/>
  <c r="AK81" i="5"/>
  <c r="AB81" i="5"/>
  <c r="AB80" i="5"/>
  <c r="P80" i="5"/>
  <c r="AK80" i="5" s="1"/>
  <c r="AB79" i="5"/>
  <c r="P79" i="5"/>
  <c r="AK79" i="5" s="1"/>
  <c r="AK78" i="5"/>
  <c r="AB78" i="5"/>
  <c r="AK77" i="5"/>
  <c r="AB77" i="5"/>
  <c r="AK76" i="5"/>
  <c r="AB76" i="5"/>
  <c r="AK75" i="5"/>
  <c r="AB75" i="5"/>
  <c r="AF74" i="5"/>
  <c r="AE74" i="5"/>
  <c r="AB74" i="5"/>
  <c r="P74" i="5"/>
  <c r="AK74" i="5" s="1"/>
  <c r="AF73" i="5"/>
  <c r="AE73" i="5"/>
  <c r="AB73" i="5"/>
  <c r="P73" i="5"/>
  <c r="AK73" i="5" s="1"/>
  <c r="AK72" i="5"/>
  <c r="AB72" i="5"/>
  <c r="AB71" i="5"/>
  <c r="P71" i="5"/>
  <c r="AK71" i="5" s="1"/>
  <c r="AB70" i="5"/>
  <c r="P70" i="5"/>
  <c r="AK70" i="5" s="1"/>
  <c r="AB69" i="5"/>
  <c r="P69" i="5"/>
  <c r="AK69" i="5" s="1"/>
  <c r="AK68" i="5"/>
  <c r="AB68" i="5"/>
  <c r="AK67" i="5"/>
  <c r="AB67" i="5"/>
  <c r="AB66" i="5"/>
  <c r="P66" i="5"/>
  <c r="AK66" i="5" s="1"/>
  <c r="AK65" i="5"/>
  <c r="AB65" i="5"/>
  <c r="AK422" i="5"/>
  <c r="AB422" i="5"/>
  <c r="AK63" i="5"/>
  <c r="AB63" i="5"/>
  <c r="AF62" i="5"/>
  <c r="AE62" i="5"/>
  <c r="AB62" i="5"/>
  <c r="P62" i="5"/>
  <c r="AK62" i="5" s="1"/>
  <c r="AF61" i="5"/>
  <c r="AE61" i="5"/>
  <c r="AB61" i="5"/>
  <c r="P61" i="5"/>
  <c r="AK61" i="5" s="1"/>
  <c r="AK60" i="5"/>
  <c r="AB60" i="5"/>
  <c r="AB59" i="5"/>
  <c r="P59" i="5"/>
  <c r="AK59" i="5" s="1"/>
  <c r="AB58" i="5"/>
  <c r="P58" i="5"/>
  <c r="AK58" i="5" s="1"/>
  <c r="AB57" i="5"/>
  <c r="P57" i="5"/>
  <c r="AK57" i="5" s="1"/>
  <c r="AK56" i="5"/>
  <c r="AB56" i="5"/>
  <c r="AB55" i="5"/>
  <c r="P55" i="5"/>
  <c r="AK55" i="5" s="1"/>
  <c r="AK50" i="5"/>
  <c r="AB50" i="5"/>
  <c r="AK49" i="5"/>
  <c r="AF49" i="5"/>
  <c r="AE49" i="5"/>
  <c r="AB49" i="5"/>
  <c r="AK48" i="5"/>
  <c r="AB48" i="5"/>
  <c r="AK47" i="5"/>
  <c r="AB47" i="5"/>
  <c r="AK46" i="5"/>
  <c r="AB46" i="5"/>
  <c r="AB45" i="5"/>
  <c r="P45" i="5"/>
  <c r="AK45" i="5" s="1"/>
  <c r="AB44" i="5"/>
  <c r="P44" i="5"/>
  <c r="AK44" i="5" s="1"/>
  <c r="AB43" i="5"/>
  <c r="P43" i="5"/>
  <c r="AK43" i="5" s="1"/>
  <c r="AB42" i="5"/>
  <c r="P42" i="5"/>
  <c r="AK42" i="5" s="1"/>
  <c r="AF41" i="5"/>
  <c r="AE41" i="5"/>
  <c r="AB41" i="5"/>
  <c r="P41" i="5"/>
  <c r="AK41" i="5" s="1"/>
  <c r="AK40" i="5"/>
  <c r="AF40" i="5"/>
  <c r="AE40" i="5"/>
  <c r="AB40" i="5"/>
  <c r="AK39" i="5"/>
  <c r="AB39" i="5"/>
  <c r="AK38" i="5"/>
  <c r="AB38" i="5"/>
  <c r="AK37" i="5"/>
  <c r="AB37" i="5"/>
  <c r="AK36" i="5"/>
  <c r="AB36" i="5"/>
  <c r="AK35" i="5"/>
  <c r="AB35" i="5"/>
  <c r="AK34" i="5"/>
  <c r="AB34" i="5"/>
  <c r="AF33" i="5"/>
  <c r="AE33" i="5"/>
  <c r="AB33" i="5"/>
  <c r="P33" i="5"/>
  <c r="AK33" i="5" s="1"/>
  <c r="AF32" i="5"/>
  <c r="AE32" i="5"/>
  <c r="AB32" i="5"/>
  <c r="P32" i="5"/>
  <c r="AK32" i="5" s="1"/>
  <c r="AB31" i="5"/>
  <c r="P31" i="5"/>
  <c r="AK31" i="5" s="1"/>
  <c r="AK30" i="5"/>
  <c r="AB30" i="5"/>
  <c r="AF29" i="5"/>
  <c r="AE29" i="5"/>
  <c r="AB29" i="5"/>
  <c r="P29" i="5"/>
  <c r="AK29" i="5" s="1"/>
  <c r="AF28" i="5"/>
  <c r="AE28" i="5"/>
  <c r="AB28" i="5"/>
  <c r="P28" i="5"/>
  <c r="AK28" i="5" s="1"/>
  <c r="AF27" i="5"/>
  <c r="AE27" i="5"/>
  <c r="AB27" i="5"/>
  <c r="P27" i="5"/>
  <c r="AK27" i="5" s="1"/>
  <c r="AK26" i="5"/>
  <c r="AB26" i="5"/>
  <c r="AF25" i="5"/>
  <c r="AE25" i="5"/>
  <c r="AB25" i="5"/>
  <c r="P25" i="5"/>
  <c r="AK25" i="5" s="1"/>
  <c r="AB24" i="5"/>
  <c r="P24" i="5"/>
  <c r="AK24" i="5" s="1"/>
  <c r="AB23" i="5"/>
  <c r="P23" i="5"/>
  <c r="AK23" i="5" s="1"/>
  <c r="AK22" i="5"/>
  <c r="AB22" i="5"/>
  <c r="AF21" i="5"/>
  <c r="AE21" i="5"/>
  <c r="AB21" i="5"/>
  <c r="P21" i="5"/>
  <c r="AK21" i="5" s="1"/>
  <c r="AF20" i="5"/>
  <c r="AE20" i="5"/>
  <c r="AB20" i="5"/>
  <c r="P20" i="5"/>
  <c r="AK20" i="5" s="1"/>
  <c r="AB19" i="5"/>
  <c r="P19" i="5"/>
  <c r="AK19" i="5" s="1"/>
  <c r="AF18" i="5"/>
  <c r="AE18" i="5"/>
  <c r="AB18" i="5"/>
  <c r="P18" i="5"/>
  <c r="AK18" i="5" s="1"/>
  <c r="AK17" i="5"/>
  <c r="AB17" i="5"/>
  <c r="AK16" i="5"/>
  <c r="AB16" i="5"/>
  <c r="AK15" i="5"/>
  <c r="AB15" i="5"/>
  <c r="AK14" i="5"/>
  <c r="AB14" i="5"/>
  <c r="AK13" i="5"/>
  <c r="AB13" i="5"/>
  <c r="AB12" i="5"/>
  <c r="P12" i="5"/>
  <c r="AK12" i="5" s="1"/>
  <c r="AB11" i="5"/>
  <c r="P11" i="5"/>
  <c r="AK11" i="5" s="1"/>
  <c r="AB10" i="5"/>
  <c r="P10" i="5"/>
  <c r="AK10" i="5" s="1"/>
  <c r="AK9" i="5"/>
  <c r="AB9" i="5"/>
  <c r="AK8" i="5"/>
  <c r="AB8" i="5"/>
  <c r="AK7" i="5"/>
  <c r="AB7" i="5"/>
  <c r="AB6" i="5"/>
  <c r="P6" i="5"/>
  <c r="AK6" i="5" s="1"/>
  <c r="AB5" i="5"/>
  <c r="P5" i="5"/>
  <c r="AK5" i="5" s="1"/>
  <c r="AB4" i="5"/>
  <c r="P4" i="5"/>
  <c r="AK4" i="5" s="1"/>
  <c r="AB3" i="5"/>
  <c r="P3" i="5"/>
  <c r="AK3" i="5" s="1"/>
  <c r="AB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K2" i="5" l="1"/>
  <c r="AV2" i="5"/>
  <c r="AO24" i="6"/>
  <c r="AK404" i="5"/>
  <c r="AK405" i="5"/>
  <c r="AB540" i="5"/>
  <c r="AB545" i="5"/>
  <c r="AB548" i="5"/>
  <c r="AB543" i="5"/>
  <c r="AB541" i="5"/>
  <c r="AB547" i="5"/>
  <c r="AB549" i="5"/>
  <c r="AB544" i="5"/>
  <c r="AB542" i="5"/>
  <c r="N24" i="6"/>
  <c r="AX24" i="6" s="1"/>
  <c r="F70" i="3"/>
  <c r="AO23" i="6"/>
  <c r="O18" i="33"/>
  <c r="AU112" i="5"/>
  <c r="AU19" i="5"/>
  <c r="AU29" i="5"/>
  <c r="AU41" i="5"/>
  <c r="AU70" i="5"/>
  <c r="AU107" i="5"/>
  <c r="AU10" i="5"/>
  <c r="AU11" i="5"/>
  <c r="AU23" i="5"/>
  <c r="AU133" i="5"/>
  <c r="AU241" i="5"/>
  <c r="AU69" i="5"/>
  <c r="AU232" i="5"/>
  <c r="AU303" i="5"/>
  <c r="AU547" i="5"/>
  <c r="AU302" i="5"/>
  <c r="AU31" i="5"/>
  <c r="AU74" i="5"/>
  <c r="AU140" i="5"/>
  <c r="AU143" i="5"/>
  <c r="AU154" i="5"/>
  <c r="AU404" i="5"/>
  <c r="AU215" i="5"/>
  <c r="AU300" i="5"/>
  <c r="AU3" i="5"/>
  <c r="AU5" i="5"/>
  <c r="AU18" i="5"/>
  <c r="AU21" i="5"/>
  <c r="AU28" i="5"/>
  <c r="AU43" i="5"/>
  <c r="AU45" i="5"/>
  <c r="AU58" i="5"/>
  <c r="AU66" i="5"/>
  <c r="AU99" i="5"/>
  <c r="AU111" i="5"/>
  <c r="AU62" i="5"/>
  <c r="AU73" i="5"/>
  <c r="AU79" i="5"/>
  <c r="AU108" i="5"/>
  <c r="AU544" i="5"/>
  <c r="AU305" i="5"/>
  <c r="AU109" i="5"/>
  <c r="AU71" i="5"/>
  <c r="AU349" i="5"/>
  <c r="AU350" i="5"/>
  <c r="AU230" i="5"/>
  <c r="AU4" i="5"/>
  <c r="AU6" i="5"/>
  <c r="AU42" i="5"/>
  <c r="AU44" i="5"/>
  <c r="AU57" i="5"/>
  <c r="AU59" i="5"/>
  <c r="AU82" i="5"/>
  <c r="AU228" i="5"/>
  <c r="AU236" i="5"/>
  <c r="AU12" i="5"/>
  <c r="AU24" i="5"/>
  <c r="AU55" i="5"/>
  <c r="AU80" i="5"/>
  <c r="AU564" i="5"/>
  <c r="AU548" i="5"/>
  <c r="AT147" i="5"/>
  <c r="AU147" i="5"/>
  <c r="AT141" i="5"/>
  <c r="AU141" i="5"/>
  <c r="AT49" i="5"/>
  <c r="AU49" i="5"/>
  <c r="AT149" i="5"/>
  <c r="AU149" i="5"/>
  <c r="AT293" i="5"/>
  <c r="AU293" i="5"/>
  <c r="AT295" i="5"/>
  <c r="AU295" i="5"/>
  <c r="AT137" i="5"/>
  <c r="AU137" i="5"/>
  <c r="AT131" i="5"/>
  <c r="AU131" i="5"/>
  <c r="AU25" i="5"/>
  <c r="AU33" i="5"/>
  <c r="AU110" i="5"/>
  <c r="AT134" i="5"/>
  <c r="AU134" i="5"/>
  <c r="AT146" i="5"/>
  <c r="AU146" i="5"/>
  <c r="AU20" i="5"/>
  <c r="AU132" i="5"/>
  <c r="AT148" i="5"/>
  <c r="AU148" i="5"/>
  <c r="AU27" i="5"/>
  <c r="AU61" i="5"/>
  <c r="AT130" i="5"/>
  <c r="AU130" i="5"/>
  <c r="AU32" i="5"/>
  <c r="AT40" i="5"/>
  <c r="AU40" i="5"/>
  <c r="AU135" i="5"/>
  <c r="AT136" i="5"/>
  <c r="AU136" i="5"/>
  <c r="AU138" i="5"/>
  <c r="AT139" i="5"/>
  <c r="AU139" i="5"/>
  <c r="AT142" i="5"/>
  <c r="AU142" i="5"/>
  <c r="AT145" i="5"/>
  <c r="AU145" i="5"/>
  <c r="AT153" i="5"/>
  <c r="AU153" i="5"/>
  <c r="AT144" i="5"/>
  <c r="AU144" i="5"/>
  <c r="AU2" i="5"/>
  <c r="AU155" i="5"/>
  <c r="AU152" i="5"/>
  <c r="AU151" i="5"/>
  <c r="AU150" i="5"/>
  <c r="AT12" i="5"/>
  <c r="AX12" i="5"/>
  <c r="AW12" i="5"/>
  <c r="AV12" i="5"/>
  <c r="AT109" i="5"/>
  <c r="AX109" i="5"/>
  <c r="AW109" i="5"/>
  <c r="AV109" i="5"/>
  <c r="AT74" i="5"/>
  <c r="AX74" i="5"/>
  <c r="AW74" i="5"/>
  <c r="AV74" i="5"/>
  <c r="AT143" i="5"/>
  <c r="AX143" i="5"/>
  <c r="AW143" i="5"/>
  <c r="AV143" i="5"/>
  <c r="AT300" i="5"/>
  <c r="AW300" i="5"/>
  <c r="AV300" i="5"/>
  <c r="AX300" i="5"/>
  <c r="AT112" i="5"/>
  <c r="AX112" i="5"/>
  <c r="AW112" i="5"/>
  <c r="AV112" i="5"/>
  <c r="AT19" i="5"/>
  <c r="AX19" i="5"/>
  <c r="AW19" i="5"/>
  <c r="AV19" i="5"/>
  <c r="AT41" i="5"/>
  <c r="AV41" i="5"/>
  <c r="AW41" i="5"/>
  <c r="AX41" i="5"/>
  <c r="AT404" i="5"/>
  <c r="AX404" i="5"/>
  <c r="AW404" i="5"/>
  <c r="AV404" i="5"/>
  <c r="AT58" i="5"/>
  <c r="AX58" i="5"/>
  <c r="AW58" i="5"/>
  <c r="AV58" i="5"/>
  <c r="AT99" i="5"/>
  <c r="AX99" i="5"/>
  <c r="AV99" i="5"/>
  <c r="AW99" i="5"/>
  <c r="AT70" i="5"/>
  <c r="AX70" i="5"/>
  <c r="AW70" i="5"/>
  <c r="AV70" i="5"/>
  <c r="AT3" i="5"/>
  <c r="AX3" i="5"/>
  <c r="AW3" i="5"/>
  <c r="AV3" i="5"/>
  <c r="AT18" i="5"/>
  <c r="AX18" i="5"/>
  <c r="AW18" i="5"/>
  <c r="AV18" i="5"/>
  <c r="AT28" i="5"/>
  <c r="AX28" i="5"/>
  <c r="AW28" i="5"/>
  <c r="AV28" i="5"/>
  <c r="AT45" i="5"/>
  <c r="AX45" i="5"/>
  <c r="AW45" i="5"/>
  <c r="AV45" i="5"/>
  <c r="AT73" i="5"/>
  <c r="AX73" i="5"/>
  <c r="AW73" i="5"/>
  <c r="AV73" i="5"/>
  <c r="AT133" i="5"/>
  <c r="AX133" i="5"/>
  <c r="AW133" i="5"/>
  <c r="AV133" i="5"/>
  <c r="AT241" i="5"/>
  <c r="AX241" i="5"/>
  <c r="AW241" i="5"/>
  <c r="AV241" i="5"/>
  <c r="AV25" i="5"/>
  <c r="AX25" i="5"/>
  <c r="AW25" i="5"/>
  <c r="AX110" i="5"/>
  <c r="AW110" i="5"/>
  <c r="AV110" i="5"/>
  <c r="AT232" i="5"/>
  <c r="AX232" i="5"/>
  <c r="AW232" i="5"/>
  <c r="AV232" i="5"/>
  <c r="AT303" i="5"/>
  <c r="AX303" i="5"/>
  <c r="AW303" i="5"/>
  <c r="AV303" i="5"/>
  <c r="AT547" i="5"/>
  <c r="AX547" i="5"/>
  <c r="AW547" i="5"/>
  <c r="AV547" i="5"/>
  <c r="AT140" i="5"/>
  <c r="AX140" i="5"/>
  <c r="AV140" i="5"/>
  <c r="AW140" i="5"/>
  <c r="AT31" i="5"/>
  <c r="AX31" i="5"/>
  <c r="AW31" i="5"/>
  <c r="AV31" i="5"/>
  <c r="AT66" i="5"/>
  <c r="AX66" i="5"/>
  <c r="AW66" i="5"/>
  <c r="AV66" i="5"/>
  <c r="AT111" i="5"/>
  <c r="AX111" i="5"/>
  <c r="AW111" i="5"/>
  <c r="AV111" i="5"/>
  <c r="AT5" i="5"/>
  <c r="AX5" i="5"/>
  <c r="AW5" i="5"/>
  <c r="AV5" i="5"/>
  <c r="AT21" i="5"/>
  <c r="AX21" i="5"/>
  <c r="AW21" i="5"/>
  <c r="AV21" i="5"/>
  <c r="AT43" i="5"/>
  <c r="AX43" i="5"/>
  <c r="AW43" i="5"/>
  <c r="AV43" i="5"/>
  <c r="AT10" i="5"/>
  <c r="AX10" i="5"/>
  <c r="AW10" i="5"/>
  <c r="AV10" i="5"/>
  <c r="AT23" i="5"/>
  <c r="AX23" i="5"/>
  <c r="AW23" i="5"/>
  <c r="AV23" i="5"/>
  <c r="AT108" i="5"/>
  <c r="AW108" i="5"/>
  <c r="AV108" i="5"/>
  <c r="AX108" i="5"/>
  <c r="AX20" i="5"/>
  <c r="AW20" i="5"/>
  <c r="AV20" i="5"/>
  <c r="AX27" i="5"/>
  <c r="AW27" i="5"/>
  <c r="AV27" i="5"/>
  <c r="AX61" i="5"/>
  <c r="AW61" i="5"/>
  <c r="AV61" i="5"/>
  <c r="AW132" i="5"/>
  <c r="AV132" i="5"/>
  <c r="AX132" i="5"/>
  <c r="AT349" i="5"/>
  <c r="AX349" i="5"/>
  <c r="AV349" i="5"/>
  <c r="AW349" i="5"/>
  <c r="AT350" i="5"/>
  <c r="AX350" i="5"/>
  <c r="AW350" i="5"/>
  <c r="AV350" i="5"/>
  <c r="AT230" i="5"/>
  <c r="AX230" i="5"/>
  <c r="AV230" i="5"/>
  <c r="AW230" i="5"/>
  <c r="AT544" i="5"/>
  <c r="AX544" i="5"/>
  <c r="AW544" i="5"/>
  <c r="AV544" i="5"/>
  <c r="AT107" i="5"/>
  <c r="AX107" i="5"/>
  <c r="AW107" i="5"/>
  <c r="AV107" i="5"/>
  <c r="AT154" i="5"/>
  <c r="AX154" i="5"/>
  <c r="AW154" i="5"/>
  <c r="AV154" i="5"/>
  <c r="AT215" i="5"/>
  <c r="AX215" i="5"/>
  <c r="AW215" i="5"/>
  <c r="AV215" i="5"/>
  <c r="AT62" i="5"/>
  <c r="AX62" i="5"/>
  <c r="AW62" i="5"/>
  <c r="AV62" i="5"/>
  <c r="AT79" i="5"/>
  <c r="AX79" i="5"/>
  <c r="AW79" i="5"/>
  <c r="AV79" i="5"/>
  <c r="AT71" i="5"/>
  <c r="AX71" i="5"/>
  <c r="AW71" i="5"/>
  <c r="AV71" i="5"/>
  <c r="AT59" i="5"/>
  <c r="AX59" i="5"/>
  <c r="AV59" i="5"/>
  <c r="AW59" i="5"/>
  <c r="AT82" i="5"/>
  <c r="AX82" i="5"/>
  <c r="AW82" i="5"/>
  <c r="AV82" i="5"/>
  <c r="AX135" i="5"/>
  <c r="AW135" i="5"/>
  <c r="AV135" i="5"/>
  <c r="AX138" i="5"/>
  <c r="AW138" i="5"/>
  <c r="AV138" i="5"/>
  <c r="AT228" i="5"/>
  <c r="AX228" i="5"/>
  <c r="AW228" i="5"/>
  <c r="AV228" i="5"/>
  <c r="AT236" i="5"/>
  <c r="AX236" i="5"/>
  <c r="AW236" i="5"/>
  <c r="AV236" i="5"/>
  <c r="AT29" i="5"/>
  <c r="AX29" i="5"/>
  <c r="AW29" i="5"/>
  <c r="AV29" i="5"/>
  <c r="AT11" i="5"/>
  <c r="AX11" i="5"/>
  <c r="AW11" i="5"/>
  <c r="AV11" i="5"/>
  <c r="AW33" i="5"/>
  <c r="AX33" i="5"/>
  <c r="AV33" i="5"/>
  <c r="AT69" i="5"/>
  <c r="AX69" i="5"/>
  <c r="AW69" i="5"/>
  <c r="AV69" i="5"/>
  <c r="AX32" i="5"/>
  <c r="AW32" i="5"/>
  <c r="AV32" i="5"/>
  <c r="AT57" i="5"/>
  <c r="AX57" i="5"/>
  <c r="AW57" i="5"/>
  <c r="AV57" i="5"/>
  <c r="AT2" i="5"/>
  <c r="AX2" i="5"/>
  <c r="AW2" i="5"/>
  <c r="AT4" i="5"/>
  <c r="AX4" i="5"/>
  <c r="AW4" i="5"/>
  <c r="AV4" i="5"/>
  <c r="AT6" i="5"/>
  <c r="AX6" i="5"/>
  <c r="AW6" i="5"/>
  <c r="AV6" i="5"/>
  <c r="AT42" i="5"/>
  <c r="AX42" i="5"/>
  <c r="AW42" i="5"/>
  <c r="AV42" i="5"/>
  <c r="AT44" i="5"/>
  <c r="AX44" i="5"/>
  <c r="AW44" i="5"/>
  <c r="AV44" i="5"/>
  <c r="AT55" i="5"/>
  <c r="AX55" i="5"/>
  <c r="AW55" i="5"/>
  <c r="AV55" i="5"/>
  <c r="AT80" i="5"/>
  <c r="AX80" i="5"/>
  <c r="AW80" i="5"/>
  <c r="AV80" i="5"/>
  <c r="AX155" i="5"/>
  <c r="AW155" i="5"/>
  <c r="AV155" i="5"/>
  <c r="AT564" i="5"/>
  <c r="AX564" i="5"/>
  <c r="AW564" i="5"/>
  <c r="AV564" i="5"/>
  <c r="AT24" i="5"/>
  <c r="AX24" i="5"/>
  <c r="AW24" i="5"/>
  <c r="AV24" i="5"/>
  <c r="AT302" i="5"/>
  <c r="AX302" i="5"/>
  <c r="AW302" i="5"/>
  <c r="AV302" i="5"/>
  <c r="AT305" i="5"/>
  <c r="AX305" i="5"/>
  <c r="AW305" i="5"/>
  <c r="AV305" i="5"/>
  <c r="AT548" i="5"/>
  <c r="AX548" i="5"/>
  <c r="AW548" i="5"/>
  <c r="AV548" i="5"/>
  <c r="AT25" i="5"/>
  <c r="AT33" i="5"/>
  <c r="AT110" i="5"/>
  <c r="AT20" i="5"/>
  <c r="AT132" i="5"/>
  <c r="AT27" i="5"/>
  <c r="AT61" i="5"/>
  <c r="AT32" i="5"/>
  <c r="AT135" i="5"/>
  <c r="AT138" i="5"/>
  <c r="AT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K540" i="5"/>
  <c r="AK549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K541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K544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K543" i="5"/>
  <c r="G28" i="3"/>
  <c r="G56" i="3"/>
  <c r="AK542" i="5"/>
  <c r="G7" i="3"/>
  <c r="G32" i="3"/>
  <c r="I31" i="3"/>
  <c r="AK548" i="5"/>
  <c r="N17" i="6"/>
  <c r="J45" i="3"/>
  <c r="J50" i="3"/>
  <c r="I54" i="3"/>
  <c r="J29" i="3"/>
  <c r="I33" i="3"/>
  <c r="I35" i="3"/>
  <c r="G59" i="3"/>
  <c r="J56" i="3"/>
  <c r="G67" i="3"/>
  <c r="H67" i="3" s="1"/>
  <c r="AK547" i="5"/>
  <c r="AK545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U570" i="5"/>
  <c r="AX570" i="5"/>
  <c r="AC20" i="35" s="1"/>
  <c r="AV570" i="5"/>
  <c r="AA41" i="35" s="1"/>
  <c r="AT570" i="5"/>
  <c r="AW570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<sst xmlns="http://schemas.openxmlformats.org/spreadsheetml/2006/main" count="15740" uniqueCount="3285">
  <si>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</si>
  <si>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</si>
  <si>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</si>
  <si>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</si>
  <si>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</si>
  <si>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</si>
  <si>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</si>
  <si>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</si>
  <si>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</si>
  <si>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</si>
  <si>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</si>
  <si>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</si>
  <si>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</si>
  <si>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</si>
  <si>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</si>
  <si>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</si>
  <si>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</si>
  <si>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</si>
  <si>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</si>
  <si>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</si>
  <si>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</si>
  <si>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</si>
  <si>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</si>
  <si>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</si>
  <si>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</si>
  <si>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</si>
  <si>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</si>
  <si>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</si>
  <si>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</si>
  <si>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</si>
  <si>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</si>
  <si>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</si>
  <si>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</si>
  <si>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</si>
  <si>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</si>
  <si>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</si>
  <si>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</si>
  <si>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</si>
  <si>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</si>
  <si>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</si>
  <si>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</si>
  <si>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</si>
  <si>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</si>
  <si>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</si>
  <si>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</si>
  <si>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</si>
  <si>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</si>
  <si>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</si>
  <si>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</si>
  <si>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</si>
  <si>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</si>
  <si>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</si>
  <si>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</si>
  <si>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</si>
  <si>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</si>
  <si>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</si>
  <si>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</si>
  <si>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</si>
  <si>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</si>
  <si>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</si>
  <si>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</si>
  <si>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</si>
  <si>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</si>
  <si>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</si>
  <si>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</si>
  <si>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</si>
  <si>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</si>
  <si>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</si>
  <si>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</si>
  <si>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</si>
  <si>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</si>
  <si>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</si>
  <si>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</si>
  <si>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</si>
  <si>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</si>
  <si>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</si>
  <si>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</si>
  <si>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</si>
  <si>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</si>
  <si>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</si>
  <si>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</si>
  <si>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</si>
  <si>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</si>
  <si>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</si>
  <si>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</si>
  <si>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</si>
  <si>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</si>
  <si>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</si>
  <si>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</si>
  <si>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</si>
  <si>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</si>
  <si>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</si>
  <si>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</si>
  <si>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</si>
  <si>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</si>
  <si>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</si>
  <si>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</si>
  <si>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</si>
  <si>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</si>
  <si>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</si>
  <si>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</si>
  <si>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</si>
  <si>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</si>
  <si>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</si>
  <si>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</si>
  <si>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</si>
  <si>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</si>
  <si>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</si>
  <si>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</si>
  <si>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</si>
  <si>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</si>
  <si>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</si>
  <si>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</si>
  <si>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</si>
  <si>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</si>
  <si>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</si>
  <si>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</si>
  <si>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</si>
  <si>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</si>
  <si>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</si>
  <si>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</si>
  <si>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</si>
  <si>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</si>
  <si>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</si>
  <si>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</si>
  <si>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</si>
  <si>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</si>
  <si>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</si>
  <si>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</si>
  <si>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</si>
  <si>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</si>
  <si>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</si>
  <si>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</si>
  <si>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</si>
  <si>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</si>
  <si>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</si>
  <si>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</si>
  <si>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</si>
  <si>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</si>
  <si>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</si>
  <si>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</si>
  <si>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</si>
  <si>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</si>
  <si>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</si>
  <si>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</si>
  <si>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</si>
  <si>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</si>
  <si>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</si>
  <si>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</si>
  <si>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</si>
  <si>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</si>
  <si>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</si>
  <si>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</si>
  <si>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</si>
  <si>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</si>
  <si>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</si>
  <si>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</si>
  <si>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</si>
  <si>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</si>
  <si>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</si>
  <si>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</si>
  <si>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</si>
  <si>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</si>
  <si>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</si>
  <si>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</si>
  <si>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</si>
  <si>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</si>
  <si>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</si>
  <si>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</si>
  <si>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</si>
  <si>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</si>
  <si>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</si>
  <si>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</si>
  <si>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</si>
  <si>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</si>
  <si>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</si>
  <si>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</si>
  <si>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</si>
  <si>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</si>
  <si>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</si>
  <si>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</si>
  <si>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</si>
  <si>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</si>
  <si>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</si>
  <si>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</si>
  <si>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</si>
  <si>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</si>
  <si>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</si>
  <si>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</si>
  <si>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</si>
  <si>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</si>
  <si>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</si>
  <si>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</si>
  <si>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</si>
  <si>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</si>
  <si>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</si>
  <si>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</si>
  <si>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</si>
  <si>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</si>
  <si>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</si>
  <si>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</si>
  <si>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</si>
  <si>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</si>
  <si>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</si>
  <si>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</si>
  <si>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</si>
  <si>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</si>
  <si>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</si>
  <si>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</si>
  <si>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</si>
  <si>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</si>
  <si>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</si>
  <si>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</si>
  <si>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</si>
  <si>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</si>
  <si>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</si>
  <si>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</si>
  <si>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</si>
  <si>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</si>
  <si>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</si>
  <si>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</si>
  <si>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</si>
  <si>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</si>
  <si>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</si>
  <si>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</si>
  <si>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</si>
  <si>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</si>
  <si>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</si>
  <si>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</si>
  <si>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</si>
  <si>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</si>
  <si>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</si>
  <si>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</si>
  <si>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</si>
  <si>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</si>
  <si>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</si>
  <si>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</si>
  <si>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</si>
  <si>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</si>
  <si>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</si>
  <si>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</si>
  <si>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</si>
  <si>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</si>
  <si>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</si>
  <si>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</si>
  <si>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</si>
  <si>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</si>
  <si>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</si>
  <si>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</si>
  <si>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</si>
  <si>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</si>
  <si>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</si>
  <si>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</si>
  <si>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</si>
  <si>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</si>
  <si>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</si>
  <si>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</si>
  <si>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</si>
  <si>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</si>
  <si>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</si>
  <si>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</si>
  <si>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</si>
  <si>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</si>
  <si>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</si>
  <si>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</si>
  <si>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</si>
  <si>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</si>
  <si>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</si>
  <si>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</si>
  <si>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</si>
  <si>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</si>
  <si>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</si>
  <si>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</si>
  <si>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</si>
  <si>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</si>
  <si>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</si>
  <si>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</si>
  <si>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</si>
  <si>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</si>
  <si>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</si>
  <si>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</si>
  <si>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</si>
  <si>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</si>
  <si>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</si>
  <si>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</si>
  <si>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</si>
  <si>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</si>
  <si>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</si>
  <si>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</si>
  <si>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</si>
  <si>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</si>
  <si>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</si>
  <si>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</si>
  <si>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</si>
  <si>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</si>
  <si>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</si>
  <si>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</si>
  <si>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</si>
  <si>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</si>
  <si>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</si>
  <si>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</si>
  <si>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</si>
  <si>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</si>
  <si>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</si>
  <si>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</si>
  <si>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</si>
  <si>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</si>
  <si>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</si>
  <si>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</si>
  <si>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</si>
  <si>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</si>
  <si>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</si>
  <si>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</si>
  <si>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</si>
  <si>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</si>
  <si>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</si>
  <si>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</si>
  <si>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</si>
  <si>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</si>
  <si>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</si>
  <si>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</si>
  <si>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</si>
  <si>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</si>
  <si>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</si>
  <si>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</si>
  <si>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</si>
  <si>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</si>
  <si>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</si>
  <si>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</si>
  <si>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</si>
  <si>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</si>
  <si>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</si>
  <si>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</si>
  <si>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</si>
  <si>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</si>
  <si>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</si>
  <si>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</si>
  <si>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</si>
  <si>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</si>
  <si>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</si>
  <si>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</si>
  <si>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</si>
  <si>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</si>
  <si>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</si>
  <si>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</si>
  <si>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</si>
  <si>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</si>
  <si>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</si>
  <si>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</si>
  <si>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</si>
  <si>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</si>
  <si>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</si>
  <si>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</si>
  <si>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</si>
  <si>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</si>
  <si>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</si>
  <si>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</si>
  <si>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</si>
  <si>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</si>
  <si>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</si>
  <si>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</si>
  <si>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</si>
  <si>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</si>
  <si>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</si>
  <si>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</si>
  <si>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</si>
  <si>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</si>
  <si>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</si>
  <si>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</si>
  <si>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</si>
  <si>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</si>
  <si>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</si>
  <si>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</si>
  <si>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</si>
  <si>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</si>
  <si>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</si>
  <si>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</si>
  <si>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</si>
  <si>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</si>
  <si>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</si>
  <si>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</si>
  <si>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</si>
  <si>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</si>
  <si>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</si>
  <si>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</si>
  <si>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</si>
  <si>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</si>
  <si>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</si>
  <si>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</si>
  <si>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</si>
  <si>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</si>
  <si>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</si>
  <si>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</si>
  <si>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</si>
  <si>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</si>
  <si>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</si>
  <si>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</si>
  <si>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</si>
  <si>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</si>
  <si>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</si>
  <si>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</si>
  <si>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</si>
  <si>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</si>
  <si>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</si>
  <si>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</si>
  <si>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</si>
  <si>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</si>
  <si>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</si>
  <si>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</si>
  <si>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</si>
  <si>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</si>
  <si>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</si>
  <si>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</si>
  <si>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</si>
  <si>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</si>
  <si>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</si>
  <si>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</si>
  <si>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</si>
  <si>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</si>
  <si>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</si>
  <si>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</si>
  <si>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</si>
  <si>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</si>
  <si>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</si>
  <si>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</si>
  <si>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</si>
  <si>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</si>
  <si>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</si>
  <si>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</si>
  <si>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</si>
  <si>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</si>
  <si>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</si>
  <si>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</si>
  <si>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</si>
  <si>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</si>
  <si>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</si>
  <si>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</si>
  <si>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</si>
  <si>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</si>
  <si>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</si>
  <si>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</si>
  <si>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</si>
  <si>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</si>
  <si>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</si>
  <si>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</si>
  <si>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</si>
  <si>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</si>
  <si>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</si>
  <si>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</si>
  <si>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</si>
  <si>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</si>
  <si>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</si>
  <si>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</si>
  <si>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</si>
  <si>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</si>
  <si>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</si>
  <si>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</si>
  <si>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</si>
  <si>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</si>
  <si>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</si>
  <si>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</si>
  <si>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</si>
  <si>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</si>
  <si>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</si>
  <si>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</si>
  <si>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</si>
  <si>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</si>
  <si>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</si>
  <si>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</si>
  <si>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</si>
  <si>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</si>
  <si>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</si>
  <si>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</si>
  <si>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</si>
  <si>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</si>
  <si>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</si>
  <si>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</si>
  <si>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</si>
  <si>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</si>
  <si>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</si>
  <si>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</si>
  <si>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</si>
  <si>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</si>
  <si>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</si>
  <si>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</si>
  <si>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</si>
  <si>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</si>
  <si>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</si>
  <si>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</si>
  <si>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</si>
  <si>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</si>
  <si>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</si>
  <si>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</si>
  <si>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</si>
  <si>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</si>
  <si>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</si>
  <si>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</si>
  <si>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</si>
  <si>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</si>
  <si>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</si>
  <si>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</si>
  <si>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</si>
  <si>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</si>
  <si>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</si>
  <si>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</si>
  <si>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</si>
  <si>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</si>
  <si>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</si>
  <si>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</si>
  <si>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</si>
  <si>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</si>
  <si>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</si>
  <si>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</si>
  <si>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</si>
  <si>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</si>
  <si>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</si>
  <si>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</si>
  <si>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</si>
  <si>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</si>
  <si>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</si>
  <si>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</si>
  <si>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</si>
  <si>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</si>
  <si>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</si>
  <si>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</si>
  <si>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</si>
  <si>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</si>
  <si>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</si>
  <si>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</si>
  <si>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</si>
  <si>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</si>
  <si>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</si>
  <si>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</si>
  <si>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</si>
  <si>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</si>
  <si>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</si>
  <si>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</si>
  <si>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</si>
  <si>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</si>
  <si>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</si>
  <si>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</si>
  <si>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</si>
  <si>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</si>
  <si>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</si>
  <si>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</si>
  <si>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</si>
  <si>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</si>
  <si>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</si>
  <si>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</si>
  <si>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</si>
  <si>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</si>
  <si>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</si>
  <si>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</si>
  <si>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</si>
  <si>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</si>
  <si>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</si>
  <si>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</si>
  <si>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</si>
  <si>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</si>
  <si>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</si>
  <si>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</si>
  <si>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</si>
  <si>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</si>
  <si>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</si>
  <si>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</si>
  <si>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</si>
  <si>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</si>
  <si>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</si>
  <si>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</si>
  <si>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</si>
  <si>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</si>
  <si>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</si>
  <si>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</si>
  <si>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</si>
  <si>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</si>
  <si>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</si>
  <si>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</si>
  <si>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</si>
  <si>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</si>
  <si>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</si>
  <si>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</si>
  <si>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</si>
  <si>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</si>
  <si>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</si>
  <si>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</si>
  <si>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</si>
  <si>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</si>
  <si>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</si>
  <si>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</si>
  <si>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</si>
  <si>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</si>
  <si>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</si>
  <si>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</si>
  <si>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</si>
  <si>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</si>
  <si>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</si>
  <si>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</si>
  <si>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</si>
  <si>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</si>
  <si>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</si>
  <si>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</si>
  <si>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</si>
  <si>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</si>
  <si>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</si>
  <si>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</si>
  <si>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</si>
  <si>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</si>
  <si>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</si>
  <si>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</si>
  <si>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</si>
  <si>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</si>
  <si>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</si>
  <si>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</si>
  <si>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</si>
  <si>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</si>
  <si>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</si>
  <si>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</si>
  <si>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</si>
  <si>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</si>
  <si>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</si>
  <si>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</si>
  <si>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</si>
  <si>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</si>
  <si>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</si>
  <si>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</si>
  <si>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</si>
  <si>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</si>
  <si>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</si>
  <si>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</si>
  <si>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</si>
  <si>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</si>
  <si>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</si>
  <si>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</si>
  <si>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</si>
  <si>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</si>
  <si>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</si>
  <si>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</si>
  <si>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</si>
  <si>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</si>
  <si>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</si>
  <si>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</si>
  <si>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</si>
  <si>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</si>
  <si>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</si>
  <si>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</si>
  <si>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</si>
  <si>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</si>
  <si>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</si>
  <si>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</si>
  <si>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</si>
  <si>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</si>
  <si>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</si>
  <si>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</si>
  <si>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</si>
  <si>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</si>
  <si>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</si>
  <si>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</si>
  <si>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</si>
  <si>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</si>
  <si>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</si>
  <si>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</si>
  <si>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</si>
  <si>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</si>
  <si>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</si>
  <si>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</si>
  <si>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</si>
  <si>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</si>
  <si>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</si>
  <si>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</si>
  <si>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</si>
  <si>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</si>
  <si>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</si>
  <si>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</si>
  <si>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</si>
  <si>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</si>
  <si>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</si>
  <si>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</si>
  <si>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</si>
  <si>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</si>
  <si>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</si>
  <si>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</si>
  <si>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</si>
  <si>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</si>
  <si>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</si>
  <si>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</si>
  <si>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</si>
  <si>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</si>
  <si>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</si>
  <si>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</si>
  <si>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</si>
  <si>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</si>
  <si>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</si>
  <si>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</si>
  <si>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</si>
  <si>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</si>
  <si>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</si>
  <si>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</si>
  <si>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</si>
  <si>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</si>
  <si>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</si>
  <si>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</si>
  <si>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</si>
  <si>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</si>
  <si>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</si>
  <si>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</si>
  <si>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</si>
  <si>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</si>
  <si>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</si>
  <si>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</si>
  <si>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</si>
  <si>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</si>
  <si>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</si>
  <si>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</si>
  <si>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</si>
  <si>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</si>
  <si>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</si>
  <si>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</si>
  <si>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</si>
  <si>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</si>
  <si>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</si>
  <si>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</si>
  <si>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</si>
  <si>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</si>
  <si>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</si>
  <si>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</si>
  <si>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</si>
  <si>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</si>
  <si>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</si>
  <si>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</si>
  <si>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</si>
  <si>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</si>
  <si>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</si>
  <si>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</si>
  <si>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</si>
  <si>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</si>
  <si>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</si>
  <si>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</si>
  <si>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</si>
  <si>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</si>
  <si>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</si>
  <si>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</si>
  <si>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</si>
  <si>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</si>
  <si>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</si>
  <si>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</si>
  <si>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</si>
  <si>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</si>
  <si>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</si>
  <si>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</si>
  <si>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</si>
  <si>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</si>
  <si>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</si>
  <si>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</si>
  <si>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</si>
  <si>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</si>
  <si>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</si>
  <si>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</si>
  <si>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</si>
  <si>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</si>
  <si>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</si>
  <si>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</si>
  <si>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</si>
  <si>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</si>
  <si>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</si>
  <si>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</si>
  <si>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</si>
  <si>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</si>
  <si>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</si>
  <si>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</si>
  <si>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</si>
  <si>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</si>
  <si>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</si>
  <si>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</si>
  <si>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</si>
  <si>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</si>
  <si>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</si>
  <si>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</si>
  <si>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</si>
  <si>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</si>
  <si>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</si>
  <si>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</si>
  <si>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</si>
  <si>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</si>
  <si>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</si>
  <si>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</si>
  <si>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</si>
  <si>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</si>
  <si>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</si>
  <si>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</si>
  <si>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</si>
  <si>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</si>
  <si>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</si>
  <si>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</si>
  <si>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</si>
  <si>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</si>
  <si>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</si>
  <si>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</si>
  <si>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</si>
  <si>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</si>
  <si>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</si>
  <si>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</si>
  <si>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</si>
  <si>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</si>
  <si>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</si>
  <si>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</si>
  <si>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</si>
  <si>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</si>
  <si>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</si>
  <si>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</si>
  <si>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</si>
  <si>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</si>
  <si>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</si>
  <si>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</si>
  <si>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</si>
  <si>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</si>
  <si>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</si>
  <si>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</si>
  <si>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</si>
  <si>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</si>
  <si>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</si>
  <si>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</si>
  <si>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</si>
  <si>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</si>
  <si>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</si>
  <si>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</si>
  <si>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</si>
  <si>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</si>
  <si>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</si>
  <si>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</si>
  <si>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</si>
  <si>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</si>
  <si>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</si>
  <si>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</si>
  <si>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</si>
  <si>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</si>
  <si>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</si>
  <si>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</si>
  <si>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</si>
  <si>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</si>
  <si>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</si>
  <si>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</si>
  <si>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</si>
  <si>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</si>
  <si>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</si>
  <si>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</si>
  <si>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</si>
  <si>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</si>
  <si>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</si>
  <si>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</si>
  <si>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</si>
  <si>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</si>
  <si>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</si>
  <si>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</si>
  <si>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</si>
  <si>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</si>
  <si>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</si>
  <si>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</si>
  <si>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</si>
  <si>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</si>
  <si>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</si>
  <si>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</si>
  <si>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</si>
  <si>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</si>
  <si>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</si>
  <si>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</si>
  <si>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</si>
  <si>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</si>
  <si>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</si>
  <si>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</si>
  <si>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</si>
  <si>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</si>
  <si>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</si>
  <si>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</si>
  <si>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</si>
  <si>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</si>
  <si>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</si>
  <si>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</si>
  <si>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</si>
  <si>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</si>
  <si>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</si>
  <si>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</si>
  <si>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</si>
  <si>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</si>
  <si>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</si>
  <si>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</si>
  <si>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</si>
  <si>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</si>
  <si>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</si>
  <si>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</si>
  <si>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</si>
  <si>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</si>
  <si>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</si>
  <si>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</si>
  <si>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</si>
  <si>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</si>
  <si>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</si>
  <si>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</si>
  <si>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</si>
  <si>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</si>
  <si>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</si>
  <si>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</si>
  <si>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</si>
  <si>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</si>
  <si>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</si>
  <si>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</si>
  <si>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</si>
  <si>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</si>
  <si>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</si>
  <si>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</si>
  <si>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</si>
  <si>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</si>
  <si>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</si>
  <si>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</si>
  <si>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</si>
  <si>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</si>
  <si>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</si>
  <si>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</si>
  <si>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</si>
  <si>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</si>
  <si>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</si>
  <si>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</si>
  <si>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</si>
  <si>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</si>
  <si>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</si>
  <si>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</si>
  <si>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</si>
  <si>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</si>
  <si>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</si>
  <si>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</si>
  <si>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</si>
  <si>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</si>
  <si>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</si>
  <si>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</si>
  <si>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</si>
  <si>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</si>
  <si>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</si>
  <si>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</si>
  <si>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</si>
  <si>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</si>
  <si>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</si>
  <si>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</si>
  <si>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</si>
  <si>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</si>
  <si>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</si>
  <si>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</si>
  <si>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</si>
  <si>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</si>
  <si>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</si>
  <si>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</si>
  <si>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</si>
  <si>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</si>
  <si>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</si>
  <si>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</si>
  <si>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</si>
  <si>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</si>
  <si>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</si>
  <si>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</si>
  <si>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</si>
  <si>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</si>
  <si>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</si>
  <si>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</si>
  <si>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</si>
  <si>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</si>
  <si>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</si>
  <si>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</si>
  <si>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</si>
  <si>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</si>
  <si>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</si>
  <si>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</si>
  <si>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</si>
  <si>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</si>
  <si>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</si>
  <si>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</si>
  <si>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</si>
  <si>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</si>
  <si>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</si>
  <si>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</si>
  <si>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</si>
  <si>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</si>
  <si>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</si>
  <si>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</si>
  <si>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</si>
  <si>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</si>
  <si>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</si>
  <si>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</si>
  <si>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</si>
  <si>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</si>
  <si>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</si>
  <si>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</si>
  <si>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</si>
  <si>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</si>
  <si>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</si>
  <si>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</si>
  <si>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</si>
  <si>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</si>
  <si>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</si>
  <si>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</si>
  <si>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</si>
  <si>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</si>
  <si>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</si>
  <si>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</si>
  <si>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</si>
  <si>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</si>
  <si>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</si>
  <si>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</si>
  <si>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</si>
  <si>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</si>
  <si>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</si>
  <si>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</si>
  <si>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</si>
  <si>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</si>
  <si>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</si>
  <si>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</si>
  <si>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</si>
  <si>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</si>
  <si>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</si>
  <si>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</si>
  <si>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</si>
  <si>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</si>
  <si>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</si>
  <si>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</si>
  <si>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</si>
  <si>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</si>
  <si>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</si>
  <si>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</si>
  <si>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</si>
  <si>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</si>
  <si>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</si>
  <si>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</si>
  <si>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</si>
  <si>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</si>
  <si>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</si>
  <si>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</si>
  <si>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</si>
  <si>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</si>
  <si>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</si>
  <si>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</si>
  <si>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</si>
  <si>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</si>
  <si>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</si>
  <si>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</si>
  <si>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</si>
  <si>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</si>
  <si>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</si>
  <si>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</si>
  <si>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</si>
  <si>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</si>
  <si>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</si>
  <si>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</si>
  <si>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</si>
  <si>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</si>
  <si>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</si>
  <si>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</si>
  <si>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</si>
  <si>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</si>
  <si>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</si>
  <si>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</si>
  <si>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</si>
  <si>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</si>
  <si>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</si>
  <si>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</si>
  <si>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</si>
  <si>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</si>
  <si>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</si>
  <si>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</si>
  <si>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</si>
  <si>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</si>
  <si>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</si>
  <si>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</si>
  <si>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</si>
  <si>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</si>
  <si>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</si>
  <si>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</si>
  <si>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</si>
  <si>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</si>
  <si>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</si>
  <si>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</si>
  <si>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</si>
  <si>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</si>
  <si>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</si>
  <si>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</si>
  <si>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</si>
  <si>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</si>
  <si>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</si>
  <si>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</si>
  <si>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</si>
  <si>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</si>
  <si>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</si>
  <si>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</si>
  <si>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</si>
  <si>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</si>
  <si>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</si>
  <si>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</si>
  <si>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</si>
  <si>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</si>
  <si>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</si>
  <si>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</si>
  <si>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</si>
  <si>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</si>
  <si>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</si>
  <si>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</si>
  <si>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</si>
  <si>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</si>
  <si>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</si>
  <si>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</si>
  <si>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</si>
  <si>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</si>
  <si>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</si>
  <si>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</si>
  <si>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</si>
  <si>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</si>
  <si>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</si>
  <si>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</si>
  <si>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</si>
  <si>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</si>
  <si>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</si>
  <si>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</si>
  <si>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</si>
  <si>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</si>
  <si>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</si>
  <si>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</si>
  <si>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</si>
  <si>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</si>
  <si>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</si>
  <si>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</si>
  <si>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</si>
  <si>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</si>
  <si>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</si>
  <si>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</si>
  <si>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</si>
  <si>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</si>
  <si>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</si>
  <si>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</si>
  <si>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</si>
  <si>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</si>
  <si>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</si>
  <si>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</si>
  <si>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</si>
  <si>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</si>
  <si>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</si>
  <si>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</si>
  <si>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</si>
  <si>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</si>
  <si>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</si>
  <si>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</si>
  <si>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</si>
  <si>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</si>
  <si>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</si>
  <si>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</si>
  <si>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</si>
  <si>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</si>
  <si>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</si>
  <si>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</si>
  <si>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</si>
  <si>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</si>
  <si>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</si>
  <si>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</si>
  <si>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</si>
  <si>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</si>
  <si>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</si>
  <si>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</si>
  <si>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</si>
  <si>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</si>
  <si>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</si>
  <si>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</si>
  <si>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</si>
  <si>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</si>
  <si>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</si>
  <si>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</si>
  <si>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</si>
  <si>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</si>
  <si>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</si>
  <si>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</si>
  <si>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</si>
  <si>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</si>
  <si>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</si>
  <si>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</si>
  <si>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</si>
  <si>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</si>
  <si>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</si>
  <si>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</si>
  <si>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</si>
  <si>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</si>
  <si>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</si>
  <si>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</si>
  <si>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</si>
  <si>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</si>
  <si>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</si>
  <si>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</si>
  <si>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</si>
  <si>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</si>
  <si>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</si>
  <si>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</si>
  <si>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</si>
  <si>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</si>
  <si>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</si>
  <si>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</si>
  <si>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</si>
  <si>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</si>
  <si>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</si>
  <si>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</si>
  <si>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</si>
  <si>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</si>
  <si>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</si>
  <si>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</si>
  <si>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</si>
  <si>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</si>
  <si>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</si>
  <si>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</si>
  <si>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</si>
  <si>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</si>
  <si>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</si>
  <si>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</si>
  <si>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</si>
  <si>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</si>
  <si>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</si>
  <si>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</si>
  <si>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</si>
  <si>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</si>
  <si>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</si>
  <si>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</si>
  <si>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</si>
  <si>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</si>
  <si>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</si>
  <si>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</si>
  <si>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</si>
  <si>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</si>
  <si>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</si>
  <si>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</si>
  <si>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</si>
  <si>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</si>
  <si>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</si>
  <si>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</si>
  <si>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</si>
  <si>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</si>
  <si>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</si>
  <si>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</si>
  <si>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</si>
  <si>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</si>
  <si>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</si>
  <si>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</si>
  <si>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</si>
  <si>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</si>
  <si>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</si>
  <si>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</si>
  <si>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</si>
  <si>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</si>
  <si>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</si>
  <si>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</si>
  <si>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</si>
  <si>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</si>
  <si>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</si>
  <si>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</si>
  <si>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</si>
  <si>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</si>
  <si>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</si>
  <si>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</si>
  <si>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</si>
  <si>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</si>
  <si>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</si>
  <si>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</si>
  <si>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</si>
  <si>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</si>
  <si>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</si>
  <si>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</si>
  <si>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</si>
  <si>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</si>
  <si>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</si>
  <si>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</si>
  <si>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</si>
  <si>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</si>
  <si>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</si>
  <si>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</si>
  <si>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</si>
  <si>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</si>
  <si>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</si>
  <si>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</si>
  <si>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</si>
  <si>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</si>
  <si>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</si>
  <si>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</si>
  <si>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</si>
  <si>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</si>
  <si>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</si>
  <si>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</si>
  <si>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</si>
  <si>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</si>
  <si>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</si>
  <si>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</si>
  <si>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</si>
  <si>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</si>
  <si>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</si>
  <si>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</si>
  <si>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</si>
  <si>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</si>
  <si>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</si>
  <si>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</si>
  <si>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</si>
  <si>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</si>
  <si>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</si>
  <si>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</si>
  <si>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</si>
  <si>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</si>
  <si>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</si>
  <si>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</si>
  <si>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</si>
  <si>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</si>
  <si>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</si>
  <si>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</si>
  <si>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</si>
  <si>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</si>
  <si>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</si>
  <si>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</si>
  <si>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</si>
  <si>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</si>
  <si>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</si>
  <si>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</si>
  <si>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</si>
  <si>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</si>
  <si>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</si>
  <si>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</si>
  <si>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</si>
  <si>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</si>
  <si>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</si>
  <si>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</si>
  <si>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</si>
  <si>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</si>
  <si>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</si>
  <si>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</si>
  <si>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</si>
  <si>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</si>
  <si>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</si>
  <si>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</si>
  <si>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</si>
  <si>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</si>
  <si>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</si>
  <si>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</si>
  <si>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</si>
  <si>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</si>
  <si>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</si>
  <si>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</si>
  <si>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</si>
  <si>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</si>
  <si>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</si>
  <si>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</si>
  <si>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</si>
  <si>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</si>
  <si>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</si>
  <si>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</si>
  <si>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</si>
  <si>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</si>
  <si>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</si>
  <si>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</si>
  <si>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</si>
  <si>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</si>
  <si>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</si>
  <si>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</si>
  <si>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</si>
  <si>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</si>
  <si>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</si>
  <si>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</si>
  <si>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</si>
  <si>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</si>
  <si>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</si>
  <si>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</si>
  <si>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</si>
  <si>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</si>
  <si>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</si>
  <si>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</si>
  <si>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</si>
  <si>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</si>
  <si>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</si>
  <si>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</si>
  <si>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</si>
  <si>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</si>
  <si>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</si>
  <si>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</si>
  <si>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</si>
  <si>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</si>
  <si>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</si>
  <si>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</si>
  <si>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</si>
  <si>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</si>
  <si>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</si>
  <si>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</si>
  <si>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</si>
  <si>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</si>
  <si>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</si>
  <si>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</si>
  <si>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</si>
  <si>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</si>
  <si>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</si>
  <si>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</si>
  <si>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</si>
  <si>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</si>
  <si>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</si>
  <si>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</si>
  <si>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</si>
  <si>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</si>
  <si>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</si>
  <si>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</si>
  <si>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</si>
  <si>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</si>
  <si>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</si>
  <si>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</si>
  <si>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</si>
  <si>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</si>
  <si>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</si>
  <si>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</si>
  <si>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</si>
  <si>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</si>
  <si>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</si>
  <si>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</si>
  <si>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</si>
  <si>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</si>
  <si>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</si>
  <si>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</si>
  <si>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</si>
  <si>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</si>
  <si>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</si>
  <si>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</si>
  <si>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</si>
  <si>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</si>
  <si>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</si>
  <si>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</si>
  <si>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</si>
  <si>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</si>
  <si>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</si>
  <si>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</si>
  <si>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</si>
  <si>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</si>
  <si>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</si>
  <si>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</si>
  <si>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</si>
  <si>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</si>
  <si>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</si>
  <si>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</si>
  <si>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</si>
  <si>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</si>
  <si>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</si>
  <si>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</si>
  <si>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</si>
  <si>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</si>
  <si>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</si>
  <si>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</si>
  <si>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</si>
  <si>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</si>
  <si>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</si>
  <si>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</si>
  <si>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</si>
  <si>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</si>
  <si>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</si>
  <si>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</si>
  <si>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</si>
  <si>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</si>
  <si>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</si>
  <si>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</si>
  <si>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</si>
  <si>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</si>
  <si>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</si>
  <si>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</si>
  <si>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</si>
  <si>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</si>
  <si>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</si>
  <si>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</si>
  <si>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</si>
  <si>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</si>
  <si>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</si>
  <si>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</si>
  <si>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</si>
  <si>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</si>
  <si>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</si>
  <si>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</si>
  <si>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</si>
  <si>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</si>
  <si>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</si>
  <si>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</si>
  <si>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</si>
  <si>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</si>
  <si>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</si>
  <si>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</si>
  <si>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</si>
  <si>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</si>
  <si>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</si>
  <si>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</si>
  <si>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</si>
  <si>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</si>
  <si>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</si>
  <si>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</si>
  <si>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</si>
  <si>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</si>
  <si>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</si>
  <si>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</si>
  <si>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</si>
  <si>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</si>
  <si>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</si>
  <si>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</si>
  <si>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</si>
  <si>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</si>
  <si>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</si>
  <si>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</si>
  <si>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</si>
  <si>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</si>
  <si>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</si>
  <si>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</si>
  <si>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</si>
  <si>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</si>
  <si>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</si>
  <si>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</si>
  <si>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</si>
  <si>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</si>
  <si>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</si>
  <si>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</si>
  <si>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</si>
  <si>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</si>
  <si>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</si>
  <si>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</si>
  <si>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</si>
  <si>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</si>
  <si>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</si>
  <si>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</si>
  <si>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</si>
  <si>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</si>
  <si>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</si>
  <si>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</si>
  <si>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</si>
  <si>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</si>
  <si>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</si>
  <si>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</si>
  <si>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</si>
  <si>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</si>
  <si>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</si>
  <si>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</si>
  <si>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</si>
  <si>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</si>
  <si>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</si>
  <si>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</si>
  <si>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</si>
  <si>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</si>
  <si>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</si>
  <si>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</si>
  <si>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</si>
  <si>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</si>
  <si>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</si>
  <si>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</si>
  <si>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</si>
  <si>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</si>
  <si>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</si>
  <si>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</si>
  <si>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</si>
  <si>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</si>
  <si>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</si>
  <si>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</si>
  <si>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</si>
  <si>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</si>
  <si>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</si>
  <si>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</si>
  <si>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</si>
  <si>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</si>
  <si>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</si>
  <si>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</si>
  <si>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</si>
  <si>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</si>
  <si>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</si>
  <si>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</si>
  <si>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</si>
  <si>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</si>
  <si>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</si>
  <si>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</si>
  <si>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</si>
  <si>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</si>
  <si>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</si>
  <si>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</si>
  <si>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</si>
  <si>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</si>
  <si>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</si>
  <si>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</si>
  <si>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</si>
  <si>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</si>
  <si>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</si>
  <si>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</si>
  <si>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</si>
  <si>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</si>
  <si>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</si>
  <si>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</si>
  <si>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</si>
  <si>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</si>
  <si>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</si>
  <si>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</si>
  <si>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</si>
  <si>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</si>
  <si>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</si>
  <si>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</si>
  <si>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</si>
  <si>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</si>
  <si>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</si>
  <si>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</si>
  <si>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</si>
  <si>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</si>
  <si>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</si>
  <si>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</si>
  <si>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</si>
  <si>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</si>
  <si>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</si>
  <si>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</si>
  <si>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</si>
  <si>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</si>
  <si>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</si>
  <si>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</si>
  <si>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</si>
  <si>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</si>
  <si>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</si>
  <si>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</si>
  <si>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</si>
  <si>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</si>
  <si>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</si>
  <si>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</si>
  <si>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</si>
  <si>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</si>
  <si>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</si>
  <si>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</si>
  <si>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</si>
  <si>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</si>
  <si>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</si>
  <si>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</si>
  <si>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</si>
  <si>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</si>
  <si>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</si>
  <si>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</si>
  <si>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</si>
  <si>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</si>
  <si>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</si>
  <si>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</si>
  <si>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</si>
  <si>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</si>
  <si>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</si>
  <si>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</si>
  <si>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</si>
  <si>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</si>
  <si>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</si>
  <si>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</si>
  <si>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</si>
  <si>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</si>
  <si>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</si>
  <si>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</si>
  <si>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</si>
  <si>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</si>
  <si>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</si>
  <si>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</si>
  <si>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</si>
  <si>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</si>
  <si>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</si>
  <si>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</si>
  <si>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</si>
  <si>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</si>
  <si>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</si>
  <si>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</si>
  <si>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</si>
  <si>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</si>
  <si>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</si>
  <si>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</si>
  <si>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</si>
  <si>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</si>
  <si>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</si>
  <si>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</si>
  <si>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</si>
  <si>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</si>
  <si>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</si>
  <si>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</si>
  <si>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</si>
  <si>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</si>
  <si>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</si>
  <si>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</si>
  <si>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</si>
  <si>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</si>
  <si>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</si>
  <si>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</si>
  <si>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</si>
  <si>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</si>
  <si>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</si>
  <si>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</si>
  <si>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</si>
  <si>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</si>
  <si>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</si>
  <si>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</si>
  <si>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</si>
  <si>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</si>
  <si>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</si>
  <si>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</si>
  <si>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</si>
  <si>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</si>
  <si>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</si>
  <si>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</si>
  <si>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</si>
  <si>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</si>
  <si>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</si>
  <si>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</si>
  <si>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</si>
  <si>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</si>
  <si>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</si>
  <si>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</si>
  <si>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</si>
  <si>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</si>
  <si>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</si>
  <si>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</si>
  <si>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</si>
  <si>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</si>
  <si>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</si>
  <si>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</si>
  <si>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</si>
  <si>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</si>
  <si>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</si>
  <si>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</si>
  <si>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</si>
  <si>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</si>
  <si>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</si>
  <si>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</si>
  <si>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</si>
  <si>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</si>
  <si>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</si>
  <si>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</si>
  <si>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</si>
  <si>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</si>
  <si>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</si>
  <si>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</si>
  <si>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</si>
  <si>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</si>
  <si>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</si>
  <si>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</si>
  <si>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</si>
  <si>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</si>
  <si>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</si>
  <si>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</si>
  <si>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</si>
  <si>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</si>
  <si>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</si>
  <si>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</si>
  <si>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</si>
  <si>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</si>
  <si>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</si>
  <si>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</si>
  <si>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</si>
  <si>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</si>
  <si>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</si>
  <si>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</si>
  <si>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</si>
  <si>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</si>
  <si>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</si>
  <si>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</si>
  <si>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</si>
  <si>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</si>
  <si>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</si>
  <si>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</si>
  <si>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</si>
  <si>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</si>
  <si>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</si>
  <si>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</si>
  <si>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</si>
  <si>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</si>
  <si>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</si>
  <si>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</si>
  <si>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</si>
  <si>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</si>
  <si>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</si>
  <si>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</si>
  <si>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</si>
  <si>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</si>
  <si>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</si>
  <si>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</si>
  <si>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</si>
  <si>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</si>
  <si>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</si>
  <si>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</si>
  <si>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</si>
  <si>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</si>
  <si>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</si>
  <si>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</si>
  <si>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</si>
  <si>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</si>
  <si>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</si>
  <si>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</si>
  <si>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</si>
  <si>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</si>
  <si>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</si>
  <si>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</si>
  <si>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</si>
  <si>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</si>
  <si>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</si>
  <si>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</si>
  <si>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</si>
  <si>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</si>
  <si>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</si>
  <si>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</si>
  <si>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</si>
  <si>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</si>
  <si>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</si>
  <si>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</si>
  <si>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</si>
  <si>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</si>
  <si>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</si>
  <si>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</si>
  <si>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</si>
  <si>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</si>
  <si>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</si>
  <si>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</si>
  <si>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</si>
  <si>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</si>
  <si>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</si>
  <si>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</si>
  <si>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</si>
  <si>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</si>
  <si>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</si>
  <si>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</si>
  <si>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</si>
  <si>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</si>
  <si>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</si>
  <si>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</si>
  <si>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</si>
  <si>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</si>
  <si>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</si>
  <si>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</si>
  <si>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</si>
  <si>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</si>
  <si>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</si>
  <si>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</si>
  <si>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</si>
  <si>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</si>
  <si>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</si>
  <si>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</si>
  <si>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</si>
  <si>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</si>
  <si>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</si>
  <si>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</si>
  <si>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</si>
  <si>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</si>
  <si>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</si>
  <si>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</si>
  <si>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</si>
  <si>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</si>
  <si>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</si>
  <si>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</si>
  <si>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</si>
  <si>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</si>
  <si>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</si>
  <si>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</si>
  <si>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</si>
  <si>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</si>
  <si>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</si>
  <si>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</si>
  <si>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</si>
  <si>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</si>
  <si>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</si>
  <si>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</si>
  <si>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</si>
  <si>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</si>
  <si>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</si>
  <si>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</si>
  <si>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</si>
  <si>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</si>
  <si>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</si>
  <si>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</si>
  <si>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</si>
  <si>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</si>
  <si>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</si>
  <si>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</si>
  <si>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</si>
  <si>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</si>
  <si>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</si>
  <si>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</si>
  <si>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</si>
  <si>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</si>
  <si>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</si>
  <si>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</si>
  <si>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</si>
  <si>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</si>
  <si>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</si>
  <si>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</si>
  <si>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</si>
  <si>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</si>
  <si>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</si>
  <si>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</si>
  <si>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</si>
  <si>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</si>
  <si>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</si>
  <si>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</si>
  <si>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</si>
  <si>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</si>
  <si>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</si>
  <si>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</si>
  <si>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</si>
  <si>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</si>
  <si>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</si>
  <si>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</si>
  <si>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</si>
  <si>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</si>
  <si>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</si>
  <si>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</si>
  <si>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</si>
  <si>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</si>
  <si>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</si>
  <si>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</si>
  <si>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</si>
  <si>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</si>
  <si>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</si>
  <si>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</si>
  <si>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</si>
  <si>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</si>
  <si>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</si>
  <si>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</si>
  <si>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</si>
  <si>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</si>
  <si>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</si>
  <si>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</si>
  <si>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</si>
  <si>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</si>
  <si>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</si>
  <si>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</si>
  <si>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</si>
  <si>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</si>
  <si>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</si>
  <si>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</si>
  <si>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</si>
  <si>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</si>
  <si>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</si>
  <si>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</si>
  <si>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</si>
  <si>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</si>
  <si>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</si>
  <si>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</si>
  <si>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</si>
  <si>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</si>
  <si>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</si>
  <si>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</si>
  <si>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</si>
  <si>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</si>
  <si>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</si>
  <si>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</si>
  <si>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</si>
  <si>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</si>
  <si>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</si>
  <si>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</si>
  <si>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</si>
  <si>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</si>
  <si>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</si>
  <si>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</si>
  <si>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</si>
  <si>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</si>
  <si>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</si>
  <si>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</si>
  <si>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</si>
  <si>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</si>
  <si>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</si>
  <si>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</si>
  <si>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</si>
  <si>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</si>
  <si>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</si>
  <si>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</si>
  <si>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</si>
  <si>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</si>
  <si>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</si>
  <si>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</si>
  <si>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</si>
  <si>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</si>
  <si>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</si>
  <si>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</si>
  <si>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</si>
  <si>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</si>
  <si>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</si>
  <si>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</si>
  <si>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</si>
  <si>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</si>
  <si>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</si>
  <si>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</si>
  <si>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</si>
  <si>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</si>
  <si>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</si>
  <si>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</si>
  <si>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</si>
  <si>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</si>
  <si>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</si>
  <si>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</si>
  <si>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</si>
  <si>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</si>
  <si>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</si>
  <si>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</si>
  <si>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</si>
  <si>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</si>
  <si>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</si>
  <si>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</si>
  <si>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</si>
  <si>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</si>
  <si>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</si>
  <si>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</si>
  <si>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</si>
  <si>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</si>
  <si>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</si>
  <si>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</si>
  <si>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</si>
  <si>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</si>
  <si>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</si>
  <si>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</si>
  <si>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</si>
  <si>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</si>
  <si>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</si>
  <si>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</si>
  <si>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</si>
  <si>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</si>
  <si>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</si>
  <si>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</si>
  <si>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</si>
  <si>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</si>
  <si>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</si>
  <si>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</si>
  <si>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</si>
  <si>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</si>
  <si>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</si>
  <si>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</si>
  <si>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</si>
  <si>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</si>
  <si>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</si>
  <si>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</si>
  <si>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</si>
  <si>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</si>
  <si>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</si>
  <si>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</si>
  <si>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</si>
  <si>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</si>
  <si>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</si>
  <si>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</si>
  <si>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</si>
  <si>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</si>
  <si>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</si>
  <si>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</si>
  <si>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</si>
  <si>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</si>
  <si>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</si>
  <si>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</si>
  <si>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</si>
  <si>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</si>
  <si>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</si>
  <si>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</si>
  <si>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</si>
  <si>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</si>
  <si>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</si>
  <si>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</si>
  <si>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</si>
  <si>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</si>
  <si>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</si>
  <si>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</si>
  <si>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</si>
  <si>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</si>
  <si>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</si>
  <si>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</si>
  <si>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</si>
  <si>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</si>
  <si>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</si>
  <si>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</si>
  <si>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</si>
  <si>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</si>
  <si>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</si>
  <si>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</si>
  <si>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</si>
  <si>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</si>
  <si>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</si>
  <si>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</si>
  <si>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</si>
  <si>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</si>
  <si>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</si>
  <si>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</si>
  <si>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</si>
  <si>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</si>
  <si>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</si>
  <si>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</si>
  <si>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</si>
  <si>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</si>
  <si>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</si>
  <si>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</si>
  <si>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</si>
  <si>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</si>
  <si>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</si>
  <si>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</si>
  <si>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</si>
  <si>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</si>
  <si>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</si>
  <si>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</si>
  <si>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</si>
  <si>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</si>
  <si>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</si>
  <si>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</si>
  <si>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</si>
  <si>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</si>
  <si>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</si>
  <si>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</si>
  <si>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</si>
  <si>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</si>
  <si>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</si>
  <si>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</si>
  <si>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</si>
  <si>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</si>
  <si>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</si>
  <si>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</si>
  <si>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</si>
  <si>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</si>
  <si>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</si>
  <si>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</si>
  <si>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</si>
  <si>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</si>
  <si>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</si>
  <si>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</si>
  <si>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</si>
  <si>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</si>
  <si>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</si>
  <si>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</si>
  <si>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</si>
  <si>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</si>
  <si>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</si>
  <si>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</si>
  <si>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</si>
  <si>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</si>
  <si>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</si>
  <si>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</si>
  <si>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</si>
  <si>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</si>
  <si>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</si>
  <si>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</si>
  <si>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</si>
  <si>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</si>
  <si>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</si>
  <si>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</si>
  <si>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</si>
  <si>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</si>
  <si>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</si>
  <si>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</si>
  <si>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</si>
  <si>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</si>
  <si>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</si>
  <si>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</si>
  <si>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</si>
  <si>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</si>
  <si>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</si>
  <si>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</si>
  <si>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</si>
  <si>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</si>
  <si>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</si>
  <si>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</si>
  <si>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</si>
  <si>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</si>
  <si>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</si>
  <si>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</si>
  <si>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</si>
  <si>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</si>
  <si>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</si>
  <si>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</si>
  <si>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</si>
  <si>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</si>
  <si>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</si>
  <si>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</si>
  <si>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</si>
  <si>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</si>
  <si>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</si>
  <si>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</si>
  <si>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</si>
  <si>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</si>
  <si>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</si>
  <si>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</si>
  <si>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</si>
  <si>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</si>
  <si>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</si>
  <si>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</si>
  <si>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</si>
  <si>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</si>
  <si>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</si>
  <si>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</si>
  <si>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</si>
  <si>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</si>
  <si>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</si>
  <si>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</si>
  <si>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</si>
  <si>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</si>
  <si>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</si>
  <si>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</si>
  <si>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</si>
  <si>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</si>
  <si>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</si>
  <si>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</si>
  <si>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</si>
  <si>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</si>
  <si>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</si>
  <si>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</si>
  <si>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</si>
  <si>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</si>
  <si>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</si>
  <si>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</si>
  <si>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</si>
  <si>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</si>
  <si>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</si>
  <si>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</si>
  <si>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</si>
  <si>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</si>
  <si>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</si>
  <si>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</si>
  <si>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</si>
  <si>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</si>
  <si>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</si>
  <si>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</si>
  <si>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</si>
  <si>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</si>
  <si>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</si>
  <si>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</si>
  <si>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</si>
  <si>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</si>
  <si>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</si>
  <si>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</si>
  <si>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</si>
  <si>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</si>
  <si>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</si>
  <si>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</si>
  <si>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</si>
  <si>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</si>
  <si>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</si>
  <si>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</si>
  <si>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</si>
  <si>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</si>
  <si>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</si>
  <si>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</si>
  <si>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</si>
  <si>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</si>
  <si>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</si>
  <si>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</si>
  <si>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</si>
  <si>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</si>
  <si>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</si>
  <si>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</si>
  <si>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</si>
  <si>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</si>
  <si>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</si>
  <si>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</si>
  <si>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</si>
  <si>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</si>
  <si>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</si>
  <si>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</si>
  <si>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</si>
  <si>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</si>
  <si>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</si>
  <si>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</si>
  <si>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</si>
  <si>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</si>
  <si>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</si>
  <si>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</si>
  <si>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</si>
  <si>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</si>
  <si>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</si>
  <si>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</si>
  <si>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</si>
  <si>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</si>
  <si>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</si>
  <si>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</si>
  <si>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</si>
  <si>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</si>
  <si>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</si>
  <si>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</si>
  <si>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</si>
  <si>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</si>
  <si>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</si>
  <si>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</si>
  <si>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</si>
  <si>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</si>
  <si>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</si>
  <si>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</si>
  <si>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</si>
  <si>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</si>
  <si>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</si>
  <si>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</si>
  <si>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</si>
  <si>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</si>
  <si>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</si>
  <si>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</si>
  <si>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</si>
  <si>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</si>
  <si>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</si>
  <si>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</si>
  <si>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</si>
  <si>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</si>
  <si>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</si>
  <si>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</si>
  <si>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</si>
  <si>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</si>
  <si>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</si>
  <si>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</si>
  <si>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</si>
  <si>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</si>
  <si>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</si>
  <si>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</si>
  <si>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</si>
  <si>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</si>
  <si>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</si>
  <si>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</si>
  <si>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</si>
  <si>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</si>
  <si>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</si>
  <si>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</si>
  <si>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</si>
  <si>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</si>
  <si>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</si>
  <si>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</si>
  <si>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</si>
  <si>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</si>
  <si>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</si>
  <si>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</si>
  <si>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</si>
  <si>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</si>
  <si>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</si>
  <si>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</si>
  <si>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</si>
  <si>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</si>
  <si>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</si>
  <si>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</si>
  <si>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</si>
  <si>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</si>
  <si>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</si>
  <si>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</si>
  <si>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</si>
  <si>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</si>
  <si>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</si>
  <si>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</si>
  <si>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</si>
  <si>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</si>
  <si>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</si>
  <si>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</si>
  <si>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</si>
  <si>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</si>
  <si>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</si>
  <si>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</si>
  <si>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</si>
  <si>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</si>
  <si>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</si>
  <si>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</si>
  <si>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</si>
  <si>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</si>
  <si>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</si>
  <si>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</si>
  <si>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</si>
  <si>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</si>
  <si>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</si>
  <si>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</si>
  <si>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</si>
  <si>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</si>
  <si>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</si>
  <si>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</si>
  <si>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</si>
  <si>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</si>
  <si>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</si>
  <si>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</si>
  <si>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</si>
  <si>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</si>
  <si>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</si>
  <si>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</si>
  <si>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</si>
  <si>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</si>
  <si>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</si>
  <si>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</si>
  <si>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</si>
  <si>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</si>
  <si>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</si>
  <si>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</si>
  <si>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</si>
  <si>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</si>
  <si>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</si>
  <si>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</si>
  <si>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</si>
  <si>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</si>
  <si>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</si>
  <si>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</si>
  <si>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</si>
  <si>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</si>
  <si>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</si>
  <si>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</si>
  <si>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</si>
  <si>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</si>
  <si>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</si>
  <si>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</si>
  <si>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</si>
  <si>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</si>
  <si>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</si>
  <si>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</si>
  <si>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</si>
  <si>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</si>
  <si>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</si>
  <si>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</si>
  <si>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</si>
  <si>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</si>
  <si>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</si>
  <si>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</si>
  <si>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</si>
  <si>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</si>
  <si>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</si>
  <si>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</si>
  <si>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</si>
  <si>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</si>
  <si>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</si>
  <si>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</si>
  <si>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</si>
  <si>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</si>
  <si>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</si>
  <si>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</si>
  <si>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</si>
  <si>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</si>
  <si>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</si>
  <si>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</si>
  <si>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</si>
  <si>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</si>
  <si>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</si>
  <si>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</si>
  <si>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</si>
  <si>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</si>
  <si>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</si>
  <si>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</si>
  <si>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</si>
  <si>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</si>
  <si>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</si>
  <si>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</si>
  <si>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</si>
  <si>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</si>
  <si>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</si>
  <si>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</si>
  <si>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</si>
  <si>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</si>
  <si>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</si>
  <si>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</si>
  <si>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</si>
  <si>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</si>
  <si>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</si>
  <si>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</si>
  <si>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</si>
  <si>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</si>
  <si>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</si>
  <si>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</si>
  <si>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</si>
  <si>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</si>
  <si>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</si>
  <si>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</si>
  <si>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</si>
  <si>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</si>
  <si>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</si>
  <si>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</si>
  <si>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</si>
  <si>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</si>
  <si>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</si>
  <si>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</si>
  <si>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</si>
  <si>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</si>
  <si>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</si>
  <si>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</si>
  <si>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</si>
  <si>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</si>
  <si>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</si>
  <si>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</si>
  <si>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</si>
  <si>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</si>
  <si>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</si>
  <si>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</si>
  <si>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</si>
  <si>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</si>
  <si>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</si>
  <si>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</si>
  <si>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</si>
  <si>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</si>
  <si>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</si>
  <si>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</si>
  <si>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</si>
  <si>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</si>
  <si>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</si>
  <si>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</si>
  <si>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</si>
  <si>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</si>
  <si>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</si>
  <si>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</si>
  <si>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</si>
  <si>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</si>
  <si>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</si>
  <si>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</si>
  <si>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</si>
  <si>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</si>
  <si>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</si>
  <si>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</si>
  <si>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</si>
  <si>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</si>
  <si>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</si>
  <si>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</si>
  <si>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</si>
  <si>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</si>
  <si>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</si>
  <si>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</si>
  <si>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</si>
  <si>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</si>
  <si>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</si>
  <si>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</si>
  <si>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</si>
  <si>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</si>
  <si>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</si>
  <si>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</si>
  <si>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</si>
  <si>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</si>
  <si>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</si>
  <si>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</si>
  <si>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</si>
  <si>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</si>
  <si>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</si>
  <si>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</si>
  <si>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</si>
  <si>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</si>
  <si>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</si>
  <si>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</si>
  <si>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</si>
  <si>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</si>
  <si>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</si>
  <si>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</si>
  <si>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</si>
  <si>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</si>
  <si>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</si>
  <si>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</si>
  <si>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</si>
  <si>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</si>
  <si>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</si>
  <si>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</si>
  <si>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</si>
  <si>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</si>
  <si>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</si>
  <si>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</si>
  <si>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</si>
  <si>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</si>
  <si>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</si>
  <si>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</si>
  <si>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</si>
  <si>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</si>
  <si>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</si>
  <si>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</si>
  <si>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</si>
  <si>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</si>
  <si>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</si>
  <si>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</si>
  <si>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</si>
  <si>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</si>
  <si>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</si>
  <si>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</si>
  <si>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</si>
  <si>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</si>
  <si>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</si>
  <si>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</si>
  <si>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</si>
  <si>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</si>
  <si>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</si>
  <si>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</si>
  <si>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</si>
  <si>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</si>
  <si>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</si>
  <si>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</si>
  <si>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</si>
  <si>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</si>
  <si>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</si>
  <si>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</si>
  <si>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</si>
  <si>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</si>
  <si>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</si>
  <si>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</si>
  <si>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</si>
  <si>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</si>
  <si>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</si>
  <si>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</si>
  <si>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</si>
  <si>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</si>
  <si>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</si>
  <si>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</si>
  <si>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</si>
  <si>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</si>
  <si>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</si>
  <si>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</si>
  <si>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</si>
  <si>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</si>
  <si>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</si>
  <si>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</si>
  <si>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</si>
  <si>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</si>
  <si>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</si>
  <si>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</si>
  <si>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</si>
  <si>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</si>
  <si>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</si>
  <si>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</si>
  <si>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</si>
  <si>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</si>
  <si>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</si>
  <si>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</si>
  <si>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</si>
  <si>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</si>
  <si>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</si>
  <si>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</si>
  <si>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</si>
  <si>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</si>
  <si>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</si>
  <si>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</si>
  <si>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</si>
  <si>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</si>
  <si>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</si>
  <si>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</si>
  <si>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</si>
  <si>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</si>
  <si>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</si>
  <si>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</si>
  <si>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</si>
  <si>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</si>
  <si>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</si>
  <si>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</si>
  <si>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</si>
  <si>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</si>
  <si>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</si>
  <si>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</si>
  <si>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</si>
  <si>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</si>
  <si>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</si>
  <si>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</si>
  <si>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</si>
  <si>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</si>
  <si>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</si>
  <si>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</si>
  <si>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</si>
  <si>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</si>
  <si>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</si>
  <si>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</si>
  <si>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</si>
  <si>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</si>
  <si>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</si>
  <si>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</si>
  <si>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</si>
  <si>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</si>
  <si>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</si>
  <si>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</si>
  <si>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</si>
  <si>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</si>
  <si>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</si>
  <si>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</si>
  <si>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</si>
  <si>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</si>
  <si>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</si>
  <si>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</si>
  <si>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</si>
  <si>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</si>
  <si>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</si>
  <si>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</si>
  <si>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</si>
  <si>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</si>
  <si>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</si>
  <si>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</si>
  <si>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</si>
  <si>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</si>
  <si>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</si>
  <si>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</si>
  <si>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</si>
  <si>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</si>
  <si>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</si>
  <si>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</si>
  <si>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</si>
  <si>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</si>
  <si>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</si>
  <si>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</si>
  <si>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</si>
  <si>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</si>
  <si>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</si>
  <si>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</si>
  <si>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</si>
  <si>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</si>
  <si>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</si>
  <si>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</si>
  <si>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</si>
  <si>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</si>
  <si>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</si>
  <si>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</si>
  <si>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</si>
  <si>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</si>
  <si>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</si>
  <si>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</si>
  <si>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</si>
  <si>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</si>
  <si>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</si>
  <si>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</si>
  <si>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</si>
  <si>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</si>
  <si>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</si>
  <si>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</si>
  <si>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</si>
  <si>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</si>
  <si>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</si>
  <si>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</si>
  <si>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</si>
  <si>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</si>
  <si>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</si>
  <si>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</si>
  <si>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</si>
  <si>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</si>
  <si>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</si>
  <si>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</si>
  <si>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</si>
  <si>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</si>
  <si>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</si>
  <si>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</si>
  <si>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</si>
  <si>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</si>
  <si>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</si>
  <si>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</si>
  <si>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</si>
  <si>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</si>
  <si>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</si>
  <si>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</si>
  <si>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</si>
  <si>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</si>
  <si>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</si>
  <si>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</si>
  <si>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</si>
  <si>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</si>
  <si>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</si>
  <si>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</si>
  <si>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</si>
  <si>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</si>
  <si>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</si>
  <si>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</si>
  <si>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</si>
  <si>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</si>
  <si>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</si>
  <si>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</si>
  <si>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</si>
  <si>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</si>
  <si>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</si>
  <si>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</si>
  <si>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</si>
  <si>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</si>
  <si>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</si>
  <si>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</si>
  <si>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</si>
  <si>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</si>
  <si>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</si>
  <si>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</si>
  <si>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</si>
  <si>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</si>
  <si>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</si>
  <si>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</si>
  <si>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</si>
  <si>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</si>
  <si>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</si>
  <si>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</si>
  <si>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</si>
  <si>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</si>
  <si>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</si>
  <si>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</si>
  <si>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</si>
  <si>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</si>
  <si>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</si>
  <si>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</si>
  <si>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</si>
  <si>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</si>
  <si>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</si>
  <si>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</si>
  <si>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</si>
  <si>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</si>
  <si>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</si>
  <si>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</si>
  <si>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</si>
  <si>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</si>
  <si>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</si>
  <si>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</si>
  <si>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</si>
  <si>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</si>
  <si>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</si>
  <si>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</si>
  <si>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</si>
  <si>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</si>
  <si>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</si>
  <si>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</si>
  <si>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</si>
  <si>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</si>
  <si>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</si>
  <si>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</si>
  <si>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</si>
  <si>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</si>
  <si>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</si>
  <si>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</si>
  <si>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</si>
  <si>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</si>
  <si>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</si>
  <si>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</si>
  <si>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</si>
  <si>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</si>
  <si>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</si>
  <si>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</si>
  <si>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</si>
  <si>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</si>
  <si>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</si>
  <si>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</si>
  <si>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</si>
  <si>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</si>
  <si>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</si>
  <si>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</si>
  <si>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</si>
  <si>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</si>
  <si>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</si>
  <si>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</si>
  <si>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</si>
  <si>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</si>
  <si>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</si>
  <si>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</si>
  <si>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</si>
  <si>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</si>
  <si>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</si>
  <si>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</si>
  <si>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</si>
  <si>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</si>
  <si>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</si>
  <si>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</si>
  <si>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</si>
  <si>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</si>
  <si>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</si>
  <si>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</si>
  <si>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</si>
  <si>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</si>
  <si>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</si>
  <si>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</si>
  <si>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</si>
  <si>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</si>
  <si>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</si>
  <si>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</si>
  <si>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</si>
  <si>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</si>
  <si>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</si>
  <si>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</si>
  <si>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</si>
  <si>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</si>
  <si>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</si>
  <si>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</si>
  <si>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</si>
  <si>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</si>
  <si>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</si>
  <si>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</si>
  <si>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</si>
  <si>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</si>
  <si>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</si>
  <si>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</si>
  <si>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</si>
  <si>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</si>
  <si>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</si>
  <si>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</si>
  <si>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</si>
  <si>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</si>
  <si>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</si>
  <si>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</si>
  <si>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</si>
  <si>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</si>
  <si>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</si>
  <si>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</si>
  <si>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</si>
  <si>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</si>
  <si>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</si>
  <si>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</si>
  <si>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</si>
  <si>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</si>
  <si>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</si>
  <si>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</si>
  <si>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</si>
  <si>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</si>
  <si>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</si>
  <si>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</si>
  <si>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</si>
  <si>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</si>
  <si>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</si>
  <si>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</si>
  <si>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</si>
  <si>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</si>
  <si>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</si>
  <si>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</si>
  <si>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</si>
  <si>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</si>
  <si>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</si>
  <si>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</si>
  <si>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</si>
  <si>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</si>
  <si>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</si>
  <si>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</si>
  <si>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</si>
  <si>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</si>
  <si>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</si>
  <si>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</si>
  <si>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</si>
  <si>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</si>
  <si>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</si>
  <si>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</si>
  <si>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</si>
  <si>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</si>
  <si>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</si>
  <si>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</si>
  <si>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</si>
  <si>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</si>
  <si>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</si>
  <si>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</si>
  <si>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</si>
  <si>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</si>
  <si>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</si>
  <si>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</si>
  <si>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</si>
  <si>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</si>
  <si>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</si>
  <si>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</si>
  <si>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</si>
  <si>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</si>
  <si>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</si>
  <si>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</si>
  <si>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</si>
  <si>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</si>
  <si>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</si>
  <si>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</si>
  <si>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</si>
  <si>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</si>
  <si>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</si>
  <si>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</si>
  <si>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</si>
  <si>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</si>
  <si>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</si>
  <si>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</si>
  <si>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</si>
  <si>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</si>
  <si>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</si>
  <si>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</si>
  <si>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</si>
  <si>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</si>
  <si>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</si>
  <si>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</si>
  <si>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</si>
  <si>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</si>
  <si>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</si>
  <si>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</si>
  <si>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</si>
  <si>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</si>
  <si>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</si>
  <si>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</si>
  <si>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</si>
  <si>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</si>
  <si>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</si>
  <si>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</si>
  <si>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</si>
  <si>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</si>
  <si>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</si>
  <si>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</si>
  <si>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</si>
  <si>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</si>
  <si>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</si>
  <si>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</si>
  <si>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</si>
  <si>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</si>
  <si>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</si>
  <si>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</si>
  <si>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</si>
  <si>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</si>
  <si>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</si>
  <si>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</si>
  <si>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</si>
  <si>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</si>
  <si>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</si>
  <si>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</si>
  <si>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</si>
  <si>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</si>
  <si>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</si>
  <si>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</si>
  <si>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</si>
  <si>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</si>
  <si>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</si>
  <si>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</si>
  <si>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</si>
  <si>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</si>
  <si>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</si>
  <si>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</si>
  <si>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</si>
  <si>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</si>
  <si>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</si>
  <si>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</si>
  <si>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</si>
  <si>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</si>
  <si>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</si>
  <si>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</si>
  <si>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</si>
  <si>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</si>
  <si>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</si>
  <si>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</si>
  <si>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</si>
  <si>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</si>
  <si>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</si>
  <si>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</si>
  <si>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</si>
  <si>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</si>
  <si>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</si>
  <si>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</si>
  <si>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</si>
  <si>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</si>
  <si>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</si>
  <si>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</si>
  <si>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</si>
  <si>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</si>
  <si>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</si>
  <si>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</si>
  <si>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</si>
  <si>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</si>
  <si>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</si>
  <si>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</si>
  <si>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</si>
  <si>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</si>
  <si>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</si>
  <si>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</si>
  <si>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</si>
  <si>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</si>
  <si>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</si>
  <si>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</si>
  <si>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</si>
  <si>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</si>
  <si>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</si>
  <si>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</si>
  <si>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</si>
  <si>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</si>
  <si>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</si>
  <si>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</si>
  <si>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</si>
  <si>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</si>
  <si>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</si>
  <si>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</si>
  <si>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</si>
  <si>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</si>
  <si>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</si>
  <si>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</si>
  <si>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</si>
  <si>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</si>
  <si>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</si>
  <si>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</si>
  <si>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</si>
  <si>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</si>
  <si>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</si>
  <si>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</si>
  <si>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</si>
  <si>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</si>
  <si>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</si>
  <si>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</si>
  <si>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</si>
  <si>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</si>
  <si>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</si>
  <si>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</si>
  <si>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</si>
  <si>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</si>
  <si>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</si>
  <si>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</si>
  <si>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</si>
  <si>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</si>
  <si>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</si>
  <si>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</si>
  <si>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</si>
  <si>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</si>
  <si>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</si>
  <si>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</si>
  <si>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</si>
  <si>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</si>
  <si>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</si>
  <si>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</si>
  <si>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</si>
  <si>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</si>
  <si>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</si>
  <si>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</si>
  <si>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</si>
  <si>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</si>
  <si>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</si>
  <si>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</si>
  <si>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</si>
  <si>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</si>
  <si>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</si>
  <si>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</si>
  <si>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</si>
  <si>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</si>
  <si>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</si>
  <si>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</si>
  <si>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</si>
  <si>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</si>
  <si>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</si>
  <si>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</si>
  <si>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</si>
  <si>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</si>
  <si>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</si>
  <si>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</si>
  <si>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</si>
  <si>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</si>
  <si>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</si>
  <si>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</si>
  <si>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</si>
  <si>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</si>
  <si>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</si>
  <si>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</si>
  <si>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</si>
  <si>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</si>
  <si>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</si>
  <si>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</si>
  <si>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</si>
  <si>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</si>
  <si>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</si>
  <si>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</si>
  <si>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</si>
  <si>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</si>
  <si>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</si>
  <si>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</si>
  <si>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</si>
  <si>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</si>
  <si>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</si>
  <si>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</si>
  <si>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</si>
  <si>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</si>
  <si>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</si>
  <si>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</si>
  <si>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</si>
  <si>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</si>
  <si>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</si>
  <si>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</si>
  <si>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</si>
  <si>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</si>
  <si>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</si>
  <si>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</si>
  <si>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</si>
  <si>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</si>
  <si>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</si>
  <si>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</si>
  <si>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</si>
  <si>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</si>
  <si>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</si>
  <si>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</si>
  <si>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</si>
  <si>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</si>
  <si>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</si>
  <si>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</si>
  <si>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</si>
  <si>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</si>
  <si>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</si>
  <si>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</si>
  <si>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</si>
  <si>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</si>
  <si>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</si>
  <si>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</si>
  <si>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</si>
  <si>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</si>
  <si>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</si>
  <si>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</si>
  <si>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</si>
  <si>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</si>
  <si>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</si>
  <si>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</si>
  <si>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</si>
  <si>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</si>
  <si>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</si>
  <si>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</si>
  <si>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</si>
  <si>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</si>
  <si>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</si>
  <si>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</si>
  <si>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</si>
  <si>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</si>
  <si>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</si>
  <si>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</si>
  <si>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</si>
  <si>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</si>
  <si>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</si>
  <si>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</si>
  <si>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</si>
  <si>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</si>
  <si>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</si>
  <si>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</si>
  <si>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</si>
  <si>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</si>
  <si>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</si>
  <si>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</si>
  <si>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</si>
  <si>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</si>
  <si>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</si>
  <si>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</si>
  <si>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</si>
  <si>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</si>
  <si>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</si>
  <si>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</si>
  <si>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</si>
  <si>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</si>
  <si>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</si>
  <si>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</si>
  <si>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</si>
  <si>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</si>
  <si>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</si>
  <si>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</si>
  <si>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</si>
  <si>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</si>
  <si>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</si>
  <si>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</si>
  <si>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</si>
  <si>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</si>
  <si>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</si>
  <si>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</si>
  <si>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</si>
  <si>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</si>
  <si>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</si>
  <si>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</si>
  <si>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</si>
  <si>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</si>
  <si>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</si>
  <si>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</si>
  <si>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</si>
  <si>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</si>
  <si>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</si>
  <si>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</si>
  <si>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</si>
  <si>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</si>
  <si>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</si>
  <si>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</si>
  <si>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</si>
  <si>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</si>
  <si>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</si>
  <si>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</si>
  <si>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</si>
  <si>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</si>
  <si>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</si>
  <si>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</si>
  <si>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</si>
  <si>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</si>
  <si>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</si>
  <si>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</si>
  <si>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</si>
  <si>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</si>
  <si>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</si>
  <si>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</si>
  <si>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</si>
  <si>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</si>
  <si>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</si>
  <si>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</si>
  <si>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</si>
  <si>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</si>
  <si>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</si>
  <si>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</si>
  <si>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</si>
  <si>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</si>
  <si>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</si>
  <si>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</si>
  <si>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</si>
  <si>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</si>
  <si>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2022/1/24, 2021/12/9</t>
    <phoneticPr fontId="3" type="noConversion"/>
  </si>
  <si>
    <t xml:space="preserve">2022/1/24, 2021/12/14, 2022/1/20(1.91L7), 2022/1/17(eloan-L7), </t>
    <phoneticPr fontId="3" type="noConversion"/>
  </si>
  <si>
    <t>PJ201800012_URS_2業務作業_V1.29.doc, PJ201800012_URS_7介接外部系統_V1.92.docx</t>
    <phoneticPr fontId="3" type="noConversion"/>
  </si>
  <si>
    <t>PJ201800012_URS_2業務作業_V1.28.doc, PJ201800012_URS_7介接外部系統_V1.92.docx</t>
    <phoneticPr fontId="3" type="noConversion"/>
  </si>
  <si>
    <t>列標籤</t>
  </si>
  <si>
    <t>計數 - URS版本</t>
  </si>
  <si>
    <t>L618E</t>
  </si>
  <si>
    <t>L6870</t>
  </si>
  <si>
    <t>L6880</t>
  </si>
  <si>
    <t>L7201</t>
  </si>
  <si>
    <t>L4104</t>
  </si>
  <si>
    <t>L6871</t>
  </si>
  <si>
    <t>L6872</t>
  </si>
  <si>
    <t>L6970</t>
  </si>
  <si>
    <t>L6987</t>
  </si>
  <si>
    <t>L7100</t>
  </si>
  <si>
    <t>L7911</t>
  </si>
  <si>
    <t>L7912</t>
  </si>
  <si>
    <t>L8082</t>
  </si>
  <si>
    <t>L8205</t>
  </si>
  <si>
    <t>LC014</t>
  </si>
  <si>
    <t>LC104</t>
  </si>
  <si>
    <t>LC109</t>
  </si>
  <si>
    <t>LC110</t>
  </si>
  <si>
    <t>LI001</t>
  </si>
  <si>
    <t>LI002</t>
  </si>
  <si>
    <t>LI003</t>
  </si>
  <si>
    <t>L6045</t>
    <phoneticPr fontId="3" type="noConversion"/>
  </si>
  <si>
    <t>結清戶滿五年查詢</t>
    <phoneticPr fontId="3" type="noConversion"/>
  </si>
  <si>
    <t>PJ201800012_URS_6共同作業_V1.14.docx</t>
    <phoneticPr fontId="3" type="noConversion"/>
  </si>
  <si>
    <t>依據Defect單新增交易</t>
    <phoneticPr fontId="3" type="noConversion"/>
  </si>
  <si>
    <t>楊智誠</t>
    <phoneticPr fontId="3" type="noConversion"/>
  </si>
  <si>
    <t>L6045</t>
  </si>
  <si>
    <t>施美娟,程慧娟</t>
  </si>
  <si>
    <t>許慧玉,陳俞辛</t>
  </si>
  <si>
    <t>許慧玉,蔡珮瑜、張舜雯</t>
  </si>
  <si>
    <t>施美娟,王薏涵、鄧雪美</t>
  </si>
  <si>
    <t>User_葛r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</si>
</sst>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5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theme="5"/>
      <name val="標楷體"/>
      <family val="4"/>
      <charset val="136"/>
    </font>
    <font>
      <sz val="10"/>
      <color rgb="FF00B050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6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2" fillId="7" borderId="0" xfId="5" applyFont="1" applyFill="1">
      <alignment vertical="center"/>
    </xf>
    <xf numFmtId="14" fontId="4" fillId="0" borderId="0" xfId="0" applyNumberFormat="1" applyFont="1" applyAlignment="1">
      <alignment horizontal="right" vertical="top" wrapText="1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186" fontId="91" fillId="7" borderId="0" xfId="0" quotePrefix="1" applyNumberFormat="1" applyFont="1" applyFill="1" applyAlignment="1">
      <alignment horizontal="right"/>
    </xf>
    <xf numFmtId="186" fontId="91" fillId="4" borderId="0" xfId="0" applyNumberFormat="1" applyFont="1" applyFill="1" applyAlignment="1">
      <alignment horizontal="right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  <xf numFmtId="0" fontId="93" fillId="0" borderId="0" xfId="0" applyFont="1" applyAlignment="1">
      <alignment horizontal="center" vertical="top"/>
    </xf>
    <xf numFmtId="0" fontId="94" fillId="0" borderId="0" xfId="0" applyFont="1" applyAlignment="1">
      <alignment horizontal="center" vertical="top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pivotCacheDefinition" Target="pivotCache/pivotCacheDefinition5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9.529481365738" createdVersion="7" refreshedVersion="7" minRefreshableVersion="3" recordCount="572" xr:uid="{00000000-000A-0000-FFFF-FFFF00000000}">
  <cacheSource type="worksheet">
    <worksheetSource ref="A1:BH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 count="26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2-11T00:00:00"/>
        <d v="2022-02-18T00:00:00"/>
        <d v="2022-02-25T00:00:00"/>
        <d v="2022-01-28T00:00:00"/>
        <d v="1899-12-30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1899-12-30T00:00:00" maxDate="2022-01-27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1" maxValue="1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6T00:00:00" count="33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2-11T00:00:00"/>
        <d v="2021-12-28T00:00:00"/>
        <d v="2021-12-21T00:00:00"/>
        <d v="2022-01-22T00:00:00"/>
        <d v="2022-02-22T00:00:00"/>
        <d v="2022-01-28T00:00:00"/>
        <d v="2021-11-15T00:00:00"/>
        <d v="2022-02-21T00:00:00"/>
        <d v="2022-02-25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實際完成" numFmtId="0">
      <sharedItems containsNonDate="0" containsDate="1" containsString="0" containsBlank="1" minDate="1899-12-30T00:00:00" maxDate="2022-01-26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437389770723101" maxValue="320"/>
    </cacheField>
    <cacheField name="已SIT待FT" numFmtId="0">
      <sharedItems containsBlank="1" containsMixedTypes="1" containsNumber="1" minValue="3.5273368606701938E-3" maxValue="2"/>
    </cacheField>
    <cacheField name="待SIT已FT" numFmtId="0">
      <sharedItems containsBlank="1" containsMixedTypes="1" containsNumber="1" minValue="0.3403880070546737" maxValue="193"/>
    </cacheField>
    <cacheField name="待SIT待FT" numFmtId="0">
      <sharedItems containsBlank="1" containsMixedTypes="1" containsNumber="1" minValue="8.9947089947089942E-2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9.5294818287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9.529482060185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9.529482291669" createdVersion="7" refreshedVersion="7" minRefreshableVersion="3" recordCount="572" xr:uid="{00000000-000A-0000-FFFF-FFFF03000000}">
  <cacheSource type="worksheet">
    <worksheetSource ref="A1:Z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0">
      <sharedItems containsNonDate="0" containsDate="1" containsString="0" containsBlank="1" minDate="1899-12-30T00:00:00" maxDate="2022-01-27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9.529482638885" createdVersion="7" refreshedVersion="7" minRefreshableVersion="3" recordCount="572" xr:uid="{6F9E4DDB-42FC-4BEB-BF7D-FD8412C86C49}">
  <cacheSource type="worksheet">
    <worksheetSource ref="A1:BI1048576" sheet="URS確認"/>
  </cacheSource>
  <cacheFields count="60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/>
    </cacheField>
    <cacheField name="流程" numFmtId="0">
      <sharedItems containsBlank="1"/>
    </cacheField>
    <cacheField name="功能代號" numFmtId="0">
      <sharedItems containsBlank="1" count="568">
        <s v="L1001"/>
        <s v="L1101"/>
        <s v="L1102"/>
        <s v="L1103"/>
        <s v="L1104"/>
        <s v="L1110"/>
        <s v="L1111"/>
        <s v="L1905"/>
        <s v="L1105"/>
        <s v="L1908"/>
        <s v="L1108"/>
        <s v="L1109"/>
        <s v="L1907"/>
        <s v="L1107"/>
        <s v="L1909"/>
        <s v="L2001"/>
        <s v="L2101"/>
        <s v="L2010"/>
        <s v="L2111"/>
        <s v="L2153"/>
        <s v="L2151"/>
        <s v="L2112"/>
        <s v="L2015"/>
        <s v="L2154"/>
        <s v="L2016"/>
        <s v="L2020"/>
        <s v="L2250"/>
        <s v="L2902"/>
        <s v="L6070"/>
        <s v="L6700"/>
        <s v="L2921"/>
        <s v="L2801"/>
        <s v="L2018"/>
        <s v="L2118"/>
        <s v="L291A"/>
        <s v="L2019"/>
        <s v="L2119"/>
        <s v="L291B"/>
        <s v="L2021"/>
        <s v="L2221"/>
        <s v="L2038"/>
        <s v="L2411"/>
        <s v="L2911"/>
        <s v="L2415"/>
        <s v="L2416"/>
        <s v="L2915"/>
        <s v="L2916"/>
        <s v="L2918"/>
        <s v="L2418"/>
        <s v="L6023"/>
        <s v="L6203"/>
        <s v="L2017"/>
        <s v="L2417"/>
        <s v="L2412"/>
        <s v="L2912"/>
        <s v="L2413"/>
        <s v="L2913"/>
        <s v="L2414"/>
        <s v="L2914"/>
        <s v="L2702"/>
        <s v="L2072"/>
        <s v="L3901"/>
        <s v="L5901"/>
        <s v="L3003"/>
        <s v="L3110"/>
        <s v="L3120"/>
        <s v="L6984"/>
        <s v="L3100"/>
        <s v="L3002"/>
        <s v="L3916"/>
        <s v="L3001"/>
        <s v="L2060"/>
        <s v="L2600"/>
        <s v="L2604"/>
        <s v="L2064"/>
        <s v="L6022"/>
        <s v="L6202"/>
        <s v="L3912"/>
        <s v="L3005"/>
        <s v="L3932"/>
        <s v="L3721"/>
        <s v="L3701"/>
        <s v="L4101"/>
        <s v="L4001"/>
        <s v="L4901"/>
        <s v="L6001"/>
        <s v="L4042"/>
        <s v="L4410"/>
        <s v="L4040"/>
        <s v="L4414"/>
        <s v="L4940"/>
        <s v="L4941"/>
        <s v="L4043"/>
        <s v="L4412"/>
        <s v="L4041"/>
        <s v="L4942"/>
        <s v="L3210"/>
        <s v="L3220"/>
        <s v="L4102"/>
        <s v="L4103"/>
        <s v="L4104"/>
        <s v="L4922"/>
        <s v="L4923"/>
        <s v="L5101"/>
        <s v="L4701"/>
        <s v="L3007"/>
        <s v="L3009"/>
        <s v="L3943"/>
        <s v="L2061"/>
        <s v="L2670"/>
        <s v="L2062"/>
        <s v="L4060"/>
        <s v="L4610"/>
        <s v="L4600"/>
        <s v="L4601"/>
        <s v="L4611"/>
        <s v="L4602"/>
        <s v="L4603"/>
        <s v="L4962"/>
        <s v="L4960"/>
        <s v="L4961"/>
        <s v="L4964"/>
        <s v="L4965"/>
        <s v="L4450"/>
        <s v="L4943"/>
        <s v="L4451"/>
        <s v="L4452"/>
        <s v="L4453"/>
        <s v="L5705"/>
        <s v="L5706"/>
        <s v="L5071"/>
        <s v="L5701"/>
        <s v="L5981"/>
        <s v="L5075"/>
        <s v="L5974"/>
        <s v="L5073"/>
        <s v="L5970"/>
        <s v="L5074"/>
        <s v="L597A"/>
        <s v="L5702"/>
        <s v="L5712"/>
        <s v="L5971"/>
        <s v="L5972"/>
        <s v="L5703"/>
        <s v="L5704"/>
        <s v="L5707"/>
        <s v="L5973"/>
        <s v="L5975"/>
        <s v="L5976"/>
        <s v="L5977"/>
        <s v="L5711"/>
        <s v="L5708"/>
        <s v="L5709"/>
        <s v="L5710"/>
        <s v="L5903"/>
        <s v="L5103"/>
        <s v="L5104"/>
        <s v="L5982"/>
        <s v="L5812"/>
        <s v="L5811"/>
        <s v="L5813"/>
        <s v="L6101"/>
        <s v="L6102"/>
        <s v="L6104"/>
        <s v="L6103"/>
        <s v="L6201"/>
        <s v="L6901"/>
        <s v="L6902"/>
        <s v="L6903"/>
        <s v="L6904"/>
        <s v="L6905"/>
        <s v="L6906"/>
        <s v="L6907"/>
        <s v="L6908"/>
        <s v="L6030"/>
        <s v="L6310"/>
        <s v="L6031"/>
        <s v="L6032"/>
        <s v="L6301"/>
        <s v="L6302"/>
        <s v="L6042"/>
        <s v="L6402"/>
        <s v="L6043"/>
        <s v="L6403"/>
        <s v="L6041"/>
        <s v="L6401"/>
        <s v="L6943"/>
        <s v="L6044"/>
        <s v="L6045"/>
        <s v="L6932"/>
        <s v="L6088"/>
        <s v="L4500"/>
        <s v="L4950"/>
        <s v="L4510"/>
        <s v="L4951"/>
        <s v="L4512"/>
        <s v="L4511"/>
        <s v="L4200"/>
        <s v="L4520"/>
        <s v="L4204"/>
        <s v="L4205"/>
        <s v="L4002"/>
        <s v="L420A"/>
        <s v="L420B"/>
        <s v="L4920"/>
        <s v="L4925"/>
        <s v="L4930"/>
        <s v="L4202"/>
        <s v="L4203"/>
        <s v="L4454"/>
        <s v="L4455"/>
        <s v="L3911"/>
        <s v="L3917"/>
        <s v="L3913"/>
        <s v="L4210"/>
        <s v="L4921"/>
        <s v="L4201"/>
        <s v="L4211"/>
        <s v="L492A"/>
        <s v="L4702"/>
        <s v="L4703"/>
        <s v="L3921"/>
        <s v="L3922"/>
        <s v="L3923"/>
        <s v="L3924"/>
        <s v="L3925"/>
        <s v="L3926"/>
        <s v="L3004"/>
        <s v="L3130"/>
        <s v="L3200"/>
        <s v="L3230"/>
        <s v="L3240"/>
        <s v="L3410"/>
        <s v="L3420"/>
        <s v="L3731"/>
        <s v="L6987"/>
        <s v="L3711"/>
        <s v="L3712"/>
        <s v="L2603"/>
        <s v="L2078"/>
        <s v="L2601"/>
        <s v="L2602"/>
        <s v="L2941"/>
        <s v="L2942"/>
        <s v="L2605"/>
        <s v="L2613"/>
        <s v="L2614"/>
        <s v="L4604"/>
        <s v="L4605"/>
        <s v="L4606"/>
        <s v="L4607"/>
        <s v="L4966"/>
        <s v="L6982"/>
        <s v="L6983"/>
        <s v="L618B"/>
        <s v="L618C"/>
        <s v="L618E"/>
        <s v="L698A"/>
        <s v="L3440"/>
        <s v="L2079"/>
        <s v="L6981"/>
        <s v="L6933"/>
        <s v="L6934"/>
        <s v="L6052"/>
        <s v="L6502"/>
        <s v="L6501"/>
        <s v="L6061"/>
        <s v="L6062"/>
        <s v="L6063"/>
        <s v="L6064"/>
        <s v="L6069"/>
        <s v="L6065"/>
        <s v="L2076"/>
        <s v="L2631"/>
        <s v="L2931"/>
        <s v="L2077"/>
        <s v="L2932"/>
        <s v="L2632"/>
        <s v="L4322"/>
        <s v="L4320"/>
        <s v="L4031"/>
        <s v="L4321"/>
        <s v="L4325"/>
        <s v="L4931"/>
        <s v="L4721"/>
        <s v="L4030"/>
        <s v="L6066"/>
        <s v="L6067"/>
        <s v="L6068"/>
        <s v="L6601"/>
        <s v="L2036"/>
        <s v="L2035"/>
        <s v="L2305"/>
        <s v="L2306"/>
        <s v="L2022"/>
        <s v="L2023"/>
        <s v="L2222"/>
        <s v="L2903"/>
        <s v="L2980"/>
        <s v="L2073"/>
        <s v="L2703"/>
        <s v="L2039"/>
        <s v="L2040"/>
        <s v="L2480"/>
        <s v="L5060"/>
        <s v="L5960"/>
        <s v="L5961"/>
        <s v="L5601"/>
        <s v="L5962"/>
        <s v="L5602"/>
        <s v="L5963"/>
        <s v="L5603"/>
        <s v="L5964"/>
        <s v="L5604"/>
        <s v="L5965"/>
        <s v="L5605"/>
        <s v="L5061"/>
        <s v="L5062"/>
        <s v="L5606"/>
        <s v="L8080"/>
        <s v="L6602"/>
        <s v="L8081"/>
        <s v="L8082"/>
        <s v="L8083"/>
        <s v="L8084"/>
        <s v="L8110"/>
        <s v="L8101"/>
        <s v="L6603"/>
        <s v="L6604"/>
        <s v="L6605"/>
        <s v="L6606"/>
        <s v="L6607"/>
        <s v="L6608"/>
        <s v="L6071"/>
        <s v="L6072"/>
        <s v="L6073"/>
        <s v="L6074"/>
        <s v="L6075"/>
        <s v="L5801"/>
        <s v="L6077"/>
        <s v="L6078"/>
        <s v="L6079"/>
        <s v="L6081"/>
        <s v="L6082"/>
        <s v="L6084"/>
        <s v="L5902"/>
        <s v="L5102"/>
        <s v="L6085"/>
        <s v="L6086"/>
        <s v="L6701"/>
        <s v="L5905"/>
        <s v="L5105"/>
        <s v="L5106"/>
        <s v="L5906"/>
        <s v="L5116"/>
        <s v="L5907"/>
        <s v="L5107"/>
        <s v="L6702"/>
        <s v="L6703"/>
        <s v="L5402"/>
        <s v="L5021"/>
        <s v="L5401"/>
        <s v="L5023"/>
        <s v="L5406"/>
        <s v="L5024"/>
        <s v="L5405"/>
        <s v="L5022"/>
        <s v="L5914"/>
        <s v="L5407"/>
        <s v="L6704"/>
        <s v="L6994"/>
        <s v="L6705"/>
        <s v="L6757"/>
        <s v="L6707"/>
        <s v="L6708"/>
        <s v="L6087"/>
        <s v="L6787"/>
        <s v="L6709"/>
        <s v="L650A"/>
        <s v="L650B"/>
        <s v="L650C"/>
        <s v="L650D"/>
        <s v="L5051"/>
        <s v="L5501"/>
        <s v="L5505"/>
        <s v="L5052"/>
        <s v="L5502"/>
        <s v="L5056"/>
        <s v="L5506"/>
        <s v="L5500"/>
        <s v="L5510"/>
        <s v="L5511"/>
        <s v="L5053"/>
        <s v="L5503"/>
        <s v="L5512"/>
        <s v="L5054"/>
        <s v="L5504"/>
        <s v="L5910"/>
        <s v="L5912"/>
        <s v="L6751"/>
        <s v="L6752"/>
        <s v="L6754"/>
        <s v="L6755"/>
        <s v="L6970"/>
        <s v="L6870"/>
        <s v="L6871"/>
        <s v="L6872"/>
        <s v="L6880"/>
        <s v="L8100"/>
        <s v="L8921"/>
        <s v="L8201"/>
        <s v="L8924"/>
        <s v="L8925"/>
        <s v="L8202"/>
        <s v="L8922"/>
        <s v="L8203"/>
        <s v="L8923"/>
        <s v="L8204"/>
        <s v="L8205"/>
        <s v="L8701"/>
        <s v="L9110"/>
        <s v="L8030"/>
        <s v="L8031"/>
        <s v="L8032"/>
        <s v="L8033"/>
        <s v="L8034"/>
        <s v="L8035"/>
        <s v="L8036"/>
        <s v="L8037"/>
        <s v="L8038"/>
        <s v="L8039"/>
        <s v="L8040"/>
        <s v="L8041"/>
        <s v="L8042"/>
        <s v="L8043"/>
        <s v="L8044"/>
        <s v="L8045"/>
        <s v="L8046"/>
        <s v="L8047"/>
        <s v="L8048"/>
        <s v="L8049"/>
        <s v="L8050"/>
        <s v="L8051"/>
        <s v="L8052"/>
        <s v="L8053"/>
        <s v="L8054"/>
        <s v="L8055"/>
        <s v="L8056"/>
        <s v="L8057"/>
        <s v="L8058"/>
        <s v="L8059"/>
        <s v="L8060"/>
        <s v="L8061"/>
        <s v="L8062"/>
        <s v="L8063"/>
        <s v="L8064"/>
        <s v="L8065"/>
        <s v="L8066"/>
        <s v="L8067"/>
        <s v="L8301"/>
        <s v="L8302"/>
        <s v="L8303"/>
        <s v="L8304"/>
        <s v="L8305"/>
        <s v="L8306"/>
        <s v="L8307"/>
        <s v="L8308"/>
        <s v="L8309"/>
        <s v="L8310"/>
        <s v="L8311"/>
        <s v="L8312"/>
        <s v="L8313"/>
        <s v="L8314"/>
        <s v="L8315"/>
        <s v="L8316"/>
        <s v="L8317"/>
        <s v="L8318"/>
        <s v="L8319"/>
        <s v="L8320"/>
        <s v="L8321"/>
        <s v="L8322"/>
        <s v="L8323"/>
        <s v="L8324"/>
        <s v="L8325"/>
        <s v="L8326"/>
        <s v="L8327"/>
        <s v="L8328"/>
        <s v="L8329"/>
        <s v="L8330"/>
        <s v="L8331"/>
        <s v="L8332"/>
        <s v="L8333"/>
        <s v="L8334"/>
        <s v="L8335"/>
        <s v="L8336"/>
        <s v="L8337"/>
        <s v="L8403"/>
        <s v="L8404"/>
        <s v="L8405"/>
        <s v="L8406"/>
        <s v="L8407"/>
        <s v="L8408"/>
        <s v="L8409"/>
        <s v="L8410"/>
        <s v="L8411"/>
        <s v="L8412"/>
        <s v="L8413"/>
        <s v="L8414"/>
        <s v="L8415"/>
        <s v="L8416"/>
        <s v="L8417"/>
        <s v="L8418"/>
        <s v="L8419"/>
        <s v="L8420"/>
        <s v="L8421"/>
        <s v="L8422"/>
        <s v="L8423"/>
        <s v="L8424"/>
        <s v="L8425"/>
        <s v="L8426"/>
        <s v="L8427"/>
        <s v="L8428"/>
        <s v="L8429"/>
        <s v="L8430"/>
        <s v="L8431"/>
        <s v="L8432"/>
        <s v="L8433"/>
        <s v="L8434"/>
        <s v="L8435"/>
        <s v="L8436"/>
        <s v="L8437"/>
        <s v="L8438"/>
        <s v="L8439"/>
        <s v="L8950"/>
        <s v="L8350"/>
        <s v="L8351"/>
        <s v="L8401"/>
        <s v="L8402"/>
        <s v="L7022"/>
        <s v="L7202"/>
        <s v="L7903"/>
        <s v="L7210"/>
        <s v="L7904"/>
        <s v="L7204"/>
        <s v="L7201"/>
        <s v="L7203"/>
        <s v="L7901"/>
        <s v="L7902"/>
        <s v="L7100"/>
        <s v="L7911"/>
        <s v="L7912"/>
        <s v="L7913"/>
        <s v="LI001"/>
        <s v="LI002"/>
        <s v="LI003"/>
        <s v="LC001"/>
        <s v="LC002"/>
        <s v="LC003"/>
        <s v="LC004"/>
        <s v="LC005"/>
        <s v="LC009"/>
        <s v="LC010"/>
        <s v="LC011"/>
        <s v="LC109"/>
        <s v="LC110"/>
        <s v="LC014"/>
        <s v="LC104"/>
        <m/>
      </sharedItems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0">
      <sharedItems containsNonDate="0" containsDate="1" containsString="0" containsBlank="1" minDate="1899-12-30T00:00:00" maxDate="2022-01-27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 count="43">
        <s v="2022/1/20(1.45), 2021/12/24(1.43)、11/15(1.42)、10/15(1.41)、10/1(1.4)"/>
        <s v="2022/1/20(1.45), 2022/1/20(1.91L7), 2022/1/17(eloan-L7), 1/4(1.44)、2021/12/24(1.43)、11/15(1.42)、10/1(1.4)"/>
        <s v="2022/1/20(1.45), 2021/12/24(1.43)、11/15(1.42)、2021/10/1"/>
        <s v="2022/1/4(1.44)、2021/12/24(1.43)、11/15(1.42)、2021/10/1"/>
        <s v="2021/12/24(1.43)、2021/10/1"/>
        <d v="2021-11-15T00:00:00"/>
        <s v="2021/11/15(1.42)、2021/10/1"/>
        <s v="2022/1/20(1.45), 2021/11/15(1.42)、10/1(1.4)"/>
        <s v="2022/1/20(1.45), 2022/1/20(1.91L7), 2022/1/17(eloan-L7), 2021/11/15(1.42)、2021/10/1"/>
        <d v="2021-10-01T00:00:00"/>
        <s v="2022/1/7, 2021/12/9"/>
        <s v="2022/1/24, 2021/12/9"/>
        <d v="2021-12-14T00:00:00"/>
        <s v="2021/12/14, 2022/1/20(1.91L7), "/>
        <s v="2022/1/24, 2021/12/14, 2022/1/20(1.91L7), 2022/1/17(eloan-L7), "/>
        <d v="2021-12-09T00:00:00"/>
        <d v="2021-12-20T00:00:00"/>
        <s v="2022/1/17(eloan-L7), 2021/12/14"/>
        <s v="2022/1/7, 2021/12/14"/>
        <d v="2021-12-16T00:00:00"/>
        <s v="2022/1/12, 2021/11/12"/>
        <d v="2021-11-12T00:00:00"/>
        <s v="2022/1/22, 2021/12/9"/>
        <s v="2022/1/12, 2021/12/9, 11/12"/>
        <d v="2022-01-07T00:00:00"/>
        <s v="2021/12/9, 2022/1/20(1.91L7), "/>
        <s v="2022/1/22, 2022/1/7, 2021/12/20"/>
        <d v="2021-10-20T00:00:00"/>
        <s v="2022/1/17, 2021/12/14"/>
        <s v="2022/1/7, 2021/12/20、12/14"/>
        <m/>
        <s v="2022/1/7, 2021/12/20"/>
        <s v="2022/1/12, 2021/12/9"/>
        <d v="2022-01-17T00:00:00"/>
        <s v="2022/1/17, 2021/12/9"/>
        <s v="2022/1/17, 2022/1/7, 2021/12/9"/>
        <s v="2022/1/17, 2021/12/20"/>
        <s v="2022/1/7, 2021/12/15"/>
        <s v="2022/1/17, 2021/12/16"/>
        <d v="2022-01-20T00:00:00"/>
        <d v="2021-07-16T00:00:00"/>
        <d v="2021-07-23T00:00:00"/>
        <d v="2021-12-15T00:00:00"/>
      </sharedItems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1" maxValue="1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6T00:00:00"/>
    </cacheField>
    <cacheField name="SIT實際完成" numFmtId="0">
      <sharedItems containsNonDate="0" containsDate="1" containsString="0" containsBlank="1" minDate="1899-12-30T00:00:00" maxDate="2022-01-26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437389770723101" maxValue="320"/>
    </cacheField>
    <cacheField name="已SIT待FT" numFmtId="0">
      <sharedItems containsBlank="1" containsMixedTypes="1" containsNumber="1" minValue="3.5273368606701938E-3" maxValue="2"/>
    </cacheField>
    <cacheField name="待SIT已FT" numFmtId="0">
      <sharedItems containsBlank="1" containsMixedTypes="1" containsNumber="1" minValue="0.3403880070546737" maxValue="193"/>
    </cacheField>
    <cacheField name="待SIT待FT" numFmtId="0">
      <sharedItems containsBlank="1" containsMixedTypes="1" containsNumber="1" minValue="8.9947089947089942E-2" maxValue="51"/>
    </cacheField>
    <cacheField name="欄3" numFmtId="0">
      <sharedItems containsString="0" containsBlank="1" containsNumber="1" minValue="0.99823633156966496" maxValue="5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">
  <r>
    <m/>
    <n v="1"/>
    <x v="0"/>
    <s v="1-1顧客基本資料"/>
    <s v="L1001"/>
    <s v="顧客明細資料查詢"/>
    <m/>
    <s v="張金龍"/>
    <s v="張金龍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金龍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金龍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金龍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金龍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金龍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金龍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金龍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1-2"/>
    <s v="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1-2"/>
    <s v="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1-1"/>
    <s v="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s v="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24, 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s v="新交易"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s v="新交易"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s v="新交易"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s v="新交易"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s v="新交易"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s v="新交易"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18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s v="新交易"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s v="新交易"/>
    <x v="0"/>
    <s v="6-1"/>
    <s v=""/>
    <s v=""/>
    <s v=""/>
    <s v=""/>
    <s v=""/>
    <s v=""/>
    <x v="18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s v="新交易"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s v="新交易"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s v="新交易"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s v="新交易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s v="新交易"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045"/>
    <s v="結清戶滿五年查詢"/>
    <s v="依據Defect單新增交易"/>
    <s v="張金龍"/>
    <s v="楊智誠"/>
    <s v="PJ201800012_URS_6共同作業_V1.14.docx"/>
    <m/>
    <x v="17"/>
    <d v="2022-01-26T00:00:00"/>
    <d v="2021-11-29T00:00:00"/>
    <d v="2021-11-29T00:00:00"/>
    <d v="2021-12-03T00:00:00"/>
    <s v="李珮琪"/>
    <s v="陳政皓"/>
    <m/>
    <m/>
    <m/>
    <m/>
    <m/>
    <m/>
    <m/>
    <m/>
    <s v="放款服務課"/>
    <d v="2021-12-03T00:00:00"/>
    <s v="無調整"/>
    <s v="2021/12/14am"/>
    <d v="2021-12-14T00:00:00"/>
    <m/>
    <m/>
    <m/>
    <m/>
    <d v="2021-11-29T00:00:00"/>
    <m/>
    <m/>
    <m/>
    <m/>
    <s v="新交易"/>
    <s v="新交易"/>
    <x v="0"/>
    <s v=""/>
    <s v="6-4"/>
    <s v=""/>
    <s v=""/>
    <s v=""/>
    <s v=""/>
    <s v=""/>
    <x v="18"/>
    <m/>
    <m/>
    <m/>
    <m/>
    <s v=""/>
    <s v=""/>
    <s v="6-4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4-2"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s v="新交易"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6-8"/>
    <s v="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18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s v="新交易"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s v="新交易"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s v="新交易"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s v="新交易"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s v="新交易"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s v="新交易"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s v="新交易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x v="28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楊智誠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楊智誠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楊智誠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楊智誠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楊智誠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s v="新交易"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楊智誠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楊智誠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x v="28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x v="18"/>
    <m/>
    <s v=""/>
    <s v=""/>
    <m/>
    <s v=""/>
    <s v=""/>
    <s v="6-9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m/>
    <s v=""/>
    <s v=""/>
    <m/>
    <s v=""/>
    <s v=""/>
    <s v="6-9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m/>
    <s v=""/>
    <s v=""/>
    <m/>
    <s v=""/>
    <s v=""/>
    <s v="6-9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m/>
    <s v=""/>
    <s v=""/>
    <m/>
    <s v=""/>
    <s v=""/>
    <s v="6-9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m/>
    <s v=""/>
    <s v=""/>
    <m/>
    <s v=""/>
    <s v=""/>
    <s v="6-9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s v="新交易"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s v="新交易"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22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金龍"/>
    <s v="PJ201800012_URS_8遵循法令作業_債協報送_V1.02"/>
    <s v="V1.01畫面截圖更新_x000a_V1.02流程說明更新"/>
    <x v="21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金龍"/>
    <s v="PJ201800012_URS_8遵循法令作業_債協報送_V1.02"/>
    <s v="V1.01畫面截圖更新_x000a_V1.02流程說明更新"/>
    <x v="21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金龍"/>
    <s v="PJ201800012_URS_8遵循法令作業_債協報送_V1.02"/>
    <s v="V1.01畫面截圖更新_x000a_V1.02流程說明更新"/>
    <x v="21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金龍"/>
    <s v="PJ201800012_URS_8遵循法令作業_債協報送_V1.02"/>
    <s v="V1.01畫面截圖更新_x000a_V1.02流程說明更新"/>
    <x v="21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金龍"/>
    <s v="PJ201800012_URS_8遵循法令作業_債協報送_V1.02"/>
    <s v="V1.01畫面截圖更新_x000a_V1.02流程說明更新"/>
    <x v="21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金龍"/>
    <s v="PJ201800012_URS_8遵循法令作業_債協報送_V1.02"/>
    <s v="V1.01畫面截圖更新_x000a_V1.02流程說明更新"/>
    <x v="22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m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金龍"/>
    <s v="PJ201800012_URS_8遵循法令作業_債協報送_V1.02"/>
    <s v="V1.01畫面截圖更新_x000a_V1.02流程說明更新"/>
    <x v="22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m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金龍"/>
    <s v="PJ201800012_URS_8遵循法令作業_債協報送_V1.02"/>
    <s v="V1.01畫面截圖更新_x000a_V1.02流程說明更新"/>
    <x v="21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金龍"/>
    <s v="PJ201800012_URS_8遵循法令作業_債協報送_V1.02"/>
    <s v="V1.01畫面截圖更新_x000a_V1.02流程說明更新"/>
    <x v="21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金龍"/>
    <s v="PJ201800012_URS_8遵循法令作業_債協報送_V1.02"/>
    <s v="V1.01畫面截圖更新_x000a_V1.02流程說明更新"/>
    <x v="21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金龍"/>
    <s v="PJ201800012_URS_8遵循法令作業_債協報送_V1.02"/>
    <s v="V1.01畫面截圖更新_x000a_V1.02流程說明更新"/>
    <x v="21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金龍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29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金龍"/>
    <s v="PJ201800012_URS_8遵循法令作業_V1.3"/>
    <m/>
    <x v="2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0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金龍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29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3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2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3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2"/>
    <m/>
    <s v=""/>
    <s v=""/>
    <m/>
    <s v=""/>
    <s v=""/>
    <s v="8-4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2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3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3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2"/>
    <m/>
    <s v=""/>
    <s v=""/>
    <m/>
    <s v=""/>
    <s v=""/>
    <s v="7-2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4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0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1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2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s v="新交易"/>
    <x v="20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4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19"/>
    <s v="7-3"/>
    <s v=""/>
    <s v=""/>
    <s v=""/>
    <s v="7-3"/>
    <s v=""/>
    <s v=""/>
    <x v="31"/>
    <d v="1899-12-30T00:00:00"/>
    <s v="黃智偉"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4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19"/>
    <s v="7-3"/>
    <s v=""/>
    <s v=""/>
    <s v=""/>
    <s v="7-3"/>
    <s v=""/>
    <s v=""/>
    <x v="31"/>
    <d v="1899-12-30T00:00:00"/>
    <s v="黃智偉"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4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s v="新交易"/>
    <x v="19"/>
    <m/>
    <m/>
    <m/>
    <m/>
    <m/>
    <m/>
    <m/>
    <x v="31"/>
    <d v="1899-12-30T00:00:00"/>
    <s v="黃智偉"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1"/>
    <x v="8"/>
    <d v="2021-12-17T00:00:00"/>
    <s v="鮑培平"/>
    <s v="3-07-撥款流程"/>
    <m/>
    <s v="LC."/>
    <s v="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2"/>
    <x v="8"/>
    <d v="2021-12-17T00:00:00"/>
    <s v="鮑培平"/>
    <s v="3-07-撥款流程"/>
    <m/>
    <s v="LC."/>
    <s v="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3"/>
    <x v="9"/>
    <d v="2021-12-30T00:00:00"/>
    <s v="鮑培平"/>
    <s v="2-10-合併額度控管"/>
    <m/>
    <s v="LC."/>
    <s v="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5"/>
    <x v="8"/>
    <d v="2021-12-17T00:00:00"/>
    <s v="鮑培平"/>
    <s v="3-07-撥款流程"/>
    <m/>
    <s v="LC."/>
    <s v="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9"/>
    <x v="0"/>
    <d v="2021-11-16T00:00:00"/>
    <s v="鮑培平"/>
    <s v="2-05-寬限條件控管"/>
    <m/>
    <s v="LC."/>
    <s v="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11"/>
    <x v="8"/>
    <d v="2021-12-17T00:00:00"/>
    <s v="鮑培平"/>
    <s v="3-07-撥款流程"/>
    <m/>
    <s v="LC."/>
    <s v="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10"/>
    <m/>
    <m/>
    <m/>
    <m/>
    <m/>
    <m/>
    <m/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2"/>
    <m/>
    <m/>
    <m/>
    <m/>
    <m/>
    <m/>
    <m/>
    <m/>
  </r>
  <r>
    <m/>
    <m/>
    <x v="10"/>
    <m/>
    <m/>
    <m/>
    <m/>
    <m/>
    <m/>
    <m/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1"/>
    <n v="0"/>
    <n v="0"/>
    <n v="10"/>
    <n v="1"/>
    <m/>
    <x v="32"/>
    <m/>
    <m/>
    <m/>
    <m/>
    <n v="320"/>
    <n v="2"/>
    <n v="193"/>
    <n v="51"/>
  </r>
  <r>
    <m/>
    <m/>
    <x v="10"/>
    <m/>
    <m/>
    <m/>
    <m/>
    <m/>
    <m/>
    <m/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2"/>
    <m/>
    <m/>
    <s v="／總交易"/>
    <m/>
    <n v="0.56437389770723101"/>
    <n v="3.5273368606701938E-3"/>
    <n v="0.3403880070546737"/>
    <n v="8.9947089947089942E-2"/>
  </r>
  <r>
    <m/>
    <m/>
    <x v="10"/>
    <m/>
    <m/>
    <m/>
    <m/>
    <m/>
    <m/>
    <m/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2"/>
    <m/>
    <m/>
    <s v="／已SIT"/>
    <m/>
    <n v="0.99378881987577639"/>
    <n v="6.2111801242236021E-3"/>
    <m/>
    <m/>
  </r>
  <r>
    <m/>
    <m/>
    <x v="10"/>
    <m/>
    <m/>
    <m/>
    <m/>
    <m/>
    <m/>
    <m/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2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">
  <r>
    <m/>
    <n v="1"/>
    <x v="0"/>
    <s v="1-1顧客基本資料"/>
    <s v="L1001"/>
    <s v="顧客明細資料查詢"/>
    <m/>
    <s v="張金龍"/>
    <s v="張金龍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金龍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金龍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金龍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金龍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金龍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金龍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金龍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d v="2022-01-20T00:00:00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d v="2022-01-20T00:00:00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5"/>
    <s v="結清戶滿五年查詢"/>
    <s v="依據Defect單新增交易"/>
    <s v="張金龍"/>
    <s v="楊智誠"/>
    <s v="PJ201800012_URS_6共同作業_V1.14.docx"/>
    <m/>
    <d v="2022-01-26T00:00:00"/>
    <d v="2022-01-26T00:00:00"/>
    <x v="28"/>
    <d v="2021-11-29T00:00:00"/>
    <d v="2021-12-03T00:00:00"/>
    <s v="李珮琪"/>
    <s v="陳政皓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楊智誠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楊智誠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楊智誠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楊智誠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楊智誠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楊智誠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楊智誠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2-11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2-11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2-11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2-11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2-11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2-11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2-11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2-11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2-11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2-11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2-11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2-11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2-11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2-11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2-11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金龍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金龍"/>
    <s v="PJ201800012_URS_8遵循法令作業_V1.3"/>
    <m/>
    <d v="2022-02-25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金龍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">
  <r>
    <m/>
    <n v="1"/>
    <s v="1.顧客管理作業"/>
    <s v="1-1顧客基本資料"/>
    <x v="0"/>
    <s v="顧客明細資料查詢"/>
    <m/>
    <s v="張金龍"/>
    <s v="張金龍"/>
    <s v="PJ201800012_URS_1顧客管理作業_V1.45.docx"/>
    <s v="意見回覆"/>
    <d v="2022-01-17T00:00:0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0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1"/>
    <s v="顧客基本資料維護-自然人"/>
    <m/>
    <s v="張金龍"/>
    <s v="張金龍"/>
    <s v="PJ201800012_URS_1顧客管理作業_V1.45.docx, PJ201800012_URS_7介接外部系統_V1.91.docx"/>
    <s v="意見回覆(另含eloan)"/>
    <d v="2022-01-17T00:00:0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1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2"/>
    <s v="顧客基本資料維護-法人"/>
    <m/>
    <s v="張金龍"/>
    <s v="張金龍"/>
    <s v="PJ201800012_URS_1顧客管理作業_V1.45.docx"/>
    <s v="意見回覆"/>
    <d v="2022-01-17T00:00:0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x v="2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3"/>
    <s v="顧客基本資料修改-自然人"/>
    <m/>
    <s v="張金龍"/>
    <s v="張金龍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3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4"/>
    <s v="顧客基本資料修改-自然人"/>
    <m/>
    <s v="張金龍"/>
    <s v="張金龍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x v="4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5"/>
    <s v="顧客基本資料維護-開放查詢變更"/>
    <m/>
    <s v="張金龍"/>
    <s v="張金龍"/>
    <s v="PJ201800012_URS_1顧客管理作業_V1.42.docx"/>
    <m/>
    <d v="2022-01-18T00:00:00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x v="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6"/>
    <s v="顧客基本資料維護-身份證號／統一編號變更"/>
    <m/>
    <s v="張金龍"/>
    <s v="張金龍"/>
    <s v="PJ201800012_URS_1顧客管理作業_V1.42.docx"/>
    <m/>
    <d v="2022-01-18T00:00:00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x v="6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7"/>
    <s v="顧客聯絡電話查詢"/>
    <m/>
    <s v="張金龍"/>
    <s v="張金龍"/>
    <s v="PJ201800012_URS_1顧客管理作業_V1.45.docx"/>
    <s v="意見回覆"/>
    <d v="2022-01-18T00:00:00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x v="7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8"/>
    <s v="顧客聯絡電話維護"/>
    <m/>
    <s v="張金龍"/>
    <s v="張金龍"/>
    <s v="PJ201800012_URS_1顧客管理作業_V1.45.docx, PJ201800012_URS_7介接外部系統_V1.91.docx"/>
    <s v="意見回覆(另含eloan)"/>
    <d v="2022-01-18T00:00:00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x v="8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3申請不列印書面通知書"/>
    <x v="9"/>
    <s v="申請不列印書面通知書查詢"/>
    <m/>
    <s v="張金龍"/>
    <s v="張金龍"/>
    <s v="PJ201800012_URS_1顧客管理作業_V1.42.docx"/>
    <m/>
    <d v="2022-01-19T00:00:00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3申請不列印書面通知書"/>
    <x v="10"/>
    <s v="申請不列印書面通知書維護"/>
    <m/>
    <s v="張金龍"/>
    <s v="張金龍"/>
    <s v="PJ201800012_URS_1顧客管理作業_V1.42.docx"/>
    <m/>
    <d v="2022-01-19T00:00:00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1顧客基本資料"/>
    <x v="11"/>
    <s v="客戶交互運用維護"/>
    <m/>
    <s v="張金龍"/>
    <s v="張金龍"/>
    <s v="PJ201800012_URS_1顧客管理作業_V1.42.docx"/>
    <m/>
    <d v="2022-01-20T00:00:00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2公司戶財務狀況"/>
    <x v="12"/>
    <s v="公司戶財務報表查詢"/>
    <m/>
    <s v="張金龍"/>
    <s v="張金龍"/>
    <s v="PJ201800012_URS_1顧客管理作業_V1.42.docx"/>
    <m/>
    <d v="2022-01-20T00:00:00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2公司戶財務狀況"/>
    <x v="13"/>
    <s v="公司戶財務報表維護"/>
    <m/>
    <s v="張金龍"/>
    <s v="張金龍"/>
    <s v="PJ201800012_URS_1顧客管理作業_V1.42.docx"/>
    <m/>
    <d v="2022-01-20T00:00:00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x v="6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1顧客基本資料"/>
    <x v="14"/>
    <s v="疑似準利害關係人明細查詢"/>
    <s v="新增 2021/11/2"/>
    <s v="張金龍"/>
    <s v="張金龍"/>
    <s v="PJ201800012_URS_1顧客管理作業_V1.42.docx"/>
    <m/>
    <d v="2022-01-20T00:00:00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x v="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d v="2021-11-16T00:00:00"/>
    <d v="2021-11-16T00:00:00"/>
    <s v="鮑培平"/>
    <s v="2-01-客戶基本資料維護作業"/>
    <m/>
    <s v="1-1"/>
    <s v=""/>
    <s v=""/>
    <s v=""/>
    <m/>
  </r>
  <r>
    <m/>
    <m/>
    <s v="2.業務作業"/>
    <s v="2-1商品作業"/>
    <x v="15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x v="10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  <m/>
  </r>
  <r>
    <m/>
    <m/>
    <s v="2.業務作業"/>
    <s v="2-1商品作業"/>
    <x v="16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x v="11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  <m/>
  </r>
  <r>
    <m/>
    <m/>
    <s v="2.業務作業"/>
    <s v="2-2案件申請、額度"/>
    <x v="17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8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3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9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4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d v="2021-11-19T00:00:00"/>
    <s v="鮑培平"/>
    <s v="2-07-案件申請准駁作業"/>
    <m/>
    <s v="2-2"/>
    <s v=""/>
    <s v=""/>
    <s v=""/>
    <m/>
  </r>
  <r>
    <m/>
    <m/>
    <s v="2.業務作業"/>
    <s v="2-2案件申請、額度"/>
    <x v="20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1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2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3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2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4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x v="12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  <m/>
  </r>
  <r>
    <m/>
    <m/>
    <s v="2.業務作業"/>
    <s v="2-3保證人、關係人"/>
    <x v="25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6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7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  <m/>
  </r>
  <r>
    <m/>
    <m/>
    <s v="6.共同作業"/>
    <s v="6-6各類代碼檔維護"/>
    <x v="28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x v="16"/>
    <m/>
    <m/>
    <m/>
    <d v="2021-07-27T00:00:00"/>
    <m/>
    <m/>
    <m/>
    <m/>
    <s v="新交易"/>
    <s v="新交易"/>
    <x v="0"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  <m/>
  </r>
  <r>
    <m/>
    <m/>
    <s v="6.共同作業"/>
    <s v="6-6各類代碼檔維護"/>
    <x v="29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x v="16"/>
    <m/>
    <m/>
    <m/>
    <d v="2021-07-27T00:00:00"/>
    <m/>
    <m/>
    <m/>
    <m/>
    <s v="新交易"/>
    <s v="新交易"/>
    <x v="4"/>
    <s v="6-6"/>
    <s v=""/>
    <s v=""/>
    <s v=""/>
    <s v=""/>
    <s v=""/>
    <s v="L6700"/>
    <d v="2021-12-17T00:00:00"/>
    <d v="2021-12-17T00:00:00"/>
    <s v="鮑培平"/>
    <s v="3-07-撥款流程"/>
    <m/>
    <s v="6-6"/>
    <s v=""/>
    <s v=""/>
    <s v=""/>
    <m/>
  </r>
  <r>
    <m/>
    <m/>
    <s v="2.業務作業"/>
    <s v="2-2案件申請、額度"/>
    <x v="30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2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2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3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8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4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5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6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7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  <m/>
  </r>
  <r>
    <m/>
    <m/>
    <s v="2.業務作業"/>
    <s v="2-3保證人、關係人"/>
    <x v="38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39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d v="2021-11-29T00:00:00"/>
    <d v="2021-11-29T00:00:00"/>
    <s v="鮑培平"/>
    <s v="2-17-關係人建檔"/>
    <m/>
    <s v="2-3"/>
    <s v=""/>
    <s v=""/>
    <s v=""/>
    <m/>
  </r>
  <r>
    <m/>
    <m/>
    <s v="2.業務作業"/>
    <s v="2-4擔保品"/>
    <x v="40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m/>
    <s v="新交易"/>
    <s v="新交易"/>
    <x v="0"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2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3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新交易"/>
    <s v="新交易"/>
    <x v="11"/>
    <s v="2-4"/>
    <s v=""/>
    <s v=""/>
    <s v=""/>
    <s v=""/>
    <s v=""/>
    <s v="L24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4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7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x v="12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d v="2021-11-24T00:00:00"/>
    <s v="鮑培平"/>
    <s v="2-13-擔保品建檔"/>
    <m/>
    <s v="2-4"/>
    <s v=""/>
    <s v=""/>
    <s v=""/>
    <m/>
  </r>
  <r>
    <m/>
    <m/>
    <s v="6.共同作業"/>
    <s v="6-6各類代碼檔維護"/>
    <x v="49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  <m/>
  </r>
  <r>
    <m/>
    <m/>
    <s v="6.共同作業"/>
    <s v="6-6各類代碼檔維護"/>
    <x v="50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  <m/>
  </r>
  <r>
    <m/>
    <m/>
    <s v="2.業務作業"/>
    <s v="2-4擔保品"/>
    <x v="51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x v="12"/>
    <m/>
    <m/>
    <m/>
    <s v=""/>
    <m/>
    <m/>
    <m/>
    <d v="2021-10-25T00:00:00"/>
    <s v="新交易"/>
    <s v="新交易"/>
    <x v="0"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2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x v="12"/>
    <s v="預計2021/11/12"/>
    <m/>
    <m/>
    <s v=""/>
    <m/>
    <m/>
    <m/>
    <m/>
    <s v="新交易"/>
    <s v="新交易"/>
    <x v="13"/>
    <s v="2-4"/>
    <s v=""/>
    <s v=""/>
    <s v=""/>
    <s v=""/>
    <s v=""/>
    <s v="L24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3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4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5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6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s v="新交易"/>
    <x v="0"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7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s v="新交易"/>
    <x v="16"/>
    <s v="2-4"/>
    <s v=""/>
    <s v=""/>
    <s v=""/>
    <s v=""/>
    <s v=""/>
    <s v="L2414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8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x v="12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  <m/>
  </r>
  <r>
    <m/>
    <m/>
    <s v="2.業務作業"/>
    <s v="2-9其他"/>
    <x v="59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  <m/>
  </r>
  <r>
    <m/>
    <m/>
    <s v="2.業務作業"/>
    <s v="2-9其他"/>
    <x v="60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  <m/>
  </r>
  <r>
    <m/>
    <n v="1"/>
    <s v="3.帳務作業"/>
    <s v="3-1試算"/>
    <x v="6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  <m/>
  </r>
  <r>
    <m/>
    <m/>
    <s v="5.管理性作業 "/>
    <s v="5-1一般作業"/>
    <x v="62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x v="12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  <m/>
  </r>
  <r>
    <m/>
    <n v="1"/>
    <s v="3.帳務作業"/>
    <s v="3-2撥款"/>
    <x v="63"/>
    <s v="預約撥款明細資料查詢     "/>
    <m/>
    <s v="賴文育"/>
    <s v="余家興"/>
    <s v="PJ201800012_URS_3帳務作業_V1.92"/>
    <s v="審查意見回覆"/>
    <d v="2022-01-20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4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5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  <m/>
  </r>
  <r>
    <m/>
    <m/>
    <s v="6.共同作業"/>
    <s v="6-8其他作業"/>
    <x v="66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x v="16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  <m/>
  </r>
  <r>
    <m/>
    <n v="1"/>
    <s v="3.帳務作業"/>
    <s v="3-2撥款"/>
    <x v="67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8"/>
    <s v="撥款明細資料查詢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69"/>
    <s v="撥款內容查詢    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70"/>
    <s v="放款明細資料查詢"/>
    <m/>
    <s v="賴文育"/>
    <s v="余家興"/>
    <s v="PJ201800012_URS_3帳務作業_V1.92"/>
    <s v="審查意見回覆"/>
    <d v="2022-01-20T00:00:00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d v="2021-12-30T00:00:00"/>
    <s v="鮑培平"/>
    <s v="2-10-合併額度控管"/>
    <m/>
    <s v="3-2"/>
    <s v=""/>
    <s v=""/>
    <s v=""/>
    <m/>
  </r>
  <r>
    <m/>
    <m/>
    <s v="2.業務作業"/>
    <s v="2-9其他"/>
    <x v="71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2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3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  <m/>
  </r>
  <r>
    <m/>
    <m/>
    <s v="2.業務作業"/>
    <s v="2-9其他"/>
    <x v="7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  <m/>
  </r>
  <r>
    <m/>
    <m/>
    <s v="6.共同作業"/>
    <s v="6-6各類代碼檔維護"/>
    <x v="75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  <m/>
  </r>
  <r>
    <m/>
    <m/>
    <s v="6.共同作業"/>
    <s v="6-6各類代碼檔維護"/>
    <x v="76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  <m/>
  </r>
  <r>
    <m/>
    <n v="1"/>
    <s v="3.帳務作業"/>
    <s v="3-2撥款"/>
    <x v="77"/>
    <s v="交易內容查詢             "/>
    <m/>
    <s v="賴文育"/>
    <s v="余家興"/>
    <s v="PJ201800012_URS_3帳務作業_V1.92"/>
    <s v="審查意見回覆"/>
    <d v="2022-01-20T00:00:00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d v="2021-11-19T00:00:00"/>
    <s v="鮑培平"/>
    <s v="3-06-撥款退款作業"/>
    <m/>
    <s v="3-2"/>
    <s v=""/>
    <s v=""/>
    <s v=""/>
    <m/>
  </r>
  <r>
    <m/>
    <n v="1"/>
    <s v="3.帳務作業"/>
    <s v="3-2撥款"/>
    <x v="78"/>
    <s v="交易明細資料查詢         "/>
    <m/>
    <s v="賴文育"/>
    <s v="余家興"/>
    <s v="PJ201800012_URS_3帳務作業_V1.81"/>
    <m/>
    <d v="2022-01-20T00:00:00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d v="2021-12-06T00:00:00"/>
    <s v="陳玫玲"/>
    <s v="5-02-還款來源—其他"/>
    <m/>
    <s v="3-2"/>
    <s v=""/>
    <s v=""/>
    <s v=""/>
    <m/>
  </r>
  <r>
    <m/>
    <n v="1"/>
    <s v="3.帳務作業"/>
    <s v="3-5變更、延長年期"/>
    <x v="79"/>
    <s v="借戶利率查詢             "/>
    <m/>
    <s v="賴文育"/>
    <s v="余家興"/>
    <s v="PJ201800012_URS_3帳務作業_V1.81"/>
    <m/>
    <d v="2022-01-20T00:00:00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d v="2021-12-20T00:00:00"/>
    <s v="陳玫玲"/>
    <s v="A-01-定期機動調整"/>
    <m/>
    <s v="3-5"/>
    <s v=""/>
    <s v=""/>
    <s v=""/>
    <m/>
  </r>
  <r>
    <m/>
    <n v="1"/>
    <s v="3.帳務作業"/>
    <s v="3-5變更、延長年期"/>
    <x v="80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  <m/>
  </r>
  <r>
    <m/>
    <n v="1"/>
    <s v="3.帳務作業"/>
    <s v="3-5變更、延長年期"/>
    <x v="81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x v="20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  <m/>
  </r>
  <r>
    <m/>
    <m/>
    <s v="4.批次作業"/>
    <s v="4-1撥款退款作業"/>
    <x v="82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3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4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  <m/>
  </r>
  <r>
    <m/>
    <m/>
    <s v="6.共同作業"/>
    <s v="6-8其他作業"/>
    <x v="85"/>
    <s v="應處理清單      "/>
    <m/>
    <s v="賴文育"/>
    <s v="余家興"/>
    <s v="PJ201800012_URS_6共同作業_V1.11.docx"/>
    <m/>
    <d v="2022-01-20T00:00:00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x v="16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d v="2021-12-30T00:00:00"/>
    <s v="鮑培平"/>
    <s v="2-10-合併額度控管"/>
    <m/>
    <s v="6-8"/>
    <s v=""/>
    <s v=""/>
    <s v=""/>
    <m/>
  </r>
  <r>
    <m/>
    <m/>
    <s v="4.批次作業"/>
    <s v="4-4銀行扣款授權"/>
    <x v="86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7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8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9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  <m/>
  </r>
  <r>
    <m/>
    <m/>
    <s v="4.批次作業"/>
    <s v="4-4銀行扣款授權"/>
    <x v="90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1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2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3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4"/>
    <s v="產生郵局授權資料"/>
    <m/>
    <s v="賴文育"/>
    <s v="余家興"/>
    <s v="PJ201800012_URS_4批次作業_V1.10.doc"/>
    <m/>
    <d v="2022-01-25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5"/>
    <s v="郵局授權資料歷史紀錄查詢"/>
    <m/>
    <s v="賴文育"/>
    <s v="余家興"/>
    <s v="PJ201800012_URS_4批次作業_V1.14.doc"/>
    <m/>
    <d v="2022-01-26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x v="22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d v="2021-11-19T00:00:00"/>
    <s v="陳玫玲"/>
    <s v="3-02-郵局授權提出"/>
    <m/>
    <s v="4-4"/>
    <s v=""/>
    <s v=""/>
    <s v=""/>
    <m/>
  </r>
  <r>
    <m/>
    <n v="1"/>
    <s v="3.帳務作業"/>
    <s v="3-3回收、部分償還、暫收款"/>
    <x v="96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97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x v="23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  <m/>
  </r>
  <r>
    <m/>
    <m/>
    <s v="4.批次作業"/>
    <s v="4-1撥款退款作業"/>
    <x v="98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99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  <m/>
  </r>
  <r>
    <m/>
    <m/>
    <s v="4.批次作業"/>
    <s v="4-1撥款退款作業"/>
    <x v="100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24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m/>
    <s v=""/>
    <s v=""/>
    <m/>
    <s v=""/>
    <s v=""/>
    <s v="4-1"/>
    <s v=""/>
    <m/>
  </r>
  <r>
    <m/>
    <m/>
    <s v="4.批次作業"/>
    <s v="4-2整批入帳作業(匯款轉帳、銀行/郵局扣款、支票兌現)"/>
    <x v="101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102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  <m/>
  </r>
  <r>
    <m/>
    <m/>
    <s v="5.管理性作業 "/>
    <s v="5-1一般作業"/>
    <x v="103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  <m/>
  </r>
  <r>
    <m/>
    <m/>
    <s v="4.批次作業"/>
    <s v="4-7其他"/>
    <x v="104"/>
    <s v="票據媒體製作                         "/>
    <m/>
    <s v="賴文育"/>
    <s v="余家興"/>
    <s v="PJ201800012_URS_4批次作業_V1.10.doc"/>
    <m/>
    <d v="2022-01-26T00:00:00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x v="15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d v="2021-12-02T00:00:00"/>
    <d v="2021-12-02T00:00:00"/>
    <s v="陳玫玲"/>
    <s v="4-03-支票繳款"/>
    <m/>
    <s v="4-7"/>
    <s v=""/>
    <s v=""/>
    <s v=""/>
    <m/>
  </r>
  <r>
    <m/>
    <n v="1"/>
    <s v="3.帳務作業"/>
    <s v="3-3回收、部分償還、暫收款"/>
    <x v="105"/>
    <s v="暫收支票明細資料查詢     "/>
    <m/>
    <s v="賴文育"/>
    <s v="余家興"/>
    <s v="PJ201800012_URS_3帳務作業_V1.92"/>
    <s v="審查意見回覆"/>
    <d v="2022-01-20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6"/>
    <s v="支票明細資料查詢-全部"/>
    <m/>
    <s v="賴文育"/>
    <s v="余家興"/>
    <s v="PJ201800012_URS_3帳務作業_V1.81"/>
    <m/>
    <d v="2022-01-19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7"/>
    <s v="支票內容查詢             "/>
    <m/>
    <s v="賴文育"/>
    <s v="余家興"/>
    <s v="PJ201800012_URS_3帳務作業_V1.92"/>
    <s v="審查意見回覆"/>
    <d v="2022-01-19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d v="2021-12-02T00:00:00"/>
    <d v="2021-12-02T00:00:00"/>
    <s v="陳玫玲"/>
    <s v="4-03-支票繳款"/>
    <m/>
    <s v="3-3"/>
    <s v=""/>
    <s v=""/>
    <s v=""/>
    <m/>
  </r>
  <r>
    <m/>
    <m/>
    <s v="2.業務作業"/>
    <s v="2-9其他"/>
    <x v="108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09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10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  <m/>
  </r>
  <r>
    <m/>
    <m/>
    <s v="4.批次作業"/>
    <s v="4-6火險作業"/>
    <x v="111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  <m/>
  </r>
  <r>
    <m/>
    <m/>
    <s v="4.批次作業"/>
    <s v="4-6火險作業"/>
    <x v="112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5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3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4"/>
    <s v="火險詢價作業               "/>
    <m/>
    <s v="賴文育"/>
    <s v="陳昱衡"/>
    <s v="PJ201800012_URS_4批次作業_V1.10.doc"/>
    <m/>
    <d v="2022-01-17T00:00:0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5"/>
    <s v="續約保單資料維護           "/>
    <m/>
    <s v="賴文育"/>
    <s v="陳昱衡"/>
    <s v="PJ201800012_URS_4批次作業_V1.14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6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7"/>
    <s v="火險通知作業               "/>
    <m/>
    <s v="賴文育"/>
    <s v="陳昱衡"/>
    <s v="PJ201800012_URS_4批次作業_V1.14.doc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x v="26"/>
    <m/>
    <m/>
    <m/>
    <d v="2021-09-16T00:00:00"/>
    <m/>
    <m/>
    <m/>
    <m/>
    <s v="4-91-6"/>
    <s v="火險通知單"/>
    <x v="0"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8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9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0"/>
    <s v="火險保費明細查詢         "/>
    <m/>
    <s v="賴文育"/>
    <s v="陳昱衡"/>
    <s v="PJ201800012_URS_4批次作業_V1.14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22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1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22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  <m/>
  </r>
  <r>
    <m/>
    <m/>
    <s v="4.批次作業"/>
    <s v="4-4銀行扣款作業(產出銀扣媒體作業)"/>
    <x v="123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4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5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6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7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  <m/>
  </r>
  <r>
    <m/>
    <m/>
    <s v="5.管理性作業 "/>
    <s v="5-5債務協商作業"/>
    <x v="128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29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0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2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3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5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6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7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8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9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40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4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4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4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4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5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46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47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48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9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50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51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52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53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1一般作業"/>
    <x v="154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m/>
    <s v=""/>
    <s v=""/>
    <m/>
    <s v=""/>
    <s v=""/>
    <s v="5-1"/>
    <s v=""/>
    <m/>
  </r>
  <r>
    <m/>
    <m/>
    <s v="5.管理性作業 "/>
    <s v="5-1一般作業"/>
    <x v="155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28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m/>
    <s v=""/>
    <s v=""/>
    <m/>
    <s v=""/>
    <s v=""/>
    <s v="5-1"/>
    <s v=""/>
    <m/>
  </r>
  <r>
    <m/>
    <m/>
    <s v="5.管理性作業 "/>
    <s v="5-1一般作業"/>
    <x v="156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2-18T00:00:00"/>
    <m/>
    <s v=""/>
    <s v=""/>
    <m/>
    <s v=""/>
    <s v=""/>
    <s v="5-1"/>
    <s v=""/>
    <m/>
  </r>
  <r>
    <m/>
    <m/>
    <s v="5.管理性作業 "/>
    <s v="5-7國稅局申報作業"/>
    <x v="157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x v="12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5.管理性作業 "/>
    <s v="5-7國稅局申報作業"/>
    <x v="158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x v="28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5.管理性作業 "/>
    <s v="5-7國稅局申報作業"/>
    <x v="159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5.管理性作業 "/>
    <s v="5-7國稅局申報作業"/>
    <x v="160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6.共同作業"/>
    <s v="6-1控制類"/>
    <x v="16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x v="16"/>
    <m/>
    <m/>
    <m/>
    <d v="2021-09-13T00:00:00"/>
    <m/>
    <m/>
    <m/>
    <s v="2021/10/25, 2021/10/18, 2021/9/13"/>
    <s v="新交易"/>
    <s v="新交易"/>
    <x v="0"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  <m/>
  </r>
  <r>
    <m/>
    <m/>
    <s v="6.共同作業"/>
    <s v="6-1控制類"/>
    <x v="16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x v="16"/>
    <m/>
    <m/>
    <m/>
    <d v="2021-10-18T00:00:00"/>
    <m/>
    <m/>
    <m/>
    <m/>
    <s v="新交易"/>
    <s v="新交易"/>
    <x v="0"/>
    <s v="6-1"/>
    <s v=""/>
    <s v=""/>
    <s v=""/>
    <s v=""/>
    <s v=""/>
    <s v=""/>
    <d v="2022-02-18T00:00:00"/>
    <m/>
    <s v=""/>
    <s v=""/>
    <m/>
    <s v=""/>
    <s v=""/>
    <s v="6-1"/>
    <s v=""/>
    <m/>
  </r>
  <r>
    <m/>
    <m/>
    <s v="6.共同作業"/>
    <s v="6-1控制類"/>
    <x v="163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1-29T00:00:00"/>
    <m/>
    <m/>
    <m/>
    <m/>
    <s v="新交易"/>
    <s v="新交易"/>
    <x v="0"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  <m/>
  </r>
  <r>
    <m/>
    <m/>
    <s v="6.共同作業"/>
    <s v="6-1控制類"/>
    <x v="164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2-03T00:00:00"/>
    <m/>
    <m/>
    <m/>
    <m/>
    <s v="新交易"/>
    <s v="新交易"/>
    <x v="0"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  <m/>
  </r>
  <r>
    <m/>
    <m/>
    <s v="6.共同作業"/>
    <s v="6-2日結類"/>
    <x v="165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  <m/>
  </r>
  <r>
    <m/>
    <m/>
    <s v="6.共同作業"/>
    <s v="6-2日結類"/>
    <x v="166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7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8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9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0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1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2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3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  <m/>
  </r>
  <r>
    <m/>
    <m/>
    <s v="6.共同作業"/>
    <s v="6-3共同資料維護(利率、營業日)"/>
    <x v="174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x v="12"/>
    <m/>
    <m/>
    <m/>
    <d v="2021-09-27T00:00:00"/>
    <m/>
    <m/>
    <m/>
    <m/>
    <s v="新交易"/>
    <s v="新交易"/>
    <x v="0"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5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x v="12"/>
    <m/>
    <m/>
    <m/>
    <d v="2021-09-27T00:00:00"/>
    <m/>
    <m/>
    <m/>
    <m/>
    <s v="新交易"/>
    <s v="新交易"/>
    <x v="0"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6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0"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7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0"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8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0"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9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4"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  <m/>
  </r>
  <r>
    <m/>
    <m/>
    <s v="6.共同作業"/>
    <s v="6-4作業控管維護"/>
    <x v="180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1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s v="新交易"/>
    <x v="0"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2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18"/>
    <m/>
    <m/>
    <m/>
    <d v="2021-11-29T00:00:00"/>
    <m/>
    <m/>
    <m/>
    <m/>
    <s v="新交易"/>
    <s v="新交易"/>
    <x v="0"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4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s v="新交易"/>
    <x v="0"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5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x v="29"/>
    <m/>
    <m/>
    <m/>
    <d v="2021-11-20T00:00:00"/>
    <m/>
    <m/>
    <m/>
    <m/>
    <s v="新交易"/>
    <s v="新交易"/>
    <x v="0"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6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x v="16"/>
    <m/>
    <m/>
    <m/>
    <d v="2021-11-20T00:00:00"/>
    <m/>
    <m/>
    <m/>
    <m/>
    <s v="新交易"/>
    <s v="新交易"/>
    <x v="0"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7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29"/>
    <m/>
    <m/>
    <m/>
    <d v="2021-11-29T00:00:00"/>
    <m/>
    <m/>
    <m/>
    <m/>
    <s v="新交易"/>
    <s v="新交易"/>
    <x v="0"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8"/>
    <s v="結清戶滿五年查詢"/>
    <s v="依據Defect單新增交易"/>
    <s v="張金龍"/>
    <s v="楊智誠"/>
    <s v="PJ201800012_URS_6共同作業_V1.14.docx"/>
    <m/>
    <d v="2022-01-26T00:00:00"/>
    <d v="2022-01-26T00:00:00"/>
    <d v="2021-11-29T00:00:00"/>
    <d v="2021-11-29T00:00:00"/>
    <d v="2021-12-03T00:00:00"/>
    <s v="李珮琪"/>
    <s v="陳政皓"/>
    <m/>
    <m/>
    <m/>
    <m/>
    <m/>
    <m/>
    <m/>
    <m/>
    <s v="放款服務課"/>
    <d v="2021-12-03T00:00:00"/>
    <s v="無調整"/>
    <s v="2021/12/14am"/>
    <d v="2021-12-14T00:00:00"/>
    <x v="30"/>
    <m/>
    <m/>
    <m/>
    <d v="2021-11-29T00:00:00"/>
    <m/>
    <m/>
    <m/>
    <m/>
    <s v="新交易"/>
    <s v="新交易"/>
    <x v="0"/>
    <s v=""/>
    <s v="6-4"/>
    <s v=""/>
    <s v=""/>
    <s v=""/>
    <s v=""/>
    <s v=""/>
    <d v="2022-02-18T00:00:00"/>
    <m/>
    <m/>
    <m/>
    <m/>
    <s v=""/>
    <s v=""/>
    <s v="6-4"/>
    <s v=""/>
    <m/>
  </r>
  <r>
    <m/>
    <m/>
    <s v="6.共同作業"/>
    <s v="6-4作業控管維護"/>
    <x v="189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7其他基本資料維護"/>
    <x v="190"/>
    <s v="員工資料檔查詢"/>
    <s v="由L190A更名 2021/12/20"/>
    <s v="張金龍"/>
    <s v="楊智誠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x v="16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  <m/>
  </r>
  <r>
    <m/>
    <m/>
    <s v="4.批次作業"/>
    <s v="4-5員工扣薪作業-1產出媒體"/>
    <x v="191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2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3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4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5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6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7"/>
    <s v="入帳檔上傳作業                       "/>
    <m/>
    <s v="賴文育"/>
    <s v="陳昱衡"/>
    <s v="PJ201800012_URS_4批次作業_V1.10.doc"/>
    <m/>
    <d v="2022-01-19T00:00:00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d v="2021-12-29T00:00:00"/>
    <d v="2021-12-29T00:00:00"/>
    <s v="陳玫玲"/>
    <s v="4-02-員工扣薪"/>
    <m/>
    <s v="4-2"/>
    <s v=""/>
    <s v=""/>
    <s v=""/>
    <m/>
  </r>
  <r>
    <m/>
    <m/>
    <s v="4.批次作業"/>
    <s v="4-5員工扣薪作業-1產出媒體"/>
    <x v="198"/>
    <s v="產生員工扣薪報表"/>
    <m/>
    <s v="賴文育"/>
    <s v="陳昱衡"/>
    <s v="PJ201800012_URS_4批次作業_V1.13.docx"/>
    <s v="補齊前缺報表測試畫面"/>
    <d v="2022-01-19T00:00:00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x v="31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2入賬"/>
    <x v="199"/>
    <s v="員工扣薪-明細查詢"/>
    <m/>
    <s v="賴文育"/>
    <s v="陳昱衡"/>
    <s v="PJ201800012_URS_4批次作業_V1.10.doc"/>
    <m/>
    <d v="2022-01-19T00:00:00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200"/>
    <s v="支票兌現-明細查詢"/>
    <m/>
    <s v="賴文育"/>
    <s v="陳昱衡"/>
    <s v="PJ201800012_URS_4批次作業_V1.10.doc"/>
    <m/>
    <d v="2022-01-19T00:00:00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x v="15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d v="2021-12-09T00:00:00"/>
    <s v="陳玫玲"/>
    <s v="4-04-通知／退還支票"/>
    <m/>
    <s v="4-2"/>
    <s v=""/>
    <s v=""/>
    <s v=""/>
    <m/>
  </r>
  <r>
    <m/>
    <m/>
    <s v="4.批次作業"/>
    <s v="4-2整批入帳作業(匯款轉帳、銀行/郵局扣款、支票兌現)"/>
    <x v="201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2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3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4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6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07"/>
    <s v="銀行扣款-明細查詢"/>
    <m/>
    <s v="賴文育"/>
    <s v="陳昱衡"/>
    <s v="PJ201800012_URS_4批次作業_V1.10.doc"/>
    <m/>
    <d v="2022-01-20T00:00:00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8"/>
    <s v="郵局扣款-明細查詢"/>
    <m/>
    <s v="賴文育"/>
    <s v="陳昱衡"/>
    <s v="PJ201800012_URS_4批次作業_V1.10.doc"/>
    <m/>
    <d v="2022-01-21T00:00:00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4銀行扣款作業(產出銀扣媒體作業)"/>
    <x v="209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x v="31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  <m/>
  </r>
  <r>
    <m/>
    <m/>
    <s v="4.批次作業"/>
    <s v="4-4銀行扣款作業(產出銀扣媒體作業)"/>
    <x v="210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  <m/>
  </r>
  <r>
    <m/>
    <n v="1"/>
    <s v="3.帳務作業"/>
    <s v="3-3回收、部分償還、暫收款"/>
    <x v="211"/>
    <s v="繳息情形查詢             "/>
    <m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3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d v="2021-12-29T00:00:00"/>
    <s v="鮑培平"/>
    <s v="5-04-回收作業"/>
    <m/>
    <s v="3-3"/>
    <s v=""/>
    <s v=""/>
    <s v=""/>
    <m/>
  </r>
  <r>
    <m/>
    <m/>
    <s v="3.帳務作業"/>
    <s v="3-3回收、部分償還、暫收款"/>
    <x v="212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x v="3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13"/>
    <s v="計息明細查詢"/>
    <s v="審後新增2021/10/19"/>
    <s v="賴文育"/>
    <s v="余家興"/>
    <s v="PJ201800012_URS_3帳務作業_V1.92"/>
    <s v="審查意見回覆"/>
    <d v="2022-01-19T00:00:00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d v="2021-12-06T00:00:00"/>
    <d v="2021-12-06T00:00:00"/>
    <s v="陳玫玲"/>
    <s v="5-02-還款來源—其他"/>
    <m/>
    <s v="3-3"/>
    <s v=""/>
    <s v=""/>
    <s v=""/>
    <m/>
  </r>
  <r>
    <m/>
    <m/>
    <s v="4.批次作業"/>
    <s v="4-2整批入帳作業(匯款轉帳、銀行/郵局扣款、支票兌現)"/>
    <x v="214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5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6"/>
    <s v="匯款轉帳-明細維護"/>
    <m/>
    <s v="賴文育"/>
    <s v="陳昱衡"/>
    <s v="PJ201800012_URS_4批次作業_V1.14.doc"/>
    <m/>
    <d v="2022-01-21T00:00:00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x v="22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7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x v="31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8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  <m/>
  </r>
  <r>
    <m/>
    <m/>
    <s v="4.批次作業"/>
    <s v="4-7其他"/>
    <x v="219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x v="31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  <m/>
  </r>
  <r>
    <m/>
    <m/>
    <s v="4.批次作業"/>
    <s v="4-7其他"/>
    <x v="220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x v="15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  <m/>
  </r>
  <r>
    <m/>
    <n v="1"/>
    <s v="3.帳務作業"/>
    <s v="3-1試算"/>
    <x v="2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3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  <m/>
  </r>
  <r>
    <m/>
    <n v="1"/>
    <s v="3.帳務作業"/>
    <s v="3-1試算"/>
    <x v="2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  <m/>
  </r>
  <r>
    <m/>
    <n v="1"/>
    <s v="3.帳務作業"/>
    <s v="3-1試算"/>
    <x v="2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m/>
    <s v=""/>
    <s v=""/>
    <m/>
    <s v=""/>
    <s v=""/>
    <s v="3-1"/>
    <s v=""/>
    <m/>
  </r>
  <r>
    <m/>
    <n v="1"/>
    <s v="3.帳務作業"/>
    <s v="3-1試算"/>
    <x v="2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  <m/>
  </r>
  <r>
    <m/>
    <n v="1"/>
    <s v="3.帳務作業"/>
    <s v="3-1試算"/>
    <x v="2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  <m/>
  </r>
  <r>
    <m/>
    <n v="1"/>
    <s v="3.帳務作業"/>
    <s v="3-1試算"/>
    <x v="2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  <m/>
  </r>
  <r>
    <m/>
    <n v="1"/>
    <s v="3.帳務作業"/>
    <s v="3-3回收、部分償還、暫收款"/>
    <x v="227"/>
    <s v="約定部分償還明細資料查詢 "/>
    <m/>
    <s v="賴文育"/>
    <s v="余家興"/>
    <s v="PJ201800012_URS_3帳務作業_V1.92"/>
    <s v="審查意見回覆"/>
    <d v="2022-01-19T00:00:0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8"/>
    <s v="約定部分償還登錄         "/>
    <m/>
    <s v="賴文育"/>
    <s v="余家興"/>
    <s v="PJ201800012_URS_3帳務作業_V1.81"/>
    <m/>
    <d v="2022-01-19T00:00:00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x v="21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9"/>
    <s v="回收登錄                 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30"/>
    <s v="暫收款銷帳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d v="2021-12-22T00:00:00"/>
    <d v="2021-12-22T00:00:00"/>
    <s v="鮑培平"/>
    <s v="5-03-暫收登錄、銷帳、退還"/>
    <m/>
    <s v="3-3"/>
    <s v=""/>
    <s v=""/>
    <s v=""/>
    <m/>
  </r>
  <r>
    <m/>
    <m/>
    <s v="3.帳務作業"/>
    <s v="3-3回收、部分償還、暫收款"/>
    <x v="231"/>
    <s v="回收冲正(轉換前資料)"/>
    <s v="審後新增2021/12/3"/>
    <s v="賴文育"/>
    <s v="余家興"/>
    <s v="PJ201800012_URS_3帳務作業_V1.84"/>
    <m/>
    <d v="2022-01-17T00:00:0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x v="15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d v="2021-12-28T00:00:00"/>
    <d v="2021-12-28T00:00:00"/>
    <s v="陳玫玲"/>
    <s v="A-02-機動指數利率調整"/>
    <m/>
    <s v="3-3"/>
    <s v=""/>
    <s v=""/>
    <s v=""/>
    <m/>
  </r>
  <r>
    <m/>
    <n v="1"/>
    <s v="3.帳務作業"/>
    <s v="3-4展期、結案、轉催呆"/>
    <x v="232"/>
    <s v="結案登錄-可欠繳          "/>
    <m/>
    <s v="賴文育"/>
    <s v="余家興"/>
    <s v="PJ201800012_URS_3帳務作業_V1.81"/>
    <m/>
    <d v="2022-01-17T00:00:0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m/>
    <s v=""/>
    <s v=""/>
    <m/>
    <s v=""/>
    <s v=""/>
    <s v="3-4"/>
    <s v=""/>
    <m/>
  </r>
  <r>
    <m/>
    <n v="1"/>
    <s v="3.帳務作業"/>
    <s v="3-4展期、結案、轉催呆"/>
    <x v="233"/>
    <s v="結案登錄-不可欠繳"/>
    <m/>
    <s v="賴文育"/>
    <s v="余家興"/>
    <s v="PJ201800012_URS_3帳務作業_V1.81"/>
    <m/>
    <d v="2022-01-18T00:00:00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d v="2021-12-29T00:00:00"/>
    <s v="鮑培平"/>
    <s v="6-02-轉催收"/>
    <m/>
    <s v="3-4"/>
    <s v=""/>
    <s v=""/>
    <s v=""/>
    <m/>
  </r>
  <r>
    <m/>
    <n v="1"/>
    <s v="3.帳務作業"/>
    <s v="3-3回收、部分償還、暫收款"/>
    <x v="234"/>
    <s v="呆帳戶改呆帳結案戶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6.共同作業"/>
    <s v="6-8其他作業"/>
    <x v="235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x v="21"/>
    <m/>
    <m/>
    <m/>
    <d v="2021-10-13T00:00:00"/>
    <m/>
    <m/>
    <m/>
    <m/>
    <s v="新交易"/>
    <s v="新交易"/>
    <x v="0"/>
    <s v="6-8"/>
    <s v=""/>
    <s v=""/>
    <s v=""/>
    <s v=""/>
    <s v=""/>
    <s v=""/>
    <d v="2022-02-18T00:00:00"/>
    <m/>
    <s v=""/>
    <s v=""/>
    <m/>
    <s v=""/>
    <s v=""/>
    <s v="6-8"/>
    <s v=""/>
    <m/>
  </r>
  <r>
    <m/>
    <n v="1"/>
    <s v="3.帳務作業"/>
    <s v="3-3回收、部分償還、暫收款"/>
    <x v="236"/>
    <s v="應繳日變更-不可欠繳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n v="1"/>
    <s v="3.帳務作業"/>
    <s v="3-3回收、部分償還、暫收款"/>
    <x v="237"/>
    <s v="應繳日變更-可欠繳  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2.業務作業"/>
    <s v="2-5法拍費用"/>
    <x v="238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39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x v="15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40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1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2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3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4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5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46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x v="15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  <m/>
  </r>
  <r>
    <m/>
    <m/>
    <s v="4.批次作業"/>
    <s v="4-6火險作業"/>
    <x v="247"/>
    <s v="火險保費未繳轉借支作業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8"/>
    <s v="火險最終保單上傳作業       "/>
    <m/>
    <s v="賴文育"/>
    <s v="陳昱衡"/>
    <s v="PJ201800012_URS_4批次作業_V1.14.doc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9"/>
    <s v="火險佣金作業          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d v="2021-12-21T00:00:00"/>
    <d v="2021-12-21T00:00:00"/>
    <s v="陳玫玲"/>
    <s v="B-05-火險—佣金作業"/>
    <m/>
    <s v="4-6"/>
    <s v=""/>
    <s v=""/>
    <s v=""/>
    <m/>
  </r>
  <r>
    <m/>
    <m/>
    <s v="4.批次作業"/>
    <s v="4-6火險作業"/>
    <x v="250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251"/>
    <s v="火險佣金資料查詢             "/>
    <s v="審後新增2021/11/19"/>
    <s v="賴文育"/>
    <s v="陳昱衡"/>
    <s v="PJ201800012_URS_4批次作業_V1.14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x v="22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  <m/>
  </r>
  <r>
    <m/>
    <m/>
    <s v="6.共同作業"/>
    <s v="6-8其他作業"/>
    <x v="252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3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4"/>
    <s v="火險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5"/>
    <s v="法務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6"/>
    <s v="呆帳戶法務費墊付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7"/>
    <s v="應處理明細"/>
    <s v="補列2022/1/14"/>
    <s v="賴文育"/>
    <s v="余家興"/>
    <s v="PJ201800012_URS_6共同作業_V1.13.docx"/>
    <s v="新增交易"/>
    <d v="2022-01-17T00:00:00"/>
    <d v="2022-01-21T00:00:00"/>
    <m/>
    <m/>
    <m/>
    <s v="林清河"/>
    <s v="邵淑微"/>
    <m/>
    <m/>
    <m/>
    <m/>
    <m/>
    <m/>
    <m/>
    <m/>
    <m/>
    <m/>
    <m/>
    <m/>
    <m/>
    <x v="33"/>
    <m/>
    <m/>
    <m/>
    <m/>
    <m/>
    <m/>
    <m/>
    <m/>
    <s v="新交易"/>
    <s v="新交易"/>
    <x v="0"/>
    <m/>
    <m/>
    <m/>
    <m/>
    <m/>
    <m/>
    <s v=""/>
    <d v="2022-01-22T00:00:00"/>
    <d v="2021-12-10T00:00:00"/>
    <s v="陳玫玲"/>
    <s v="4-01-銀行扣款"/>
    <m/>
    <s v=""/>
    <s v=""/>
    <s v="6-8"/>
    <s v=""/>
    <m/>
  </r>
  <r>
    <m/>
    <n v="1"/>
    <s v="3.帳務作業"/>
    <s v="3-4展期、結案、轉催呆"/>
    <x v="258"/>
    <s v="催收回復登錄             "/>
    <m/>
    <s v="賴文育"/>
    <s v="余家興"/>
    <s v="PJ201800012_URS_3帳務作業_V1.81"/>
    <m/>
    <d v="2022-01-18T00:00:00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d v="2021-12-30T00:00:00"/>
    <s v="鮑培平"/>
    <s v="6-04-催收回復、收回 "/>
    <m/>
    <s v="3-4"/>
    <s v=""/>
    <s v=""/>
    <s v=""/>
    <m/>
  </r>
  <r>
    <m/>
    <m/>
    <s v="2.業務作業"/>
    <s v="2-2案件申請、額度"/>
    <x v="25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x v="18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2-18T00:00:00"/>
    <m/>
    <s v=""/>
    <s v=""/>
    <m/>
    <s v=""/>
    <s v=""/>
    <s v="2-2"/>
    <s v=""/>
    <m/>
  </r>
  <r>
    <m/>
    <m/>
    <s v="6.共同作業"/>
    <s v="6-8其他作業"/>
    <x v="260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  <m/>
  </r>
  <r>
    <m/>
    <m/>
    <s v="6.共同作業"/>
    <s v="6-4作業控管維護"/>
    <x v="261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4作業控管維護"/>
    <x v="262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5系統變數維護"/>
    <x v="263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s v="新交易"/>
    <x v="0"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4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s v="新交易"/>
    <x v="0"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5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  <m/>
  </r>
  <r>
    <m/>
    <m/>
    <s v="6.共同作業"/>
    <s v="6-6各類代碼檔維護"/>
    <x v="266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  <m/>
  </r>
  <r>
    <m/>
    <m/>
    <s v="6.共同作業"/>
    <s v="6-6各類代碼檔維護"/>
    <x v="267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  <m/>
  </r>
  <r>
    <m/>
    <m/>
    <s v="6.共同作業"/>
    <s v="6-6各類代碼檔維護"/>
    <x v="268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269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s v="新交易"/>
    <x v="0"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70"/>
    <s v="代碼檔代號查詢"/>
    <s v="補列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24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71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  <m/>
  </r>
  <r>
    <m/>
    <m/>
    <s v="2.業務作業"/>
    <s v="2-6清償作業"/>
    <x v="272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x v="12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3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x v="12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4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5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6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7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4.批次作業"/>
    <s v="4-3利率調整作業"/>
    <x v="278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9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0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1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2"/>
    <s v="個別利率批次輸入"/>
    <s v="由L4105更名"/>
    <s v="賴文育"/>
    <s v="陳昱衡"/>
    <s v="PJ201800012_URS_4批次作業_V1.10.doc"/>
    <m/>
    <d v="2022-01-21T00:00:00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d v="2021-12-21T00:00:00"/>
    <s v="陳玫玲"/>
    <s v="A-05-按商品別調整"/>
    <m/>
    <s v="4-3"/>
    <s v=""/>
    <s v=""/>
    <s v=""/>
    <m/>
  </r>
  <r>
    <m/>
    <m/>
    <s v="4.批次作業"/>
    <s v="4-3利率調整作業"/>
    <x v="283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4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5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x v="16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  <m/>
  </r>
  <r>
    <m/>
    <m/>
    <s v="6.共同作業"/>
    <s v="6-6各類代碼檔維護"/>
    <x v="28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28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28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x v="16"/>
    <m/>
    <m/>
    <m/>
    <d v="2021-12-03T00:00:00"/>
    <m/>
    <m/>
    <m/>
    <m/>
    <s v="新交易"/>
    <s v="新交易"/>
    <x v="0"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  <m/>
  </r>
  <r>
    <m/>
    <m/>
    <s v="6.共同作業"/>
    <s v="6-6各類代碼檔維護"/>
    <x v="289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  <m/>
  </r>
  <r>
    <m/>
    <m/>
    <s v="2.業務作業"/>
    <s v="2-3保證人、關係人"/>
    <x v="290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x v="15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1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2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3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d v="2021-11-29T00:00:00"/>
    <d v="2021-11-29T00:00:00"/>
    <s v="鮑培平"/>
    <s v="2-17-關係人建檔"/>
    <m/>
    <s v="2-3"/>
    <s v=""/>
    <s v=""/>
    <s v=""/>
    <m/>
  </r>
  <r>
    <m/>
    <m/>
    <s v="2.業務作業"/>
    <s v="2-2案件申請、額度"/>
    <x v="294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x v="12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5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x v="12"/>
    <m/>
    <m/>
    <m/>
    <d v="2021-10-25T00:00:00"/>
    <m/>
    <m/>
    <m/>
    <m/>
    <s v="新交易"/>
    <s v="新交易"/>
    <x v="0"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6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10-25T00:00:00"/>
    <m/>
    <m/>
    <m/>
    <m/>
    <s v="新交易"/>
    <s v="新交易"/>
    <x v="0"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  <m/>
  </r>
  <r>
    <m/>
    <m/>
    <s v="2.業務作業"/>
    <s v="2-3保證人、關係人"/>
    <x v="297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x v="15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  <m/>
  </r>
  <r>
    <m/>
    <m/>
    <s v="2.業務作業"/>
    <s v="2-9其他"/>
    <x v="298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s v="新交易"/>
    <x v="0"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  <m/>
  </r>
  <r>
    <m/>
    <m/>
    <s v="2.業務作業"/>
    <s v="2-9其他"/>
    <x v="299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x v="19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9其他"/>
    <x v="300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x v="19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4擔保品"/>
    <x v="301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s v="新交易"/>
    <x v="0"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  <m/>
  </r>
  <r>
    <m/>
    <m/>
    <s v="2.業務作業"/>
    <s v="2-4擔保品"/>
    <x v="302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x v="19"/>
    <m/>
    <m/>
    <m/>
    <d v="2021-11-17T00:00:00"/>
    <m/>
    <m/>
    <m/>
    <m/>
    <s v="新交易"/>
    <s v="新交易"/>
    <x v="0"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303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s v="新交易"/>
    <x v="0"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  <m/>
  </r>
  <r>
    <m/>
    <m/>
    <s v="5.管理性作業 "/>
    <s v="5-4法催紀錄作業"/>
    <x v="304"/>
    <s v="案件處理清單         "/>
    <m/>
    <s v="蘇曉玲"/>
    <s v="蘇曉玲"/>
    <s v="PJ201800012_URS_5管理性作業_V1.63.docx"/>
    <s v="敘述修正"/>
    <d v="2022-01-10T00:00:00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x v="34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5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6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7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8"/>
    <s v="面催明細資料查詢     "/>
    <m/>
    <s v="蘇曉玲"/>
    <s v="蘇曉玲"/>
    <s v="PJ201800012_URS_5管理性作業_V1.62.DOCX"/>
    <s v="畫面截圖更新"/>
    <d v="2022-01-10T00:00:00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9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0"/>
    <s v="函催明細資料查詢     "/>
    <m/>
    <s v="蘇曉玲"/>
    <s v="蘇曉玲"/>
    <s v="PJ201800012_URS_5管理性作業_V1.62.DOCX"/>
    <s v="畫面截圖更新"/>
    <d v="2022-01-10T00:00:00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1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x v="3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2"/>
    <s v="法務進度明細資料查詢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3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x v="3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4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5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6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7"/>
    <s v="法務催收人員查詢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8"/>
    <s v="法務催收人員維護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8.遵循法令作業"/>
    <s v="8-1AML檢核"/>
    <x v="319"/>
    <s v="AML姓名檢核查詢"/>
    <m/>
    <s v="賴文育"/>
    <s v="余家興"/>
    <s v="PJ201800012_URS_8遵循法令作業_V1.5.docx"/>
    <m/>
    <d v="2022-01-26T00:00:00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x v="19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d v="2021-12-10T00:00:00"/>
    <d v="2021-12-10T00:00:00"/>
    <s v="陳玫玲"/>
    <s v="4-01-銀行扣款"/>
    <m/>
    <s v="8-1"/>
    <s v=""/>
    <s v=""/>
    <s v=""/>
    <m/>
  </r>
  <r>
    <m/>
    <m/>
    <s v="6.共同作業"/>
    <s v="6-6各類代碼檔維護"/>
    <x v="320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  <m/>
  </r>
  <r>
    <m/>
    <m/>
    <s v="8.遵循法令作業"/>
    <s v="8-1AML檢核"/>
    <x v="321"/>
    <s v="AML定審高風險資料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2"/>
    <s v="AML定審中風險資料查詢"/>
    <s v="新增2021/11/2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3"/>
    <s v="AML定審低風險資料查詢"/>
    <s v="新增2021/11/26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4"/>
    <s v="AML定審通知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5"/>
    <s v="產製AML每日有效客戶名單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6"/>
    <s v="AML定審通知處理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6.共同作業"/>
    <s v="6-6各類代碼檔維護"/>
    <x v="327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328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s v="新交易"/>
    <x v="0"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329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  <m/>
  </r>
  <r>
    <m/>
    <m/>
    <s v="6.共同作業"/>
    <s v="6-6各類代碼檔維護"/>
    <x v="330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331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332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x v="31"/>
    <m/>
    <m/>
    <m/>
    <d v="2021-12-03T00:00:00"/>
    <m/>
    <m/>
    <m/>
    <m/>
    <s v="新交易"/>
    <s v="新交易"/>
    <x v="0"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  <m/>
  </r>
  <r>
    <m/>
    <m/>
    <s v="6.共同作業"/>
    <s v="6-7其他基本資料維護"/>
    <x v="333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  <m/>
  </r>
  <r>
    <m/>
    <m/>
    <s v="6.共同作業"/>
    <s v="6-7其他基本資料維護"/>
    <x v="334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x v="31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35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  <m/>
  </r>
  <r>
    <m/>
    <m/>
    <s v="6.共同作業"/>
    <s v="6-7其他基本資料維護"/>
    <x v="336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37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  <m/>
  </r>
  <r>
    <m/>
    <m/>
    <s v="5.管理性作業 "/>
    <s v="5-1一般作業"/>
    <x v="338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x v="12"/>
    <m/>
    <m/>
    <m/>
    <d v="2021-11-24T00:00:00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39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40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s v="新交易"/>
    <x v="0"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41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7其他基本資料維護"/>
    <x v="342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43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34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  <m/>
  </r>
  <r>
    <m/>
    <m/>
    <s v="5.管理性作業 "/>
    <s v="5-1一般作業"/>
    <x v="345"/>
    <s v="授信審議委員會會議紀錄明細資料查詢"/>
    <m/>
    <s v="賴文育"/>
    <s v="楊智誠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x v="12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  <m/>
  </r>
  <r>
    <m/>
    <m/>
    <s v="5.管理性作業 "/>
    <s v="5-1一般作業"/>
    <x v="346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x v="18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  <m/>
  </r>
  <r>
    <m/>
    <m/>
    <s v="6.共同作業"/>
    <s v="6-7其他基本資料維護"/>
    <x v="347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8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新交易"/>
    <s v="新交易"/>
    <x v="0"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9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  <m/>
  </r>
  <r>
    <m/>
    <m/>
    <s v="5.管理性作業 "/>
    <s v="5-1一般作業"/>
    <x v="350"/>
    <s v="覆審案件明細檔查詢"/>
    <m/>
    <s v="賴文育"/>
    <s v="楊智誠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1"/>
    <s v="覆審案件明細檔維護"/>
    <m/>
    <s v="賴文育"/>
    <s v="楊智誠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2"/>
    <s v="產生覆審案件資料明細"/>
    <m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3"/>
    <s v="寬限條件控管繳息查詢"/>
    <m/>
    <s v="賴文育"/>
    <s v="楊智誠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4"/>
    <s v="寬限條件控管維護"/>
    <m/>
    <s v="賴文育"/>
    <s v="楊智誠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5"/>
    <s v="指定覆審名單查詢"/>
    <s v="審後新增2021/11/16 (L5905)"/>
    <s v="賴文育"/>
    <s v="楊智誠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6"/>
    <s v="指定覆審案件資料維護"/>
    <s v="審後新增2021/11/16 (L5105)"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57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x v="31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58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  <m/>
  </r>
  <r>
    <m/>
    <m/>
    <s v="5.管理性作業 "/>
    <s v="5-2房貸專員業績統計作業"/>
    <x v="359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0"/>
    <s v="房貸專員明細資料查詢      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1"/>
    <s v="房貸專員資料維護                    "/>
    <m/>
    <s v="張金龍"/>
    <s v="楊智誠"/>
    <s v="PJ201800012_URS_5管理性作業_V1.6.docx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2"/>
    <s v="晤談人員明細資料查詢                "/>
    <m/>
    <s v="張金龍"/>
    <s v="楊智誠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3"/>
    <s v="晤談人員資料維護                    "/>
    <m/>
    <s v="張金龍"/>
    <s v="楊智誠"/>
    <s v="PJ201800012_URS_5管理性作業_V1.61.docx"/>
    <m/>
    <d v="2022-01-21T00:00:00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4"/>
    <s v="目標金額、累計目標金額查詢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5"/>
    <s v="更改目標金額、累計目標金額          "/>
    <m/>
    <s v="張金龍"/>
    <s v="楊智誠"/>
    <s v="PJ201800012_URS_5管理性作業_V1.61.docx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6"/>
    <s v="協辦人員等級明細資料查詢            "/>
    <m/>
    <s v="張金龍"/>
    <s v="楊智誠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x v="3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  <m/>
  </r>
  <r>
    <m/>
    <m/>
    <s v="5.管理性作業 "/>
    <s v="5-2房貸專員業績統計作業"/>
    <x v="367"/>
    <s v="協辦人員等級歷程查詢"/>
    <s v="審後新增2021/10/26"/>
    <s v="張金龍"/>
    <s v="楊智誠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6"/>
    <m/>
    <m/>
    <m/>
    <d v="2021-07-20T00:00:00"/>
    <m/>
    <m/>
    <m/>
    <m/>
    <s v="新交易"/>
    <s v="新交易"/>
    <x v="0"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  <m/>
  </r>
  <r>
    <m/>
    <m/>
    <s v="5.管理性作業 "/>
    <s v="5-2房貸專員業績統計作業"/>
    <x v="368"/>
    <s v="房貸協辦人員等級維護                "/>
    <m/>
    <s v="張金龍"/>
    <s v="楊智誠"/>
    <s v="PJ201800012_URS_5管理性作業_V1.6.docx"/>
    <m/>
    <d v="2022-01-21T00:00:00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d v="2021-11-12T00:00:00"/>
    <s v="陳玫玲"/>
    <s v="1-18-資料變更交易查詢"/>
    <m/>
    <s v="5-2"/>
    <s v=""/>
    <s v=""/>
    <s v=""/>
    <m/>
  </r>
  <r>
    <m/>
    <m/>
    <s v="6.共同作業"/>
    <s v="6-7其他基本資料維護"/>
    <x v="369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70"/>
    <s v="業績件數及金額核算標準設定查詢"/>
    <m/>
    <s v="張金龍"/>
    <s v="楊智誠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1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72"/>
    <s v="業績件數及金額核算標準設定(整月)"/>
    <m/>
    <s v="張金龍"/>
    <s v="楊智誠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3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4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s v="新交易"/>
    <x v="0"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5"/>
    <s v="協辦獎勵津貼標準查詢"/>
    <m/>
    <s v="張金龍"/>
    <s v="楊智誠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6"/>
    <s v="協辦獎勵津貼標準設定"/>
    <m/>
    <s v="張金龍"/>
    <s v="楊智誠"/>
    <s v="PJ201800012_URS_6共同作業_V1.11.docx"/>
    <m/>
    <d v="2022-01-21T00:00:00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7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5系統變數維護"/>
    <x v="378"/>
    <s v="業績計算特殊參數設定(排除商品別)"/>
    <s v="由L6503更名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9"/>
    <s v="業績計算特殊參數設定(排除部門別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80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81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d v="2021-11-15T00:00:00"/>
    <d v="2021-11-15T00:00:00"/>
    <s v="陳玫玲"/>
    <s v="D-06-業績作業參數、標準值設定"/>
    <m/>
    <s v="6-5"/>
    <s v=""/>
    <s v=""/>
    <s v=""/>
    <m/>
  </r>
  <r>
    <m/>
    <m/>
    <s v="5.管理性作業 "/>
    <s v="5-3業績調整作業"/>
    <x v="382"/>
    <s v="房貸介紹人業績維護查詢"/>
    <m/>
    <s v="張金龍"/>
    <s v="張金龍"/>
    <s v="PJ201800012_URS_5管理性作業_V1.61.docx"/>
    <m/>
    <d v="2022-02-11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83"/>
    <s v="介紹人業績案件維護            "/>
    <m/>
    <s v="張金龍"/>
    <s v="張金龍"/>
    <s v="PJ201800012_URS_5管理性作業_V1.6.docx"/>
    <m/>
    <d v="2022-02-11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84"/>
    <s v="業績案件計件代碼維護"/>
    <s v="新增 2021/11/10"/>
    <s v="張金龍"/>
    <s v="張金龍"/>
    <s v="PJ201800012_URS_5管理性作業_V1.6.docx"/>
    <m/>
    <d v="2022-02-11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85"/>
    <s v="房貸專員業績維護查詢"/>
    <m/>
    <s v="張金龍"/>
    <s v="張金龍"/>
    <s v="PJ201800012_URS_5管理性作業_V1.61.docx"/>
    <m/>
    <d v="2022-02-11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x v="16"/>
    <m/>
    <m/>
    <m/>
    <d v="2021-11-17T00:00:00"/>
    <m/>
    <m/>
    <m/>
    <m/>
    <s v="新交易"/>
    <s v="新交易"/>
    <x v="0"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6"/>
    <s v="房貸專員件數金額資料維護"/>
    <m/>
    <s v="張金龍"/>
    <s v="張金龍"/>
    <s v="PJ201800012_URS_5管理性作業_V1.6.docx"/>
    <m/>
    <d v="2022-02-11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x v="16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7"/>
    <s v="內網報表業績維護查詢"/>
    <s v="新增 2021/11/10"/>
    <s v="張金龍"/>
    <s v="張金龍"/>
    <s v="PJ201800012_URS_5管理性作業_V1.6.docx"/>
    <m/>
    <d v="2022-02-11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88"/>
    <s v="內網報表業績維護"/>
    <s v="新增 2021/11/10"/>
    <s v="張金龍"/>
    <s v="張金龍"/>
    <s v="PJ201800012_URS_5管理性作業_V1.6.docx"/>
    <m/>
    <d v="2022-02-11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89"/>
    <s v="工作日業績結算"/>
    <m/>
    <s v="張金龍"/>
    <s v="張金龍"/>
    <s v="PJ201800012_URS_5管理性作業_V1.6.docx"/>
    <m/>
    <d v="2022-02-11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x v="16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0"/>
    <s v="產生換算業績、業務報酬發放媒體"/>
    <m/>
    <s v="張金龍"/>
    <s v="張金龍"/>
    <s v="PJ201800012_URS_5管理性作業_V1.6.docx"/>
    <m/>
    <d v="2022-02-11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1"/>
    <s v="產生介紹、協辦、專業獎勵獎金發放媒體"/>
    <m/>
    <s v="張金龍"/>
    <s v="張金龍"/>
    <s v="PJ201800012_URS_5管理性作業_V1.6.docx"/>
    <m/>
    <d v="2022-02-11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2"/>
    <s v="介紹、協辦獎金明細查詢"/>
    <m/>
    <s v="張金龍"/>
    <s v="張金龍"/>
    <s v="PJ201800012_URS_5管理性作業_V1.6.docx"/>
    <m/>
    <d v="2022-02-11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3"/>
    <s v="介紹、協辦獎金案件維護            "/>
    <m/>
    <s v="張金龍"/>
    <s v="張金龍"/>
    <s v="PJ201800012_URS_5管理性作業_V1.6.docx"/>
    <m/>
    <d v="2022-02-11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4"/>
    <s v="產生介紹人加碼獎金發放媒體"/>
    <m/>
    <s v="張金龍"/>
    <s v="張金龍"/>
    <s v="PJ201800012_URS_5管理性作業_V1.6.docx"/>
    <m/>
    <d v="2022-02-11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5"/>
    <s v="介紹人加碼獎金處理清單"/>
    <m/>
    <s v="張金龍"/>
    <s v="張金龍"/>
    <s v="PJ201800012_URS_5管理性作業_V1.6.docx"/>
    <m/>
    <d v="2022-02-11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6"/>
    <s v="介紹人加碼獎金案件維護      "/>
    <m/>
    <s v="張金龍"/>
    <s v="張金龍"/>
    <s v="PJ201800012_URS_5管理性作業_V1.6.docx"/>
    <m/>
    <d v="2022-02-11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2房貸專員業績統計作業"/>
    <x v="397"/>
    <s v="新撥款利率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d v="2021-12-20T00:00:00"/>
    <s v="陳玫玲"/>
    <s v="D-14-業績報表"/>
    <m/>
    <s v="5-2"/>
    <s v=""/>
    <s v=""/>
    <s v=""/>
    <m/>
  </r>
  <r>
    <m/>
    <m/>
    <s v="5.管理性作業 "/>
    <s v="5-2房貸專員業績統計作業"/>
    <x v="398"/>
    <s v="新光銀銀扣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d v="2021-12-20T00:00:00"/>
    <s v="陳玫玲"/>
    <s v="D-14-業績報表"/>
    <m/>
    <s v="5-2"/>
    <s v=""/>
    <s v=""/>
    <s v=""/>
    <m/>
  </r>
  <r>
    <m/>
    <m/>
    <s v="6.共同作業"/>
    <s v="6-7其他基本資料維護"/>
    <x v="399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400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401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402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  <m/>
  </r>
  <r>
    <m/>
    <m/>
    <s v="6.共同作業"/>
    <s v="6-9系統作業"/>
    <x v="403"/>
    <s v="批次執行結果查詢"/>
    <s v="原LC710，補列2022/1/14"/>
    <s v="張金龍"/>
    <s v="張金龍"/>
    <m/>
    <m/>
    <d v="2022-01-21T00:00:00"/>
    <d v="2022-01-21T00:00:00"/>
    <m/>
    <m/>
    <m/>
    <s v="林清河"/>
    <s v="陳政皓"/>
    <m/>
    <m/>
    <m/>
    <m/>
    <m/>
    <m/>
    <m/>
    <m/>
    <s v="放款服務課"/>
    <m/>
    <m/>
    <m/>
    <m/>
    <x v="30"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d v="2022-02-18T00:00:00"/>
    <m/>
    <s v=""/>
    <s v=""/>
    <m/>
    <s v=""/>
    <s v=""/>
    <s v="6-9"/>
    <s v=""/>
    <m/>
  </r>
  <r>
    <m/>
    <m/>
    <s v="6.共同作業"/>
    <s v="6-9系統作業"/>
    <x v="404"/>
    <s v="夜間批次"/>
    <s v="原LC700，補列2022/1/14"/>
    <s v="張金龍"/>
    <s v="張金龍"/>
    <s v="PJ201800012_URS_6共同作業_V1.13.docx"/>
    <s v="新增交易"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m/>
    <s v=""/>
    <s v=""/>
    <m/>
    <s v=""/>
    <s v=""/>
    <s v="6-9"/>
    <s v=""/>
    <m/>
  </r>
  <r>
    <m/>
    <m/>
    <s v="6.共同作業"/>
    <s v="6-9系統作業"/>
    <x v="405"/>
    <s v="月底日日終維護"/>
    <s v="原LC701，補列2022/1/14"/>
    <s v="張金龍"/>
    <s v="張金龍"/>
    <m/>
    <m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0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m/>
    <s v=""/>
    <s v=""/>
    <m/>
    <s v=""/>
    <s v=""/>
    <s v="6-9"/>
    <s v=""/>
    <m/>
  </r>
  <r>
    <m/>
    <m/>
    <s v="6.共同作業"/>
    <s v="6-9系統作業"/>
    <x v="406"/>
    <s v="年底日日終維護"/>
    <s v="原LC702，補列2022/1/14"/>
    <s v="張金龍"/>
    <s v="楊智誠"/>
    <m/>
    <m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0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m/>
    <s v=""/>
    <s v=""/>
    <m/>
    <s v=""/>
    <s v=""/>
    <s v="6-9"/>
    <s v=""/>
    <m/>
  </r>
  <r>
    <m/>
    <m/>
    <s v="6.共同作業"/>
    <s v="6-9系統作業"/>
    <x v="407"/>
    <s v="系統換日"/>
    <s v="原LC800，補列2022/1/14"/>
    <s v="張金龍"/>
    <s v="張金龍"/>
    <s v="PJ201800012_URS_6共同作業_V1.13.docx"/>
    <s v="新增交易"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m/>
    <s v=""/>
    <s v=""/>
    <m/>
    <s v=""/>
    <s v=""/>
    <s v="6-9"/>
    <s v=""/>
    <m/>
  </r>
  <r>
    <m/>
    <m/>
    <s v="8.遵循法令作業"/>
    <s v="8-1AML檢核"/>
    <x v="408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x v="19"/>
    <m/>
    <m/>
    <m/>
    <d v="2021-11-03T00:00:00"/>
    <m/>
    <m/>
    <m/>
    <m/>
    <s v="新交易"/>
    <s v="新交易"/>
    <x v="0"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  <m/>
  </r>
  <r>
    <m/>
    <m/>
    <s v="8.遵循法令作業"/>
    <s v="8-2疑似洗錢"/>
    <x v="409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x v="12"/>
    <m/>
    <m/>
    <m/>
    <d v="2021-10-29T00:00:00"/>
    <m/>
    <m/>
    <m/>
    <m/>
    <s v="新交易"/>
    <s v="新交易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0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1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x v="28"/>
    <m/>
    <m/>
    <m/>
    <d v="2021-10-29T00:00:00"/>
    <m/>
    <m/>
    <m/>
    <m/>
    <s v="新交易"/>
    <s v="新交易"/>
    <x v="0"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2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x v="12"/>
    <m/>
    <m/>
    <m/>
    <d v="2021-10-29T00:00:00"/>
    <m/>
    <m/>
    <m/>
    <m/>
    <s v="新交易"/>
    <s v="新交易"/>
    <x v="0"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3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x v="12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4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5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6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28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7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8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7公務人員報送"/>
    <x v="419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x v="12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2-11T00:00:00"/>
    <m/>
    <s v=""/>
    <s v=""/>
    <m/>
    <s v=""/>
    <s v=""/>
    <s v="8-7"/>
    <s v=""/>
    <m/>
  </r>
  <r>
    <m/>
    <m/>
    <s v="9.報表作業 "/>
    <s v="9-9其他"/>
    <x v="42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x v="12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  <m/>
  </r>
  <r>
    <m/>
    <m/>
    <s v="8.遵循法令作業"/>
    <s v="8-3債協報送作業"/>
    <x v="421"/>
    <s v="消債條列JCIC報送資料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2"/>
    <s v="消債條列JCIC報送資料歷程查詢(04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3"/>
    <s v="消債條列JCIC報送資料歷程查詢(04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4"/>
    <s v="消債條列JCIC報送資料歷程查詢(04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5"/>
    <s v="消債條列JCIC報送資料歷程查詢(04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6"/>
    <s v="消債條列JCIC報送資料歷程查詢(04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7"/>
    <s v="消債條列JCIC報送資料歷程查詢(04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8"/>
    <s v="消債條列JCIC報送資料歷程查詢(04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9"/>
    <s v="消債條列JCIC報送資料歷程查詢(047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0"/>
    <s v="消債條列JCIC報送資料歷程查詢(048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1"/>
    <s v="消債條列JCIC報送資料歷程查詢(049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2"/>
    <s v="消債條列JCIC報送資料歷程查詢(05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3"/>
    <s v="消債條列JCIC報送資料歷程查詢(05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4"/>
    <s v="消債條列JCIC報送資料歷程查詢(05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5"/>
    <s v="消債條列JCIC報送資料歷程查詢(05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6"/>
    <s v="消債條列JCIC報送資料歷程查詢(05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7"/>
    <s v="消債條列JCIC報送資料歷程查詢(05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438"/>
    <s v="消債條列JCIC報送資料歷程查詢(05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439"/>
    <s v="消債條列JCIC報送資料歷程查詢(06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0"/>
    <s v="消債條列JCIC報送資料歷程查詢(06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1"/>
    <s v="消債條列JCIC報送資料歷程查詢(06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2"/>
    <s v="消債條列JCIC報送資料歷程查詢(06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3"/>
    <s v="消債條列JCIC報送資料歷程查詢(44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4"/>
    <s v="消債條列JCIC報送資料歷程查詢(44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5"/>
    <s v="消債條列JCIC報送資料歷程查詢(44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6"/>
    <s v="消債條列JCIC報送資料歷程查詢(44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7"/>
    <s v="消債條列JCIC報送資料歷程查詢(446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8"/>
    <s v="消債條列JCIC報送資料歷程查詢(447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9"/>
    <s v="消債條列JCIC報送資料歷程查詢(448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0"/>
    <s v="消債條列JCIC報送資料歷程查詢(45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1"/>
    <s v="消債條列JCIC報送資料歷程查詢(45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2"/>
    <s v="消債條列JCIC報送資料歷程查詢(45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3"/>
    <s v="消債條列JCIC報送資料歷程查詢(57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4"/>
    <s v="消債條列JCIC報送資料歷程查詢(57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5"/>
    <s v="消債條列JCIC報送資料歷程查詢(57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6"/>
    <s v="消債條列JCIC報送資料歷程查詢(57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7"/>
    <s v="消債條列JCIC報送資料歷程查詢(57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8"/>
    <s v="消債條列JCIC報送資料歷程查詢(575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9"/>
    <s v="(40)前置協商受理申請暨請求回報償權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0"/>
    <s v="(41)協商開始暨停催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1"/>
    <s v="(42)回報無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2"/>
    <s v="(43)回報有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3"/>
    <s v="(44)請求同意債務清償方案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4"/>
    <s v="(45)回報是否同意債務清償方案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5"/>
    <s v="(46)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6"/>
    <s v="(47)金融機構無擔保債務協議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7"/>
    <s v="(48)債務人基本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8"/>
    <s v="(49)債務清償方案法院認可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9"/>
    <s v="(50)債務人繳款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0"/>
    <s v="(51)延期繳款（喘息期）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1"/>
    <s v="(52)前置協商相關資料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2"/>
    <s v="(53)同意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3"/>
    <s v="(54)單獨全數受清償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4"/>
    <s v="(55)更生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m/>
    <s v=""/>
    <m/>
    <s v=""/>
    <s v=""/>
    <s v=""/>
    <s v="8-3"/>
    <m/>
  </r>
  <r>
    <m/>
    <m/>
    <s v="8.遵循法令作業"/>
    <s v="8-3債協報送作業"/>
    <x v="475"/>
    <s v="(56)清算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m/>
    <s v=""/>
    <m/>
    <s v=""/>
    <s v=""/>
    <s v=""/>
    <s v="8-3"/>
    <m/>
  </r>
  <r>
    <m/>
    <m/>
    <s v="8.遵循法令作業"/>
    <s v="8-3債協報送作業"/>
    <x v="476"/>
    <s v="(60)前置協商受理變更還款條件申請暨請求回報剩餘債權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77"/>
    <s v="(61)回報協商剩餘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78"/>
    <s v="(62)金融機構無擔保債務變更還款條件協議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79"/>
    <s v="(63)變更還款方案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80"/>
    <s v="(440)前置調解受理申請暨請求回報債權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1"/>
    <s v="(442)前置調解回報無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2"/>
    <s v="(443)前置調解回報有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3"/>
    <s v="(444)前置調解債務人基本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4"/>
    <s v="(446)前置調解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5"/>
    <s v="(447)前置調解金融機構無擔保債務協議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6"/>
    <s v="(448)前置調解無擔保債務還款分配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7"/>
    <s v="(450)前置調解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8"/>
    <s v="(451)前置調解延期繳款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9"/>
    <s v="(454)前置調解單獨全數受清償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0"/>
    <s v="(570)受理更生款項統一收付通知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1"/>
    <s v="(571)更生款項統一收付回報債權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2"/>
    <s v="(572)更生款項統一收款及撥付款項分配表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3"/>
    <s v="(573)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4"/>
    <s v="(574)更生款項統一收付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5"/>
    <s v="(575)債權金額異動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6"/>
    <s v="JCIC檔案匯出作業(0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97"/>
    <s v="JCIC檔案匯出作業(04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98"/>
    <s v="JCIC檔案匯出作業(0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99"/>
    <s v="JCIC檔案匯出作業(0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0"/>
    <s v="JCIC檔案匯出作業(0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1"/>
    <s v="JCIC檔案匯出作業(04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2"/>
    <s v="JCIC檔案匯出作業(0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3"/>
    <s v="JCIC檔案匯出作業(0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4"/>
    <s v="JCIC檔案匯出作業(0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5"/>
    <s v="JCIC檔案匯出作業(049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6"/>
    <s v="JCIC檔案匯出作業(0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7"/>
    <s v="JCIC檔案匯出作業(0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8"/>
    <s v="JCIC檔案匯出作業(05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9"/>
    <s v="JCIC檔案匯出作業(05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10"/>
    <s v="JCIC檔案匯出作業(0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11"/>
    <s v="JCIC檔案匯出作業(05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512"/>
    <s v="JCIC檔案匯出作業(05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513"/>
    <s v="JCIC檔案匯出作業(06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4"/>
    <s v="JCIC檔案匯出作業(06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5"/>
    <s v="JCIC檔案匯出作業(06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6"/>
    <s v="JCIC檔案匯出作業(06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7"/>
    <s v="JCIC檔案匯出作業(4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18"/>
    <s v="JCIC檔案匯出作業(4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19"/>
    <s v="JCIC檔案匯出作業(4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0"/>
    <s v="JCIC檔案匯出作業(4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1"/>
    <s v="JCIC檔案匯出作業(4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2"/>
    <s v="JCIC檔案匯出作業(4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3"/>
    <s v="JCIC檔案匯出作業(4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4"/>
    <s v="JCIC檔案匯出作業(4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5"/>
    <s v="JCIC檔案匯出作業(4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6"/>
    <s v="JCIC檔案匯出作業(4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7"/>
    <s v="JCIC檔案匯出作業(57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8"/>
    <s v="JCIC檔案匯出作業(57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9"/>
    <s v="JCIC檔案匯出作業(57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30"/>
    <s v="JCIC檔案匯出作業(57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31"/>
    <s v="JCIC檔案匯出作業(57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32"/>
    <s v="JCIC檔案匯出作業(57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5聯徵產品報送"/>
    <x v="533"/>
    <s v="MU1人員名冊查詢"/>
    <s v="新增2021/10/26"/>
    <s v="張金龍"/>
    <s v="張金龍"/>
    <s v="PJ201800012_URS_8遵循法令作業_V1.3"/>
    <m/>
    <d v="2022-01-14T00:00:00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2-21T00:00:00"/>
    <m/>
    <s v=""/>
    <s v=""/>
    <m/>
    <s v=""/>
    <s v=""/>
    <s v="8-5"/>
    <s v=""/>
    <m/>
  </r>
  <r>
    <m/>
    <m/>
    <s v="8.遵循法令作業"/>
    <s v="8-5聯徵產品報送"/>
    <x v="534"/>
    <s v="MU1人員名冊報送"/>
    <s v="新增2021/10/26"/>
    <s v="張金龍"/>
    <s v="張金龍"/>
    <s v="PJ201800012_URS_8遵循法令作業_V1.3"/>
    <m/>
    <d v="2022-02-25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2-25T00:00:00"/>
    <m/>
    <s v=""/>
    <s v=""/>
    <m/>
    <s v=""/>
    <s v=""/>
    <s v=""/>
    <s v="8-5"/>
    <m/>
  </r>
  <r>
    <m/>
    <m/>
    <s v="8.遵循法令作業"/>
    <s v="8-5聯徵產品報送"/>
    <x v="535"/>
    <s v="聯徵產品檔案匯出作業"/>
    <s v="新增2021/10/26"/>
    <s v="張金龍"/>
    <s v="張金龍"/>
    <s v="PJ201800012_URS_8遵循法令作業_V1.51"/>
    <s v="畫面截圖更新"/>
    <d v="2022-01-14T00:00:00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x v="18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d v="2022-02-21T00:00:00"/>
    <m/>
    <s v=""/>
    <s v=""/>
    <m/>
    <s v=""/>
    <s v=""/>
    <s v="8-5"/>
    <s v=""/>
    <m/>
  </r>
  <r>
    <m/>
    <m/>
    <s v="8.遵循法令作業"/>
    <s v="8-4JCIC放款報送"/>
    <x v="536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8.遵循法令作業"/>
    <s v="8-4JCIC放款報送"/>
    <x v="537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7.介接外部系統"/>
    <s v="7-2IFRS9作業"/>
    <x v="538"/>
    <s v="違約損失率檔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9"/>
    <s v="違約損失率登錄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0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1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2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3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4"/>
    <s v="表外放款承諾資料產出"/>
    <s v="補列2022/1/17"/>
    <s v="蘇曉玲"/>
    <s v="蘇曉玲"/>
    <s v="PJ201800012_URS_7介接外部系統_V1.9.docx"/>
    <s v="新增交易"/>
    <d v="2022-01-24T00:00:00"/>
    <d v="2022-01-18T00:00:00"/>
    <m/>
    <m/>
    <s v=""/>
    <s v="林清河"/>
    <s v="張舜雯"/>
    <m/>
    <m/>
    <m/>
    <m/>
    <m/>
    <m/>
    <m/>
    <m/>
    <s v="放款管理課"/>
    <m/>
    <m/>
    <m/>
    <m/>
    <x v="33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d v="2022-02-11T00:00:00"/>
    <m/>
    <m/>
    <m/>
    <m/>
    <s v=""/>
    <s v=""/>
    <s v="7-2"/>
    <s v=""/>
    <m/>
  </r>
  <r>
    <m/>
    <m/>
    <s v="7.介接外部系統"/>
    <s v="7-2IFRS9作業"/>
    <x v="545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x v="38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6"/>
    <s v="３４號公報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x v="19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7"/>
    <s v="ＩＦＲＳ９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x v="19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s v="非使用者交易"/>
    <m/>
    <s v="7.介接外部系統"/>
    <s v="7-1E-Loan"/>
    <x v="548"/>
    <s v="E-LOAN案件資料上送"/>
    <s v="補列2022/1/20"/>
    <s v="張金龍"/>
    <s v="陳昱衡"/>
    <s v="PJ201800012_URS_7介接外部系統_V1.91.docx"/>
    <s v="eloan意見回覆"/>
    <d v="1899-12-30T00:00:00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s v="新交易"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9"/>
    <s v="(eloan)戶號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50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s v="新交易"/>
    <x v="22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51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12"/>
    <m/>
    <m/>
    <m/>
    <d v="2021-11-26T00:00:00"/>
    <m/>
    <m/>
    <m/>
    <m/>
    <s v="新交易"/>
    <s v="新交易"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3輸出入介面"/>
    <x v="552"/>
    <s v="員工資料檔"/>
    <s v="補列2022/1/20"/>
    <s v="黃智偉"/>
    <s v="黃智偉"/>
    <s v="CdEmp-員工資料檔v1.1.docx"/>
    <m/>
    <d v="1899-12-30T00:00:00"/>
    <d v="1899-12-30T00:00:00"/>
    <m/>
    <m/>
    <s v=""/>
    <s v="林清河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3"/>
    <s v="資料倉儲"/>
    <s v="補列2022/1/20"/>
    <s v="黃智偉"/>
    <s v="黃智偉"/>
    <s v="資料倉儲v1.1.docx"/>
    <m/>
    <d v="1899-12-30T00:00:00"/>
    <d v="1899-12-30T00:00:00"/>
    <m/>
    <m/>
    <s v=""/>
    <s v="林清河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4"/>
    <s v="公司利害關係人"/>
    <s v="補列2022/1/20"/>
    <s v="黃智偉"/>
    <s v="黃智偉"/>
    <s v="公司利害關係人v1.1.docx"/>
    <m/>
    <d v="1899-12-30T00:00:00"/>
    <d v="1899-12-30T00:00:00"/>
    <m/>
    <m/>
    <m/>
    <s v="林清河"/>
    <s v="張舜雯"/>
    <m/>
    <m/>
    <m/>
    <m/>
    <m/>
    <m/>
    <m/>
    <m/>
    <m/>
    <m/>
    <m/>
    <m/>
    <m/>
    <x v="41"/>
    <m/>
    <m/>
    <m/>
    <m/>
    <m/>
    <m/>
    <m/>
    <m/>
    <s v="新交易"/>
    <s v="新交易"/>
    <x v="19"/>
    <m/>
    <m/>
    <m/>
    <m/>
    <m/>
    <m/>
    <m/>
    <d v="1899-12-30T00:00:00"/>
    <d v="1899-12-30T00:00:00"/>
    <s v="黃智偉"/>
    <m/>
    <m/>
    <m/>
    <m/>
    <m/>
    <m/>
    <m/>
  </r>
  <r>
    <m/>
    <m/>
    <s v="LC共同作業"/>
    <s v="LC.共同作業"/>
    <x v="555"/>
    <s v="訂正資料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6"/>
    <s v="修正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2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7"/>
    <s v="放行資料查詢"/>
    <s v="新增2021/11/29(主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3"/>
    <d v="2021-12-30T00:00:00"/>
    <d v="2021-12-30T00:00:00"/>
    <s v="鮑培平"/>
    <s v="2-10-合併額度控管"/>
    <m/>
    <s v="LC."/>
    <s v=""/>
    <s v=""/>
    <s v=""/>
    <m/>
  </r>
  <r>
    <m/>
    <m/>
    <s v="LC共同作業"/>
    <s v="LC.共同作業"/>
    <x v="558"/>
    <s v="審核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59"/>
    <s v="登錄提交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5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60"/>
    <s v="報表及檔案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9"/>
    <d v="2021-11-16T00:00:00"/>
    <d v="2021-11-16T00:00:00"/>
    <s v="鮑培平"/>
    <s v="2-05-寬限條件控管"/>
    <m/>
    <s v="LC."/>
    <s v=""/>
    <s v=""/>
    <s v=""/>
    <m/>
  </r>
  <r>
    <m/>
    <m/>
    <s v="LC共同作業"/>
    <s v="LC.共同作業"/>
    <x v="561"/>
    <s v="鎖定戶號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2"/>
    <s v="交易明細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1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63"/>
    <s v="報表簽核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4"/>
    <s v="解除戶號鎖定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5"/>
    <s v="上傳附件查詢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6"/>
    <s v="上傳附件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3"/>
    <m/>
    <m/>
    <m/>
    <m/>
    <m/>
    <m/>
    <m/>
    <m/>
    <m/>
    <m/>
    <m/>
    <m/>
    <m/>
    <m/>
    <m/>
    <m/>
    <m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3"/>
    <n v="561"/>
    <n v="1"/>
    <n v="0"/>
    <n v="0"/>
    <n v="10"/>
    <n v="1"/>
    <m/>
    <m/>
    <m/>
    <m/>
    <m/>
    <m/>
    <n v="320"/>
    <n v="2"/>
    <n v="193"/>
    <n v="51"/>
    <n v="566"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3"/>
    <m/>
    <m/>
    <m/>
    <m/>
    <m/>
    <m/>
    <m/>
    <m/>
    <m/>
    <m/>
    <s v="／總交易"/>
    <m/>
    <n v="0.56437389770723101"/>
    <n v="3.5273368606701938E-3"/>
    <n v="0.3403880070546737"/>
    <n v="8.9947089947089942E-2"/>
    <n v="0.99823633156966496"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3"/>
    <m/>
    <m/>
    <m/>
    <m/>
    <m/>
    <m/>
    <m/>
    <m/>
    <m/>
    <m/>
    <s v="／已SIT"/>
    <m/>
    <n v="0.99378881987577639"/>
    <n v="6.2111801242236021E-3"/>
    <m/>
    <m/>
    <m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3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FEB14-EFDF-4424-93B0-3E117FEDBBD6}" name="樞紐分析表3" cacheId="5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8:B637" firstHeaderRow="1" firstDataRow="1" firstDataCol="1" rowPageCount="2" colPageCount="1"/>
  <pivotFields count="60">
    <pivotField showAll="0"/>
    <pivotField showAll="0"/>
    <pivotField showAll="0"/>
    <pivotField showAll="0"/>
    <pivotField axis="axisRow" showAll="0">
      <items count="569">
        <item x="0"/>
        <item x="1"/>
        <item x="2"/>
        <item x="3"/>
        <item x="4"/>
        <item x="8"/>
        <item x="13"/>
        <item x="10"/>
        <item x="11"/>
        <item x="5"/>
        <item x="6"/>
        <item x="7"/>
        <item x="12"/>
        <item x="9"/>
        <item x="14"/>
        <item x="15"/>
        <item x="17"/>
        <item x="22"/>
        <item x="24"/>
        <item x="51"/>
        <item x="32"/>
        <item x="35"/>
        <item x="25"/>
        <item x="38"/>
        <item x="294"/>
        <item x="295"/>
        <item x="291"/>
        <item x="290"/>
        <item x="40"/>
        <item x="301"/>
        <item x="302"/>
        <item x="71"/>
        <item x="108"/>
        <item x="110"/>
        <item x="74"/>
        <item x="60"/>
        <item x="299"/>
        <item x="272"/>
        <item x="275"/>
        <item x="239"/>
        <item x="259"/>
        <item x="16"/>
        <item x="18"/>
        <item x="21"/>
        <item x="33"/>
        <item x="36"/>
        <item x="20"/>
        <item x="19"/>
        <item x="23"/>
        <item x="39"/>
        <item x="296"/>
        <item x="26"/>
        <item x="292"/>
        <item x="293"/>
        <item x="41"/>
        <item x="53"/>
        <item x="55"/>
        <item x="57"/>
        <item x="43"/>
        <item x="44"/>
        <item x="52"/>
        <item x="48"/>
        <item x="303"/>
        <item x="72"/>
        <item x="240"/>
        <item x="241"/>
        <item x="238"/>
        <item x="73"/>
        <item x="244"/>
        <item x="245"/>
        <item x="246"/>
        <item x="273"/>
        <item x="277"/>
        <item x="109"/>
        <item x="59"/>
        <item x="300"/>
        <item x="31"/>
        <item x="27"/>
        <item x="297"/>
        <item x="42"/>
        <item x="54"/>
        <item x="56"/>
        <item x="58"/>
        <item x="45"/>
        <item x="46"/>
        <item x="47"/>
        <item x="34"/>
        <item x="37"/>
        <item x="30"/>
        <item x="274"/>
        <item x="276"/>
        <item x="242"/>
        <item x="243"/>
        <item x="298"/>
        <item x="70"/>
        <item x="68"/>
        <item x="63"/>
        <item x="227"/>
        <item x="78"/>
        <item x="105"/>
        <item x="106"/>
        <item x="67"/>
        <item x="64"/>
        <item x="65"/>
        <item x="228"/>
        <item x="229"/>
        <item x="96"/>
        <item x="97"/>
        <item x="230"/>
        <item x="231"/>
        <item x="232"/>
        <item x="233"/>
        <item x="258"/>
        <item x="81"/>
        <item x="236"/>
        <item x="237"/>
        <item x="80"/>
        <item x="234"/>
        <item x="61"/>
        <item x="211"/>
        <item x="77"/>
        <item x="213"/>
        <item x="69"/>
        <item x="212"/>
        <item x="221"/>
        <item x="222"/>
        <item x="223"/>
        <item x="224"/>
        <item x="225"/>
        <item x="226"/>
        <item x="79"/>
        <item x="107"/>
        <item x="83"/>
        <item x="201"/>
        <item x="285"/>
        <item x="280"/>
        <item x="88"/>
        <item x="94"/>
        <item x="86"/>
        <item x="92"/>
        <item x="111"/>
        <item x="82"/>
        <item x="98"/>
        <item x="99"/>
        <item x="100"/>
        <item x="197"/>
        <item x="216"/>
        <item x="207"/>
        <item x="208"/>
        <item x="199"/>
        <item x="200"/>
        <item x="202"/>
        <item x="203"/>
        <item x="214"/>
        <item x="217"/>
        <item x="279"/>
        <item x="281"/>
        <item x="278"/>
        <item x="282"/>
        <item x="87"/>
        <item x="93"/>
        <item x="89"/>
        <item x="123"/>
        <item x="125"/>
        <item x="126"/>
        <item x="127"/>
        <item x="209"/>
        <item x="210"/>
        <item x="191"/>
        <item x="193"/>
        <item x="196"/>
        <item x="195"/>
        <item x="198"/>
        <item x="113"/>
        <item x="114"/>
        <item x="116"/>
        <item x="117"/>
        <item x="247"/>
        <item x="248"/>
        <item x="249"/>
        <item x="250"/>
        <item x="112"/>
        <item x="115"/>
        <item x="104"/>
        <item x="219"/>
        <item x="220"/>
        <item x="284"/>
        <item x="84"/>
        <item x="204"/>
        <item x="215"/>
        <item x="101"/>
        <item x="102"/>
        <item x="205"/>
        <item x="218"/>
        <item x="206"/>
        <item x="283"/>
        <item x="90"/>
        <item x="91"/>
        <item x="95"/>
        <item x="124"/>
        <item x="192"/>
        <item x="194"/>
        <item x="119"/>
        <item x="120"/>
        <item x="118"/>
        <item x="121"/>
        <item x="122"/>
        <item x="251"/>
        <item x="360"/>
        <item x="366"/>
        <item x="362"/>
        <item x="364"/>
        <item x="382"/>
        <item x="385"/>
        <item x="392"/>
        <item x="395"/>
        <item x="387"/>
        <item x="304"/>
        <item x="316"/>
        <item x="317"/>
        <item x="130"/>
        <item x="135"/>
        <item x="137"/>
        <item x="133"/>
        <item x="103"/>
        <item x="346"/>
        <item x="155"/>
        <item x="156"/>
        <item x="351"/>
        <item x="352"/>
        <item x="356"/>
        <item x="354"/>
        <item x="361"/>
        <item x="359"/>
        <item x="365"/>
        <item x="363"/>
        <item x="368"/>
        <item x="389"/>
        <item x="383"/>
        <item x="386"/>
        <item x="393"/>
        <item x="396"/>
        <item x="384"/>
        <item x="388"/>
        <item x="390"/>
        <item x="391"/>
        <item x="394"/>
        <item x="307"/>
        <item x="309"/>
        <item x="311"/>
        <item x="313"/>
        <item x="315"/>
        <item x="318"/>
        <item x="131"/>
        <item x="139"/>
        <item x="143"/>
        <item x="144"/>
        <item x="128"/>
        <item x="129"/>
        <item x="145"/>
        <item x="151"/>
        <item x="152"/>
        <item x="153"/>
        <item x="150"/>
        <item x="140"/>
        <item x="338"/>
        <item x="159"/>
        <item x="158"/>
        <item x="160"/>
        <item x="62"/>
        <item x="345"/>
        <item x="154"/>
        <item x="350"/>
        <item x="353"/>
        <item x="355"/>
        <item x="397"/>
        <item x="398"/>
        <item x="367"/>
        <item x="305"/>
        <item x="306"/>
        <item x="308"/>
        <item x="310"/>
        <item x="312"/>
        <item x="314"/>
        <item x="136"/>
        <item x="141"/>
        <item x="142"/>
        <item x="146"/>
        <item x="134"/>
        <item x="147"/>
        <item x="148"/>
        <item x="149"/>
        <item x="138"/>
        <item x="132"/>
        <item x="157"/>
        <item x="85"/>
        <item x="75"/>
        <item x="49"/>
        <item x="174"/>
        <item x="176"/>
        <item x="177"/>
        <item x="184"/>
        <item x="180"/>
        <item x="182"/>
        <item x="187"/>
        <item x="263"/>
        <item x="266"/>
        <item x="267"/>
        <item x="268"/>
        <item x="269"/>
        <item x="271"/>
        <item x="286"/>
        <item x="287"/>
        <item x="288"/>
        <item x="270"/>
        <item x="28"/>
        <item x="333"/>
        <item x="334"/>
        <item x="335"/>
        <item x="336"/>
        <item x="337"/>
        <item x="339"/>
        <item x="340"/>
        <item x="341"/>
        <item x="342"/>
        <item x="343"/>
        <item x="344"/>
        <item x="347"/>
        <item x="348"/>
        <item x="375"/>
        <item x="190"/>
        <item x="161"/>
        <item x="162"/>
        <item x="164"/>
        <item x="163"/>
        <item x="254"/>
        <item x="255"/>
        <item x="256"/>
        <item x="165"/>
        <item x="76"/>
        <item x="50"/>
        <item x="178"/>
        <item x="179"/>
        <item x="175"/>
        <item x="185"/>
        <item x="181"/>
        <item x="183"/>
        <item x="265"/>
        <item x="264"/>
        <item x="378"/>
        <item x="379"/>
        <item x="380"/>
        <item x="381"/>
        <item x="289"/>
        <item x="320"/>
        <item x="327"/>
        <item x="328"/>
        <item x="329"/>
        <item x="330"/>
        <item x="331"/>
        <item x="332"/>
        <item x="29"/>
        <item x="349"/>
        <item x="357"/>
        <item x="358"/>
        <item x="369"/>
        <item x="371"/>
        <item x="373"/>
        <item x="374"/>
        <item x="377"/>
        <item x="399"/>
        <item x="400"/>
        <item x="401"/>
        <item x="402"/>
        <item x="372"/>
        <item x="376"/>
        <item x="404"/>
        <item x="405"/>
        <item x="406"/>
        <item x="407"/>
        <item x="166"/>
        <item x="167"/>
        <item x="168"/>
        <item x="169"/>
        <item x="170"/>
        <item x="171"/>
        <item x="172"/>
        <item x="173"/>
        <item x="189"/>
        <item x="261"/>
        <item x="262"/>
        <item x="186"/>
        <item x="403"/>
        <item x="260"/>
        <item x="252"/>
        <item x="253"/>
        <item x="66"/>
        <item x="235"/>
        <item x="257"/>
        <item x="370"/>
        <item x="538"/>
        <item x="548"/>
        <item x="544"/>
        <item x="539"/>
        <item x="545"/>
        <item x="543"/>
        <item x="541"/>
        <item x="546"/>
        <item x="547"/>
        <item x="540"/>
        <item x="542"/>
        <item x="549"/>
        <item x="550"/>
        <item x="551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319"/>
        <item x="321"/>
        <item x="322"/>
        <item x="323"/>
        <item x="324"/>
        <item x="408"/>
        <item x="326"/>
        <item x="325"/>
        <item x="410"/>
        <item x="413"/>
        <item x="415"/>
        <item x="417"/>
        <item x="41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534"/>
        <item x="535"/>
        <item x="536"/>
        <item x="537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419"/>
        <item x="409"/>
        <item x="414"/>
        <item x="416"/>
        <item x="411"/>
        <item x="412"/>
        <item x="533"/>
        <item x="420"/>
        <item x="555"/>
        <item x="556"/>
        <item x="557"/>
        <item x="558"/>
        <item x="559"/>
        <item x="560"/>
        <item x="561"/>
        <item x="562"/>
        <item x="565"/>
        <item x="566"/>
        <item x="563"/>
        <item x="564"/>
        <item x="552"/>
        <item x="553"/>
        <item x="554"/>
        <item x="567"/>
        <item x="188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4">
        <item x="6"/>
        <item x="13"/>
        <item x="4"/>
        <item x="25"/>
        <item x="20"/>
        <item x="32"/>
        <item x="23"/>
        <item x="17"/>
        <item x="28"/>
        <item x="38"/>
        <item x="36"/>
        <item x="34"/>
        <item x="35"/>
        <item x="7"/>
        <item x="0"/>
        <item x="2"/>
        <item x="1"/>
        <item x="8"/>
        <item x="22"/>
        <item x="26"/>
        <item x="14"/>
        <item x="11"/>
        <item x="3"/>
        <item x="18"/>
        <item x="37"/>
        <item x="31"/>
        <item x="29"/>
        <item x="10"/>
        <item x="40"/>
        <item x="41"/>
        <item x="9"/>
        <item x="27"/>
        <item x="21"/>
        <item x="5"/>
        <item x="15"/>
        <item x="12"/>
        <item x="42"/>
        <item x="19"/>
        <item x="16"/>
        <item x="24"/>
        <item x="33"/>
        <item x="3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 t="grand">
      <x/>
    </i>
  </rowItems>
  <colItems count="1">
    <i/>
  </colItems>
  <pageFields count="2">
    <pageField fld="42" hier="-1"/>
    <pageField fld="31" hier="-1"/>
  </pageFields>
  <dataFields count="1">
    <dataField name="計數 - URS版本" fld="9" subtotal="count" baseField="0" baseItem="0"/>
  </dataFields>
  <formats count="17"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4" type="button" dataOnly="0" labelOnly="1" outline="0" axis="axisRow" fieldPosition="0"/>
    </format>
    <format dxfId="142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1">
      <pivotArea dataOnly="0" labelOnly="1" fieldPosition="0">
        <references count="1"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0">
      <pivotArea dataOnly="0" labelOnly="1" fieldPosition="0">
        <references count="1">
          <reference field="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9">
      <pivotArea dataOnly="0" labelOnly="1" fieldPosition="0">
        <references count="1">
          <reference field="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38">
      <pivotArea dataOnly="0" labelOnly="1" fieldPosition="0">
        <references count="1">
          <reference field="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7">
      <pivotArea dataOnly="0" labelOnly="1" fieldPosition="0">
        <references count="1">
          <reference field="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6">
      <pivotArea dataOnly="0" labelOnly="1" fieldPosition="0">
        <references count="1">
          <reference field="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5">
      <pivotArea dataOnly="0" labelOnly="1" fieldPosition="0">
        <references count="1">
          <reference field="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34">
      <pivotArea dataOnly="0" labelOnly="1" fieldPosition="0">
        <references count="1">
          <reference field="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33">
      <pivotArea dataOnly="0" labelOnly="1" fieldPosition="0">
        <references count="1">
          <reference field="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32">
      <pivotArea dataOnly="0" labelOnly="1" fieldPosition="0">
        <references count="1">
          <reference field="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31">
      <pivotArea dataOnly="0" labelOnly="1" fieldPosition="0">
        <references count="1">
          <reference field="4" count="17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</reference>
        </references>
      </pivotArea>
    </format>
    <format dxfId="130">
      <pivotArea dataOnly="0" labelOnly="1" grandRow="1" outline="0" fieldPosition="0"/>
    </format>
    <format dxfId="12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5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S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1">
    <format dxfId="156">
      <pivotArea type="all" dataOnly="0" outline="0" fieldPosition="0"/>
    </format>
    <format dxfId="155">
      <pivotArea outline="0" collapsedLevelsAreSubtotals="1" fieldPosition="0"/>
    </format>
    <format dxfId="154">
      <pivotArea type="origin" dataOnly="0" labelOnly="1" outline="0" fieldPosition="0"/>
    </format>
    <format dxfId="153">
      <pivotArea field="11" type="button" dataOnly="0" labelOnly="1" outline="0" axis="axisCol" fieldPosition="0"/>
    </format>
    <format dxfId="152">
      <pivotArea field="-2" type="button" dataOnly="0" labelOnly="1" outline="0" axis="axisCol" fieldPosition="1"/>
    </format>
    <format dxfId="151">
      <pivotArea type="topRight" dataOnly="0" labelOnly="1" outline="0" fieldPosition="0"/>
    </format>
    <format dxfId="150">
      <pivotArea field="2" type="button" dataOnly="0" labelOnly="1" outline="0" axis="axisRow" fieldPosition="0"/>
    </format>
    <format dxfId="149">
      <pivotArea dataOnly="0" labelOnly="1" fieldPosition="0">
        <references count="1">
          <reference field="2" count="0"/>
        </references>
      </pivotArea>
    </format>
    <format dxfId="148">
      <pivotArea dataOnly="0" labelOnly="1" grandRow="1" outline="0" fieldPosition="0"/>
    </format>
    <format dxfId="147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6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5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計數 - SIT實際完成" fld="51" subtotal="count" baseField="0" baseItem="0"/>
  </dataFields>
  <formats count="11"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50" type="button" dataOnly="0" labelOnly="1" outline="0" axis="axisCol" fieldPosition="0"/>
    </format>
    <format dxfId="163">
      <pivotArea field="-2" type="button" dataOnly="0" labelOnly="1" outline="0" axis="axisCol" fieldPosition="1"/>
    </format>
    <format dxfId="162">
      <pivotArea type="topRight" dataOnly="0" labelOnly="1" outline="0" fieldPosition="0"/>
    </format>
    <format dxfId="161">
      <pivotArea field="2" type="button" dataOnly="0" labelOnly="1" outline="0" axis="axisRow" fieldPosition="0"/>
    </format>
    <format dxfId="160">
      <pivotArea dataOnly="0" labelOnly="1" fieldPosition="0">
        <references count="1">
          <reference field="2" count="0"/>
        </references>
      </pivotArea>
    </format>
    <format dxfId="159">
      <pivotArea dataOnly="0" labelOnly="1" grandRow="1" outline="0" fieldPosition="0"/>
    </format>
    <format dxfId="158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7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5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6">
      <pivotArea type="all" dataOnly="0" outline="0" fieldPosition="0"/>
    </format>
    <format dxfId="45">
      <pivotArea outline="0" collapsedLevelsAreSubtotals="1" fieldPosition="0"/>
    </format>
    <format dxfId="44">
      <pivotArea type="origin" dataOnly="0" labelOnly="1" outline="0" fieldPosition="0"/>
    </format>
    <format dxfId="43">
      <pivotArea field="13" type="button" dataOnly="0" labelOnly="1" outline="0" axis="axisCol" fieldPosition="0"/>
    </format>
    <format dxfId="42">
      <pivotArea field="-2" type="button" dataOnly="0" labelOnly="1" outline="0" axis="axisCol" fieldPosition="1"/>
    </format>
    <format dxfId="41">
      <pivotArea type="topRight" dataOnly="0" labelOnly="1" outline="0" fieldPosition="0"/>
    </format>
    <format dxfId="40">
      <pivotArea field="2" type="button" dataOnly="0" labelOnly="1" outline="0" axis="axisRow" fieldPosition="0"/>
    </format>
    <format dxfId="39">
      <pivotArea dataOnly="0" labelOnly="1" fieldPosition="0">
        <references count="1">
          <reference field="2" count="1">
            <x v="7"/>
          </reference>
        </references>
      </pivotArea>
    </format>
    <format dxfId="38">
      <pivotArea dataOnly="0" labelOnly="1" grandRow="1" outline="0" fieldPosition="0"/>
    </format>
    <format dxfId="37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6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5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5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4" type="button" dataOnly="0" labelOnly="1" outline="0" axis="axisCol" fieldPosition="0"/>
    </format>
    <format dxfId="31">
      <pivotArea dataOnly="0" labelOnly="1" fieldPosition="0">
        <references count="1">
          <reference field="4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8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7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6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5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24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5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22">
      <pivotArea field="6" type="button" dataOnly="0" labelOnly="1" outline="0" axis="axisCol" fieldPosition="0"/>
    </format>
    <format dxfId="21">
      <pivotArea type="all" dataOnly="0" outline="0" fieldPosition="0"/>
    </format>
    <format dxfId="20">
      <pivotArea type="origin" dataOnly="0" labelOnly="1" outline="0" fieldPosition="0"/>
    </format>
    <format dxfId="19">
      <pivotArea field="6" type="button" dataOnly="0" labelOnly="1" outline="0" axis="axisCol" fieldPosition="0"/>
    </format>
    <format dxfId="18">
      <pivotArea field="0" type="button" dataOnly="0" labelOnly="1" outline="0" axis="axisRow" fieldPosition="0"/>
    </format>
    <format dxfId="17">
      <pivotArea dataOnly="0" labelOnly="1" grandRow="1" outline="0" fieldPosition="0"/>
    </format>
    <format dxfId="16">
      <pivotArea field="6" type="button" dataOnly="0" labelOnly="1" outline="0" axis="axisCol" fieldPosition="0"/>
    </format>
    <format dxfId="15">
      <pivotArea type="origin" dataOnly="0" labelOnly="1" outline="0" fieldPosition="0"/>
    </format>
    <format dxfId="14">
      <pivotArea field="0" type="button" dataOnly="0" labelOnly="1" outline="0" axis="axisRow" fieldPosition="0"/>
    </format>
    <format dxfId="13">
      <pivotArea dataOnly="0" labelOnly="1" grandRow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6" type="button" dataOnly="0" labelOnly="1" outline="0" axis="axisCol" fieldPosition="0"/>
    </format>
    <format dxfId="8">
      <pivotArea field="-2" type="button" dataOnly="0" labelOnly="1" outline="0" axis="axisCol" fieldPosition="1"/>
    </format>
    <format dxfId="7">
      <pivotArea type="topRight" dataOnly="0" labelOnly="1" outline="0" fieldPosition="0"/>
    </format>
    <format dxfId="6">
      <pivotArea field="0" type="button" dataOnly="0" labelOnly="1" outline="0" axis="axisRow" fieldPosition="0"/>
    </format>
    <format dxfId="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0" dataDxfId="179" dataCellStyle="百分比">
  <autoFilter ref="A2:K74" xr:uid="{00000000-0009-0000-0100-000001000000}"/>
  <tableColumns count="11">
    <tableColumn id="1" xr3:uid="{00000000-0010-0000-0000-000001000000}" name="日期" dataDxfId="178"/>
    <tableColumn id="2" xr3:uid="{00000000-0010-0000-0000-000002000000}" name="週" dataDxfId="177">
      <calculatedColumnFormula>表格1[[#This Row],[日期]]</calculatedColumnFormula>
    </tableColumn>
    <tableColumn id="3" xr3:uid="{00000000-0010-0000-0000-000003000000}" name="合計數" dataDxfId="176">
      <calculatedColumnFormula>COUNTA(URS確認!E:E)-1</calculatedColumnFormula>
    </tableColumn>
    <tableColumn id="4" xr3:uid="{00000000-0010-0000-0000-000004000000}" name="累計預估" dataDxfId="175">
      <calculatedColumnFormula>COUNTIF(URS確認!N:N,"&lt;"&amp;A3+1)</calculatedColumnFormula>
    </tableColumn>
    <tableColumn id="5" xr3:uid="{00000000-0010-0000-0000-000005000000}" name="累計完成" dataDxfId="174">
      <calculatedColumnFormula>D7-D2</calculatedColumnFormula>
    </tableColumn>
    <tableColumn id="12" xr3:uid="{00000000-0010-0000-0000-00000C000000}" name="本周預計" dataDxfId="173">
      <calculatedColumnFormula>D7-D2</calculatedColumnFormula>
    </tableColumn>
    <tableColumn id="13" xr3:uid="{00000000-0010-0000-0000-00000D000000}" name="本周完成" dataDxfId="172">
      <calculatedColumnFormula>E7-E2</calculatedColumnFormula>
    </tableColumn>
    <tableColumn id="14" xr3:uid="{00000000-0010-0000-0000-00000E000000}" name="進度" dataDxfId="17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9" dataCellStyle="百分比">
      <calculatedColumnFormula>表格1[[#This Row],[累計完成]]/表格1[[#This Row],[合計數]]</calculatedColumnFormula>
    </tableColumn>
    <tableColumn id="10" xr3:uid="{00000000-0010-0000-0000-00000A000000}" name="欄1" dataDxfId="16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I568" totalsRowShown="0" headerRowDxfId="128" dataDxfId="127">
  <autoFilter ref="A1:BI568" xr:uid="{00000000-0009-0000-0100-000002000000}"/>
  <tableColumns count="61">
    <tableColumn id="2" xr3:uid="{00000000-0010-0000-0100-000002000000}" name="URS程式預計完成時間" dataDxfId="126"/>
    <tableColumn id="1" xr3:uid="{00000000-0010-0000-0100-000001000000}" name="狀態" dataDxfId="125"/>
    <tableColumn id="22" xr3:uid="{00000000-0010-0000-0100-000016000000}" name="業務大類" dataDxfId="124"/>
    <tableColumn id="26" xr3:uid="{00000000-0010-0000-0100-00001A000000}" name="流程" dataDxfId="123"/>
    <tableColumn id="5" xr3:uid="{00000000-0010-0000-0100-000005000000}" name="功能代號" dataDxfId="122"/>
    <tableColumn id="9" xr3:uid="{00000000-0010-0000-0100-000009000000}" name="功能名稱/說明" dataDxfId="121"/>
    <tableColumn id="38" xr3:uid="{00000000-0010-0000-0100-000026000000}" name="刪除整併說明" dataDxfId="120"/>
    <tableColumn id="4" xr3:uid="{00000000-0010-0000-0100-000004000000}" name="SA" dataDxfId="119"/>
    <tableColumn id="11" xr3:uid="{00000000-0010-0000-0100-00000B000000}" name="展示協助" dataDxfId="118"/>
    <tableColumn id="37" xr3:uid="{00000000-0010-0000-0100-000025000000}" name="URS版本" dataDxfId="117"/>
    <tableColumn id="40" xr3:uid="{00000000-0010-0000-0100-000028000000}" name="換版原因" dataDxfId="116"/>
    <tableColumn id="51" xr3:uid="{00000000-0010-0000-0100-000033000000}" name="FT預計完成" dataDxfId="115"/>
    <tableColumn id="52" xr3:uid="{00000000-0010-0000-0100-000034000000}" name="FT實際完成" dataDxfId="114"/>
    <tableColumn id="3" xr3:uid="{00000000-0010-0000-0100-000003000000}" name="預計展示" dataDxfId="113"/>
    <tableColumn id="18" xr3:uid="{00000000-0010-0000-0100-000012000000}" name="實際展示" dataDxfId="112"/>
    <tableColumn id="24" xr3:uid="{00000000-0010-0000-0100-000018000000}" name="URS完成" dataDxfId="111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"/>
    <tableColumn id="63" xr3:uid="{D331FA8F-1395-4E69-9B4F-828DB3E81C3D}" name="User_葛r" dataDxfId="0"/>
    <tableColumn id="21" xr3:uid="{00000000-0010-0000-0100-000015000000}" name="User" dataDxfId="1"/>
    <tableColumn id="7" xr3:uid="{00000000-0010-0000-0100-000007000000}" name="User2" dataDxfId="3"/>
    <tableColumn id="8" xr3:uid="{00000000-0010-0000-0100-000008000000}" name="段式" dataDxfId="4"/>
    <tableColumn id="10" xr3:uid="{00000000-0010-0000-0100-00000A000000}" name="經辦等級" dataDxfId="110"/>
    <tableColumn id="12" xr3:uid="{00000000-0010-0000-0100-00000C000000}" name="授權" dataDxfId="109"/>
    <tableColumn id="13" xr3:uid="{00000000-0010-0000-0100-00000D000000}" name="訂正" dataDxfId="108"/>
    <tableColumn id="14" xr3:uid="{00000000-0010-0000-0100-00000E000000}" name="修正" dataDxfId="107"/>
    <tableColumn id="16" xr3:uid="{00000000-0010-0000-0100-000010000000}" name="帳務" dataDxfId="106"/>
    <tableColumn id="17" xr3:uid="{00000000-0010-0000-0100-000011000000}" name="額度" dataDxfId="105"/>
    <tableColumn id="15" xr3:uid="{00000000-0010-0000-0100-00000F000000}" name="執行單位" dataDxfId="104">
      <calculatedColumnFormula>VLOOKUP(功能_33[[#This Row],[User]],SKL放款!A:G,7,FALSE)</calculatedColumnFormula>
    </tableColumn>
    <tableColumn id="32" xr3:uid="{00000000-0010-0000-0100-000020000000}" name="程式完成" dataDxfId="103"/>
    <tableColumn id="34" xr3:uid="{00000000-0010-0000-0100-000022000000}" name="URS交二審" dataDxfId="102"/>
    <tableColumn id="31" xr3:uid="{00000000-0010-0000-0100-00001F000000}" name="二審預排" dataDxfId="101"/>
    <tableColumn id="36" xr3:uid="{00000000-0010-0000-0100-000024000000}" name="二審實際" dataDxfId="100"/>
    <tableColumn id="27" xr3:uid="{00000000-0010-0000-0100-00001B000000}" name="正式_x000a_交付審查" dataDxfId="99"/>
    <tableColumn id="29" xr3:uid="{00000000-0010-0000-0100-00001D000000}" name="IT審核人" dataDxfId="98"/>
    <tableColumn id="6" xr3:uid="{00000000-0010-0000-0100-000006000000}" name="收到IT_x000a_審查意見" dataDxfId="97"/>
    <tableColumn id="35" xr3:uid="{00000000-0010-0000-0100-000023000000}" name="回覆IT_x000a_審查意見" dataDxfId="96"/>
    <tableColumn id="33" xr3:uid="{00000000-0010-0000-0100-000021000000}" name="User審閱人" dataDxfId="95">
      <calculatedColumnFormula>IFERROR(IF(VLOOKUP(功能_33[[#This Row],[功能代號]],E:U,11,FALSE)=0,"",VLOOKUP(功能_33[[#This Row],[功能代號]],E:U,11,FALSE)),"")</calculatedColumnFormula>
    </tableColumn>
    <tableColumn id="30" xr3:uid="{00000000-0010-0000-0100-00001E000000}" name="收到User_x000a_審查意見" dataDxfId="94"/>
    <tableColumn id="39" xr3:uid="{00000000-0010-0000-0100-000027000000}" name="回覆User審查意見" dataDxfId="93"/>
    <tableColumn id="25" xr3:uid="{00000000-0010-0000-0100-000019000000}" name="送出簽核檢核日" dataDxfId="92"/>
    <tableColumn id="19" xr3:uid="{00000000-0010-0000-0100-000013000000}" name="覆測日" dataDxfId="91"/>
    <tableColumn id="23" xr3:uid="{00000000-0010-0000-0100-000017000000}" name="AS400入口" dataDxfId="90">
      <calculatedColumnFormula>VLOOKUP(功能_33[[#This Row],[功能代號]],'[7]20211001'!$A:$J,8,FALSE)</calculatedColumnFormula>
    </tableColumn>
    <tableColumn id="41" xr3:uid="{00000000-0010-0000-0100-000029000000}" name="AS400名稱" dataDxfId="89">
      <calculatedColumnFormula>VLOOKUP(功能_33[[#This Row],[功能代號]],'[7]20211001'!$A:$J,9,FALSE)</calculatedColumnFormula>
    </tableColumn>
    <tableColumn id="49" xr3:uid="{00000000-0010-0000-0100-000031000000}" name="類型" dataDxfId="88"/>
    <tableColumn id="28" xr3:uid="{00000000-0010-0000-0100-00001C000000}" name="己交付" dataDxfId="87">
      <calculatedColumnFormula>IF(COUNTA(AG2)=1,LEFT(D2,3),"")</calculatedColumnFormula>
    </tableColumn>
    <tableColumn id="43" xr3:uid="{00000000-0010-0000-0100-00002B000000}" name="己完成" dataDxfId="86">
      <calculatedColumnFormula>IF(AND(COUNTA(O2)=1,COUNTA(P2)=1,COUNTA(AC2)=1,COUNTA(AF2)=1,COUNTA(AG2)=0),LEFT(D2,3),"")</calculatedColumnFormula>
    </tableColumn>
    <tableColumn id="47" xr3:uid="{00000000-0010-0000-0100-00002F000000}" name="待二審" dataDxfId="85">
      <calculatedColumnFormula>IF(AND(COUNTA(O2)=1,COUNTA(P2)=1,COUNTA(AC2)=1,COUNTA(AF2)=0,COUNTA(AG2)=0),LEFT(D2,3),"")</calculatedColumnFormula>
    </tableColumn>
    <tableColumn id="44" xr3:uid="{00000000-0010-0000-0100-00002C000000}" name="URS_x000a_未完成" dataDxfId="84">
      <calculatedColumnFormula>IF(AND(COUNTA(P2)=0,COUNTA(AC2)=1),LEFT(D2,3),"")</calculatedColumnFormula>
    </tableColumn>
    <tableColumn id="45" xr3:uid="{00000000-0010-0000-0100-00002D000000}" name="程式_x000a_未完成" dataDxfId="83">
      <calculatedColumnFormula>IF(AND(COUNTA(P2)=1,COUNTA(AC2)=0),LEFT(D2,3),"")</calculatedColumnFormula>
    </tableColumn>
    <tableColumn id="46" xr3:uid="{00000000-0010-0000-0100-00002E000000}" name="均_x000a_未完成" dataDxfId="82">
      <calculatedColumnFormula>IF(AND(COUNTA(P2)=0,COUNTA(AC2)=0),LEFT(D2,3),"")</calculatedColumnFormula>
    </tableColumn>
    <tableColumn id="50" xr3:uid="{00000000-0010-0000-0100-000032000000}" name="SIT進度2021" dataDxfId="81">
      <calculatedColumnFormula>IFERROR(VLOOKUP(功能_33[[#This Row],[功能代號]],SIT_FT_2021tmp!D:D,1,FALSE),"")</calculatedColumnFormula>
    </tableColumn>
    <tableColumn id="60" xr3:uid="{00000000-0010-0000-0100-00003C000000}" name="SIT預計" dataDxfId="80"/>
    <tableColumn id="42" xr3:uid="{00000000-0010-0000-0100-00002A000000}" name="SIT實際完成" dataDxfId="79"/>
    <tableColumn id="48" xr3:uid="{00000000-0010-0000-0100-000030000000}" name="SIT測試人員" dataDxfId="78"/>
    <tableColumn id="54" xr3:uid="{00000000-0010-0000-0100-000036000000}" name="QC對應測試案例即測試報告" dataDxfId="77"/>
    <tableColumn id="55" xr3:uid="{00000000-0010-0000-0100-000037000000}" name="欄1" dataDxfId="76"/>
    <tableColumn id="56" xr3:uid="{00000000-0010-0000-0100-000038000000}" name="已SIT已FT" dataDxfId="75">
      <calculatedColumnFormula>IF(AND(COUNTIF(AY2,"&gt;&lt;0")=1,COUNTA(M2)=1),LEFT(D2,3),"")</calculatedColumnFormula>
    </tableColumn>
    <tableColumn id="57" xr3:uid="{00000000-0010-0000-0100-000039000000}" name="已SIT待FT" dataDxfId="74">
      <calculatedColumnFormula>IF(AND(COUNTIF(AY2,"&gt;&lt;")=1,COUNTA(M2)=0),LEFT(D2,3),"")</calculatedColumnFormula>
    </tableColumn>
    <tableColumn id="58" xr3:uid="{00000000-0010-0000-0100-00003A000000}" name="待SIT已FT" dataDxfId="73">
      <calculatedColumnFormula>IF(AND(COUNTIF(AY2,"&gt;&lt;0")=0,COUNTA(M2)=1),LEFT(D2,3),"")</calculatedColumnFormula>
    </tableColumn>
    <tableColumn id="59" xr3:uid="{00000000-0010-0000-0100-00003B000000}" name="待SIT待FT" dataDxfId="72">
      <calculatedColumnFormula>IF(AND(COUNTIF(AY2,"&gt;&lt;0")=0,COUNTA(M2)=0),LEFT(D2,3),"")</calculatedColumnFormula>
    </tableColumn>
    <tableColumn id="53" xr3:uid="{00000000-0010-0000-0100-000035000000}" name="欄3" dataDxfId="7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70" dataDxfId="69">
  <autoFilter ref="A2:V27" xr:uid="{00000000-0009-0000-0100-000003000000}"/>
  <tableColumns count="22">
    <tableColumn id="1" xr3:uid="{00000000-0010-0000-0200-000001000000}" name="統計日期" dataDxfId="68"/>
    <tableColumn id="2" xr3:uid="{00000000-0010-0000-0200-000002000000}" name="總計" dataDxfId="67">
      <calculatedColumnFormula>SUM(E3,G3,H3,I3,K3,M3,O3,Q3,U3)</calculatedColumnFormula>
    </tableColumn>
    <tableColumn id="3" xr3:uid="{00000000-0010-0000-0200-000003000000}" name="已完成" dataDxfId="66">
      <calculatedColumnFormula>SUM(F3,H3,J3,L3,N3,P3,R3,V3)</calculatedColumnFormula>
    </tableColumn>
    <tableColumn id="4" xr3:uid="{00000000-0010-0000-0200-000004000000}" name="完成比" dataDxfId="65" dataCellStyle="百分比">
      <calculatedColumnFormula>C3/B3</calculatedColumnFormula>
    </tableColumn>
    <tableColumn id="5" xr3:uid="{00000000-0010-0000-0200-000005000000}" name="累計" dataDxfId="64"/>
    <tableColumn id="6" xr3:uid="{00000000-0010-0000-0200-000006000000}" name="完成" dataDxfId="63"/>
    <tableColumn id="8" xr3:uid="{00000000-0010-0000-0200-000008000000}" name="累計2" dataDxfId="62"/>
    <tableColumn id="9" xr3:uid="{00000000-0010-0000-0200-000009000000}" name="完成2" dataDxfId="61"/>
    <tableColumn id="11" xr3:uid="{00000000-0010-0000-0200-00000B000000}" name="累計3" dataDxfId="60"/>
    <tableColumn id="12" xr3:uid="{00000000-0010-0000-0200-00000C000000}" name="完成3" dataDxfId="59"/>
    <tableColumn id="14" xr3:uid="{00000000-0010-0000-0200-00000E000000}" name="高累計" dataDxfId="58"/>
    <tableColumn id="15" xr3:uid="{00000000-0010-0000-0200-00000F000000}" name="完成7" dataDxfId="57"/>
    <tableColumn id="17" xr3:uid="{00000000-0010-0000-0200-000011000000}" name="中累計" dataDxfId="56"/>
    <tableColumn id="18" xr3:uid="{00000000-0010-0000-0200-000012000000}" name="完成8" dataDxfId="55"/>
    <tableColumn id="20" xr3:uid="{00000000-0010-0000-0200-000014000000}" name="低累計" dataDxfId="54"/>
    <tableColumn id="21" xr3:uid="{00000000-0010-0000-0200-000015000000}" name="完成9" dataDxfId="53"/>
    <tableColumn id="23" xr3:uid="{00000000-0010-0000-0200-000017000000}" name="累計4" dataDxfId="52"/>
    <tableColumn id="24" xr3:uid="{00000000-0010-0000-0200-000018000000}" name="完成4" dataDxfId="51"/>
    <tableColumn id="13" xr3:uid="{00000000-0010-0000-0200-00000D000000}" name="累計5" dataDxfId="50"/>
    <tableColumn id="16" xr3:uid="{00000000-0010-0000-0200-000010000000}" name="完成5" dataDxfId="49"/>
    <tableColumn id="26" xr3:uid="{00000000-0010-0000-0200-00001A000000}" name="累計6" dataDxfId="48"/>
    <tableColumn id="27" xr3:uid="{00000000-0010-0000-0200-00001B000000}" name="完成6" dataDxfId="4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2" activePane="bottomLeft" state="frozen"/>
      <selection pane="bottomLeft" activeCell="L5" sqref="L5"/>
    </sheetView>
  </sheetViews>
  <sheetFormatPr defaultColWidth="9" defaultRowHeight="15" x14ac:dyDescent="0.35"/>
  <cols>
    <col min="1" max="1" width="9" style="267"/>
    <col min="2" max="2" width="5.19921875" style="267" bestFit="1" customWidth="1"/>
    <col min="3" max="3" width="9.3984375" style="267" bestFit="1" customWidth="1"/>
    <col min="4" max="5" width="9.69921875" style="267" bestFit="1" customWidth="1"/>
    <col min="6" max="6" width="13.69921875" style="267" customWidth="1"/>
    <col min="7" max="7" width="11.09765625" style="267" hidden="1" customWidth="1"/>
    <col min="8" max="8" width="0" style="267" hidden="1" customWidth="1"/>
    <col min="9" max="13" width="9" style="267"/>
    <col min="14" max="14" width="4.8984375" style="263" customWidth="1"/>
    <col min="15" max="15" width="5.09765625" style="288" customWidth="1"/>
    <col min="16" max="16" width="11.69921875" style="270" bestFit="1" customWidth="1"/>
    <col min="17" max="17" width="10" style="270" hidden="1" customWidth="1"/>
    <col min="18" max="18" width="9.8984375" style="270" customWidth="1"/>
    <col min="19" max="19" width="8.09765625" style="270" hidden="1" customWidth="1"/>
    <col min="20" max="20" width="10.3984375" style="290" customWidth="1"/>
    <col min="21" max="21" width="5.69921875" style="291" hidden="1" customWidth="1"/>
    <col min="22" max="22" width="5" style="292" customWidth="1"/>
    <col min="23" max="23" width="9.69921875" style="292" bestFit="1" customWidth="1"/>
    <col min="24" max="24" width="6.3984375" style="292" hidden="1" customWidth="1"/>
    <col min="25" max="25" width="10.19921875" style="292" customWidth="1"/>
    <col min="26" max="26" width="9.69921875" style="283" customWidth="1"/>
    <col min="27" max="27" width="8.69921875" style="267" customWidth="1"/>
    <col min="28" max="31" width="9" style="267" customWidth="1"/>
    <col min="32" max="16384" width="9" style="267"/>
  </cols>
  <sheetData>
    <row r="1" spans="1:28" x14ac:dyDescent="0.35">
      <c r="N1" s="197" t="s">
        <v>20</v>
      </c>
    </row>
    <row r="2" spans="1:28" s="199" customFormat="1" ht="38.25" customHeight="1" x14ac:dyDescent="0.3">
      <c r="A2" s="293" t="s">
        <v>21</v>
      </c>
      <c r="B2" s="293" t="s">
        <v>2451</v>
      </c>
      <c r="C2" s="293" t="s">
        <v>2869</v>
      </c>
      <c r="D2" s="236" t="s">
        <v>3154</v>
      </c>
      <c r="E2" s="236" t="s">
        <v>30</v>
      </c>
      <c r="F2" s="236" t="s">
        <v>3145</v>
      </c>
      <c r="G2" s="236" t="s">
        <v>3136</v>
      </c>
      <c r="H2" s="236" t="s">
        <v>3137</v>
      </c>
      <c r="N2" s="293" t="s">
        <v>21</v>
      </c>
      <c r="O2" s="293" t="s">
        <v>2451</v>
      </c>
      <c r="P2" s="293" t="s">
        <v>2869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4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5">
        <v>15</v>
      </c>
      <c r="C3" s="362" t="s">
        <v>34</v>
      </c>
      <c r="D3" s="617" t="s">
        <v>3143</v>
      </c>
      <c r="E3" s="222">
        <v>44581</v>
      </c>
      <c r="F3" s="619" t="s">
        <v>3146</v>
      </c>
      <c r="G3" s="619" t="s">
        <v>3144</v>
      </c>
      <c r="H3" s="222">
        <v>44483</v>
      </c>
      <c r="N3" s="222" t="s">
        <v>33</v>
      </c>
      <c r="O3" s="295">
        <v>15</v>
      </c>
      <c r="P3" s="362" t="s">
        <v>34</v>
      </c>
      <c r="Q3" s="222">
        <v>44481</v>
      </c>
      <c r="R3" s="222">
        <v>44483</v>
      </c>
      <c r="S3" s="295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0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5">
        <v>79</v>
      </c>
      <c r="C4" s="541" t="s">
        <v>2924</v>
      </c>
      <c r="D4" s="222"/>
      <c r="E4" s="222"/>
      <c r="F4" s="222"/>
      <c r="G4" s="222"/>
      <c r="H4" s="222"/>
      <c r="N4" s="229" t="s">
        <v>35</v>
      </c>
      <c r="O4" s="296">
        <v>15</v>
      </c>
      <c r="P4" s="230">
        <v>44470</v>
      </c>
      <c r="Q4" s="230">
        <v>44481</v>
      </c>
      <c r="R4" s="230">
        <v>44509</v>
      </c>
      <c r="S4" s="296">
        <v>14</v>
      </c>
      <c r="T4" s="230">
        <v>44512</v>
      </c>
      <c r="U4" s="231">
        <v>14</v>
      </c>
      <c r="V4" s="232">
        <f>U4/S4</f>
        <v>1</v>
      </c>
      <c r="W4" s="262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5">
        <v>38</v>
      </c>
      <c r="C5" s="541" t="s">
        <v>2868</v>
      </c>
      <c r="D5" s="618" t="s">
        <v>3139</v>
      </c>
      <c r="E5" s="222">
        <v>44573</v>
      </c>
      <c r="F5" s="222"/>
      <c r="G5" s="222"/>
      <c r="H5" s="222"/>
      <c r="N5" s="229" t="s">
        <v>36</v>
      </c>
      <c r="O5" s="296">
        <v>15</v>
      </c>
      <c r="P5" s="230">
        <v>44470</v>
      </c>
      <c r="Q5" s="230">
        <v>44491</v>
      </c>
      <c r="R5" s="230">
        <v>44495</v>
      </c>
      <c r="S5" s="296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5">
        <v>76</v>
      </c>
      <c r="C6" s="540" t="s">
        <v>2996</v>
      </c>
      <c r="D6" s="222" t="s">
        <v>3140</v>
      </c>
      <c r="E6" s="222">
        <v>44583</v>
      </c>
      <c r="F6" s="222"/>
      <c r="G6" s="222"/>
      <c r="H6" s="222"/>
      <c r="N6" s="222" t="s">
        <v>37</v>
      </c>
      <c r="O6" s="295">
        <v>79</v>
      </c>
      <c r="P6" s="541" t="s">
        <v>2924</v>
      </c>
      <c r="Q6" s="222"/>
      <c r="R6" s="222"/>
      <c r="S6" s="295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5">
        <v>87</v>
      </c>
      <c r="C7" s="541" t="s">
        <v>2866</v>
      </c>
      <c r="D7" s="222" t="s">
        <v>3141</v>
      </c>
      <c r="E7" s="222">
        <v>44583</v>
      </c>
      <c r="F7" s="222"/>
      <c r="G7" s="222"/>
      <c r="H7" s="222"/>
      <c r="N7" s="222" t="s">
        <v>38</v>
      </c>
      <c r="O7" s="295">
        <v>38</v>
      </c>
      <c r="P7" s="541" t="s">
        <v>2868</v>
      </c>
      <c r="Q7" s="222">
        <v>44905</v>
      </c>
      <c r="R7" s="222">
        <v>44558</v>
      </c>
      <c r="S7" s="295"/>
      <c r="T7" s="222">
        <v>44573</v>
      </c>
      <c r="U7" s="224"/>
      <c r="V7" s="223"/>
      <c r="W7" s="223"/>
      <c r="X7" s="223"/>
      <c r="Y7" s="222"/>
      <c r="Z7" s="560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5">
        <v>105</v>
      </c>
      <c r="C8" s="540" t="s">
        <v>2867</v>
      </c>
      <c r="D8" s="222" t="s">
        <v>3142</v>
      </c>
      <c r="E8" s="222">
        <v>44583</v>
      </c>
      <c r="F8" s="222"/>
      <c r="G8" s="222"/>
      <c r="H8" s="222"/>
      <c r="N8" s="222" t="s">
        <v>39</v>
      </c>
      <c r="O8" s="295">
        <v>76</v>
      </c>
      <c r="P8" s="540" t="s">
        <v>2996</v>
      </c>
      <c r="Q8" s="222"/>
      <c r="R8" s="222">
        <v>44575</v>
      </c>
      <c r="S8" s="295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5">
        <v>17</v>
      </c>
      <c r="C9" s="541" t="s">
        <v>3229</v>
      </c>
      <c r="D9" s="222"/>
      <c r="E9" s="222"/>
      <c r="F9" s="222"/>
      <c r="G9" s="222"/>
      <c r="H9" s="222"/>
      <c r="N9" s="222" t="s">
        <v>40</v>
      </c>
      <c r="O9" s="295">
        <v>87</v>
      </c>
      <c r="P9" s="541" t="s">
        <v>2866</v>
      </c>
      <c r="Q9" s="222"/>
      <c r="R9" s="222">
        <v>44575</v>
      </c>
      <c r="S9" s="295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5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5">
        <v>104</v>
      </c>
      <c r="P10" s="540" t="s">
        <v>2867</v>
      </c>
      <c r="Q10" s="222"/>
      <c r="R10" s="222">
        <v>44575</v>
      </c>
      <c r="S10" s="295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5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5">
        <v>10</v>
      </c>
      <c r="P11" s="222">
        <v>44544</v>
      </c>
      <c r="Q11" s="222"/>
      <c r="R11" s="222"/>
      <c r="S11" s="295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5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5">
        <v>136</v>
      </c>
      <c r="P12" s="222">
        <v>44544</v>
      </c>
      <c r="Q12" s="222"/>
      <c r="R12" s="222"/>
      <c r="S12" s="295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34" t="s">
        <v>45</v>
      </c>
      <c r="B13" s="297">
        <f>SUM(B3,B4:B12)</f>
        <v>566</v>
      </c>
      <c r="C13" s="297"/>
      <c r="D13" s="297"/>
      <c r="E13" s="235"/>
      <c r="F13" s="235"/>
      <c r="G13" s="235"/>
      <c r="H13" s="235"/>
      <c r="N13" s="222" t="s">
        <v>44</v>
      </c>
      <c r="O13" s="295">
        <v>1</v>
      </c>
      <c r="P13" s="222">
        <v>44544</v>
      </c>
      <c r="Q13" s="222"/>
      <c r="R13" s="222"/>
      <c r="S13" s="295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3134</v>
      </c>
      <c r="B14" s="295">
        <v>123</v>
      </c>
      <c r="C14" s="541" t="s">
        <v>3234</v>
      </c>
      <c r="D14" s="222" t="s">
        <v>3140</v>
      </c>
      <c r="E14" s="222">
        <v>44583</v>
      </c>
      <c r="F14" s="222"/>
      <c r="G14" s="222"/>
      <c r="H14" s="222"/>
      <c r="N14" s="222" t="s">
        <v>2409</v>
      </c>
      <c r="O14" s="295">
        <v>12</v>
      </c>
      <c r="P14" s="222">
        <v>44544</v>
      </c>
      <c r="Q14" s="222"/>
      <c r="R14" s="222"/>
      <c r="S14" s="295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3138</v>
      </c>
      <c r="B15" s="295">
        <v>134</v>
      </c>
      <c r="C15" s="222" t="s">
        <v>3236</v>
      </c>
      <c r="D15" s="222"/>
      <c r="E15" s="222"/>
      <c r="F15" s="222"/>
      <c r="G15" s="222"/>
      <c r="H15" s="222"/>
      <c r="N15" s="222" t="s">
        <v>3134</v>
      </c>
      <c r="O15" s="295"/>
      <c r="P15" s="222"/>
      <c r="Q15" s="222"/>
      <c r="R15" s="222">
        <v>44575</v>
      </c>
      <c r="S15" s="295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22" t="s">
        <v>3135</v>
      </c>
      <c r="B16" s="295">
        <v>25</v>
      </c>
      <c r="C16" s="222" t="s">
        <v>3235</v>
      </c>
      <c r="D16" s="222">
        <v>44582</v>
      </c>
      <c r="E16" s="222">
        <v>44585</v>
      </c>
      <c r="F16" s="222"/>
      <c r="G16" s="222"/>
      <c r="H16" s="222"/>
      <c r="N16" s="222"/>
      <c r="O16" s="295"/>
      <c r="P16" s="222"/>
      <c r="Q16" s="222"/>
      <c r="R16" s="222"/>
      <c r="S16" s="295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">
      <c r="A17" s="636"/>
      <c r="B17" s="297"/>
      <c r="C17" s="297"/>
      <c r="D17" s="297"/>
      <c r="E17" s="235"/>
      <c r="F17" s="235"/>
      <c r="G17" s="235"/>
      <c r="H17" s="235"/>
      <c r="N17" s="222" t="s">
        <v>3135</v>
      </c>
      <c r="O17" s="295"/>
      <c r="P17" s="222"/>
      <c r="Q17" s="222"/>
      <c r="R17" s="222">
        <v>44574</v>
      </c>
      <c r="S17" s="295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7"/>
      <c r="B18" s="267"/>
      <c r="C18" s="267"/>
      <c r="D18" s="267"/>
      <c r="E18" s="267"/>
      <c r="F18" s="267"/>
      <c r="G18" s="267"/>
      <c r="H18" s="267"/>
      <c r="N18" s="234" t="s">
        <v>45</v>
      </c>
      <c r="O18" s="297">
        <f>SUM(O3,O6:O14)</f>
        <v>558</v>
      </c>
      <c r="P18" s="297"/>
      <c r="Q18" s="297"/>
      <c r="R18" s="297"/>
      <c r="S18" s="297">
        <f>SUM(S3,S6:S13)</f>
        <v>14</v>
      </c>
      <c r="T18" s="297"/>
      <c r="U18" s="297">
        <f>SUM(U3,U6:U13)</f>
        <v>14</v>
      </c>
      <c r="V18" s="235"/>
      <c r="W18" s="235"/>
      <c r="X18" s="235"/>
      <c r="Y18" s="235"/>
      <c r="Z18" s="235"/>
      <c r="AA18" s="235"/>
    </row>
    <row r="19" spans="1:28" x14ac:dyDescent="0.35">
      <c r="A19" s="267" t="s">
        <v>3237</v>
      </c>
    </row>
    <row r="23" spans="1:28" x14ac:dyDescent="0.35">
      <c r="N23" s="520"/>
      <c r="O23" s="521"/>
      <c r="P23" s="522" t="s">
        <v>2704</v>
      </c>
      <c r="Q23" s="523"/>
    </row>
    <row r="24" spans="1:28" x14ac:dyDescent="0.35">
      <c r="N24" s="524" t="s">
        <v>176</v>
      </c>
      <c r="O24" s="521"/>
      <c r="P24" s="350" t="e">
        <f>COUNTIF(URS確認!#REF!,統計_意見!N24)</f>
        <v>#REF!</v>
      </c>
      <c r="Q24" s="361" t="s">
        <v>2703</v>
      </c>
    </row>
    <row r="25" spans="1:28" x14ac:dyDescent="0.35">
      <c r="N25" s="524" t="s">
        <v>167</v>
      </c>
      <c r="O25" s="521"/>
      <c r="P25" s="350" t="e">
        <f>COUNTIF(URS確認!#REF!,統計_意見!N25)</f>
        <v>#REF!</v>
      </c>
      <c r="Q25" s="361" t="s">
        <v>2702</v>
      </c>
    </row>
    <row r="26" spans="1:28" x14ac:dyDescent="0.35">
      <c r="N26" s="524" t="s">
        <v>287</v>
      </c>
      <c r="O26" s="521"/>
      <c r="P26" s="350" t="e">
        <f>COUNTIF(URS確認!#REF!,統計_意見!N26)</f>
        <v>#REF!</v>
      </c>
      <c r="Q26" s="361" t="s">
        <v>2701</v>
      </c>
    </row>
    <row r="27" spans="1:28" x14ac:dyDescent="0.35">
      <c r="N27" s="524" t="s">
        <v>452</v>
      </c>
      <c r="O27" s="521"/>
      <c r="P27" s="350" t="e">
        <f>COUNTIF(URS確認!#REF!,統計_意見!N27)</f>
        <v>#REF!</v>
      </c>
      <c r="Q27" s="361" t="s">
        <v>2558</v>
      </c>
    </row>
    <row r="28" spans="1:28" x14ac:dyDescent="0.35">
      <c r="N28" s="524" t="s">
        <v>110</v>
      </c>
      <c r="O28" s="521"/>
      <c r="P28" s="350" t="e">
        <f>COUNTIF(URS確認!#REF!,統計_意見!N28)</f>
        <v>#REF!</v>
      </c>
      <c r="Q28" s="361" t="s">
        <v>2700</v>
      </c>
    </row>
    <row r="29" spans="1:28" x14ac:dyDescent="0.35">
      <c r="N29" s="524" t="s">
        <v>111</v>
      </c>
      <c r="O29" s="521"/>
      <c r="P29" s="350" t="e">
        <f>COUNTIF(URS確認!#REF!,統計_意見!N29)</f>
        <v>#REF!</v>
      </c>
      <c r="Q29" s="361" t="s">
        <v>2699</v>
      </c>
    </row>
    <row r="30" spans="1:28" x14ac:dyDescent="0.35">
      <c r="N30" s="520"/>
      <c r="O30" s="521"/>
      <c r="P30" s="525" t="e">
        <f>SUM(P24:P29)</f>
        <v>#REF!</v>
      </c>
      <c r="Q30" s="52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3" bestFit="1" customWidth="1"/>
    <col min="2" max="2" width="6.69921875" style="288" customWidth="1"/>
    <col min="3" max="3" width="9.19921875" style="289" customWidth="1"/>
    <col min="4" max="4" width="10.8984375" style="270" customWidth="1"/>
    <col min="5" max="5" width="11.19921875" style="266" customWidth="1"/>
    <col min="6" max="6" width="10.69921875" style="270" customWidth="1"/>
    <col min="7" max="7" width="11.69921875" style="270" customWidth="1"/>
    <col min="8" max="8" width="8.3984375" style="270" customWidth="1"/>
    <col min="9" max="9" width="15.3984375" style="270" customWidth="1"/>
    <col min="10" max="10" width="17.8984375" style="290" customWidth="1"/>
    <col min="11" max="11" width="6.19921875" style="298" customWidth="1"/>
    <col min="12" max="12" width="22.3984375" style="283" bestFit="1" customWidth="1"/>
    <col min="13" max="16" width="9" style="267" customWidth="1"/>
    <col min="17" max="16384" width="9" style="267"/>
  </cols>
  <sheetData>
    <row r="1" spans="1:12" ht="15" customHeight="1" x14ac:dyDescent="0.35">
      <c r="A1" s="519" t="s">
        <v>2698</v>
      </c>
      <c r="E1" s="270"/>
      <c r="I1" s="290"/>
      <c r="J1" s="291"/>
      <c r="K1" s="218"/>
      <c r="L1" s="267"/>
    </row>
    <row r="2" spans="1:12" s="47" customFormat="1" ht="15" customHeight="1" x14ac:dyDescent="0.3">
      <c r="A2" s="195" t="s">
        <v>46</v>
      </c>
      <c r="B2" s="299" t="s">
        <v>47</v>
      </c>
      <c r="C2" s="300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1" t="s">
        <v>54</v>
      </c>
      <c r="J2" s="302" t="s">
        <v>55</v>
      </c>
      <c r="K2" s="219" t="s">
        <v>56</v>
      </c>
    </row>
    <row r="3" spans="1:12" ht="15" hidden="1" customHeight="1" x14ac:dyDescent="0.35">
      <c r="A3" s="263">
        <v>44396</v>
      </c>
      <c r="B3" s="288">
        <f>表格1[[#This Row],[日期]]</f>
        <v>44396</v>
      </c>
      <c r="C3" s="289">
        <v>366</v>
      </c>
      <c r="D3" s="270">
        <f>COUNTIF(URS確認!N:N,"&lt;"&amp;A3+1)</f>
        <v>7</v>
      </c>
      <c r="E3" s="270" t="e">
        <f t="shared" ref="E3:E6" si="0">D7-D2</f>
        <v>#VALUE!</v>
      </c>
      <c r="F3" s="270" t="e">
        <f t="shared" ref="F3:G6" si="1">D7-D2</f>
        <v>#VALUE!</v>
      </c>
      <c r="G3" s="270" t="e">
        <f t="shared" si="1"/>
        <v>#VALUE!</v>
      </c>
      <c r="H3" s="270" t="e">
        <f>IF(表格1[[#This Row],[本周完成]]&gt;表格1[[#This Row],[本周預計]],"提前",IF(表格1[[#This Row],[本周完成]]&lt;表格1[[#This Row],[本周預計]],"延遲","如期"))</f>
        <v>#VALUE!</v>
      </c>
      <c r="I3" s="290">
        <f>表格1[[#This Row],[累計預估]]/表格1[[#This Row],[合計數]]</f>
        <v>1.912568306010929E-2</v>
      </c>
      <c r="J3" s="290" t="e">
        <f>表格1[[#This Row],[累計完成]]/表格1[[#This Row],[合計數]]</f>
        <v>#VALUE!</v>
      </c>
      <c r="K3" s="303"/>
      <c r="L3" s="267"/>
    </row>
    <row r="4" spans="1:12" ht="15" hidden="1" customHeight="1" x14ac:dyDescent="0.35">
      <c r="A4" s="263">
        <v>44397</v>
      </c>
      <c r="B4" s="288">
        <f>表格1[[#This Row],[日期]]</f>
        <v>44397</v>
      </c>
      <c r="C4" s="289">
        <v>366</v>
      </c>
      <c r="D4" s="270">
        <f>COUNTIF(URS確認!N:N,"&lt;"&amp;A4+1)</f>
        <v>21</v>
      </c>
      <c r="E4" s="270">
        <f t="shared" si="0"/>
        <v>36</v>
      </c>
      <c r="F4" s="270">
        <f t="shared" si="1"/>
        <v>36</v>
      </c>
      <c r="G4" s="270" t="e">
        <f t="shared" si="1"/>
        <v>#VALUE!</v>
      </c>
      <c r="H4" s="270" t="e">
        <f>IF(表格1[[#This Row],[本周完成]]&gt;表格1[[#This Row],[本周預計]],"提前",IF(表格1[[#This Row],[本周完成]]&lt;表格1[[#This Row],[本周預計]],"延遲","如期"))</f>
        <v>#VALUE!</v>
      </c>
      <c r="I4" s="290">
        <f>表格1[[#This Row],[累計預估]]/表格1[[#This Row],[合計數]]</f>
        <v>5.737704918032787E-2</v>
      </c>
      <c r="J4" s="290">
        <f>表格1[[#This Row],[累計完成]]/表格1[[#This Row],[合計數]]</f>
        <v>9.8360655737704916E-2</v>
      </c>
      <c r="K4" s="303"/>
      <c r="L4" s="267"/>
    </row>
    <row r="5" spans="1:12" ht="15" hidden="1" customHeight="1" x14ac:dyDescent="0.35">
      <c r="A5" s="263">
        <v>44398</v>
      </c>
      <c r="B5" s="288">
        <f>表格1[[#This Row],[日期]]</f>
        <v>44398</v>
      </c>
      <c r="C5" s="289">
        <v>366</v>
      </c>
      <c r="D5" s="270">
        <f>COUNTIF(URS確認!N:N,"&lt;"&amp;A5+1)</f>
        <v>25</v>
      </c>
      <c r="E5" s="270">
        <f t="shared" si="0"/>
        <v>34</v>
      </c>
      <c r="F5" s="270">
        <f t="shared" si="1"/>
        <v>34</v>
      </c>
      <c r="G5" s="270">
        <f t="shared" si="1"/>
        <v>14</v>
      </c>
      <c r="H5" s="270" t="str">
        <f>IF(表格1[[#This Row],[本周完成]]&gt;表格1[[#This Row],[本周預計]],"提前",IF(表格1[[#This Row],[本周完成]]&lt;表格1[[#This Row],[本周預計]],"延遲","如期"))</f>
        <v>延遲</v>
      </c>
      <c r="I5" s="290">
        <f>表格1[[#This Row],[累計預估]]/表格1[[#This Row],[合計數]]</f>
        <v>6.8306010928961755E-2</v>
      </c>
      <c r="J5" s="290">
        <f>表格1[[#This Row],[累計完成]]/表格1[[#This Row],[合計數]]</f>
        <v>9.2896174863387984E-2</v>
      </c>
      <c r="K5" s="303"/>
      <c r="L5" s="267"/>
    </row>
    <row r="6" spans="1:12" ht="15" hidden="1" customHeight="1" x14ac:dyDescent="0.35">
      <c r="A6" s="263">
        <v>44399</v>
      </c>
      <c r="B6" s="288">
        <f>表格1[[#This Row],[日期]]</f>
        <v>44399</v>
      </c>
      <c r="C6" s="289">
        <v>366</v>
      </c>
      <c r="D6" s="270">
        <f>COUNTIF(URS確認!N:N,"&lt;"&amp;A6+1)</f>
        <v>34</v>
      </c>
      <c r="E6" s="270">
        <f t="shared" si="0"/>
        <v>30</v>
      </c>
      <c r="F6" s="270">
        <f t="shared" si="1"/>
        <v>30</v>
      </c>
      <c r="G6" s="270">
        <f t="shared" si="1"/>
        <v>21</v>
      </c>
      <c r="H6" s="270" t="str">
        <f>IF(表格1[[#This Row],[本周完成]]&gt;表格1[[#This Row],[本周預計]],"提前",IF(表格1[[#This Row],[本周完成]]&lt;表格1[[#This Row],[本周預計]],"延遲","如期"))</f>
        <v>延遲</v>
      </c>
      <c r="I6" s="290">
        <f>表格1[[#This Row],[累計預估]]/表格1[[#This Row],[合計數]]</f>
        <v>9.2896174863387984E-2</v>
      </c>
      <c r="J6" s="290">
        <f>表格1[[#This Row],[累計完成]]/表格1[[#This Row],[合計數]]</f>
        <v>8.1967213114754092E-2</v>
      </c>
      <c r="K6" s="303"/>
      <c r="L6" s="267"/>
    </row>
    <row r="7" spans="1:12" ht="15" customHeight="1" x14ac:dyDescent="0.35">
      <c r="A7" s="48">
        <v>44400</v>
      </c>
      <c r="B7" s="304">
        <f>表格1[[#This Row],[日期]]</f>
        <v>44400</v>
      </c>
      <c r="C7" s="305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6">
        <f>表格1[[#This Row],[累計預估]]/表格1[[#This Row],[合計數]]</f>
        <v>9.2896174863387984E-2</v>
      </c>
      <c r="J7" s="306">
        <f>表格1[[#This Row],[累計完成]]/表格1[[#This Row],[合計數]]</f>
        <v>9.8360655737704916E-2</v>
      </c>
      <c r="K7" s="303"/>
      <c r="L7" s="267"/>
    </row>
    <row r="8" spans="1:12" ht="15" hidden="1" customHeight="1" x14ac:dyDescent="0.35">
      <c r="A8" s="263">
        <v>44403</v>
      </c>
      <c r="B8" s="288">
        <f>表格1[[#This Row],[日期]]</f>
        <v>44403</v>
      </c>
      <c r="C8" s="289">
        <v>366</v>
      </c>
      <c r="D8" s="270">
        <f>COUNTIF(URS確認!N:N,"&lt;"&amp;A8+1)</f>
        <v>43</v>
      </c>
      <c r="E8" s="83">
        <f>COUNTIF(URS確認!O:O,"&lt;"&amp;A8+1)</f>
        <v>45</v>
      </c>
      <c r="F8" s="270">
        <f t="shared" ref="F8:G11" si="2">D12-D7</f>
        <v>21</v>
      </c>
      <c r="G8" s="270">
        <f t="shared" si="2"/>
        <v>19</v>
      </c>
      <c r="H8" s="270" t="str">
        <f>IF(表格1[[#This Row],[本周完成]]&gt;表格1[[#This Row],[本周預計]],"提前",IF(表格1[[#This Row],[本周完成]]&lt;表格1[[#This Row],[本周預計]],"延遲","如期"))</f>
        <v>延遲</v>
      </c>
      <c r="I8" s="306">
        <f>表格1[[#This Row],[累計預估]]/表格1[[#This Row],[合計數]]</f>
        <v>0.11748633879781421</v>
      </c>
      <c r="J8" s="306">
        <f>表格1[[#This Row],[累計完成]]/表格1[[#This Row],[合計數]]</f>
        <v>0.12295081967213115</v>
      </c>
      <c r="K8" s="303"/>
      <c r="L8" s="267"/>
    </row>
    <row r="9" spans="1:12" ht="15" hidden="1" customHeight="1" x14ac:dyDescent="0.35">
      <c r="A9" s="263">
        <v>44404</v>
      </c>
      <c r="B9" s="288">
        <f>表格1[[#This Row],[日期]]</f>
        <v>44404</v>
      </c>
      <c r="C9" s="289">
        <v>366</v>
      </c>
      <c r="D9" s="270">
        <f>COUNTIF(URS確認!N:N,"&lt;"&amp;A9+1)</f>
        <v>55</v>
      </c>
      <c r="E9" s="83">
        <f>COUNTIF(URS確認!O:O,"&lt;"&amp;A9+1)</f>
        <v>50</v>
      </c>
      <c r="F9" s="270">
        <f t="shared" si="2"/>
        <v>12</v>
      </c>
      <c r="G9" s="270">
        <f t="shared" si="2"/>
        <v>10</v>
      </c>
      <c r="H9" s="270" t="str">
        <f>IF(表格1[[#This Row],[本周完成]]&gt;表格1[[#This Row],[本周預計]],"提前",IF(表格1[[#This Row],[本周完成]]&lt;表格1[[#This Row],[本周預計]],"延遲","如期"))</f>
        <v>延遲</v>
      </c>
      <c r="I9" s="306">
        <f>表格1[[#This Row],[累計預估]]/表格1[[#This Row],[合計數]]</f>
        <v>0.15027322404371585</v>
      </c>
      <c r="J9" s="306">
        <f>表格1[[#This Row],[累計完成]]/表格1[[#This Row],[合計數]]</f>
        <v>0.13661202185792351</v>
      </c>
      <c r="K9" s="303"/>
      <c r="L9" s="267"/>
    </row>
    <row r="10" spans="1:12" ht="15" hidden="1" customHeight="1" x14ac:dyDescent="0.35">
      <c r="A10" s="263">
        <v>44405</v>
      </c>
      <c r="B10" s="288">
        <f>表格1[[#This Row],[日期]]</f>
        <v>44405</v>
      </c>
      <c r="C10" s="289">
        <v>368</v>
      </c>
      <c r="D10" s="270">
        <f>COUNTIF(URS確認!N:N,"&lt;"&amp;A10+1)</f>
        <v>55</v>
      </c>
      <c r="E10" s="83">
        <f>COUNTIF(URS確認!O:O,"&lt;"&amp;A10+1)</f>
        <v>55</v>
      </c>
      <c r="F10" s="270">
        <f t="shared" si="2"/>
        <v>0</v>
      </c>
      <c r="G10" s="270">
        <f t="shared" si="2"/>
        <v>5</v>
      </c>
      <c r="H10" s="270" t="str">
        <f>IF(表格1[[#This Row],[本周完成]]&gt;表格1[[#This Row],[本周預計]],"提前",IF(表格1[[#This Row],[本周完成]]&lt;表格1[[#This Row],[本周預計]],"延遲","如期"))</f>
        <v>提前</v>
      </c>
      <c r="I10" s="306">
        <f>表格1[[#This Row],[累計預估]]/表格1[[#This Row],[合計數]]</f>
        <v>0.14945652173913043</v>
      </c>
      <c r="J10" s="306">
        <f>表格1[[#This Row],[累計完成]]/表格1[[#This Row],[合計數]]</f>
        <v>0.14945652173913043</v>
      </c>
      <c r="K10" s="303"/>
      <c r="L10" s="267"/>
    </row>
    <row r="11" spans="1:12" ht="14.5" hidden="1" customHeight="1" x14ac:dyDescent="0.35">
      <c r="A11" s="263">
        <v>44406</v>
      </c>
      <c r="B11" s="288">
        <f>表格1[[#This Row],[日期]]</f>
        <v>44406</v>
      </c>
      <c r="C11" s="289">
        <v>368</v>
      </c>
      <c r="D11" s="270">
        <f>COUNTIF(URS確認!N:N,"&lt;"&amp;A11+1)</f>
        <v>55</v>
      </c>
      <c r="E11" s="83">
        <f>COUNTIF(URS確認!O:O,"&lt;"&amp;A11+1)</f>
        <v>55</v>
      </c>
      <c r="F11" s="270">
        <f t="shared" si="2"/>
        <v>0</v>
      </c>
      <c r="G11" s="270">
        <f t="shared" si="2"/>
        <v>0</v>
      </c>
      <c r="H11" s="270" t="str">
        <f>IF(表格1[[#This Row],[本周完成]]&gt;表格1[[#This Row],[本周預計]],"提前",IF(表格1[[#This Row],[本周完成]]&lt;表格1[[#This Row],[本周預計]],"延遲","如期"))</f>
        <v>如期</v>
      </c>
      <c r="I11" s="306">
        <f>表格1[[#This Row],[累計預估]]/表格1[[#This Row],[合計數]]</f>
        <v>0.14945652173913043</v>
      </c>
      <c r="J11" s="306">
        <f>表格1[[#This Row],[累計完成]]/表格1[[#This Row],[合計數]]</f>
        <v>0.14945652173913043</v>
      </c>
      <c r="K11" s="303"/>
      <c r="L11" s="267"/>
    </row>
    <row r="12" spans="1:12" ht="15" customHeight="1" x14ac:dyDescent="0.35">
      <c r="A12" s="48">
        <v>44407</v>
      </c>
      <c r="B12" s="304">
        <f>表格1[[#This Row],[日期]]</f>
        <v>44407</v>
      </c>
      <c r="C12" s="305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6">
        <f>表格1[[#This Row],[累計預估]]/表格1[[#This Row],[合計數]]</f>
        <v>0.14945652173913043</v>
      </c>
      <c r="J12" s="306">
        <f>表格1[[#This Row],[累計完成]]/表格1[[#This Row],[合計數]]</f>
        <v>0.14945652173913043</v>
      </c>
      <c r="K12" s="303"/>
      <c r="L12" s="267"/>
    </row>
    <row r="13" spans="1:12" ht="15" hidden="1" customHeight="1" x14ac:dyDescent="0.35">
      <c r="A13" s="263">
        <v>44410</v>
      </c>
      <c r="B13" s="288">
        <f>表格1[[#This Row],[日期]]</f>
        <v>44410</v>
      </c>
      <c r="C13" s="289">
        <v>368</v>
      </c>
      <c r="D13" s="270">
        <f>COUNTIF(URS確認!N:N,"&lt;"&amp;A13+1)</f>
        <v>55</v>
      </c>
      <c r="E13" s="83">
        <f>COUNTIF(URS確認!O:O,"&lt;"&amp;A13+1)</f>
        <v>55</v>
      </c>
      <c r="F13" s="270">
        <f t="shared" ref="F13:G16" si="3">D17-D12</f>
        <v>0</v>
      </c>
      <c r="G13" s="270">
        <f t="shared" si="3"/>
        <v>0</v>
      </c>
      <c r="H13" s="270" t="str">
        <f>IF(表格1[[#This Row],[本周完成]]&gt;表格1[[#This Row],[本周預計]],"提前",IF(表格1[[#This Row],[本周完成]]&lt;表格1[[#This Row],[本周預計]],"延遲","如期"))</f>
        <v>如期</v>
      </c>
      <c r="I13" s="306">
        <f>表格1[[#This Row],[累計預估]]/表格1[[#This Row],[合計數]]</f>
        <v>0.14945652173913043</v>
      </c>
      <c r="J13" s="306">
        <f>表格1[[#This Row],[累計完成]]/表格1[[#This Row],[合計數]]</f>
        <v>0.14945652173913043</v>
      </c>
      <c r="K13" s="303"/>
      <c r="L13" s="267"/>
    </row>
    <row r="14" spans="1:12" ht="15" hidden="1" customHeight="1" x14ac:dyDescent="0.35">
      <c r="A14" s="263">
        <v>44411</v>
      </c>
      <c r="B14" s="288">
        <f>表格1[[#This Row],[日期]]</f>
        <v>44411</v>
      </c>
      <c r="C14" s="289">
        <v>368</v>
      </c>
      <c r="D14" s="270">
        <f>COUNTIF(URS確認!N:N,"&lt;"&amp;A14+1)</f>
        <v>55</v>
      </c>
      <c r="E14" s="83">
        <f>COUNTIF(URS確認!O:O,"&lt;"&amp;A14+1)</f>
        <v>55</v>
      </c>
      <c r="F14" s="270">
        <f t="shared" si="3"/>
        <v>0</v>
      </c>
      <c r="G14" s="270">
        <f t="shared" si="3"/>
        <v>0</v>
      </c>
      <c r="H14" s="270" t="str">
        <f>IF(表格1[[#This Row],[本周完成]]&gt;表格1[[#This Row],[本周預計]],"提前",IF(表格1[[#This Row],[本周完成]]&lt;表格1[[#This Row],[本周預計]],"延遲","如期"))</f>
        <v>如期</v>
      </c>
      <c r="I14" s="306">
        <f>表格1[[#This Row],[累計預估]]/表格1[[#This Row],[合計數]]</f>
        <v>0.14945652173913043</v>
      </c>
      <c r="J14" s="306">
        <f>表格1[[#This Row],[累計完成]]/表格1[[#This Row],[合計數]]</f>
        <v>0.14945652173913043</v>
      </c>
      <c r="K14" s="303"/>
      <c r="L14" s="267"/>
    </row>
    <row r="15" spans="1:12" ht="15" hidden="1" customHeight="1" x14ac:dyDescent="0.35">
      <c r="A15" s="263">
        <v>44412</v>
      </c>
      <c r="B15" s="288">
        <f>表格1[[#This Row],[日期]]</f>
        <v>44412</v>
      </c>
      <c r="C15" s="289">
        <v>368</v>
      </c>
      <c r="D15" s="270">
        <f>COUNTIF(URS確認!N:N,"&lt;"&amp;A15+1)</f>
        <v>55</v>
      </c>
      <c r="E15" s="83">
        <f>COUNTIF(URS確認!O:O,"&lt;"&amp;A15+1)</f>
        <v>55</v>
      </c>
      <c r="F15" s="270">
        <f t="shared" si="3"/>
        <v>0</v>
      </c>
      <c r="G15" s="270">
        <f t="shared" si="3"/>
        <v>0</v>
      </c>
      <c r="H15" s="270" t="str">
        <f>IF(表格1[[#This Row],[本周完成]]&gt;表格1[[#This Row],[本周預計]],"提前",IF(表格1[[#This Row],[本周完成]]&lt;表格1[[#This Row],[本周預計]],"延遲","如期"))</f>
        <v>如期</v>
      </c>
      <c r="I15" s="306">
        <f>表格1[[#This Row],[累計預估]]/表格1[[#This Row],[合計數]]</f>
        <v>0.14945652173913043</v>
      </c>
      <c r="J15" s="306">
        <f>表格1[[#This Row],[累計完成]]/表格1[[#This Row],[合計數]]</f>
        <v>0.14945652173913043</v>
      </c>
      <c r="K15" s="303"/>
      <c r="L15" s="267"/>
    </row>
    <row r="16" spans="1:12" ht="15" hidden="1" customHeight="1" x14ac:dyDescent="0.35">
      <c r="A16" s="263">
        <v>44413</v>
      </c>
      <c r="B16" s="288">
        <f>表格1[[#This Row],[日期]]</f>
        <v>44413</v>
      </c>
      <c r="C16" s="289">
        <v>368</v>
      </c>
      <c r="D16" s="270">
        <f>COUNTIF(URS確認!N:N,"&lt;"&amp;A16+1)</f>
        <v>55</v>
      </c>
      <c r="E16" s="83">
        <f>COUNTIF(URS確認!O:O,"&lt;"&amp;A16+1)</f>
        <v>55</v>
      </c>
      <c r="F16" s="270">
        <f t="shared" si="3"/>
        <v>0</v>
      </c>
      <c r="G16" s="270">
        <f t="shared" si="3"/>
        <v>0</v>
      </c>
      <c r="H16" s="270" t="str">
        <f>IF(表格1[[#This Row],[本周完成]]&gt;表格1[[#This Row],[本周預計]],"提前",IF(表格1[[#This Row],[本周完成]]&lt;表格1[[#This Row],[本周預計]],"延遲","如期"))</f>
        <v>如期</v>
      </c>
      <c r="I16" s="306">
        <f>表格1[[#This Row],[累計預估]]/表格1[[#This Row],[合計數]]</f>
        <v>0.14945652173913043</v>
      </c>
      <c r="J16" s="306">
        <f>表格1[[#This Row],[累計完成]]/表格1[[#This Row],[合計數]]</f>
        <v>0.14945652173913043</v>
      </c>
      <c r="K16" s="303"/>
      <c r="L16" s="267"/>
    </row>
    <row r="17" spans="1:12" ht="15" hidden="1" customHeight="1" x14ac:dyDescent="0.35">
      <c r="A17" s="48">
        <v>44414</v>
      </c>
      <c r="B17" s="304">
        <f>表格1[[#This Row],[日期]]</f>
        <v>44414</v>
      </c>
      <c r="C17" s="305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6">
        <f>表格1[[#This Row],[累計預估]]/表格1[[#This Row],[合計數]]</f>
        <v>0.14945652173913043</v>
      </c>
      <c r="J17" s="306">
        <f>表格1[[#This Row],[累計完成]]/表格1[[#This Row],[合計數]]</f>
        <v>0.14945652173913043</v>
      </c>
      <c r="K17" s="303"/>
      <c r="L17" s="267"/>
    </row>
    <row r="18" spans="1:12" ht="15" hidden="1" customHeight="1" x14ac:dyDescent="0.35">
      <c r="A18" s="263">
        <v>44417</v>
      </c>
      <c r="B18" s="288">
        <f>表格1[[#This Row],[日期]]</f>
        <v>44417</v>
      </c>
      <c r="C18" s="289">
        <v>368</v>
      </c>
      <c r="D18" s="270">
        <f>COUNTIF(URS確認!N:N,"&lt;"&amp;A18+1)</f>
        <v>55</v>
      </c>
      <c r="E18" s="83">
        <f>COUNTIF(URS確認!O:O,"&lt;"&amp;A18+1)</f>
        <v>55</v>
      </c>
      <c r="F18" s="270">
        <f t="shared" ref="F18:G21" si="4">D22-D17</f>
        <v>0</v>
      </c>
      <c r="G18" s="270">
        <f t="shared" si="4"/>
        <v>0</v>
      </c>
      <c r="H18" s="270" t="str">
        <f>IF(表格1[[#This Row],[本周完成]]&gt;表格1[[#This Row],[本周預計]],"提前",IF(表格1[[#This Row],[本周完成]]&lt;表格1[[#This Row],[本周預計]],"延遲","如期"))</f>
        <v>如期</v>
      </c>
      <c r="I18" s="306">
        <f>表格1[[#This Row],[累計預估]]/表格1[[#This Row],[合計數]]</f>
        <v>0.14945652173913043</v>
      </c>
      <c r="J18" s="306">
        <f>表格1[[#This Row],[累計完成]]/表格1[[#This Row],[合計數]]</f>
        <v>0.14945652173913043</v>
      </c>
      <c r="K18" s="303"/>
      <c r="L18" s="267"/>
    </row>
    <row r="19" spans="1:12" ht="15" hidden="1" customHeight="1" x14ac:dyDescent="0.35">
      <c r="A19" s="263">
        <v>44418</v>
      </c>
      <c r="B19" s="288">
        <f>表格1[[#This Row],[日期]]</f>
        <v>44418</v>
      </c>
      <c r="C19" s="289">
        <v>368</v>
      </c>
      <c r="D19" s="270">
        <f>COUNTIF(URS確認!N:N,"&lt;"&amp;A19+1)</f>
        <v>55</v>
      </c>
      <c r="E19" s="83">
        <f>COUNTIF(URS確認!O:O,"&lt;"&amp;A19+1)</f>
        <v>55</v>
      </c>
      <c r="F19" s="270">
        <f t="shared" si="4"/>
        <v>0</v>
      </c>
      <c r="G19" s="270">
        <f t="shared" si="4"/>
        <v>0</v>
      </c>
      <c r="H19" s="270" t="str">
        <f>IF(表格1[[#This Row],[本周完成]]&gt;表格1[[#This Row],[本周預計]],"提前",IF(表格1[[#This Row],[本周完成]]&lt;表格1[[#This Row],[本周預計]],"延遲","如期"))</f>
        <v>如期</v>
      </c>
      <c r="I19" s="306">
        <f>表格1[[#This Row],[累計預估]]/表格1[[#This Row],[合計數]]</f>
        <v>0.14945652173913043</v>
      </c>
      <c r="J19" s="306">
        <f>表格1[[#This Row],[累計完成]]/表格1[[#This Row],[合計數]]</f>
        <v>0.14945652173913043</v>
      </c>
      <c r="K19" s="303"/>
      <c r="L19" s="267"/>
    </row>
    <row r="20" spans="1:12" ht="15" hidden="1" customHeight="1" x14ac:dyDescent="0.35">
      <c r="A20" s="263">
        <v>44419</v>
      </c>
      <c r="B20" s="288">
        <f>表格1[[#This Row],[日期]]</f>
        <v>44419</v>
      </c>
      <c r="C20" s="289">
        <v>368</v>
      </c>
      <c r="D20" s="270">
        <f>COUNTIF(URS確認!N:N,"&lt;"&amp;A20+1)</f>
        <v>55</v>
      </c>
      <c r="E20" s="83">
        <f>COUNTIF(URS確認!O:O,"&lt;"&amp;A20+1)</f>
        <v>55</v>
      </c>
      <c r="F20" s="270">
        <f t="shared" si="4"/>
        <v>0</v>
      </c>
      <c r="G20" s="270">
        <f t="shared" si="4"/>
        <v>0</v>
      </c>
      <c r="H20" s="270" t="str">
        <f>IF(表格1[[#This Row],[本周完成]]&gt;表格1[[#This Row],[本周預計]],"提前",IF(表格1[[#This Row],[本周完成]]&lt;表格1[[#This Row],[本周預計]],"延遲","如期"))</f>
        <v>如期</v>
      </c>
      <c r="I20" s="306">
        <f>表格1[[#This Row],[累計預估]]/表格1[[#This Row],[合計數]]</f>
        <v>0.14945652173913043</v>
      </c>
      <c r="J20" s="306">
        <f>表格1[[#This Row],[累計完成]]/表格1[[#This Row],[合計數]]</f>
        <v>0.14945652173913043</v>
      </c>
      <c r="K20" s="303"/>
      <c r="L20" s="267"/>
    </row>
    <row r="21" spans="1:12" ht="15" hidden="1" customHeight="1" x14ac:dyDescent="0.35">
      <c r="A21" s="263">
        <v>44420</v>
      </c>
      <c r="B21" s="288">
        <f>表格1[[#This Row],[日期]]</f>
        <v>44420</v>
      </c>
      <c r="C21" s="289">
        <v>368</v>
      </c>
      <c r="D21" s="270">
        <f>COUNTIF(URS確認!N:N,"&lt;"&amp;A21+1)</f>
        <v>55</v>
      </c>
      <c r="E21" s="83">
        <f>COUNTIF(URS確認!O:O,"&lt;"&amp;A21+1)</f>
        <v>55</v>
      </c>
      <c r="F21" s="270">
        <f t="shared" si="4"/>
        <v>0</v>
      </c>
      <c r="G21" s="270">
        <f t="shared" si="4"/>
        <v>0</v>
      </c>
      <c r="H21" s="270" t="str">
        <f>IF(表格1[[#This Row],[本周完成]]&gt;表格1[[#This Row],[本周預計]],"提前",IF(表格1[[#This Row],[本周完成]]&lt;表格1[[#This Row],[本周預計]],"延遲","如期"))</f>
        <v>如期</v>
      </c>
      <c r="I21" s="306">
        <f>表格1[[#This Row],[累計預估]]/表格1[[#This Row],[合計數]]</f>
        <v>0.14945652173913043</v>
      </c>
      <c r="J21" s="306">
        <f>表格1[[#This Row],[累計完成]]/表格1[[#This Row],[合計數]]</f>
        <v>0.14945652173913043</v>
      </c>
      <c r="K21" s="303"/>
      <c r="L21" s="267"/>
    </row>
    <row r="22" spans="1:12" ht="15" hidden="1" customHeight="1" x14ac:dyDescent="0.35">
      <c r="A22" s="48">
        <v>44421</v>
      </c>
      <c r="B22" s="304">
        <f>表格1[[#This Row],[日期]]</f>
        <v>44421</v>
      </c>
      <c r="C22" s="305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6">
        <f>表格1[[#This Row],[累計預估]]/表格1[[#This Row],[合計數]]</f>
        <v>0.14945652173913043</v>
      </c>
      <c r="J22" s="306">
        <f>表格1[[#This Row],[累計完成]]/表格1[[#This Row],[合計數]]</f>
        <v>0.14945652173913043</v>
      </c>
      <c r="K22" s="303"/>
      <c r="L22" s="267"/>
    </row>
    <row r="23" spans="1:12" ht="15" hidden="1" customHeight="1" x14ac:dyDescent="0.35">
      <c r="A23" s="106">
        <v>44424</v>
      </c>
      <c r="B23" s="307">
        <f>表格1[[#This Row],[日期]]</f>
        <v>44424</v>
      </c>
      <c r="C23" s="308">
        <f>COUNTA(URS確認!E:E)-1</f>
        <v>567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6">
        <f>表格1[[#This Row],[累計預估]]/表格1[[#This Row],[合計數]]</f>
        <v>9.700176366843033E-2</v>
      </c>
      <c r="J23" s="306">
        <f>表格1[[#This Row],[累計完成]]/表格1[[#This Row],[合計數]]</f>
        <v>9.700176366843033E-2</v>
      </c>
      <c r="K23" s="303"/>
      <c r="L23" s="267"/>
    </row>
    <row r="24" spans="1:12" ht="15" hidden="1" customHeight="1" x14ac:dyDescent="0.35">
      <c r="A24" s="109">
        <v>44425</v>
      </c>
      <c r="B24" s="309">
        <f>表格1[[#This Row],[日期]]</f>
        <v>44425</v>
      </c>
      <c r="C24" s="310">
        <f>COUNTA(URS確認!E:E)-1</f>
        <v>567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6">
        <f>表格1[[#This Row],[累計預估]]/表格1[[#This Row],[合計數]]</f>
        <v>9.700176366843033E-2</v>
      </c>
      <c r="J24" s="306">
        <f>表格1[[#This Row],[累計完成]]/表格1[[#This Row],[合計數]]</f>
        <v>9.700176366843033E-2</v>
      </c>
      <c r="K24" s="303"/>
      <c r="L24" s="267"/>
    </row>
    <row r="25" spans="1:12" ht="15" hidden="1" customHeight="1" x14ac:dyDescent="0.35">
      <c r="A25" s="109">
        <v>44426</v>
      </c>
      <c r="B25" s="309">
        <f>表格1[[#This Row],[日期]]</f>
        <v>44426</v>
      </c>
      <c r="C25" s="310">
        <f>COUNTA(URS確認!E:E)-1</f>
        <v>567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6">
        <f>表格1[[#This Row],[累計預估]]/表格1[[#This Row],[合計數]]</f>
        <v>9.700176366843033E-2</v>
      </c>
      <c r="J25" s="306">
        <f>表格1[[#This Row],[累計完成]]/表格1[[#This Row],[合計數]]</f>
        <v>9.700176366843033E-2</v>
      </c>
      <c r="K25" s="303"/>
      <c r="L25" s="267"/>
    </row>
    <row r="26" spans="1:12" ht="15" hidden="1" customHeight="1" x14ac:dyDescent="0.35">
      <c r="A26" s="106">
        <v>44427</v>
      </c>
      <c r="B26" s="311">
        <f>表格1[[#This Row],[日期]]</f>
        <v>44427</v>
      </c>
      <c r="C26" s="312">
        <f>COUNTA(URS確認!E:E)-1</f>
        <v>567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6">
        <f>表格1[[#This Row],[累計預估]]/表格1[[#This Row],[合計數]]</f>
        <v>9.700176366843033E-2</v>
      </c>
      <c r="J26" s="306">
        <f>表格1[[#This Row],[累計完成]]/表格1[[#This Row],[合計數]]</f>
        <v>9.700176366843033E-2</v>
      </c>
      <c r="K26" s="303"/>
      <c r="L26" s="267"/>
    </row>
    <row r="27" spans="1:12" ht="15" hidden="1" customHeight="1" x14ac:dyDescent="0.35">
      <c r="A27" s="116">
        <v>44428</v>
      </c>
      <c r="B27" s="313">
        <f>表格1[[#This Row],[日期]]</f>
        <v>44428</v>
      </c>
      <c r="C27" s="314">
        <f>COUNTA(URS確認!E:E)-1-1-2-8-1-112-6-1-2</f>
        <v>434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6">
        <f>表格1[[#This Row],[累計預估]]/表格1[[#This Row],[合計數]]</f>
        <v>0.12672811059907835</v>
      </c>
      <c r="J27" s="306">
        <f>表格1[[#This Row],[累計完成]]/表格1[[#This Row],[合計數]]</f>
        <v>0.12672811059907835</v>
      </c>
      <c r="K27" s="303"/>
      <c r="L27" s="267"/>
    </row>
    <row r="28" spans="1:12" ht="15" hidden="1" customHeight="1" x14ac:dyDescent="0.35">
      <c r="A28" s="114">
        <v>44431</v>
      </c>
      <c r="B28" s="311">
        <f>表格1[[#This Row],[日期]]</f>
        <v>44431</v>
      </c>
      <c r="C28" s="314">
        <f>COUNTA(URS確認!E:E)-1-112-13</f>
        <v>442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6">
        <f>表格1[[#This Row],[累計預估]]/表格1[[#This Row],[合計數]]</f>
        <v>0.14479638009049775</v>
      </c>
      <c r="J28" s="306">
        <f>表格1[[#This Row],[累計完成]]/表格1[[#This Row],[合計數]]</f>
        <v>0.1425339366515837</v>
      </c>
      <c r="K28" s="303"/>
      <c r="L28" s="267"/>
    </row>
    <row r="29" spans="1:12" ht="15" hidden="1" customHeight="1" x14ac:dyDescent="0.35">
      <c r="A29" s="114">
        <v>44432</v>
      </c>
      <c r="B29" s="288">
        <f>表格1[[#This Row],[日期]]</f>
        <v>44432</v>
      </c>
      <c r="C29" s="314">
        <f>COUNTA(URS確認!E:E)-1-112-13</f>
        <v>442</v>
      </c>
      <c r="D29" s="270">
        <f>COUNTIF(URS確認!N:N,"&lt;"&amp;A29+1)</f>
        <v>70</v>
      </c>
      <c r="E29" s="83">
        <f>COUNTIF(URS確認!O:O,"&lt;"&amp;A29+1)</f>
        <v>72</v>
      </c>
      <c r="F29" s="270">
        <f t="shared" si="6"/>
        <v>25</v>
      </c>
      <c r="G29" s="270">
        <f t="shared" si="6"/>
        <v>30</v>
      </c>
      <c r="H29" s="270" t="str">
        <f>IF(表格1[[#This Row],[本周完成]]&gt;表格1[[#This Row],[本周預計]],"提前",IF(表格1[[#This Row],[本周完成]]&lt;表格1[[#This Row],[本周預計]],"延遲","如期"))</f>
        <v>提前</v>
      </c>
      <c r="I29" s="306">
        <f>表格1[[#This Row],[累計預估]]/表格1[[#This Row],[合計數]]</f>
        <v>0.15837104072398189</v>
      </c>
      <c r="J29" s="306">
        <f>表格1[[#This Row],[累計完成]]/表格1[[#This Row],[合計數]]</f>
        <v>0.16289592760180996</v>
      </c>
      <c r="K29" s="303"/>
      <c r="L29" s="267"/>
    </row>
    <row r="30" spans="1:12" ht="15" hidden="1" customHeight="1" x14ac:dyDescent="0.35">
      <c r="A30" s="114">
        <v>44433</v>
      </c>
      <c r="B30" s="288">
        <f>表格1[[#This Row],[日期]]</f>
        <v>44433</v>
      </c>
      <c r="C30" s="314">
        <f>COUNTA(URS確認!E:E)-1-112-13</f>
        <v>442</v>
      </c>
      <c r="D30" s="270">
        <f>COUNTIF(URS確認!N:N,"&lt;"&amp;A30+1)</f>
        <v>76</v>
      </c>
      <c r="E30" s="83">
        <f>COUNTIF(URS確認!O:O,"&lt;"&amp;A30+1)</f>
        <v>78</v>
      </c>
      <c r="F30" s="270">
        <f t="shared" si="6"/>
        <v>23</v>
      </c>
      <c r="G30" s="270">
        <f t="shared" si="6"/>
        <v>36</v>
      </c>
      <c r="H30" s="270" t="str">
        <f>IF(表格1[[#This Row],[本周完成]]&gt;表格1[[#This Row],[本周預計]],"提前",IF(表格1[[#This Row],[本周完成]]&lt;表格1[[#This Row],[本周預計]],"延遲","如期"))</f>
        <v>提前</v>
      </c>
      <c r="I30" s="306">
        <f>表格1[[#This Row],[累計預估]]/表格1[[#This Row],[合計數]]</f>
        <v>0.17194570135746606</v>
      </c>
      <c r="J30" s="306">
        <f>表格1[[#This Row],[累計完成]]/表格1[[#This Row],[合計數]]</f>
        <v>0.17647058823529413</v>
      </c>
      <c r="K30" s="303"/>
      <c r="L30" s="267"/>
    </row>
    <row r="31" spans="1:12" ht="15" hidden="1" customHeight="1" x14ac:dyDescent="0.35">
      <c r="A31" s="114">
        <v>44434</v>
      </c>
      <c r="B31" s="288">
        <f>表格1[[#This Row],[日期]]</f>
        <v>44434</v>
      </c>
      <c r="C31" s="314">
        <f>COUNTA(URS確認!E:E)-1-112-13</f>
        <v>442</v>
      </c>
      <c r="D31" s="270">
        <f>COUNTIF(URS確認!N:N,"&lt;"&amp;A31+1)</f>
        <v>80</v>
      </c>
      <c r="E31" s="83">
        <f>COUNTIF(URS確認!O:O,"&lt;"&amp;A31+1)</f>
        <v>84</v>
      </c>
      <c r="F31" s="270">
        <f t="shared" si="6"/>
        <v>20</v>
      </c>
      <c r="G31" s="270">
        <f t="shared" si="6"/>
        <v>30</v>
      </c>
      <c r="H31" s="270" t="str">
        <f>IF(表格1[[#This Row],[本周完成]]&gt;表格1[[#This Row],[本周預計]],"提前",IF(表格1[[#This Row],[本周完成]]&lt;表格1[[#This Row],[本周預計]],"延遲","如期"))</f>
        <v>提前</v>
      </c>
      <c r="I31" s="306">
        <f>表格1[[#This Row],[累計預估]]/表格1[[#This Row],[合計數]]</f>
        <v>0.18099547511312217</v>
      </c>
      <c r="J31" s="306">
        <f>表格1[[#This Row],[累計完成]]/表格1[[#This Row],[合計數]]</f>
        <v>0.19004524886877827</v>
      </c>
      <c r="K31" s="303"/>
      <c r="L31" s="267"/>
    </row>
    <row r="32" spans="1:12" ht="15" customHeight="1" x14ac:dyDescent="0.35">
      <c r="A32" s="118">
        <v>44435</v>
      </c>
      <c r="B32" s="304">
        <f>表格1[[#This Row],[日期]]</f>
        <v>44435</v>
      </c>
      <c r="C32" s="314">
        <f>COUNTA(URS確認!E:E)-1-1-2-8-1-112-6-1-2-9</f>
        <v>425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6">
        <f>表格1[[#This Row],[累計預估]]/表格1[[#This Row],[合計數]]</f>
        <v>0.1976470588235294</v>
      </c>
      <c r="J32" s="306">
        <f>表格1[[#This Row],[累計完成]]/表格1[[#This Row],[合計數]]</f>
        <v>0.2023529411764706</v>
      </c>
      <c r="K32" s="303"/>
      <c r="L32" s="267"/>
    </row>
    <row r="33" spans="1:12" ht="15" hidden="1" customHeight="1" x14ac:dyDescent="0.35">
      <c r="A33" s="127">
        <v>44438</v>
      </c>
      <c r="B33" s="315">
        <f>表格1[[#This Row],[日期]]</f>
        <v>44438</v>
      </c>
      <c r="C33" s="314">
        <f>COUNTA(URS確認!E:E)-1-112-13</f>
        <v>442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6">
        <f>表格1[[#This Row],[累計預估]]/表格1[[#This Row],[合計數]]</f>
        <v>0.20135746606334842</v>
      </c>
      <c r="J33" s="306">
        <f>表格1[[#This Row],[累計完成]]/表格1[[#This Row],[合計數]]</f>
        <v>0.21040723981900453</v>
      </c>
      <c r="K33" s="303"/>
      <c r="L33" s="267"/>
    </row>
    <row r="34" spans="1:12" ht="15" hidden="1" customHeight="1" x14ac:dyDescent="0.35">
      <c r="A34" s="263">
        <v>44439</v>
      </c>
      <c r="B34" s="288">
        <f>表格1[[#This Row],[日期]]</f>
        <v>44439</v>
      </c>
      <c r="C34" s="314">
        <f>COUNTA(URS確認!E:E)-1-112-13</f>
        <v>442</v>
      </c>
      <c r="D34" s="270">
        <f>COUNTIF(URS確認!N:N,"&lt;"&amp;A34+1)</f>
        <v>93</v>
      </c>
      <c r="E34" s="83">
        <f>COUNTIF(URS確認!O:O,"&lt;"&amp;A34+1)</f>
        <v>108</v>
      </c>
      <c r="F34" s="270">
        <f t="shared" si="7"/>
        <v>30</v>
      </c>
      <c r="G34" s="270">
        <f t="shared" si="7"/>
        <v>26</v>
      </c>
      <c r="H34" s="270" t="str">
        <f>IF(表格1[[#This Row],[本周完成]]&gt;表格1[[#This Row],[本周預計]],"提前",IF(表格1[[#This Row],[本周完成]]&lt;表格1[[#This Row],[本周預計]],"延遲","如期"))</f>
        <v>延遲</v>
      </c>
      <c r="I34" s="306">
        <f>表格1[[#This Row],[累計預估]]/表格1[[#This Row],[合計數]]</f>
        <v>0.21040723981900453</v>
      </c>
      <c r="J34" s="306">
        <f>表格1[[#This Row],[累計完成]]/表格1[[#This Row],[合計數]]</f>
        <v>0.24434389140271492</v>
      </c>
      <c r="K34" s="303"/>
      <c r="L34" s="267"/>
    </row>
    <row r="35" spans="1:12" ht="15" hidden="1" customHeight="1" x14ac:dyDescent="0.35">
      <c r="A35" s="263">
        <v>44440</v>
      </c>
      <c r="B35" s="288">
        <f>表格1[[#This Row],[日期]]</f>
        <v>44440</v>
      </c>
      <c r="C35" s="314">
        <f>COUNTA(URS確認!E:E)-1-112-13</f>
        <v>442</v>
      </c>
      <c r="D35" s="270">
        <f>COUNTIF(URS確認!N:N,"&lt;"&amp;A35+1)</f>
        <v>96</v>
      </c>
      <c r="E35" s="83">
        <f>COUNTIF(URS確認!O:O,"&lt;"&amp;A35+1)</f>
        <v>108</v>
      </c>
      <c r="F35" s="270">
        <f t="shared" si="7"/>
        <v>53</v>
      </c>
      <c r="G35" s="270">
        <f t="shared" si="7"/>
        <v>38</v>
      </c>
      <c r="H35" s="270" t="str">
        <f>IF(表格1[[#This Row],[本周完成]]&gt;表格1[[#This Row],[本周預計]],"提前",IF(表格1[[#This Row],[本周完成]]&lt;表格1[[#This Row],[本周預計]],"延遲","如期"))</f>
        <v>延遲</v>
      </c>
      <c r="I35" s="306">
        <f>表格1[[#This Row],[累計預估]]/表格1[[#This Row],[合計數]]</f>
        <v>0.21719457013574661</v>
      </c>
      <c r="J35" s="306">
        <f>表格1[[#This Row],[累計完成]]/表格1[[#This Row],[合計數]]</f>
        <v>0.24434389140271492</v>
      </c>
      <c r="K35" s="303"/>
      <c r="L35" s="267"/>
    </row>
    <row r="36" spans="1:12" ht="15" hidden="1" customHeight="1" x14ac:dyDescent="0.35">
      <c r="A36" s="263">
        <v>44441</v>
      </c>
      <c r="B36" s="316">
        <f>表格1[[#This Row],[日期]]</f>
        <v>44441</v>
      </c>
      <c r="C36" s="314">
        <f>COUNTA(URS確認!E:E)-1-112-13</f>
        <v>442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6">
        <f>表格1[[#This Row],[累計預估]]/表格1[[#This Row],[合計數]]</f>
        <v>0.2330316742081448</v>
      </c>
      <c r="J36" s="306">
        <f>表格1[[#This Row],[累計完成]]/表格1[[#This Row],[合計數]]</f>
        <v>0.24434389140271492</v>
      </c>
      <c r="K36" s="303"/>
      <c r="L36" s="267"/>
    </row>
    <row r="37" spans="1:12" ht="15" hidden="1" customHeight="1" x14ac:dyDescent="0.35">
      <c r="A37" s="48">
        <v>44442</v>
      </c>
      <c r="B37" s="317">
        <f>表格1[[#This Row],[日期]]</f>
        <v>44442</v>
      </c>
      <c r="C37" s="314">
        <f>COUNTA(URS確認!E:E)-1-1-2-8-1-112-6-1-2</f>
        <v>434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6">
        <f>表格1[[#This Row],[累計預估]]/表格1[[#This Row],[合計數]]</f>
        <v>0.24884792626728111</v>
      </c>
      <c r="J37" s="306">
        <f>表格1[[#This Row],[累計完成]]/表格1[[#This Row],[合計數]]</f>
        <v>0.24884792626728111</v>
      </c>
      <c r="K37" s="303"/>
      <c r="L37" s="267"/>
    </row>
    <row r="38" spans="1:12" ht="15" hidden="1" customHeight="1" x14ac:dyDescent="0.35">
      <c r="A38" s="136">
        <v>44449</v>
      </c>
      <c r="B38" s="318">
        <f>表格1[[#This Row],[日期]]</f>
        <v>44449</v>
      </c>
      <c r="C38" s="314">
        <f>COUNTA(URS確認!E:E)-1-1-2-8-1-112-6-1-2</f>
        <v>434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6">
        <f>表格1[[#This Row],[累計預估]]/表格1[[#This Row],[合計數]]</f>
        <v>0.27419354838709675</v>
      </c>
      <c r="J38" s="306">
        <f>表格1[[#This Row],[累計完成]]/表格1[[#This Row],[合計數]]</f>
        <v>0.27419354838709675</v>
      </c>
      <c r="K38" s="303"/>
      <c r="L38" s="267"/>
    </row>
    <row r="39" spans="1:12" ht="15" hidden="1" customHeight="1" x14ac:dyDescent="0.35">
      <c r="A39" s="136">
        <v>44456</v>
      </c>
      <c r="B39" s="318">
        <f>表格1[[#This Row],[日期]]</f>
        <v>44456</v>
      </c>
      <c r="C39" s="314">
        <f>COUNTA(URS確認!E:E)-1-1-2-8-1-112-6-1-2</f>
        <v>434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6">
        <f>表格1[[#This Row],[累計預估]]/表格1[[#This Row],[合計數]]</f>
        <v>0.33640552995391704</v>
      </c>
      <c r="J39" s="306">
        <f>表格1[[#This Row],[累計完成]]/表格1[[#This Row],[合計數]]</f>
        <v>0.33640552995391704</v>
      </c>
      <c r="K39" s="303"/>
      <c r="L39" s="267"/>
    </row>
    <row r="40" spans="1:12" ht="15" hidden="1" customHeight="1" x14ac:dyDescent="0.35">
      <c r="A40" s="48">
        <v>44463</v>
      </c>
      <c r="B40" s="304">
        <f>表格1[[#This Row],[日期]]</f>
        <v>44463</v>
      </c>
      <c r="C40" s="314">
        <f>COUNTA(URS確認!E:E)-1-1-2-8-1-112-6-1-2</f>
        <v>434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6">
        <f>表格1[[#This Row],[累計預估]]/表格1[[#This Row],[合計數]]</f>
        <v>0.37557603686635943</v>
      </c>
      <c r="J40" s="306">
        <f>表格1[[#This Row],[累計完成]]/表格1[[#This Row],[合計數]]</f>
        <v>0.40322580645161288</v>
      </c>
      <c r="K40" s="303" t="s">
        <v>57</v>
      </c>
      <c r="L40" s="267"/>
    </row>
    <row r="41" spans="1:12" ht="15" customHeight="1" x14ac:dyDescent="0.35">
      <c r="A41" s="48">
        <v>44470</v>
      </c>
      <c r="B41" s="304">
        <f>表格1[[#This Row],[日期]]</f>
        <v>44470</v>
      </c>
      <c r="C41" s="314">
        <f>COUNTA(URS確認!E:E)-1-1-2-8-1-112-6-2-9</f>
        <v>426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6">
        <f>表格1[[#This Row],[累計預估]]/表格1[[#This Row],[合計數]]</f>
        <v>0.45539906103286387</v>
      </c>
      <c r="J41" s="306">
        <f>表格1[[#This Row],[累計完成]]/表格1[[#This Row],[合計數]]</f>
        <v>0.51877934272300474</v>
      </c>
      <c r="K41" s="303"/>
      <c r="L41" s="267"/>
    </row>
    <row r="42" spans="1:12" ht="15" hidden="1" customHeight="1" x14ac:dyDescent="0.35">
      <c r="A42" s="48">
        <v>44477</v>
      </c>
      <c r="B42" s="304">
        <f>表格1[[#This Row],[日期]]</f>
        <v>44477</v>
      </c>
      <c r="C42" s="314">
        <f>COUNTA(URS確認!E:E)-1-1-2-8-1-112-6-1</f>
        <v>436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6">
        <f>表格1[[#This Row],[累計預估]]/表格1[[#This Row],[合計數]]</f>
        <v>0.50688073394495414</v>
      </c>
      <c r="J42" s="306">
        <f>表格1[[#This Row],[累計完成]]/表格1[[#This Row],[合計數]]</f>
        <v>0.52522935779816515</v>
      </c>
      <c r="K42" s="303"/>
      <c r="L42" s="267"/>
    </row>
    <row r="43" spans="1:12" ht="15" hidden="1" customHeight="1" x14ac:dyDescent="0.35">
      <c r="A43" s="48">
        <v>44484</v>
      </c>
      <c r="B43" s="304">
        <f>表格1[[#This Row],[日期]]</f>
        <v>44484</v>
      </c>
      <c r="C43" s="314">
        <f>COUNTA(URS確認!E:E)-1-1-2-8-1-112-6-1</f>
        <v>436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6">
        <f>表格1[[#This Row],[累計預估]]/表格1[[#This Row],[合計數]]</f>
        <v>0.52981651376146788</v>
      </c>
      <c r="J43" s="306">
        <f>表格1[[#This Row],[累計完成]]/表格1[[#This Row],[合計數]]</f>
        <v>0.61009174311926606</v>
      </c>
      <c r="K43" s="303"/>
      <c r="L43" s="267"/>
    </row>
    <row r="44" spans="1:12" ht="15" hidden="1" customHeight="1" x14ac:dyDescent="0.35">
      <c r="A44" s="263">
        <v>44487</v>
      </c>
      <c r="B44" s="288">
        <f>表格1[[#This Row],[日期]]</f>
        <v>44487</v>
      </c>
      <c r="C44" s="289">
        <f>COUNTA(URS確認!E:E)-1-112-13</f>
        <v>442</v>
      </c>
      <c r="D44" s="270">
        <f>COUNTIF(URS確認!N:N,"&lt;"&amp;A44+1)</f>
        <v>246</v>
      </c>
      <c r="E44" s="83">
        <f>COUNTIF(URS確認!O:O,"&lt;"&amp;A44+1)</f>
        <v>279</v>
      </c>
      <c r="H44" s="270" t="str">
        <f>IF(表格1[[#This Row],[本周完成]]&gt;表格1[[#This Row],[本周預計]],"提前",IF(表格1[[#This Row],[本周完成]]&lt;表格1[[#This Row],[本周預計]],"延遲","如期"))</f>
        <v>如期</v>
      </c>
      <c r="I44" s="290">
        <f>表格1[[#This Row],[累計預估]]/表格1[[#This Row],[合計數]]</f>
        <v>0.5565610859728507</v>
      </c>
      <c r="J44" s="290">
        <f>表格1[[#This Row],[累計完成]]/表格1[[#This Row],[合計數]]</f>
        <v>0.63122171945701355</v>
      </c>
      <c r="K44" s="303"/>
      <c r="L44" s="267"/>
    </row>
    <row r="45" spans="1:12" ht="15" hidden="1" customHeight="1" x14ac:dyDescent="0.35">
      <c r="A45" s="263">
        <v>44487</v>
      </c>
      <c r="B45" s="288">
        <f>表格1[[#This Row],[日期]]</f>
        <v>44487</v>
      </c>
      <c r="C45" s="289">
        <f>COUNTA(URS確認!E:E)-1-1-2-8-1-112-6-1</f>
        <v>436</v>
      </c>
      <c r="D45" s="270">
        <f>COUNTIF(URS確認!N:N,"&lt;"&amp;A45+1)</f>
        <v>246</v>
      </c>
      <c r="E45" s="83">
        <f>COUNTIF(URS確認!O:O,"&lt;"&amp;A45+1)</f>
        <v>279</v>
      </c>
      <c r="F45" s="270">
        <f>D49-D44</f>
        <v>29</v>
      </c>
      <c r="G45" s="27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0">
        <f>表格1[[#This Row],[累計預估]]/表格1[[#This Row],[合計數]]</f>
        <v>0.56422018348623848</v>
      </c>
      <c r="J45" s="290">
        <f>表格1[[#This Row],[累計完成]]/表格1[[#This Row],[合計數]]</f>
        <v>0.63990825688073394</v>
      </c>
      <c r="K45" s="303" t="s">
        <v>57</v>
      </c>
      <c r="L45" s="267"/>
    </row>
    <row r="46" spans="1:12" ht="15" hidden="1" customHeight="1" x14ac:dyDescent="0.35">
      <c r="A46" s="263">
        <v>44488</v>
      </c>
      <c r="B46" s="288">
        <f>表格1[[#This Row],[日期]]</f>
        <v>44488</v>
      </c>
      <c r="C46" s="289">
        <f>COUNTA(URS確認!E:E)-1-1-2-8-1-112-6</f>
        <v>437</v>
      </c>
      <c r="D46" s="270">
        <f>COUNTIF(URS確認!N:N,"&lt;"&amp;A46+1)</f>
        <v>254</v>
      </c>
      <c r="E46" s="83">
        <f>COUNTIF(URS確認!O:O,"&lt;"&amp;A46+1)</f>
        <v>288</v>
      </c>
      <c r="H46" s="270" t="str">
        <f>IF(表格1[[#This Row],[本周完成]]&gt;表格1[[#This Row],[本周預計]],"提前",IF(表格1[[#This Row],[本周完成]]&lt;表格1[[#This Row],[本周預計]],"延遲","如期"))</f>
        <v>如期</v>
      </c>
      <c r="I46" s="290">
        <f>表格1[[#This Row],[累計預估]]/表格1[[#This Row],[合計數]]</f>
        <v>0.58123569794050345</v>
      </c>
      <c r="J46" s="290">
        <f>表格1[[#This Row],[累計完成]]/表格1[[#This Row],[合計數]]</f>
        <v>0.65903890160183065</v>
      </c>
      <c r="K46" s="303" t="s">
        <v>58</v>
      </c>
      <c r="L46" s="267"/>
    </row>
    <row r="47" spans="1:12" ht="15" hidden="1" customHeight="1" x14ac:dyDescent="0.35">
      <c r="A47" s="263">
        <v>44489</v>
      </c>
      <c r="B47" s="288">
        <f>表格1[[#This Row],[日期]]</f>
        <v>44489</v>
      </c>
      <c r="C47" s="289">
        <f>COUNTA(URS確認!E:E)-1-1-2-8-1-112</f>
        <v>443</v>
      </c>
      <c r="D47" s="270">
        <f>COUNTIF(URS確認!N:N,"&lt;"&amp;A47+1)</f>
        <v>258</v>
      </c>
      <c r="E47" s="83">
        <f>COUNTIF(URS確認!O:O,"&lt;"&amp;A47+1)</f>
        <v>292</v>
      </c>
      <c r="H47" s="270" t="str">
        <f>IF(表格1[[#This Row],[本周完成]]&gt;表格1[[#This Row],[本周預計]],"提前",IF(表格1[[#This Row],[本周完成]]&lt;表格1[[#This Row],[本周預計]],"延遲","如期"))</f>
        <v>如期</v>
      </c>
      <c r="I47" s="290">
        <f>表格1[[#This Row],[累計預估]]/表格1[[#This Row],[合計數]]</f>
        <v>0.58239277652370203</v>
      </c>
      <c r="J47" s="290">
        <f>表格1[[#This Row],[累計完成]]/表格1[[#This Row],[合計數]]</f>
        <v>0.65914221218961622</v>
      </c>
      <c r="K47" s="303"/>
      <c r="L47" s="267"/>
    </row>
    <row r="48" spans="1:12" ht="15" hidden="1" customHeight="1" x14ac:dyDescent="0.35">
      <c r="A48" s="263">
        <v>44490</v>
      </c>
      <c r="B48" s="288">
        <f>表格1[[#This Row],[日期]]</f>
        <v>44490</v>
      </c>
      <c r="C48" s="289">
        <f>COUNTA(URS確認!E:E)-1-1-2-8-1-112</f>
        <v>443</v>
      </c>
      <c r="D48" s="270">
        <f>COUNTIF(URS確認!N:N,"&lt;"&amp;A48+1)</f>
        <v>266</v>
      </c>
      <c r="E48" s="83">
        <f>COUNTIF(URS確認!O:O,"&lt;"&amp;A48+1)</f>
        <v>301</v>
      </c>
      <c r="H48" s="270" t="str">
        <f>IF(表格1[[#This Row],[本周完成]]&gt;表格1[[#This Row],[本周預計]],"提前",IF(表格1[[#This Row],[本周完成]]&lt;表格1[[#This Row],[本周預計]],"延遲","如期"))</f>
        <v>如期</v>
      </c>
      <c r="I48" s="290">
        <f>表格1[[#This Row],[累計預估]]/表格1[[#This Row],[合計數]]</f>
        <v>0.60045146726862297</v>
      </c>
      <c r="J48" s="290">
        <f>表格1[[#This Row],[累計完成]]/表格1[[#This Row],[合計數]]</f>
        <v>0.67945823927765236</v>
      </c>
      <c r="K48" s="303" t="s">
        <v>59</v>
      </c>
      <c r="L48" s="267"/>
    </row>
    <row r="49" spans="1:12" ht="15" hidden="1" customHeight="1" x14ac:dyDescent="0.35">
      <c r="A49" s="48">
        <v>44491</v>
      </c>
      <c r="B49" s="304">
        <f>表格1[[#This Row],[日期]]</f>
        <v>44491</v>
      </c>
      <c r="C49" s="305">
        <f>COUNTA(URS確認!E:E)-1-2-8-1</f>
        <v>556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6">
        <f>表格1[[#This Row],[累計預估]]/表格1[[#This Row],[合計數]]</f>
        <v>0.49460431654676257</v>
      </c>
      <c r="J49" s="306">
        <f>表格1[[#This Row],[累計完成]]/表格1[[#This Row],[合計數]]</f>
        <v>0.54856115107913672</v>
      </c>
      <c r="K49" s="303"/>
      <c r="L49" s="267"/>
    </row>
    <row r="50" spans="1:12" ht="15" hidden="1" customHeight="1" x14ac:dyDescent="0.35">
      <c r="A50" s="202">
        <v>44494</v>
      </c>
      <c r="B50" s="319">
        <f>表格1[[#This Row],[日期]]</f>
        <v>44494</v>
      </c>
      <c r="C50" s="320">
        <f>COUNTA(URS確認!E:E)-1-2-8-1</f>
        <v>556</v>
      </c>
      <c r="D50" s="203">
        <f>COUNTIF(URS確認!N:N,"&lt;"&amp;A50+1)</f>
        <v>289</v>
      </c>
      <c r="E50" s="83">
        <f>COUNTIF(URS確認!O:O,"&lt;"&amp;A50+1)</f>
        <v>317</v>
      </c>
      <c r="F50" s="270">
        <v>33</v>
      </c>
      <c r="G50" s="270">
        <f>E65-E49</f>
        <v>189</v>
      </c>
      <c r="H50" s="270" t="str">
        <f>IF(表格1[[#This Row],[本周完成]]&gt;表格1[[#This Row],[本周預計]],"提前",IF(表格1[[#This Row],[本周完成]]&lt;表格1[[#This Row],[本周預計]],"延遲","如期"))</f>
        <v>提前</v>
      </c>
      <c r="I50" s="321">
        <f>表格1[[#This Row],[累計預估]]/表格1[[#This Row],[合計數]]</f>
        <v>0.51978417266187049</v>
      </c>
      <c r="J50" s="321">
        <f>表格1[[#This Row],[累計完成]]/表格1[[#This Row],[合計數]]</f>
        <v>0.57014388489208634</v>
      </c>
      <c r="K50" s="303" t="s">
        <v>57</v>
      </c>
      <c r="L50" s="267"/>
    </row>
    <row r="51" spans="1:12" ht="15" hidden="1" customHeight="1" x14ac:dyDescent="0.35">
      <c r="A51" s="202">
        <v>44495</v>
      </c>
      <c r="B51" s="288">
        <f>表格1[[#This Row],[日期]]</f>
        <v>44495</v>
      </c>
      <c r="C51" s="289">
        <f>COUNTA(URS確認!E:E)-1-2-8</f>
        <v>557</v>
      </c>
      <c r="D51" s="270">
        <f>COUNTIF(URS確認!N:N,"&lt;"&amp;A51+1)</f>
        <v>289</v>
      </c>
      <c r="E51" s="83">
        <f>COUNTIF(URS確認!O:O,"&lt;"&amp;A51+1)</f>
        <v>317</v>
      </c>
      <c r="F51" s="270">
        <f>D65-D50</f>
        <v>205</v>
      </c>
      <c r="G51" s="270">
        <f>E65-E50</f>
        <v>177</v>
      </c>
      <c r="H51" s="270" t="str">
        <f>IF(表格1[[#This Row],[本周完成]]&gt;表格1[[#This Row],[本周預計]],"提前",IF(表格1[[#This Row],[本周完成]]&lt;表格1[[#This Row],[本周預計]],"延遲","如期"))</f>
        <v>延遲</v>
      </c>
      <c r="I51" s="290">
        <f>表格1[[#This Row],[累計預估]]/表格1[[#This Row],[合計數]]</f>
        <v>0.51885098743267499</v>
      </c>
      <c r="J51" s="290">
        <f>表格1[[#This Row],[累計完成]]/表格1[[#This Row],[合計數]]</f>
        <v>0.56912028725314179</v>
      </c>
      <c r="K51" s="303" t="s">
        <v>60</v>
      </c>
      <c r="L51" s="267"/>
    </row>
    <row r="52" spans="1:12" ht="15" hidden="1" customHeight="1" x14ac:dyDescent="0.35">
      <c r="A52" s="202">
        <v>44496</v>
      </c>
      <c r="B52" s="288">
        <f>表格1[[#This Row],[日期]]</f>
        <v>44496</v>
      </c>
      <c r="C52" s="289">
        <f>COUNTA(URS確認!E:E)-1-2</f>
        <v>565</v>
      </c>
      <c r="D52" s="270">
        <f>COUNTIF(URS確認!N:N,"&lt;"&amp;A52+1)</f>
        <v>297</v>
      </c>
      <c r="E52" s="83">
        <f>COUNTIF(URS確認!O:O,"&lt;"&amp;A52+1)</f>
        <v>332</v>
      </c>
      <c r="F52" s="270">
        <f>D65-D51</f>
        <v>205</v>
      </c>
      <c r="G52" s="270">
        <f>E65-E51</f>
        <v>177</v>
      </c>
      <c r="H52" s="270" t="str">
        <f>IF(表格1[[#This Row],[本周完成]]&gt;表格1[[#This Row],[本周預計]],"提前",IF(表格1[[#This Row],[本周完成]]&lt;表格1[[#This Row],[本周預計]],"延遲","如期"))</f>
        <v>延遲</v>
      </c>
      <c r="I52" s="290">
        <f>表格1[[#This Row],[累計預估]]/表格1[[#This Row],[合計數]]</f>
        <v>0.52566371681415924</v>
      </c>
      <c r="J52" s="290">
        <f>表格1[[#This Row],[累計完成]]/表格1[[#This Row],[合計數]]</f>
        <v>0.5876106194690266</v>
      </c>
      <c r="K52" s="303"/>
      <c r="L52" s="267"/>
    </row>
    <row r="53" spans="1:12" ht="15" hidden="1" customHeight="1" x14ac:dyDescent="0.35">
      <c r="A53" s="202">
        <v>44497</v>
      </c>
      <c r="B53" s="288">
        <f>表格1[[#This Row],[日期]]</f>
        <v>44497</v>
      </c>
      <c r="C53" s="289">
        <f>COUNTA(URS確認!E:E)-1-2</f>
        <v>565</v>
      </c>
      <c r="D53" s="270">
        <f>COUNTIF(URS確認!N:N,"&lt;"&amp;A53+1)</f>
        <v>304</v>
      </c>
      <c r="E53" s="83">
        <f>COUNTIF(URS確認!O:O,"&lt;"&amp;A53+1)</f>
        <v>332</v>
      </c>
      <c r="F53" s="270">
        <f>D65-D52</f>
        <v>197</v>
      </c>
      <c r="G53" s="270">
        <f>E65-E52</f>
        <v>162</v>
      </c>
      <c r="H53" s="270" t="str">
        <f>IF(表格1[[#This Row],[本周完成]]&gt;表格1[[#This Row],[本周預計]],"提前",IF(表格1[[#This Row],[本周完成]]&lt;表格1[[#This Row],[本周預計]],"延遲","如期"))</f>
        <v>延遲</v>
      </c>
      <c r="I53" s="290">
        <f>表格1[[#This Row],[累計預估]]/表格1[[#This Row],[合計數]]</f>
        <v>0.53805309734513274</v>
      </c>
      <c r="J53" s="290">
        <f>表格1[[#This Row],[累計完成]]/表格1[[#This Row],[合計數]]</f>
        <v>0.5876106194690266</v>
      </c>
      <c r="K53" s="303" t="s">
        <v>61</v>
      </c>
      <c r="L53" s="267"/>
    </row>
    <row r="54" spans="1:12" ht="15" customHeight="1" x14ac:dyDescent="0.35">
      <c r="A54" s="48">
        <v>44498</v>
      </c>
      <c r="B54" s="304">
        <f>表格1[[#This Row],[日期]]</f>
        <v>44498</v>
      </c>
      <c r="C54" s="305">
        <f>COUNTA(URS確認!E:E)-1-2-9</f>
        <v>556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6">
        <f>表格1[[#This Row],[累計預估]]/表格1[[#This Row],[合計數]]</f>
        <v>0.56474820143884896</v>
      </c>
      <c r="J54" s="306">
        <f>表格1[[#This Row],[累計完成]]/表格1[[#This Row],[合計數]]</f>
        <v>0.62589928057553956</v>
      </c>
      <c r="K54" s="303"/>
      <c r="L54" s="267"/>
    </row>
    <row r="55" spans="1:12" ht="15" hidden="1" customHeight="1" x14ac:dyDescent="0.35">
      <c r="A55" s="263">
        <v>44501</v>
      </c>
      <c r="B55" s="288">
        <f>表格1[[#This Row],[日期]]</f>
        <v>44501</v>
      </c>
      <c r="C55" s="289">
        <f>COUNTA(URS確認!E:E)-1-2</f>
        <v>565</v>
      </c>
      <c r="D55" s="270">
        <f>COUNTIF(URS確認!N:N,"&lt;"&amp;A55+1)</f>
        <v>314</v>
      </c>
      <c r="E55" s="83">
        <f>COUNTIF(URS確認!O:O,"&lt;"&amp;A55+1)</f>
        <v>348</v>
      </c>
      <c r="F55" s="270">
        <f>D68-D54</f>
        <v>201</v>
      </c>
      <c r="G55" s="270">
        <f>E68-E54</f>
        <v>169</v>
      </c>
      <c r="H55" s="243" t="s">
        <v>62</v>
      </c>
      <c r="I55" s="290">
        <f>表格1[[#This Row],[累計預估]]/表格1[[#This Row],[合計數]]</f>
        <v>0.55575221238938055</v>
      </c>
      <c r="J55" s="290">
        <f>表格1[[#This Row],[累計完成]]/表格1[[#This Row],[合計數]]</f>
        <v>0.61592920353982306</v>
      </c>
      <c r="K55" s="303"/>
      <c r="L55" s="267"/>
    </row>
    <row r="56" spans="1:12" ht="15" hidden="1" customHeight="1" x14ac:dyDescent="0.35">
      <c r="A56" s="263">
        <v>44502</v>
      </c>
      <c r="B56" s="288">
        <f>表格1[[#This Row],[日期]]</f>
        <v>44502</v>
      </c>
      <c r="C56" s="289">
        <f>COUNTA(URS確認!E:E)-1-1</f>
        <v>566</v>
      </c>
      <c r="D56" s="270">
        <f>COUNTIF(URS確認!N:N,"&lt;"&amp;A56+1)</f>
        <v>316</v>
      </c>
      <c r="E56" s="83">
        <f>COUNTIF(URS確認!O:O,"&lt;"&amp;A56+1)</f>
        <v>348</v>
      </c>
      <c r="F56" s="270">
        <f>D68-D55</f>
        <v>201</v>
      </c>
      <c r="G56" s="270">
        <f>E68-E55</f>
        <v>169</v>
      </c>
      <c r="H56" s="243" t="s">
        <v>62</v>
      </c>
      <c r="I56" s="290">
        <f>表格1[[#This Row],[累計預估]]/表格1[[#This Row],[合計數]]</f>
        <v>0.55830388692579502</v>
      </c>
      <c r="J56" s="290">
        <f>表格1[[#This Row],[累計完成]]/表格1[[#This Row],[合計數]]</f>
        <v>0.61484098939929333</v>
      </c>
      <c r="K56" s="303" t="s">
        <v>57</v>
      </c>
      <c r="L56" s="267"/>
    </row>
    <row r="57" spans="1:12" ht="15" hidden="1" customHeight="1" x14ac:dyDescent="0.35">
      <c r="A57" s="263">
        <v>44503</v>
      </c>
      <c r="B57" s="288">
        <f>表格1[[#This Row],[日期]]</f>
        <v>44503</v>
      </c>
      <c r="C57" s="289">
        <f>COUNTA(URS確認!E:E)-1</f>
        <v>567</v>
      </c>
      <c r="D57" s="270">
        <f>COUNTIF(URS確認!N:N,"&lt;"&amp;A57+1)</f>
        <v>321</v>
      </c>
      <c r="E57" s="83">
        <f>COUNTIF(URS確認!O:O,"&lt;"&amp;A57+1)</f>
        <v>357</v>
      </c>
      <c r="F57" s="270">
        <f>D65-D56</f>
        <v>178</v>
      </c>
      <c r="G57" s="270">
        <f>E65-E56</f>
        <v>146</v>
      </c>
      <c r="H57" s="243" t="s">
        <v>63</v>
      </c>
      <c r="I57" s="290">
        <f>表格1[[#This Row],[累計預估]]/表格1[[#This Row],[合計數]]</f>
        <v>0.56613756613756616</v>
      </c>
      <c r="J57" s="290">
        <f>表格1[[#This Row],[累計完成]]/表格1[[#This Row],[合計數]]</f>
        <v>0.62962962962962965</v>
      </c>
      <c r="K57" s="303" t="s">
        <v>57</v>
      </c>
      <c r="L57" s="267"/>
    </row>
    <row r="58" spans="1:12" ht="15" hidden="1" customHeight="1" x14ac:dyDescent="0.35">
      <c r="A58" s="263">
        <v>44504</v>
      </c>
      <c r="B58" s="288">
        <f>表格1[[#This Row],[日期]]</f>
        <v>44504</v>
      </c>
      <c r="C58" s="289">
        <f>COUNTA(URS確認!E:E)-1</f>
        <v>567</v>
      </c>
      <c r="D58" s="270">
        <f>COUNTIF(URS確認!N:N,"&lt;"&amp;A58+1)</f>
        <v>328</v>
      </c>
      <c r="E58" s="83">
        <f>COUNTIF(URS確認!O:O,"&lt;"&amp;A58+1)</f>
        <v>362</v>
      </c>
      <c r="F58" s="270">
        <f>D68-D57</f>
        <v>194</v>
      </c>
      <c r="G58" s="270">
        <f>E68-E57</f>
        <v>160</v>
      </c>
      <c r="I58" s="290">
        <f>表格1[[#This Row],[累計預估]]/表格1[[#This Row],[合計數]]</f>
        <v>0.57848324514991178</v>
      </c>
      <c r="J58" s="290">
        <f>表格1[[#This Row],[累計完成]]/表格1[[#This Row],[合計數]]</f>
        <v>0.63844797178130508</v>
      </c>
      <c r="K58" s="303"/>
      <c r="L58" s="267"/>
    </row>
    <row r="59" spans="1:12" ht="15" customHeight="1" x14ac:dyDescent="0.35">
      <c r="A59" s="48">
        <v>44505</v>
      </c>
      <c r="B59" s="304">
        <f>表格1[[#This Row],[日期]]</f>
        <v>44505</v>
      </c>
      <c r="C59" s="305">
        <f>COUNTA(URS確認!E:E)-1-9</f>
        <v>558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6">
        <f>表格1[[#This Row],[累計預估]]/表格1[[#This Row],[合計數]]</f>
        <v>0.59677419354838712</v>
      </c>
      <c r="J59" s="306">
        <f>表格1[[#This Row],[累計完成]]/表格1[[#This Row],[合計數]]</f>
        <v>0.6577060931899642</v>
      </c>
      <c r="K59" s="303"/>
      <c r="L59" s="267"/>
    </row>
    <row r="60" spans="1:12" ht="15" customHeight="1" x14ac:dyDescent="0.35">
      <c r="A60" s="48">
        <v>44512</v>
      </c>
      <c r="B60" s="304">
        <f>表格1[[#This Row],[日期]]</f>
        <v>44512</v>
      </c>
      <c r="C60" s="305">
        <f>COUNTA(URS確認!E:E)-1-9</f>
        <v>558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6">
        <f>表格1[[#This Row],[累計預估]]/表格1[[#This Row],[合計數]]</f>
        <v>0.59677419354838712</v>
      </c>
      <c r="J60" s="306">
        <f>表格1[[#This Row],[累計完成]]/表格1[[#This Row],[合計數]]</f>
        <v>0.6577060931899642</v>
      </c>
      <c r="K60" s="303"/>
      <c r="L60" s="267"/>
    </row>
    <row r="61" spans="1:12" ht="15" hidden="1" customHeight="1" x14ac:dyDescent="0.35">
      <c r="A61" s="263">
        <v>44515</v>
      </c>
      <c r="B61" s="288">
        <f>表格1[[#This Row],[日期]]</f>
        <v>44515</v>
      </c>
      <c r="C61" s="289">
        <v>503</v>
      </c>
      <c r="D61" s="270">
        <f>COUNTIF(URS確認!N:N,"&lt;"&amp;A61+1)</f>
        <v>378</v>
      </c>
      <c r="E61" s="83">
        <f>COUNTIF(URS確認!O:O,"&lt;"&amp;A61+1)</f>
        <v>367</v>
      </c>
      <c r="F61" s="270">
        <f>D65-D60</f>
        <v>161</v>
      </c>
      <c r="G61" s="270">
        <f>E61-E60</f>
        <v>0</v>
      </c>
      <c r="H61" s="270" t="str">
        <f>IF(表格1[[#This Row],[本周完成]]&gt;表格1[[#This Row],[本周預計]],"提前",IF(表格1[[#This Row],[本周完成]]&lt;表格1[[#This Row],[本周預計]],"延遲","如期"))</f>
        <v>延遲</v>
      </c>
      <c r="I61" s="290">
        <f>表格1[[#This Row],[累計預估]]/表格1[[#This Row],[合計數]]</f>
        <v>0.75149105367793245</v>
      </c>
      <c r="J61" s="290">
        <f>表格1[[#This Row],[累計完成]]/表格1[[#This Row],[合計數]]</f>
        <v>0.72962226640159045</v>
      </c>
      <c r="K61" s="303"/>
      <c r="L61" s="267"/>
    </row>
    <row r="62" spans="1:12" ht="15" hidden="1" customHeight="1" x14ac:dyDescent="0.35">
      <c r="A62" s="263">
        <v>44516</v>
      </c>
      <c r="B62" s="288">
        <f>表格1[[#This Row],[日期]]</f>
        <v>44516</v>
      </c>
      <c r="C62" s="289">
        <f>COUNTA(URS確認!E:E)-1</f>
        <v>567</v>
      </c>
      <c r="D62" s="270">
        <f>COUNTIF(URS確認!N:N,"&lt;"&amp;A62+1)</f>
        <v>420</v>
      </c>
      <c r="E62" s="83">
        <f>COUNTIF(URS確認!O:O,"&lt;"&amp;A62+1)</f>
        <v>367</v>
      </c>
      <c r="F62" s="270">
        <f>D65-D60</f>
        <v>161</v>
      </c>
      <c r="G62" s="270">
        <f>E62-E60</f>
        <v>0</v>
      </c>
      <c r="H62" s="270" t="str">
        <f>IF(表格1[[#This Row],[本周完成]]&gt;表格1[[#This Row],[本周預計]],"提前",IF(表格1[[#This Row],[本周完成]]&lt;表格1[[#This Row],[本周預計]],"延遲","如期"))</f>
        <v>延遲</v>
      </c>
      <c r="I62" s="290">
        <f>表格1[[#This Row],[累計預估]]/表格1[[#This Row],[合計數]]</f>
        <v>0.7407407407407407</v>
      </c>
      <c r="J62" s="290">
        <f>表格1[[#This Row],[累計完成]]/表格1[[#This Row],[合計數]]</f>
        <v>0.64726631393298062</v>
      </c>
      <c r="K62" s="303"/>
      <c r="L62" s="267"/>
    </row>
    <row r="63" spans="1:12" ht="15" hidden="1" customHeight="1" x14ac:dyDescent="0.35">
      <c r="A63" s="263">
        <v>44517</v>
      </c>
      <c r="B63" s="288">
        <f>表格1[[#This Row],[日期]]</f>
        <v>44517</v>
      </c>
      <c r="C63" s="289">
        <f>COUNTA(URS確認!E:E)-1</f>
        <v>567</v>
      </c>
      <c r="D63" s="270">
        <f>COUNTIF(URS確認!N:N,"&lt;"&amp;A63+1)</f>
        <v>433</v>
      </c>
      <c r="E63" s="83">
        <f>COUNTIF(URS確認!O:O,"&lt;"&amp;A63+1)</f>
        <v>485</v>
      </c>
      <c r="F63" s="270">
        <f>$D65-$D60</f>
        <v>161</v>
      </c>
      <c r="G63" s="270">
        <f>E65-E60</f>
        <v>127</v>
      </c>
      <c r="H63" s="270" t="str">
        <f>IF(表格1[[#This Row],[本周完成]]&gt;表格1[[#This Row],[本周預計]],"提前",IF(表格1[[#This Row],[本周完成]]&lt;表格1[[#This Row],[本周預計]],"延遲","如期"))</f>
        <v>延遲</v>
      </c>
      <c r="I63" s="290">
        <f>表格1[[#This Row],[累計預估]]/表格1[[#This Row],[合計數]]</f>
        <v>0.76366843033509701</v>
      </c>
      <c r="J63" s="290">
        <f>表格1[[#This Row],[累計完成]]/表格1[[#This Row],[合計數]]</f>
        <v>0.85537918871252205</v>
      </c>
      <c r="K63" s="303"/>
      <c r="L63" s="267"/>
    </row>
    <row r="64" spans="1:12" ht="15" hidden="1" customHeight="1" x14ac:dyDescent="0.35">
      <c r="A64" s="263">
        <v>44518</v>
      </c>
      <c r="B64" s="288">
        <f>表格1[[#This Row],[日期]]</f>
        <v>44518</v>
      </c>
      <c r="C64" s="289">
        <f>COUNTA(URS確認!E:E)-1</f>
        <v>567</v>
      </c>
      <c r="D64" s="270">
        <f>COUNTIF(URS確認!N:N,"&lt;"&amp;A64+1)</f>
        <v>471</v>
      </c>
      <c r="E64" s="83">
        <f>COUNTIF(URS確認!O:O,"&lt;"&amp;A64+1)</f>
        <v>494</v>
      </c>
      <c r="F64" s="270">
        <f>$D65-$D60</f>
        <v>161</v>
      </c>
      <c r="G64" s="270">
        <f>表格1[[#This Row],[累計完成]]-E60</f>
        <v>127</v>
      </c>
      <c r="H64" s="270" t="str">
        <f>IF(表格1[[#This Row],[本周完成]]&gt;表格1[[#This Row],[本周預計]],"提前",IF(表格1[[#This Row],[本周完成]]&lt;表格1[[#This Row],[本周預計]],"延遲","如期"))</f>
        <v>延遲</v>
      </c>
      <c r="I64" s="290">
        <f>表格1[[#This Row],[累計預估]]/表格1[[#This Row],[合計數]]</f>
        <v>0.8306878306878307</v>
      </c>
      <c r="J64" s="290">
        <f>表格1[[#This Row],[累計完成]]/表格1[[#This Row],[合計數]]</f>
        <v>0.87125220458553787</v>
      </c>
      <c r="K64" s="303"/>
      <c r="L64" s="267"/>
    </row>
    <row r="65" spans="1:12" ht="15" customHeight="1" x14ac:dyDescent="0.35">
      <c r="A65" s="48">
        <v>44519</v>
      </c>
      <c r="B65" s="304">
        <f>表格1[[#This Row],[日期]]</f>
        <v>44519</v>
      </c>
      <c r="C65" s="305">
        <f>COUNTA(URS確認!E:E)-1-9</f>
        <v>558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6">
        <f>表格1[[#This Row],[累計預估]]/表格1[[#This Row],[合計數]]</f>
        <v>0.88530465949820791</v>
      </c>
      <c r="J65" s="306">
        <f>表格1[[#This Row],[累計完成]]/表格1[[#This Row],[合計數]]</f>
        <v>0.88530465949820791</v>
      </c>
      <c r="K65" s="303"/>
      <c r="L65" s="267"/>
    </row>
    <row r="66" spans="1:12" ht="15" hidden="1" customHeight="1" x14ac:dyDescent="0.35">
      <c r="A66" s="263">
        <v>44522</v>
      </c>
      <c r="B66" s="288">
        <f>表格1[[#This Row],[日期]]</f>
        <v>44522</v>
      </c>
      <c r="C66" s="289">
        <f>COUNTA(URS確認!E:E)-1</f>
        <v>567</v>
      </c>
      <c r="D66" s="270">
        <f>COUNTIF(URS確認!N:N,"&lt;"&amp;A66+1)</f>
        <v>494</v>
      </c>
      <c r="E66" s="83">
        <f>COUNTIF(URS確認!O:O,"&lt;"&amp;A66+1)</f>
        <v>496</v>
      </c>
      <c r="F66" s="270">
        <f>D68-D65</f>
        <v>21</v>
      </c>
      <c r="G66" s="270">
        <f>表格1[[#This Row],[累計完成]]-E65</f>
        <v>2</v>
      </c>
      <c r="H66" s="270" t="str">
        <f>IF(表格1[[#This Row],[本周完成]]&gt;表格1[[#This Row],[本周預計]],"提前",IF(表格1[[#This Row],[本周完成]]&lt;表格1[[#This Row],[本周預計]],"延遲","如期"))</f>
        <v>延遲</v>
      </c>
      <c r="I66" s="290">
        <f>表格1[[#This Row],[累計預估]]/表格1[[#This Row],[合計數]]</f>
        <v>0.87125220458553787</v>
      </c>
      <c r="J66" s="290">
        <f>表格1[[#This Row],[累計完成]]/表格1[[#This Row],[合計數]]</f>
        <v>0.87477954144620806</v>
      </c>
      <c r="K66" s="303"/>
      <c r="L66" s="267"/>
    </row>
    <row r="67" spans="1:12" ht="15" hidden="1" customHeight="1" x14ac:dyDescent="0.35">
      <c r="A67" s="263">
        <v>44523</v>
      </c>
      <c r="B67" s="288">
        <f>表格1[[#This Row],[日期]]</f>
        <v>44523</v>
      </c>
      <c r="C67" s="289">
        <f>COUNTA(URS確認!E:E)-1</f>
        <v>567</v>
      </c>
      <c r="D67" s="270">
        <f>COUNTIF(URS確認!N:N,"&lt;"&amp;A67+1)</f>
        <v>497</v>
      </c>
      <c r="E67" s="83">
        <f>COUNTIF(URS確認!O:O,"&lt;"&amp;A67+1)</f>
        <v>496</v>
      </c>
      <c r="F67" s="270">
        <v>29</v>
      </c>
      <c r="G67" s="270">
        <f>表格1[[#This Row],[累計完成]]-E66</f>
        <v>0</v>
      </c>
      <c r="H67" s="270" t="str">
        <f>IF(表格1[[#This Row],[本周完成]]&gt;表格1[[#This Row],[本周預計]],"提前",IF(表格1[[#This Row],[本周完成]]&lt;表格1[[#This Row],[本周預計]],"延遲","如期"))</f>
        <v>延遲</v>
      </c>
      <c r="I67" s="290">
        <f>表格1[[#This Row],[累計預估]]/表格1[[#This Row],[合計數]]</f>
        <v>0.87654320987654322</v>
      </c>
      <c r="J67" s="290">
        <f>表格1[[#This Row],[累計完成]]/表格1[[#This Row],[合計數]]</f>
        <v>0.87477954144620806</v>
      </c>
      <c r="K67" s="303"/>
      <c r="L67" s="267"/>
    </row>
    <row r="68" spans="1:12" ht="15" customHeight="1" x14ac:dyDescent="0.35">
      <c r="A68" s="48">
        <v>44526</v>
      </c>
      <c r="B68" s="304">
        <f>表格1[[#This Row],[日期]]</f>
        <v>44526</v>
      </c>
      <c r="C68" s="305">
        <f>COUNTA(URS確認!E:E)-1-9</f>
        <v>558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6">
        <f>表格1[[#This Row],[累計預估]]/表格1[[#This Row],[合計數]]</f>
        <v>0.92293906810035842</v>
      </c>
      <c r="J68" s="306">
        <f>表格1[[#This Row],[累計完成]]/表格1[[#This Row],[合計數]]</f>
        <v>0.92652329749103945</v>
      </c>
      <c r="K68" s="303"/>
      <c r="L68" s="267"/>
    </row>
    <row r="69" spans="1:12" ht="14.5" x14ac:dyDescent="0.35">
      <c r="A69" s="263">
        <v>44529</v>
      </c>
      <c r="B69" s="288">
        <f>表格1[[#This Row],[日期]]</f>
        <v>44529</v>
      </c>
      <c r="C69" s="289">
        <f>COUNTA(URS確認!E:E)-1-9</f>
        <v>558</v>
      </c>
      <c r="D69" s="350">
        <f>COUNTIF(URS確認!N:N,"&lt;"&amp;A69+1)</f>
        <v>533</v>
      </c>
      <c r="E69" s="354">
        <f>COUNTIF(URS確認!O:O,"&lt;"&amp;A69+1)</f>
        <v>530</v>
      </c>
      <c r="F69" s="350">
        <f>$D$73-$D$68</f>
        <v>39</v>
      </c>
      <c r="G69" s="350">
        <f>表格1[[#This Row],[累計完成]]-$E$68</f>
        <v>13</v>
      </c>
      <c r="H69" s="350"/>
      <c r="I69" s="352">
        <f>表格1[[#This Row],[累計預估]]/表格1[[#This Row],[合計數]]</f>
        <v>0.95519713261648742</v>
      </c>
      <c r="J69" s="352">
        <f>表格1[[#This Row],[累計完成]]/表格1[[#This Row],[合計數]]</f>
        <v>0.94982078853046592</v>
      </c>
      <c r="K69" s="353"/>
    </row>
    <row r="70" spans="1:12" ht="14.5" x14ac:dyDescent="0.35">
      <c r="A70" s="263">
        <v>44530</v>
      </c>
      <c r="B70" s="288">
        <f>表格1[[#This Row],[日期]]</f>
        <v>44530</v>
      </c>
      <c r="C70" s="289">
        <f>COUNTA(URS確認!E:E)-1</f>
        <v>567</v>
      </c>
      <c r="D70" s="350">
        <f>COUNTIF(URS確認!N:N,"&lt;"&amp;A70+1)</f>
        <v>542</v>
      </c>
      <c r="E70" s="354">
        <f>COUNTIF(URS確認!O:O,"&lt;"&amp;A70+1)</f>
        <v>539</v>
      </c>
      <c r="F70" s="350">
        <f t="shared" ref="F70:F73" si="8">$D$73-$D$68</f>
        <v>39</v>
      </c>
      <c r="G70" s="350">
        <f>表格1[[#This Row],[累計完成]]-$E$68</f>
        <v>22</v>
      </c>
      <c r="H70" s="350"/>
      <c r="I70" s="352">
        <f>表格1[[#This Row],[累計預估]]/表格1[[#This Row],[合計數]]</f>
        <v>0.95590828924162252</v>
      </c>
      <c r="J70" s="352">
        <f>表格1[[#This Row],[累計完成]]/表格1[[#This Row],[合計數]]</f>
        <v>0.95061728395061729</v>
      </c>
      <c r="K70" s="353"/>
    </row>
    <row r="71" spans="1:12" ht="14.5" x14ac:dyDescent="0.35">
      <c r="A71" s="263">
        <v>44531</v>
      </c>
      <c r="B71" s="288">
        <f>表格1[[#This Row],[日期]]</f>
        <v>44531</v>
      </c>
      <c r="C71" s="289">
        <f>COUNTA(URS確認!E:E)-1</f>
        <v>567</v>
      </c>
      <c r="D71" s="350">
        <f>COUNTIF(URS確認!N:N,"&lt;"&amp;A71+1)</f>
        <v>542</v>
      </c>
      <c r="E71" s="354">
        <f>COUNTIF(URS確認!O:O,"&lt;"&amp;A71+1)</f>
        <v>539</v>
      </c>
      <c r="F71" s="350">
        <f t="shared" si="8"/>
        <v>39</v>
      </c>
      <c r="G71" s="350">
        <f>表格1[[#This Row],[累計完成]]-$E$68</f>
        <v>22</v>
      </c>
      <c r="H71" s="350"/>
      <c r="I71" s="352">
        <f>表格1[[#This Row],[累計預估]]/表格1[[#This Row],[合計數]]</f>
        <v>0.95590828924162252</v>
      </c>
      <c r="J71" s="352">
        <f>表格1[[#This Row],[累計完成]]/表格1[[#This Row],[合計數]]</f>
        <v>0.95061728395061729</v>
      </c>
      <c r="K71" s="353"/>
    </row>
    <row r="72" spans="1:12" ht="14.5" x14ac:dyDescent="0.35">
      <c r="A72" s="263">
        <v>44532</v>
      </c>
      <c r="B72" s="288">
        <f>表格1[[#This Row],[日期]]</f>
        <v>44532</v>
      </c>
      <c r="C72" s="289">
        <f>COUNTA(URS確認!E:E)-1</f>
        <v>567</v>
      </c>
      <c r="D72" s="350">
        <f>COUNTIF(URS確認!N:N,"&lt;"&amp;A72+1)</f>
        <v>542</v>
      </c>
      <c r="E72" s="354">
        <f>COUNTIF(URS確認!O:O,"&lt;"&amp;A72+1)</f>
        <v>539</v>
      </c>
      <c r="F72" s="350">
        <f t="shared" si="8"/>
        <v>39</v>
      </c>
      <c r="G72" s="350">
        <f>表格1[[#This Row],[累計完成]]-$E$68</f>
        <v>22</v>
      </c>
      <c r="H72" s="350"/>
      <c r="I72" s="352">
        <f>表格1[[#This Row],[累計預估]]/表格1[[#This Row],[合計數]]</f>
        <v>0.95590828924162252</v>
      </c>
      <c r="J72" s="352">
        <f>表格1[[#This Row],[累計完成]]/表格1[[#This Row],[合計數]]</f>
        <v>0.95061728395061729</v>
      </c>
      <c r="K72" s="353"/>
    </row>
    <row r="73" spans="1:12" ht="14.5" x14ac:dyDescent="0.35">
      <c r="A73" s="48">
        <v>44533</v>
      </c>
      <c r="B73" s="304">
        <f>表格1[[#This Row],[日期]]</f>
        <v>44533</v>
      </c>
      <c r="C73" s="305">
        <f>COUNTA(URS確認!E:E)-1</f>
        <v>567</v>
      </c>
      <c r="D73" s="351">
        <f>COUNTIF(URS確認!N:N,"&lt;"&amp;A73+1)</f>
        <v>554</v>
      </c>
      <c r="E73" s="83">
        <f>COUNTIF(URS確認!O:O,"&lt;"&amp;A73+1)</f>
        <v>550</v>
      </c>
      <c r="F73" s="351">
        <f t="shared" si="8"/>
        <v>39</v>
      </c>
      <c r="G73" s="351">
        <f>E73-E68</f>
        <v>33</v>
      </c>
      <c r="H73" s="351" t="str">
        <f>IF(表格1[[#This Row],[本周完成]]&gt;表格1[[#This Row],[本周預計]],"提前",IF(表格1[[#This Row],[本周完成]]&lt;表格1[[#This Row],[本周預計]],"延遲","如期"))</f>
        <v>延遲</v>
      </c>
      <c r="I73" s="306">
        <f>表格1[[#This Row],[累計預估]]/表格1[[#This Row],[合計數]]</f>
        <v>0.97707231040564368</v>
      </c>
      <c r="J73" s="306">
        <f>表格1[[#This Row],[累計完成]]/表格1[[#This Row],[合計數]]</f>
        <v>0.9700176366843033</v>
      </c>
      <c r="K73" s="353"/>
    </row>
    <row r="74" spans="1:12" ht="14.5" x14ac:dyDescent="0.35">
      <c r="A74" s="263">
        <v>44540</v>
      </c>
      <c r="B74" s="288">
        <f>表格1[[#This Row],[日期]]</f>
        <v>44540</v>
      </c>
      <c r="C74" s="289">
        <f>COUNTA(URS確認!E:E)-1</f>
        <v>567</v>
      </c>
      <c r="D74" s="350">
        <f>COUNTIF(URS確認!N:N,"&lt;"&amp;A74+1)</f>
        <v>554</v>
      </c>
      <c r="E74" s="350">
        <v>0</v>
      </c>
      <c r="F74" s="350">
        <v>0</v>
      </c>
      <c r="G74" s="350">
        <v>0</v>
      </c>
      <c r="H74" s="351" t="str">
        <f>IF(表格1[[#This Row],[本周完成]]&gt;表格1[[#This Row],[本周預計]],"提前",IF(表格1[[#This Row],[本周完成]]&lt;表格1[[#This Row],[本周預計]],"延遲","如期"))</f>
        <v>如期</v>
      </c>
      <c r="I74" s="352">
        <f>表格1[[#This Row],[累計預估]]/表格1[[#This Row],[合計數]]</f>
        <v>0.97707231040564368</v>
      </c>
      <c r="J74" s="352">
        <f>表格1[[#This Row],[累計完成]]/表格1[[#This Row],[合計數]]</f>
        <v>0</v>
      </c>
      <c r="K74" s="35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637"/>
  <sheetViews>
    <sheetView topLeftCell="A19" zoomScale="90" zoomScaleNormal="90" workbookViewId="0">
      <selection activeCell="L28" sqref="D28:L28"/>
    </sheetView>
  </sheetViews>
  <sheetFormatPr defaultColWidth="8.69921875" defaultRowHeight="14.5" x14ac:dyDescent="0.3"/>
  <cols>
    <col min="1" max="1" width="19" style="153" bestFit="1" customWidth="1"/>
    <col min="2" max="2" width="25.8984375" style="153" bestFit="1" customWidth="1"/>
    <col min="3" max="3" width="6.19921875" style="153" bestFit="1" customWidth="1"/>
    <col min="4" max="4" width="26.19921875" style="401" bestFit="1" customWidth="1"/>
    <col min="5" max="5" width="6.19921875" style="401" bestFit="1" customWidth="1"/>
    <col min="6" max="6" width="27.5" style="401" bestFit="1" customWidth="1"/>
    <col min="7" max="7" width="6.19921875" style="401" bestFit="1" customWidth="1"/>
    <col min="8" max="8" width="28.8984375" style="401" bestFit="1" customWidth="1"/>
    <col min="9" max="9" width="6.19921875" style="153" bestFit="1" customWidth="1"/>
    <col min="10" max="10" width="28.8984375" style="153" bestFit="1" customWidth="1"/>
    <col min="11" max="11" width="6.19921875" style="153" bestFit="1" customWidth="1"/>
    <col min="12" max="12" width="27.5" style="153" bestFit="1" customWidth="1"/>
    <col min="13" max="13" width="6.19921875" style="153" bestFit="1" customWidth="1"/>
    <col min="14" max="14" width="28.8984375" style="153" bestFit="1" customWidth="1"/>
    <col min="15" max="15" width="6.19921875" style="153" bestFit="1" customWidth="1"/>
    <col min="16" max="16" width="28.8984375" style="153" bestFit="1" customWidth="1"/>
    <col min="17" max="17" width="6.19921875" style="153" bestFit="1" customWidth="1"/>
    <col min="18" max="19" width="14.8984375" style="153" bestFit="1" customWidth="1"/>
    <col min="20" max="20" width="101.8984375" style="153" bestFit="1" customWidth="1"/>
    <col min="21" max="21" width="47.59765625" style="153" bestFit="1" customWidth="1"/>
    <col min="22" max="22" width="51.5" style="153" bestFit="1" customWidth="1"/>
    <col min="23" max="23" width="40.8984375" style="153" bestFit="1" customWidth="1"/>
    <col min="24" max="24" width="44.8984375" style="153" bestFit="1" customWidth="1"/>
    <col min="25" max="25" width="53.69921875" style="153" bestFit="1" customWidth="1"/>
    <col min="26" max="26" width="57.69921875" style="153" bestFit="1" customWidth="1"/>
    <col min="27" max="27" width="52.69921875" style="153" bestFit="1" customWidth="1"/>
    <col min="28" max="28" width="56.69921875" style="153" bestFit="1" customWidth="1"/>
    <col min="29" max="29" width="6.19921875" style="153" bestFit="1" customWidth="1"/>
    <col min="30" max="30" width="48.19921875" style="153" bestFit="1" customWidth="1"/>
    <col min="31" max="32" width="50.69921875" style="153" bestFit="1" customWidth="1"/>
    <col min="33" max="33" width="48.19921875" style="153" bestFit="1" customWidth="1"/>
    <col min="34" max="36" width="45.69921875" style="153" bestFit="1" customWidth="1"/>
    <col min="37" max="37" width="39" style="153" bestFit="1" customWidth="1"/>
    <col min="38" max="38" width="51.8984375" style="153" bestFit="1" customWidth="1"/>
    <col min="39" max="40" width="49.5" style="153" bestFit="1" customWidth="1"/>
    <col min="41" max="41" width="50.69921875" style="153" bestFit="1" customWidth="1"/>
    <col min="42" max="42" width="52" style="153" bestFit="1" customWidth="1"/>
    <col min="43" max="43" width="44.09765625" style="153" bestFit="1" customWidth="1"/>
    <col min="44" max="44" width="49.5" style="153" bestFit="1" customWidth="1"/>
    <col min="45" max="45" width="45.19921875" style="153" bestFit="1" customWidth="1"/>
    <col min="46" max="46" width="56.69921875" style="153" bestFit="1" customWidth="1"/>
    <col min="47" max="47" width="39" style="153" bestFit="1" customWidth="1"/>
    <col min="48" max="48" width="46.19921875" style="153" bestFit="1" customWidth="1"/>
    <col min="49" max="49" width="28.5" style="153" bestFit="1" customWidth="1"/>
    <col min="50" max="50" width="20.8984375" style="153" bestFit="1" customWidth="1"/>
    <col min="51" max="51" width="7.69921875" style="153" bestFit="1" customWidth="1"/>
    <col min="52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9" x14ac:dyDescent="0.3">
      <c r="A2" s="606" t="s">
        <v>3226</v>
      </c>
      <c r="B2" s="153" t="s">
        <v>3227</v>
      </c>
    </row>
    <row r="4" spans="1:19" x14ac:dyDescent="0.3">
      <c r="B4" s="606" t="s">
        <v>64</v>
      </c>
      <c r="D4" s="153"/>
      <c r="E4" s="153"/>
      <c r="F4" s="153"/>
      <c r="G4" s="153"/>
      <c r="H4" s="153"/>
    </row>
    <row r="5" spans="1:19" x14ac:dyDescent="0.3">
      <c r="B5" s="153" t="s">
        <v>3115</v>
      </c>
      <c r="D5" s="153" t="s">
        <v>3116</v>
      </c>
      <c r="E5" s="153"/>
      <c r="F5" s="153" t="s">
        <v>3117</v>
      </c>
      <c r="G5" s="153"/>
      <c r="H5" s="153" t="s">
        <v>3118</v>
      </c>
      <c r="J5" s="153" t="s">
        <v>3119</v>
      </c>
      <c r="L5" s="153" t="s">
        <v>3127</v>
      </c>
      <c r="N5" s="153" t="s">
        <v>3230</v>
      </c>
      <c r="P5" s="153" t="s">
        <v>3232</v>
      </c>
      <c r="R5" s="153" t="s">
        <v>2171</v>
      </c>
      <c r="S5" s="153" t="s">
        <v>2172</v>
      </c>
    </row>
    <row r="6" spans="1:19" x14ac:dyDescent="0.3">
      <c r="A6" s="606" t="s">
        <v>3228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  <c r="L6" s="153" t="s">
        <v>2173</v>
      </c>
      <c r="M6" s="153" t="s">
        <v>2174</v>
      </c>
      <c r="N6" s="153" t="s">
        <v>2173</v>
      </c>
      <c r="O6" s="153" t="s">
        <v>2174</v>
      </c>
      <c r="P6" s="153" t="s">
        <v>2173</v>
      </c>
      <c r="Q6" s="153" t="s">
        <v>2174</v>
      </c>
    </row>
    <row r="7" spans="1:19" x14ac:dyDescent="0.3">
      <c r="A7" s="376" t="s">
        <v>65</v>
      </c>
      <c r="B7" s="381"/>
      <c r="C7" s="381"/>
      <c r="D7" s="381"/>
      <c r="E7" s="381"/>
      <c r="F7" s="381"/>
      <c r="G7" s="381"/>
      <c r="H7" s="381">
        <v>15</v>
      </c>
      <c r="I7" s="381">
        <v>15</v>
      </c>
      <c r="J7" s="381"/>
      <c r="K7" s="381"/>
      <c r="L7" s="381"/>
      <c r="M7" s="381"/>
      <c r="N7" s="381"/>
      <c r="O7" s="381"/>
      <c r="P7" s="381"/>
      <c r="Q7" s="381"/>
      <c r="R7" s="381">
        <v>15</v>
      </c>
      <c r="S7" s="381">
        <v>15</v>
      </c>
    </row>
    <row r="8" spans="1:19" x14ac:dyDescent="0.3">
      <c r="A8" s="376" t="s">
        <v>66</v>
      </c>
      <c r="B8" s="381">
        <v>44</v>
      </c>
      <c r="C8" s="381">
        <v>44</v>
      </c>
      <c r="D8" s="381">
        <v>32</v>
      </c>
      <c r="E8" s="381">
        <v>32</v>
      </c>
      <c r="F8" s="381">
        <v>3</v>
      </c>
      <c r="G8" s="381">
        <v>3</v>
      </c>
      <c r="H8" s="381"/>
      <c r="I8" s="381"/>
      <c r="J8" s="381"/>
      <c r="K8" s="381"/>
      <c r="L8" s="381"/>
      <c r="M8" s="381"/>
      <c r="N8" s="381"/>
      <c r="O8" s="381"/>
      <c r="P8" s="381"/>
      <c r="Q8" s="381"/>
      <c r="R8" s="381">
        <v>79</v>
      </c>
      <c r="S8" s="381">
        <v>79</v>
      </c>
    </row>
    <row r="9" spans="1:19" x14ac:dyDescent="0.3">
      <c r="A9" s="376" t="s">
        <v>67</v>
      </c>
      <c r="B9" s="381"/>
      <c r="C9" s="381"/>
      <c r="D9" s="381"/>
      <c r="E9" s="381"/>
      <c r="F9" s="381">
        <v>14</v>
      </c>
      <c r="G9" s="381">
        <v>14</v>
      </c>
      <c r="H9" s="381">
        <v>24</v>
      </c>
      <c r="I9" s="381">
        <v>24</v>
      </c>
      <c r="J9" s="381"/>
      <c r="K9" s="381"/>
      <c r="L9" s="381"/>
      <c r="M9" s="381"/>
      <c r="N9" s="381"/>
      <c r="O9" s="381"/>
      <c r="P9" s="381"/>
      <c r="Q9" s="381"/>
      <c r="R9" s="381">
        <v>38</v>
      </c>
      <c r="S9" s="381">
        <v>38</v>
      </c>
    </row>
    <row r="10" spans="1:19" x14ac:dyDescent="0.3">
      <c r="A10" s="376" t="s">
        <v>68</v>
      </c>
      <c r="B10" s="381"/>
      <c r="C10" s="381"/>
      <c r="D10" s="381"/>
      <c r="E10" s="381"/>
      <c r="F10" s="381">
        <v>20</v>
      </c>
      <c r="G10" s="381">
        <v>20</v>
      </c>
      <c r="H10" s="381">
        <v>46</v>
      </c>
      <c r="I10" s="381">
        <v>46</v>
      </c>
      <c r="J10" s="381">
        <v>10</v>
      </c>
      <c r="K10" s="381">
        <v>10</v>
      </c>
      <c r="L10" s="381"/>
      <c r="M10" s="381"/>
      <c r="N10" s="381"/>
      <c r="O10" s="381"/>
      <c r="P10" s="381"/>
      <c r="Q10" s="381"/>
      <c r="R10" s="381">
        <v>76</v>
      </c>
      <c r="S10" s="381">
        <v>76</v>
      </c>
    </row>
    <row r="11" spans="1:19" x14ac:dyDescent="0.3">
      <c r="A11" s="376" t="s">
        <v>69</v>
      </c>
      <c r="B11" s="381"/>
      <c r="C11" s="381"/>
      <c r="D11" s="381">
        <v>26</v>
      </c>
      <c r="E11" s="381">
        <v>26</v>
      </c>
      <c r="F11" s="381">
        <v>27</v>
      </c>
      <c r="G11" s="381">
        <v>27</v>
      </c>
      <c r="H11" s="381">
        <v>19</v>
      </c>
      <c r="I11" s="381">
        <v>19</v>
      </c>
      <c r="J11" s="381"/>
      <c r="K11" s="381"/>
      <c r="L11" s="381">
        <v>15</v>
      </c>
      <c r="M11" s="381"/>
      <c r="N11" s="381"/>
      <c r="O11" s="381"/>
      <c r="P11" s="381"/>
      <c r="Q11" s="381"/>
      <c r="R11" s="381">
        <v>87</v>
      </c>
      <c r="S11" s="381">
        <v>72</v>
      </c>
    </row>
    <row r="12" spans="1:19" x14ac:dyDescent="0.3">
      <c r="A12" s="376" t="s">
        <v>70</v>
      </c>
      <c r="B12" s="381"/>
      <c r="C12" s="381"/>
      <c r="D12" s="381">
        <v>50</v>
      </c>
      <c r="E12" s="381">
        <v>50</v>
      </c>
      <c r="F12" s="381">
        <v>39</v>
      </c>
      <c r="G12" s="381">
        <v>39</v>
      </c>
      <c r="H12" s="381">
        <v>16</v>
      </c>
      <c r="I12" s="381">
        <v>16</v>
      </c>
      <c r="J12" s="381">
        <v>1</v>
      </c>
      <c r="K12" s="381">
        <v>1</v>
      </c>
      <c r="L12" s="381"/>
      <c r="M12" s="381"/>
      <c r="N12" s="381"/>
      <c r="O12" s="381"/>
      <c r="P12" s="381"/>
      <c r="Q12" s="381"/>
      <c r="R12" s="381">
        <v>106</v>
      </c>
      <c r="S12" s="381">
        <v>106</v>
      </c>
    </row>
    <row r="13" spans="1:19" x14ac:dyDescent="0.3">
      <c r="A13" s="376" t="s">
        <v>71</v>
      </c>
      <c r="B13" s="381">
        <v>4</v>
      </c>
      <c r="C13" s="381">
        <v>4</v>
      </c>
      <c r="D13" s="381"/>
      <c r="E13" s="381"/>
      <c r="F13" s="381">
        <v>3</v>
      </c>
      <c r="G13" s="381">
        <v>3</v>
      </c>
      <c r="H13" s="381"/>
      <c r="I13" s="381"/>
      <c r="J13" s="381">
        <v>10</v>
      </c>
      <c r="K13" s="381">
        <v>10</v>
      </c>
      <c r="L13" s="381"/>
      <c r="M13" s="381"/>
      <c r="N13" s="381"/>
      <c r="O13" s="381"/>
      <c r="P13" s="381"/>
      <c r="Q13" s="381"/>
      <c r="R13" s="381">
        <v>17</v>
      </c>
      <c r="S13" s="381">
        <v>17</v>
      </c>
    </row>
    <row r="14" spans="1:19" x14ac:dyDescent="0.3">
      <c r="A14" s="376" t="s">
        <v>72</v>
      </c>
      <c r="B14" s="381"/>
      <c r="C14" s="381"/>
      <c r="D14" s="381"/>
      <c r="E14" s="381"/>
      <c r="F14" s="381">
        <v>77</v>
      </c>
      <c r="G14" s="381">
        <v>77</v>
      </c>
      <c r="H14" s="381">
        <v>18</v>
      </c>
      <c r="I14" s="381">
        <v>18</v>
      </c>
      <c r="J14" s="381">
        <v>3</v>
      </c>
      <c r="K14" s="381">
        <v>3</v>
      </c>
      <c r="L14" s="381"/>
      <c r="M14" s="381"/>
      <c r="N14" s="381">
        <v>19</v>
      </c>
      <c r="O14" s="381"/>
      <c r="P14" s="381">
        <v>19</v>
      </c>
      <c r="Q14" s="381"/>
      <c r="R14" s="381">
        <v>136</v>
      </c>
      <c r="S14" s="381">
        <v>98</v>
      </c>
    </row>
    <row r="15" spans="1:19" x14ac:dyDescent="0.3">
      <c r="A15" s="376" t="s">
        <v>73</v>
      </c>
      <c r="B15" s="381"/>
      <c r="C15" s="381"/>
      <c r="D15" s="381"/>
      <c r="E15" s="381"/>
      <c r="F15" s="381"/>
      <c r="G15" s="381"/>
      <c r="H15" s="381">
        <v>1</v>
      </c>
      <c r="I15" s="381">
        <v>1</v>
      </c>
      <c r="J15" s="381"/>
      <c r="K15" s="381"/>
      <c r="L15" s="381"/>
      <c r="M15" s="381"/>
      <c r="N15" s="381"/>
      <c r="O15" s="381"/>
      <c r="P15" s="381"/>
      <c r="Q15" s="381"/>
      <c r="R15" s="381">
        <v>1</v>
      </c>
      <c r="S15" s="381">
        <v>1</v>
      </c>
    </row>
    <row r="16" spans="1:19" x14ac:dyDescent="0.3">
      <c r="A16" s="376" t="s">
        <v>2524</v>
      </c>
      <c r="B16" s="381"/>
      <c r="C16" s="381"/>
      <c r="D16" s="381"/>
      <c r="E16" s="381"/>
      <c r="F16" s="381"/>
      <c r="G16" s="381"/>
      <c r="H16" s="381">
        <v>12</v>
      </c>
      <c r="I16" s="381">
        <v>12</v>
      </c>
      <c r="J16" s="381"/>
      <c r="K16" s="381"/>
      <c r="L16" s="381"/>
      <c r="M16" s="381"/>
      <c r="N16" s="381"/>
      <c r="O16" s="381"/>
      <c r="P16" s="381"/>
      <c r="Q16" s="381"/>
      <c r="R16" s="381">
        <v>12</v>
      </c>
      <c r="S16" s="381">
        <v>12</v>
      </c>
    </row>
    <row r="17" spans="1:19" x14ac:dyDescent="0.3">
      <c r="A17" s="376" t="s">
        <v>45</v>
      </c>
      <c r="B17" s="381">
        <v>48</v>
      </c>
      <c r="C17" s="381">
        <v>48</v>
      </c>
      <c r="D17" s="381">
        <v>108</v>
      </c>
      <c r="E17" s="381">
        <v>108</v>
      </c>
      <c r="F17" s="381">
        <v>183</v>
      </c>
      <c r="G17" s="381">
        <v>183</v>
      </c>
      <c r="H17" s="381">
        <v>151</v>
      </c>
      <c r="I17" s="381">
        <v>151</v>
      </c>
      <c r="J17" s="381">
        <v>24</v>
      </c>
      <c r="K17" s="381">
        <v>24</v>
      </c>
      <c r="L17" s="381">
        <v>15</v>
      </c>
      <c r="M17" s="381"/>
      <c r="N17" s="381">
        <v>19</v>
      </c>
      <c r="O17" s="381"/>
      <c r="P17" s="381">
        <v>19</v>
      </c>
      <c r="Q17" s="381"/>
      <c r="R17" s="381">
        <v>567</v>
      </c>
      <c r="S17" s="381">
        <v>514</v>
      </c>
    </row>
    <row r="18" spans="1:19" x14ac:dyDescent="0.3">
      <c r="D18" s="153"/>
      <c r="E18" s="153"/>
      <c r="F18" s="153"/>
      <c r="G18" s="153"/>
      <c r="H18" s="153"/>
    </row>
    <row r="19" spans="1:19" x14ac:dyDescent="0.3">
      <c r="D19" s="153"/>
      <c r="E19" s="153"/>
      <c r="F19" s="153"/>
      <c r="G19" s="153"/>
      <c r="H19" s="153"/>
    </row>
    <row r="20" spans="1:19" x14ac:dyDescent="0.3">
      <c r="D20" s="153"/>
      <c r="E20" s="153"/>
      <c r="F20" s="153"/>
      <c r="G20" s="153"/>
      <c r="H20" s="153"/>
    </row>
    <row r="25" spans="1:19" x14ac:dyDescent="0.3">
      <c r="A25" s="606" t="s">
        <v>3226</v>
      </c>
      <c r="B25" s="153" t="s">
        <v>3227</v>
      </c>
    </row>
    <row r="27" spans="1:19" x14ac:dyDescent="0.3">
      <c r="B27" s="606" t="s">
        <v>64</v>
      </c>
      <c r="D27" s="153"/>
      <c r="E27" s="153"/>
      <c r="F27" s="153"/>
      <c r="G27" s="153"/>
      <c r="H27" s="153"/>
    </row>
    <row r="28" spans="1:19" x14ac:dyDescent="0.3">
      <c r="B28" s="153" t="s">
        <v>3115</v>
      </c>
      <c r="D28" s="153" t="s">
        <v>3118</v>
      </c>
      <c r="E28" s="153"/>
      <c r="F28" s="153" t="s">
        <v>3119</v>
      </c>
      <c r="G28" s="153"/>
      <c r="H28" s="153" t="s">
        <v>3127</v>
      </c>
      <c r="J28" s="153" t="s">
        <v>3230</v>
      </c>
      <c r="L28" s="153" t="s">
        <v>3232</v>
      </c>
      <c r="N28" s="153" t="s">
        <v>2171</v>
      </c>
      <c r="O28" s="153" t="s">
        <v>3245</v>
      </c>
    </row>
    <row r="29" spans="1:19" x14ac:dyDescent="0.3">
      <c r="A29" s="606" t="s">
        <v>3231</v>
      </c>
      <c r="B29" s="153" t="s">
        <v>2173</v>
      </c>
      <c r="C29" s="153" t="s">
        <v>3246</v>
      </c>
      <c r="D29" s="153" t="s">
        <v>2173</v>
      </c>
      <c r="E29" s="153" t="s">
        <v>3246</v>
      </c>
      <c r="F29" s="153" t="s">
        <v>2173</v>
      </c>
      <c r="G29" s="153" t="s">
        <v>3246</v>
      </c>
      <c r="H29" s="153" t="s">
        <v>2173</v>
      </c>
      <c r="I29" s="153" t="s">
        <v>3246</v>
      </c>
      <c r="J29" s="153" t="s">
        <v>2173</v>
      </c>
      <c r="K29" s="153" t="s">
        <v>3246</v>
      </c>
      <c r="L29" s="153" t="s">
        <v>2173</v>
      </c>
      <c r="M29" s="153" t="s">
        <v>3246</v>
      </c>
    </row>
    <row r="30" spans="1:19" x14ac:dyDescent="0.3">
      <c r="A30" s="376" t="s">
        <v>65</v>
      </c>
      <c r="B30" s="381">
        <v>15</v>
      </c>
      <c r="C30" s="381">
        <v>15</v>
      </c>
      <c r="D30" s="381"/>
      <c r="E30" s="381"/>
      <c r="F30" s="381"/>
      <c r="G30" s="381"/>
      <c r="H30" s="381"/>
      <c r="I30" s="381"/>
      <c r="J30" s="381"/>
      <c r="K30" s="381"/>
      <c r="L30" s="381"/>
      <c r="M30" s="381"/>
      <c r="N30" s="381">
        <v>15</v>
      </c>
      <c r="O30" s="381">
        <v>15</v>
      </c>
    </row>
    <row r="31" spans="1:19" x14ac:dyDescent="0.3">
      <c r="A31" s="376" t="s">
        <v>66</v>
      </c>
      <c r="B31" s="381">
        <v>72</v>
      </c>
      <c r="C31" s="381">
        <v>72</v>
      </c>
      <c r="D31" s="381"/>
      <c r="E31" s="381"/>
      <c r="F31" s="381"/>
      <c r="G31" s="381"/>
      <c r="H31" s="381"/>
      <c r="I31" s="381"/>
      <c r="J31" s="381">
        <v>1</v>
      </c>
      <c r="K31" s="381"/>
      <c r="L31" s="381">
        <v>6</v>
      </c>
      <c r="M31" s="381"/>
      <c r="N31" s="381">
        <v>79</v>
      </c>
      <c r="O31" s="381">
        <v>72</v>
      </c>
    </row>
    <row r="32" spans="1:19" x14ac:dyDescent="0.3">
      <c r="A32" s="376" t="s">
        <v>67</v>
      </c>
      <c r="B32" s="381">
        <v>33</v>
      </c>
      <c r="C32" s="381">
        <v>33</v>
      </c>
      <c r="D32" s="381"/>
      <c r="E32" s="381"/>
      <c r="F32" s="381"/>
      <c r="G32" s="381"/>
      <c r="H32" s="381"/>
      <c r="I32" s="381"/>
      <c r="J32" s="381">
        <v>5</v>
      </c>
      <c r="K32" s="381"/>
      <c r="L32" s="381"/>
      <c r="M32" s="381"/>
      <c r="N32" s="381">
        <v>38</v>
      </c>
      <c r="O32" s="381">
        <v>33</v>
      </c>
    </row>
    <row r="33" spans="1:15" x14ac:dyDescent="0.3">
      <c r="A33" s="376" t="s">
        <v>68</v>
      </c>
      <c r="B33" s="381">
        <v>75</v>
      </c>
      <c r="C33" s="381">
        <v>75</v>
      </c>
      <c r="D33" s="381"/>
      <c r="E33" s="381"/>
      <c r="F33" s="381"/>
      <c r="G33" s="381"/>
      <c r="H33" s="381"/>
      <c r="I33" s="381"/>
      <c r="J33" s="381">
        <v>1</v>
      </c>
      <c r="K33" s="381"/>
      <c r="L33" s="381"/>
      <c r="M33" s="381"/>
      <c r="N33" s="381">
        <v>76</v>
      </c>
      <c r="O33" s="381">
        <v>75</v>
      </c>
    </row>
    <row r="34" spans="1:15" x14ac:dyDescent="0.3">
      <c r="A34" s="376" t="s">
        <v>69</v>
      </c>
      <c r="B34" s="381">
        <v>20</v>
      </c>
      <c r="C34" s="381">
        <v>20</v>
      </c>
      <c r="D34" s="381"/>
      <c r="E34" s="381"/>
      <c r="F34" s="381">
        <v>35</v>
      </c>
      <c r="G34" s="381">
        <v>35</v>
      </c>
      <c r="H34" s="381">
        <v>12</v>
      </c>
      <c r="I34" s="381"/>
      <c r="J34" s="381">
        <v>20</v>
      </c>
      <c r="K34" s="381"/>
      <c r="L34" s="381"/>
      <c r="M34" s="381"/>
      <c r="N34" s="381">
        <v>87</v>
      </c>
      <c r="O34" s="381">
        <v>55</v>
      </c>
    </row>
    <row r="35" spans="1:15" x14ac:dyDescent="0.3">
      <c r="A35" s="376" t="s">
        <v>70</v>
      </c>
      <c r="B35" s="381">
        <v>94</v>
      </c>
      <c r="C35" s="381">
        <v>94</v>
      </c>
      <c r="D35" s="381">
        <v>4</v>
      </c>
      <c r="E35" s="381">
        <v>4</v>
      </c>
      <c r="F35" s="381"/>
      <c r="G35" s="381"/>
      <c r="H35" s="381"/>
      <c r="I35" s="381"/>
      <c r="J35" s="381">
        <v>8</v>
      </c>
      <c r="K35" s="381"/>
      <c r="L35" s="381"/>
      <c r="M35" s="381"/>
      <c r="N35" s="381">
        <v>106</v>
      </c>
      <c r="O35" s="381">
        <v>98</v>
      </c>
    </row>
    <row r="36" spans="1:15" x14ac:dyDescent="0.3">
      <c r="A36" s="376" t="s">
        <v>71</v>
      </c>
      <c r="B36" s="381">
        <v>7</v>
      </c>
      <c r="C36" s="381">
        <v>7</v>
      </c>
      <c r="D36" s="381"/>
      <c r="E36" s="381"/>
      <c r="F36" s="381"/>
      <c r="G36" s="381"/>
      <c r="H36" s="381">
        <v>10</v>
      </c>
      <c r="I36" s="381"/>
      <c r="J36" s="381"/>
      <c r="K36" s="381"/>
      <c r="L36" s="381"/>
      <c r="M36" s="381"/>
      <c r="N36" s="381">
        <v>17</v>
      </c>
      <c r="O36" s="381">
        <v>7</v>
      </c>
    </row>
    <row r="37" spans="1:15" x14ac:dyDescent="0.3">
      <c r="A37" s="376" t="s">
        <v>72</v>
      </c>
      <c r="B37" s="381">
        <v>6</v>
      </c>
      <c r="C37" s="381">
        <v>6</v>
      </c>
      <c r="D37" s="381"/>
      <c r="E37" s="381"/>
      <c r="F37" s="381"/>
      <c r="G37" s="381"/>
      <c r="H37" s="381">
        <v>48</v>
      </c>
      <c r="I37" s="381"/>
      <c r="J37" s="381">
        <v>25</v>
      </c>
      <c r="K37" s="381"/>
      <c r="L37" s="381">
        <v>57</v>
      </c>
      <c r="M37" s="381"/>
      <c r="N37" s="381">
        <v>136</v>
      </c>
      <c r="O37" s="381">
        <v>6</v>
      </c>
    </row>
    <row r="38" spans="1:15" x14ac:dyDescent="0.3">
      <c r="A38" s="376" t="s">
        <v>73</v>
      </c>
      <c r="B38" s="381">
        <v>1</v>
      </c>
      <c r="C38" s="381">
        <v>1</v>
      </c>
      <c r="D38" s="381"/>
      <c r="E38" s="381"/>
      <c r="F38" s="381"/>
      <c r="G38" s="381"/>
      <c r="H38" s="381"/>
      <c r="I38" s="381"/>
      <c r="J38" s="381"/>
      <c r="K38" s="381"/>
      <c r="L38" s="381"/>
      <c r="M38" s="381"/>
      <c r="N38" s="381">
        <v>1</v>
      </c>
      <c r="O38" s="381">
        <v>1</v>
      </c>
    </row>
    <row r="39" spans="1:15" x14ac:dyDescent="0.3">
      <c r="A39" s="376" t="s">
        <v>2524</v>
      </c>
      <c r="B39" s="381">
        <v>6</v>
      </c>
      <c r="C39" s="381">
        <v>6</v>
      </c>
      <c r="D39" s="381"/>
      <c r="E39" s="381"/>
      <c r="F39" s="381"/>
      <c r="G39" s="381"/>
      <c r="H39" s="381"/>
      <c r="I39" s="381"/>
      <c r="J39" s="381">
        <v>6</v>
      </c>
      <c r="K39" s="381"/>
      <c r="L39" s="381"/>
      <c r="M39" s="381"/>
      <c r="N39" s="381">
        <v>12</v>
      </c>
      <c r="O39" s="381">
        <v>6</v>
      </c>
    </row>
    <row r="40" spans="1:15" x14ac:dyDescent="0.3">
      <c r="A40" s="376" t="s">
        <v>45</v>
      </c>
      <c r="B40" s="381">
        <v>329</v>
      </c>
      <c r="C40" s="381">
        <v>329</v>
      </c>
      <c r="D40" s="381">
        <v>4</v>
      </c>
      <c r="E40" s="381">
        <v>4</v>
      </c>
      <c r="F40" s="381">
        <v>35</v>
      </c>
      <c r="G40" s="381">
        <v>35</v>
      </c>
      <c r="H40" s="381">
        <v>70</v>
      </c>
      <c r="I40" s="381"/>
      <c r="J40" s="381">
        <v>66</v>
      </c>
      <c r="K40" s="381"/>
      <c r="L40" s="381">
        <v>63</v>
      </c>
      <c r="M40" s="381"/>
      <c r="N40" s="381">
        <v>567</v>
      </c>
      <c r="O40" s="381">
        <v>368</v>
      </c>
    </row>
    <row r="41" spans="1:15" x14ac:dyDescent="0.3">
      <c r="D41" s="153"/>
      <c r="E41" s="153"/>
      <c r="F41" s="153"/>
      <c r="G41" s="153"/>
      <c r="H41" s="153"/>
    </row>
    <row r="42" spans="1:15" x14ac:dyDescent="0.3">
      <c r="D42" s="153"/>
      <c r="E42" s="153"/>
      <c r="F42" s="153"/>
      <c r="G42" s="153"/>
      <c r="H42" s="153"/>
    </row>
    <row r="43" spans="1:15" x14ac:dyDescent="0.3">
      <c r="D43" s="153"/>
      <c r="E43" s="153"/>
      <c r="F43" s="153"/>
      <c r="G43" s="153"/>
      <c r="H43" s="153"/>
    </row>
    <row r="65" spans="1:8" x14ac:dyDescent="0.3">
      <c r="A65" s="606" t="s">
        <v>3226</v>
      </c>
      <c r="B65" s="153" t="s">
        <v>3227</v>
      </c>
    </row>
    <row r="66" spans="1:8" x14ac:dyDescent="0.3">
      <c r="A66" s="606" t="s">
        <v>96</v>
      </c>
      <c r="B66" s="153" t="s">
        <v>3227</v>
      </c>
    </row>
    <row r="68" spans="1:8" x14ac:dyDescent="0.3">
      <c r="A68" s="606" t="s">
        <v>3251</v>
      </c>
      <c r="B68" s="153" t="s">
        <v>3252</v>
      </c>
      <c r="D68" s="153"/>
      <c r="E68" s="153"/>
      <c r="F68" s="153"/>
      <c r="G68" s="153"/>
      <c r="H68" s="153"/>
    </row>
    <row r="69" spans="1:8" x14ac:dyDescent="0.3">
      <c r="A69" s="376" t="s">
        <v>108</v>
      </c>
      <c r="B69" s="381">
        <v>1</v>
      </c>
      <c r="D69" s="153"/>
      <c r="E69" s="153"/>
      <c r="F69" s="153"/>
      <c r="G69" s="153"/>
      <c r="H69" s="153"/>
    </row>
    <row r="70" spans="1:8" x14ac:dyDescent="0.3">
      <c r="A70" s="376" t="s">
        <v>114</v>
      </c>
      <c r="B70" s="381">
        <v>1</v>
      </c>
      <c r="D70" s="153"/>
      <c r="E70" s="153"/>
      <c r="F70" s="153"/>
      <c r="G70" s="153"/>
      <c r="H70" s="153"/>
    </row>
    <row r="71" spans="1:8" x14ac:dyDescent="0.3">
      <c r="A71" s="376" t="s">
        <v>118</v>
      </c>
      <c r="B71" s="381">
        <v>1</v>
      </c>
      <c r="D71" s="153"/>
      <c r="E71" s="153"/>
      <c r="F71" s="153"/>
      <c r="G71" s="153"/>
      <c r="H71" s="153"/>
    </row>
    <row r="72" spans="1:8" x14ac:dyDescent="0.3">
      <c r="A72" s="376" t="s">
        <v>121</v>
      </c>
      <c r="B72" s="381">
        <v>1</v>
      </c>
      <c r="D72" s="153"/>
      <c r="E72" s="153"/>
      <c r="F72" s="153"/>
      <c r="G72" s="153"/>
      <c r="H72" s="153"/>
    </row>
    <row r="73" spans="1:8" x14ac:dyDescent="0.3">
      <c r="A73" s="376" t="s">
        <v>125</v>
      </c>
      <c r="B73" s="381">
        <v>1</v>
      </c>
      <c r="D73" s="153"/>
      <c r="E73" s="153"/>
      <c r="F73" s="153"/>
      <c r="G73" s="153"/>
      <c r="H73" s="153"/>
    </row>
    <row r="74" spans="1:8" x14ac:dyDescent="0.3">
      <c r="A74" s="376" t="s">
        <v>137</v>
      </c>
      <c r="B74" s="381">
        <v>1</v>
      </c>
      <c r="D74" s="153"/>
      <c r="E74" s="153"/>
      <c r="F74" s="153"/>
      <c r="G74" s="153"/>
      <c r="H74" s="153"/>
    </row>
    <row r="75" spans="1:8" x14ac:dyDescent="0.3">
      <c r="A75" s="376" t="s">
        <v>157</v>
      </c>
      <c r="B75" s="381">
        <v>1</v>
      </c>
      <c r="D75" s="153"/>
      <c r="E75" s="153"/>
      <c r="F75" s="153"/>
      <c r="G75" s="153"/>
      <c r="H75" s="153"/>
    </row>
    <row r="76" spans="1:8" x14ac:dyDescent="0.3">
      <c r="A76" s="376" t="s">
        <v>148</v>
      </c>
      <c r="B76" s="381">
        <v>1</v>
      </c>
      <c r="D76" s="153"/>
      <c r="E76" s="153"/>
      <c r="F76" s="153"/>
      <c r="G76" s="153"/>
      <c r="H76" s="153"/>
    </row>
    <row r="77" spans="1:8" x14ac:dyDescent="0.3">
      <c r="A77" s="376" t="s">
        <v>150</v>
      </c>
      <c r="B77" s="381">
        <v>1</v>
      </c>
      <c r="D77" s="153"/>
      <c r="E77" s="153"/>
      <c r="F77" s="153"/>
      <c r="G77" s="153"/>
      <c r="H77" s="153"/>
    </row>
    <row r="78" spans="1:8" x14ac:dyDescent="0.3">
      <c r="A78" s="376" t="s">
        <v>126</v>
      </c>
      <c r="B78" s="381">
        <v>1</v>
      </c>
      <c r="D78" s="153"/>
      <c r="E78" s="153"/>
      <c r="F78" s="153"/>
      <c r="G78" s="153"/>
      <c r="H78" s="153"/>
    </row>
    <row r="79" spans="1:8" x14ac:dyDescent="0.3">
      <c r="A79" s="376" t="s">
        <v>130</v>
      </c>
      <c r="B79" s="381">
        <v>1</v>
      </c>
      <c r="D79" s="153"/>
      <c r="E79" s="153"/>
      <c r="F79" s="153"/>
      <c r="G79" s="153"/>
      <c r="H79" s="153"/>
    </row>
    <row r="80" spans="1:8" x14ac:dyDescent="0.3">
      <c r="A80" s="376" t="s">
        <v>134</v>
      </c>
      <c r="B80" s="381">
        <v>1</v>
      </c>
      <c r="D80" s="153"/>
      <c r="E80" s="153"/>
      <c r="F80" s="153"/>
      <c r="G80" s="153"/>
      <c r="H80" s="153"/>
    </row>
    <row r="81" spans="1:8" x14ac:dyDescent="0.3">
      <c r="A81" s="376" t="s">
        <v>152</v>
      </c>
      <c r="B81" s="381">
        <v>1</v>
      </c>
      <c r="D81" s="153"/>
      <c r="E81" s="153"/>
      <c r="F81" s="153"/>
      <c r="G81" s="153"/>
      <c r="H81" s="153"/>
    </row>
    <row r="82" spans="1:8" x14ac:dyDescent="0.3">
      <c r="A82" s="376" t="s">
        <v>143</v>
      </c>
      <c r="B82" s="381">
        <v>1</v>
      </c>
      <c r="D82" s="153"/>
      <c r="E82" s="153"/>
      <c r="F82" s="153"/>
      <c r="G82" s="153"/>
      <c r="H82" s="153"/>
    </row>
    <row r="83" spans="1:8" x14ac:dyDescent="0.3">
      <c r="A83" s="376" t="s">
        <v>160</v>
      </c>
      <c r="B83" s="381">
        <v>1</v>
      </c>
      <c r="D83" s="153"/>
      <c r="E83" s="153"/>
      <c r="F83" s="153"/>
      <c r="G83" s="153"/>
      <c r="H83" s="153"/>
    </row>
    <row r="84" spans="1:8" x14ac:dyDescent="0.3">
      <c r="A84" s="376" t="s">
        <v>164</v>
      </c>
      <c r="B84" s="381">
        <v>1</v>
      </c>
      <c r="D84" s="153"/>
      <c r="E84" s="153"/>
      <c r="F84" s="153"/>
      <c r="G84" s="153"/>
      <c r="H84" s="153"/>
    </row>
    <row r="85" spans="1:8" x14ac:dyDescent="0.3">
      <c r="A85" s="376" t="s">
        <v>174</v>
      </c>
      <c r="B85" s="381">
        <v>1</v>
      </c>
      <c r="D85" s="153"/>
      <c r="E85" s="153"/>
      <c r="F85" s="153"/>
      <c r="G85" s="153"/>
      <c r="H85" s="153"/>
    </row>
    <row r="86" spans="1:8" x14ac:dyDescent="0.3">
      <c r="A86" s="376" t="s">
        <v>188</v>
      </c>
      <c r="B86" s="381">
        <v>1</v>
      </c>
      <c r="D86" s="153"/>
      <c r="E86" s="153"/>
      <c r="F86" s="153"/>
      <c r="G86" s="153"/>
      <c r="H86" s="153"/>
    </row>
    <row r="87" spans="1:8" x14ac:dyDescent="0.3">
      <c r="A87" s="376" t="s">
        <v>194</v>
      </c>
      <c r="B87" s="381">
        <v>1</v>
      </c>
      <c r="D87" s="153"/>
      <c r="E87" s="153"/>
      <c r="F87" s="153"/>
      <c r="G87" s="153"/>
      <c r="H87" s="153"/>
    </row>
    <row r="88" spans="1:8" x14ac:dyDescent="0.3">
      <c r="A88" s="376" t="s">
        <v>257</v>
      </c>
      <c r="B88" s="381">
        <v>1</v>
      </c>
      <c r="D88" s="153"/>
      <c r="E88" s="153"/>
      <c r="F88" s="153"/>
      <c r="G88" s="153"/>
      <c r="H88" s="153"/>
    </row>
    <row r="89" spans="1:8" x14ac:dyDescent="0.3">
      <c r="A89" s="376" t="s">
        <v>217</v>
      </c>
      <c r="B89" s="381">
        <v>1</v>
      </c>
      <c r="D89" s="153"/>
      <c r="E89" s="153"/>
      <c r="F89" s="153"/>
      <c r="G89" s="153"/>
      <c r="H89" s="153"/>
    </row>
    <row r="90" spans="1:8" x14ac:dyDescent="0.3">
      <c r="A90" s="376" t="s">
        <v>223</v>
      </c>
      <c r="B90" s="381">
        <v>1</v>
      </c>
      <c r="D90" s="153"/>
      <c r="E90" s="153"/>
      <c r="F90" s="153"/>
      <c r="G90" s="153"/>
      <c r="H90" s="153"/>
    </row>
    <row r="91" spans="1:8" x14ac:dyDescent="0.3">
      <c r="A91" s="376" t="s">
        <v>197</v>
      </c>
      <c r="B91" s="381">
        <v>1</v>
      </c>
      <c r="D91" s="153"/>
      <c r="E91" s="153"/>
      <c r="F91" s="153"/>
      <c r="G91" s="153"/>
      <c r="H91" s="153"/>
    </row>
    <row r="92" spans="1:8" x14ac:dyDescent="0.3">
      <c r="A92" s="376" t="s">
        <v>229</v>
      </c>
      <c r="B92" s="381">
        <v>1</v>
      </c>
      <c r="D92" s="153"/>
      <c r="E92" s="153"/>
      <c r="F92" s="153"/>
      <c r="G92" s="153"/>
      <c r="H92" s="153"/>
    </row>
    <row r="93" spans="1:8" x14ac:dyDescent="0.3">
      <c r="A93" s="376" t="s">
        <v>836</v>
      </c>
      <c r="B93" s="381">
        <v>1</v>
      </c>
      <c r="D93" s="153"/>
      <c r="E93" s="153"/>
      <c r="F93" s="153"/>
      <c r="G93" s="153"/>
      <c r="H93" s="153"/>
    </row>
    <row r="94" spans="1:8" x14ac:dyDescent="0.3">
      <c r="A94" s="376" t="s">
        <v>838</v>
      </c>
      <c r="B94" s="381">
        <v>1</v>
      </c>
      <c r="D94" s="153"/>
      <c r="E94" s="153"/>
      <c r="F94" s="153"/>
      <c r="G94" s="153"/>
      <c r="H94" s="153"/>
    </row>
    <row r="95" spans="1:8" x14ac:dyDescent="0.3">
      <c r="A95" s="376" t="s">
        <v>826</v>
      </c>
      <c r="B95" s="381">
        <v>1</v>
      </c>
      <c r="D95" s="153"/>
      <c r="E95" s="153"/>
      <c r="F95" s="153"/>
      <c r="G95" s="153"/>
      <c r="H95" s="153"/>
    </row>
    <row r="96" spans="1:8" x14ac:dyDescent="0.3">
      <c r="A96" s="376" t="s">
        <v>822</v>
      </c>
      <c r="B96" s="381">
        <v>1</v>
      </c>
      <c r="D96" s="153"/>
      <c r="E96" s="153"/>
      <c r="F96" s="153"/>
      <c r="G96" s="153"/>
      <c r="H96" s="153"/>
    </row>
    <row r="97" spans="1:8" x14ac:dyDescent="0.3">
      <c r="A97" s="376" t="s">
        <v>234</v>
      </c>
      <c r="B97" s="381">
        <v>1</v>
      </c>
      <c r="D97" s="153"/>
      <c r="E97" s="153"/>
      <c r="F97" s="153"/>
      <c r="G97" s="153"/>
      <c r="H97" s="153"/>
    </row>
    <row r="98" spans="1:8" x14ac:dyDescent="0.3">
      <c r="A98" s="376" t="s">
        <v>855</v>
      </c>
      <c r="B98" s="381">
        <v>1</v>
      </c>
      <c r="D98" s="153"/>
      <c r="E98" s="153"/>
      <c r="F98" s="153"/>
      <c r="G98" s="153"/>
      <c r="H98" s="153"/>
    </row>
    <row r="99" spans="1:8" x14ac:dyDescent="0.3">
      <c r="A99" s="376" t="s">
        <v>2931</v>
      </c>
      <c r="B99" s="381">
        <v>1</v>
      </c>
      <c r="D99" s="153"/>
      <c r="E99" s="153"/>
      <c r="F99" s="153"/>
      <c r="G99" s="153"/>
      <c r="H99" s="153"/>
    </row>
    <row r="100" spans="1:8" x14ac:dyDescent="0.3">
      <c r="A100" s="376" t="s">
        <v>309</v>
      </c>
      <c r="B100" s="381">
        <v>1</v>
      </c>
      <c r="D100" s="153"/>
      <c r="E100" s="153"/>
      <c r="F100" s="153"/>
      <c r="G100" s="153"/>
      <c r="H100" s="153"/>
    </row>
    <row r="101" spans="1:8" x14ac:dyDescent="0.3">
      <c r="A101" s="376" t="s">
        <v>401</v>
      </c>
      <c r="B101" s="381">
        <v>1</v>
      </c>
      <c r="D101" s="153"/>
      <c r="E101" s="153"/>
      <c r="F101" s="153"/>
      <c r="G101" s="153"/>
      <c r="H101" s="153"/>
    </row>
    <row r="102" spans="1:8" x14ac:dyDescent="0.3">
      <c r="A102" s="376" t="s">
        <v>408</v>
      </c>
      <c r="B102" s="381">
        <v>1</v>
      </c>
      <c r="D102" s="153"/>
      <c r="E102" s="153"/>
      <c r="F102" s="153"/>
      <c r="G102" s="153"/>
      <c r="H102" s="153"/>
    </row>
    <row r="103" spans="1:8" x14ac:dyDescent="0.3">
      <c r="A103" s="376" t="s">
        <v>319</v>
      </c>
      <c r="B103" s="381">
        <v>1</v>
      </c>
      <c r="D103" s="153"/>
      <c r="E103" s="153"/>
      <c r="F103" s="153"/>
      <c r="G103" s="153"/>
      <c r="H103" s="153"/>
    </row>
    <row r="104" spans="1:8" x14ac:dyDescent="0.3">
      <c r="A104" s="376" t="s">
        <v>278</v>
      </c>
      <c r="B104" s="381">
        <v>1</v>
      </c>
      <c r="D104" s="153"/>
      <c r="E104" s="153"/>
      <c r="F104" s="153"/>
      <c r="G104" s="153"/>
      <c r="H104" s="153"/>
    </row>
    <row r="105" spans="1:8" x14ac:dyDescent="0.3">
      <c r="A105" s="376" t="s">
        <v>849</v>
      </c>
      <c r="B105" s="381">
        <v>1</v>
      </c>
      <c r="D105" s="153"/>
      <c r="E105" s="153"/>
      <c r="F105" s="153"/>
      <c r="G105" s="153"/>
      <c r="H105" s="153"/>
    </row>
    <row r="106" spans="1:8" x14ac:dyDescent="0.3">
      <c r="A106" s="376" t="s">
        <v>776</v>
      </c>
      <c r="B106" s="381">
        <v>1</v>
      </c>
      <c r="D106" s="153"/>
      <c r="E106" s="153"/>
      <c r="F106" s="153"/>
      <c r="G106" s="153"/>
      <c r="H106" s="153"/>
    </row>
    <row r="107" spans="1:8" x14ac:dyDescent="0.3">
      <c r="A107" s="376" t="s">
        <v>788</v>
      </c>
      <c r="B107" s="381">
        <v>1</v>
      </c>
      <c r="D107" s="153"/>
      <c r="E107" s="153"/>
      <c r="F107" s="153"/>
      <c r="G107" s="153"/>
      <c r="H107" s="153"/>
    </row>
    <row r="108" spans="1:8" x14ac:dyDescent="0.3">
      <c r="A108" s="376" t="s">
        <v>704</v>
      </c>
      <c r="B108" s="381">
        <v>1</v>
      </c>
      <c r="D108" s="153"/>
      <c r="E108" s="153"/>
      <c r="F108" s="153"/>
      <c r="G108" s="153"/>
      <c r="H108" s="153"/>
    </row>
    <row r="109" spans="1:8" x14ac:dyDescent="0.3">
      <c r="A109" s="376" t="s">
        <v>747</v>
      </c>
      <c r="B109" s="381">
        <v>1</v>
      </c>
      <c r="D109" s="153"/>
      <c r="E109" s="153"/>
      <c r="F109" s="153"/>
      <c r="G109" s="153"/>
      <c r="H109" s="153"/>
    </row>
    <row r="110" spans="1:8" x14ac:dyDescent="0.3">
      <c r="A110" s="376" t="s">
        <v>172</v>
      </c>
      <c r="B110" s="381">
        <v>1</v>
      </c>
      <c r="D110" s="153"/>
      <c r="E110" s="153"/>
      <c r="F110" s="153"/>
      <c r="G110" s="153"/>
      <c r="H110" s="153"/>
    </row>
    <row r="111" spans="1:8" x14ac:dyDescent="0.3">
      <c r="A111" s="376" t="s">
        <v>178</v>
      </c>
      <c r="B111" s="381">
        <v>1</v>
      </c>
      <c r="D111" s="153"/>
      <c r="E111" s="153"/>
      <c r="F111" s="153"/>
      <c r="G111" s="153"/>
      <c r="H111" s="153"/>
    </row>
    <row r="112" spans="1:8" x14ac:dyDescent="0.3">
      <c r="A112" s="376" t="s">
        <v>185</v>
      </c>
      <c r="B112" s="381">
        <v>1</v>
      </c>
      <c r="D112" s="153"/>
      <c r="E112" s="153"/>
      <c r="F112" s="153"/>
      <c r="G112" s="153"/>
      <c r="H112" s="153"/>
    </row>
    <row r="113" spans="1:8" x14ac:dyDescent="0.3">
      <c r="A113" s="376" t="s">
        <v>219</v>
      </c>
      <c r="B113" s="381">
        <v>1</v>
      </c>
      <c r="D113" s="153"/>
      <c r="E113" s="153"/>
      <c r="F113" s="153"/>
      <c r="G113" s="153"/>
      <c r="H113" s="153"/>
    </row>
    <row r="114" spans="1:8" x14ac:dyDescent="0.3">
      <c r="A114" s="376" t="s">
        <v>225</v>
      </c>
      <c r="B114" s="381">
        <v>1</v>
      </c>
      <c r="D114" s="153"/>
      <c r="E114" s="153"/>
      <c r="F114" s="153"/>
      <c r="G114" s="153"/>
      <c r="H114" s="153"/>
    </row>
    <row r="115" spans="1:8" x14ac:dyDescent="0.3">
      <c r="A115" s="376" t="s">
        <v>182</v>
      </c>
      <c r="B115" s="381">
        <v>1</v>
      </c>
      <c r="D115" s="153"/>
      <c r="E115" s="153"/>
      <c r="F115" s="153"/>
      <c r="G115" s="153"/>
      <c r="H115" s="153"/>
    </row>
    <row r="116" spans="1:8" x14ac:dyDescent="0.3">
      <c r="A116" s="376" t="s">
        <v>180</v>
      </c>
      <c r="B116" s="381">
        <v>1</v>
      </c>
      <c r="D116" s="153"/>
      <c r="E116" s="153"/>
      <c r="F116" s="153"/>
      <c r="G116" s="153"/>
      <c r="H116" s="153"/>
    </row>
    <row r="117" spans="1:8" x14ac:dyDescent="0.3">
      <c r="A117" s="376" t="s">
        <v>191</v>
      </c>
      <c r="B117" s="381">
        <v>1</v>
      </c>
      <c r="D117" s="153"/>
      <c r="E117" s="153"/>
      <c r="F117" s="153"/>
      <c r="G117" s="153"/>
      <c r="H117" s="153"/>
    </row>
    <row r="118" spans="1:8" x14ac:dyDescent="0.3">
      <c r="A118" s="376" t="s">
        <v>231</v>
      </c>
      <c r="B118" s="381">
        <v>1</v>
      </c>
      <c r="D118" s="153"/>
      <c r="E118" s="153"/>
      <c r="F118" s="153"/>
      <c r="G118" s="153"/>
      <c r="H118" s="153"/>
    </row>
    <row r="119" spans="1:8" x14ac:dyDescent="0.3">
      <c r="A119" s="376" t="s">
        <v>841</v>
      </c>
      <c r="B119" s="381">
        <v>1</v>
      </c>
      <c r="D119" s="153"/>
      <c r="E119" s="153"/>
      <c r="F119" s="153"/>
      <c r="G119" s="153"/>
      <c r="H119" s="153"/>
    </row>
    <row r="120" spans="1:8" x14ac:dyDescent="0.3">
      <c r="A120" s="376" t="s">
        <v>201</v>
      </c>
      <c r="B120" s="381">
        <v>1</v>
      </c>
      <c r="D120" s="153"/>
      <c r="E120" s="153"/>
      <c r="F120" s="153"/>
      <c r="G120" s="153"/>
      <c r="H120" s="153"/>
    </row>
    <row r="121" spans="1:8" x14ac:dyDescent="0.3">
      <c r="A121" s="376" t="s">
        <v>830</v>
      </c>
      <c r="B121" s="381">
        <v>1</v>
      </c>
      <c r="D121" s="153"/>
      <c r="E121" s="153"/>
      <c r="F121" s="153"/>
      <c r="G121" s="153"/>
      <c r="H121" s="153"/>
    </row>
    <row r="122" spans="1:8" x14ac:dyDescent="0.3">
      <c r="A122" s="376" t="s">
        <v>832</v>
      </c>
      <c r="B122" s="381">
        <v>1</v>
      </c>
      <c r="D122" s="153"/>
      <c r="E122" s="153"/>
      <c r="F122" s="153"/>
      <c r="G122" s="153"/>
      <c r="H122" s="153"/>
    </row>
    <row r="123" spans="1:8" x14ac:dyDescent="0.3">
      <c r="A123" s="376" t="s">
        <v>236</v>
      </c>
      <c r="B123" s="381">
        <v>1</v>
      </c>
      <c r="D123" s="153"/>
      <c r="E123" s="153"/>
      <c r="F123" s="153"/>
      <c r="G123" s="153"/>
      <c r="H123" s="153"/>
    </row>
    <row r="124" spans="1:8" x14ac:dyDescent="0.3">
      <c r="A124" s="376" t="s">
        <v>261</v>
      </c>
      <c r="B124" s="381">
        <v>1</v>
      </c>
      <c r="D124" s="153"/>
      <c r="E124" s="153"/>
      <c r="F124" s="153"/>
      <c r="G124" s="153"/>
      <c r="H124" s="153"/>
    </row>
    <row r="125" spans="1:8" x14ac:dyDescent="0.3">
      <c r="A125" s="376" t="s">
        <v>265</v>
      </c>
      <c r="B125" s="381">
        <v>1</v>
      </c>
      <c r="D125" s="153"/>
      <c r="E125" s="153"/>
      <c r="F125" s="153"/>
      <c r="G125" s="153"/>
      <c r="H125" s="153"/>
    </row>
    <row r="126" spans="1:8" x14ac:dyDescent="0.3">
      <c r="A126" s="376" t="s">
        <v>270</v>
      </c>
      <c r="B126" s="381">
        <v>1</v>
      </c>
      <c r="D126" s="153"/>
      <c r="E126" s="153"/>
      <c r="F126" s="153"/>
      <c r="G126" s="153"/>
      <c r="H126" s="153"/>
    </row>
    <row r="127" spans="1:8" x14ac:dyDescent="0.3">
      <c r="A127" s="376" t="s">
        <v>244</v>
      </c>
      <c r="B127" s="381">
        <v>1</v>
      </c>
      <c r="D127" s="153"/>
      <c r="E127" s="153"/>
      <c r="F127" s="153"/>
      <c r="G127" s="153"/>
      <c r="H127" s="153"/>
    </row>
    <row r="128" spans="1:8" x14ac:dyDescent="0.3">
      <c r="A128" s="376" t="s">
        <v>246</v>
      </c>
      <c r="B128" s="381">
        <v>1</v>
      </c>
      <c r="D128" s="153"/>
      <c r="E128" s="153"/>
      <c r="F128" s="153"/>
      <c r="G128" s="153"/>
      <c r="H128" s="153"/>
    </row>
    <row r="129" spans="1:8" x14ac:dyDescent="0.3">
      <c r="A129" s="376" t="s">
        <v>259</v>
      </c>
      <c r="B129" s="381">
        <v>1</v>
      </c>
      <c r="D129" s="153"/>
      <c r="E129" s="153"/>
      <c r="F129" s="153"/>
      <c r="G129" s="153"/>
      <c r="H129" s="153"/>
    </row>
    <row r="130" spans="1:8" x14ac:dyDescent="0.3">
      <c r="A130" s="376" t="s">
        <v>255</v>
      </c>
      <c r="B130" s="381">
        <v>1</v>
      </c>
      <c r="D130" s="153"/>
      <c r="E130" s="153"/>
      <c r="F130" s="153"/>
      <c r="G130" s="153"/>
      <c r="H130" s="153"/>
    </row>
    <row r="131" spans="1:8" x14ac:dyDescent="0.3">
      <c r="A131" s="376" t="s">
        <v>857</v>
      </c>
      <c r="B131" s="381">
        <v>1</v>
      </c>
      <c r="D131" s="153"/>
      <c r="E131" s="153"/>
      <c r="F131" s="153"/>
      <c r="G131" s="153"/>
      <c r="H131" s="153"/>
    </row>
    <row r="132" spans="1:8" x14ac:dyDescent="0.3">
      <c r="A132" s="376" t="s">
        <v>312</v>
      </c>
      <c r="B132" s="381">
        <v>1</v>
      </c>
      <c r="D132" s="153"/>
      <c r="E132" s="153"/>
      <c r="F132" s="153"/>
      <c r="G132" s="153"/>
      <c r="H132" s="153"/>
    </row>
    <row r="133" spans="1:8" x14ac:dyDescent="0.3">
      <c r="A133" s="376" t="s">
        <v>707</v>
      </c>
      <c r="B133" s="381">
        <v>1</v>
      </c>
      <c r="D133" s="153"/>
      <c r="E133" s="153"/>
      <c r="F133" s="153"/>
      <c r="G133" s="153"/>
      <c r="H133" s="153"/>
    </row>
    <row r="134" spans="1:8" x14ac:dyDescent="0.3">
      <c r="A134" s="376" t="s">
        <v>710</v>
      </c>
      <c r="B134" s="381">
        <v>1</v>
      </c>
      <c r="D134" s="153"/>
      <c r="E134" s="153"/>
      <c r="F134" s="153"/>
      <c r="G134" s="153"/>
      <c r="H134" s="153"/>
    </row>
    <row r="135" spans="1:8" x14ac:dyDescent="0.3">
      <c r="A135" s="376" t="s">
        <v>701</v>
      </c>
      <c r="B135" s="381">
        <v>1</v>
      </c>
      <c r="D135" s="153"/>
      <c r="E135" s="153"/>
      <c r="F135" s="153"/>
      <c r="G135" s="153"/>
      <c r="H135" s="153"/>
    </row>
    <row r="136" spans="1:8" x14ac:dyDescent="0.3">
      <c r="A136" s="376" t="s">
        <v>315</v>
      </c>
      <c r="B136" s="381">
        <v>1</v>
      </c>
      <c r="D136" s="153"/>
      <c r="E136" s="153"/>
      <c r="F136" s="153"/>
      <c r="G136" s="153"/>
      <c r="H136" s="153"/>
    </row>
    <row r="137" spans="1:8" x14ac:dyDescent="0.3">
      <c r="A137" s="376" t="s">
        <v>719</v>
      </c>
      <c r="B137" s="381">
        <v>1</v>
      </c>
      <c r="D137" s="153"/>
      <c r="E137" s="153"/>
      <c r="F137" s="153"/>
      <c r="G137" s="153"/>
      <c r="H137" s="153"/>
    </row>
    <row r="138" spans="1:8" x14ac:dyDescent="0.3">
      <c r="A138" s="376" t="s">
        <v>722</v>
      </c>
      <c r="B138" s="381">
        <v>1</v>
      </c>
      <c r="D138" s="153"/>
      <c r="E138" s="153"/>
      <c r="F138" s="153"/>
      <c r="G138" s="153"/>
      <c r="H138" s="153"/>
    </row>
    <row r="139" spans="1:8" x14ac:dyDescent="0.3">
      <c r="A139" s="376" t="s">
        <v>725</v>
      </c>
      <c r="B139" s="381">
        <v>1</v>
      </c>
      <c r="D139" s="153"/>
      <c r="E139" s="153"/>
      <c r="F139" s="153"/>
      <c r="G139" s="153"/>
      <c r="H139" s="153"/>
    </row>
    <row r="140" spans="1:8" x14ac:dyDescent="0.3">
      <c r="A140" s="376" t="s">
        <v>781</v>
      </c>
      <c r="B140" s="381">
        <v>1</v>
      </c>
      <c r="D140" s="153"/>
      <c r="E140" s="153"/>
      <c r="F140" s="153"/>
      <c r="G140" s="153"/>
      <c r="H140" s="153"/>
    </row>
    <row r="141" spans="1:8" x14ac:dyDescent="0.3">
      <c r="A141" s="376" t="s">
        <v>793</v>
      </c>
      <c r="B141" s="381">
        <v>1</v>
      </c>
      <c r="D141" s="153"/>
      <c r="E141" s="153"/>
      <c r="F141" s="153"/>
      <c r="G141" s="153"/>
      <c r="H141" s="153"/>
    </row>
    <row r="142" spans="1:8" x14ac:dyDescent="0.3">
      <c r="A142" s="376" t="s">
        <v>405</v>
      </c>
      <c r="B142" s="381">
        <v>1</v>
      </c>
      <c r="D142" s="153"/>
      <c r="E142" s="153"/>
      <c r="F142" s="153"/>
      <c r="G142" s="153"/>
      <c r="H142" s="153"/>
    </row>
    <row r="143" spans="1:8" x14ac:dyDescent="0.3">
      <c r="A143" s="376" t="s">
        <v>274</v>
      </c>
      <c r="B143" s="381">
        <v>1</v>
      </c>
      <c r="D143" s="153"/>
      <c r="E143" s="153"/>
      <c r="F143" s="153"/>
      <c r="G143" s="153"/>
      <c r="H143" s="153"/>
    </row>
    <row r="144" spans="1:8" x14ac:dyDescent="0.3">
      <c r="A144" s="376" t="s">
        <v>852</v>
      </c>
      <c r="B144" s="381">
        <v>1</v>
      </c>
      <c r="D144" s="153"/>
      <c r="E144" s="153"/>
      <c r="F144" s="153"/>
      <c r="G144" s="153"/>
      <c r="H144" s="153"/>
    </row>
    <row r="145" spans="1:8" x14ac:dyDescent="0.3">
      <c r="A145" s="376" t="s">
        <v>214</v>
      </c>
      <c r="B145" s="381">
        <v>1</v>
      </c>
      <c r="D145" s="153"/>
      <c r="E145" s="153"/>
      <c r="F145" s="153"/>
      <c r="G145" s="153"/>
      <c r="H145" s="153"/>
    </row>
    <row r="146" spans="1:8" x14ac:dyDescent="0.3">
      <c r="A146" s="376" t="s">
        <v>203</v>
      </c>
      <c r="B146" s="381">
        <v>1</v>
      </c>
      <c r="D146" s="153"/>
      <c r="E146" s="153"/>
      <c r="F146" s="153"/>
      <c r="G146" s="153"/>
      <c r="H146" s="153"/>
    </row>
    <row r="147" spans="1:8" x14ac:dyDescent="0.3">
      <c r="A147" s="376" t="s">
        <v>844</v>
      </c>
      <c r="B147" s="381">
        <v>1</v>
      </c>
      <c r="D147" s="153"/>
      <c r="E147" s="153"/>
      <c r="F147" s="153"/>
      <c r="G147" s="153"/>
      <c r="H147" s="153"/>
    </row>
    <row r="148" spans="1:8" x14ac:dyDescent="0.3">
      <c r="A148" s="376" t="s">
        <v>241</v>
      </c>
      <c r="B148" s="381">
        <v>1</v>
      </c>
      <c r="D148" s="153"/>
      <c r="E148" s="153"/>
      <c r="F148" s="153"/>
      <c r="G148" s="153"/>
      <c r="H148" s="153"/>
    </row>
    <row r="149" spans="1:8" x14ac:dyDescent="0.3">
      <c r="A149" s="376" t="s">
        <v>263</v>
      </c>
      <c r="B149" s="381">
        <v>1</v>
      </c>
      <c r="D149" s="153"/>
      <c r="E149" s="153"/>
      <c r="F149" s="153"/>
      <c r="G149" s="153"/>
      <c r="H149" s="153"/>
    </row>
    <row r="150" spans="1:8" x14ac:dyDescent="0.3">
      <c r="A150" s="376" t="s">
        <v>268</v>
      </c>
      <c r="B150" s="381">
        <v>1</v>
      </c>
      <c r="D150" s="153"/>
      <c r="E150" s="153"/>
      <c r="F150" s="153"/>
      <c r="G150" s="153"/>
      <c r="H150" s="153"/>
    </row>
    <row r="151" spans="1:8" x14ac:dyDescent="0.3">
      <c r="A151" s="376" t="s">
        <v>272</v>
      </c>
      <c r="B151" s="381">
        <v>1</v>
      </c>
      <c r="D151" s="153"/>
      <c r="E151" s="153"/>
      <c r="F151" s="153"/>
      <c r="G151" s="153"/>
      <c r="H151" s="153"/>
    </row>
    <row r="152" spans="1:8" x14ac:dyDescent="0.3">
      <c r="A152" s="376" t="s">
        <v>248</v>
      </c>
      <c r="B152" s="381">
        <v>1</v>
      </c>
      <c r="D152" s="153"/>
      <c r="E152" s="153"/>
      <c r="F152" s="153"/>
      <c r="G152" s="153"/>
      <c r="H152" s="153"/>
    </row>
    <row r="153" spans="1:8" x14ac:dyDescent="0.3">
      <c r="A153" s="376" t="s">
        <v>251</v>
      </c>
      <c r="B153" s="381">
        <v>1</v>
      </c>
      <c r="D153" s="153"/>
      <c r="E153" s="153"/>
      <c r="F153" s="153"/>
      <c r="G153" s="153"/>
      <c r="H153" s="153"/>
    </row>
    <row r="154" spans="1:8" x14ac:dyDescent="0.3">
      <c r="A154" s="376" t="s">
        <v>253</v>
      </c>
      <c r="B154" s="381">
        <v>1</v>
      </c>
      <c r="D154" s="153"/>
      <c r="E154" s="153"/>
      <c r="F154" s="153"/>
      <c r="G154" s="153"/>
      <c r="H154" s="153"/>
    </row>
    <row r="155" spans="1:8" x14ac:dyDescent="0.3">
      <c r="A155" s="376" t="s">
        <v>221</v>
      </c>
      <c r="B155" s="381">
        <v>1</v>
      </c>
      <c r="D155" s="153"/>
      <c r="E155" s="153"/>
      <c r="F155" s="153"/>
      <c r="G155" s="153"/>
      <c r="H155" s="153"/>
    </row>
    <row r="156" spans="1:8" x14ac:dyDescent="0.3">
      <c r="A156" s="376" t="s">
        <v>227</v>
      </c>
      <c r="B156" s="381">
        <v>1</v>
      </c>
      <c r="D156" s="153"/>
      <c r="E156" s="153"/>
      <c r="F156" s="153"/>
      <c r="G156" s="153"/>
      <c r="H156" s="153"/>
    </row>
    <row r="157" spans="1:8" x14ac:dyDescent="0.3">
      <c r="A157" s="376" t="s">
        <v>211</v>
      </c>
      <c r="B157" s="381">
        <v>1</v>
      </c>
      <c r="D157" s="153"/>
      <c r="E157" s="153"/>
      <c r="F157" s="153"/>
      <c r="G157" s="153"/>
      <c r="H157" s="153"/>
    </row>
    <row r="158" spans="1:8" x14ac:dyDescent="0.3">
      <c r="A158" s="376" t="s">
        <v>785</v>
      </c>
      <c r="B158" s="381">
        <v>1</v>
      </c>
      <c r="D158" s="153"/>
      <c r="E158" s="153"/>
      <c r="F158" s="153"/>
      <c r="G158" s="153"/>
      <c r="H158" s="153"/>
    </row>
    <row r="159" spans="1:8" x14ac:dyDescent="0.3">
      <c r="A159" s="376" t="s">
        <v>791</v>
      </c>
      <c r="B159" s="381">
        <v>1</v>
      </c>
      <c r="D159" s="153"/>
      <c r="E159" s="153"/>
      <c r="F159" s="153"/>
      <c r="G159" s="153"/>
      <c r="H159" s="153"/>
    </row>
    <row r="160" spans="1:8" x14ac:dyDescent="0.3">
      <c r="A160" s="376" t="s">
        <v>713</v>
      </c>
      <c r="B160" s="381">
        <v>1</v>
      </c>
      <c r="D160" s="153"/>
      <c r="E160" s="153"/>
      <c r="F160" s="153"/>
      <c r="G160" s="153"/>
      <c r="H160" s="153"/>
    </row>
    <row r="161" spans="1:8" x14ac:dyDescent="0.3">
      <c r="A161" s="376" t="s">
        <v>716</v>
      </c>
      <c r="B161" s="381">
        <v>1</v>
      </c>
      <c r="D161" s="153"/>
      <c r="E161" s="153"/>
      <c r="F161" s="153"/>
      <c r="G161" s="153"/>
      <c r="H161" s="153"/>
    </row>
    <row r="162" spans="1:8" x14ac:dyDescent="0.3">
      <c r="A162" s="376" t="s">
        <v>847</v>
      </c>
      <c r="B162" s="381">
        <v>1</v>
      </c>
      <c r="D162" s="153"/>
      <c r="E162" s="153"/>
      <c r="F162" s="153"/>
      <c r="G162" s="153"/>
      <c r="H162" s="153"/>
    </row>
    <row r="163" spans="1:8" x14ac:dyDescent="0.3">
      <c r="A163" s="376" t="s">
        <v>307</v>
      </c>
      <c r="B163" s="381">
        <v>1</v>
      </c>
      <c r="D163" s="153"/>
      <c r="E163" s="153"/>
      <c r="F163" s="153"/>
      <c r="G163" s="153"/>
      <c r="H163" s="153"/>
    </row>
    <row r="164" spans="1:8" x14ac:dyDescent="0.3">
      <c r="A164" s="376" t="s">
        <v>302</v>
      </c>
      <c r="B164" s="381">
        <v>1</v>
      </c>
      <c r="D164" s="153"/>
      <c r="E164" s="153"/>
      <c r="F164" s="153"/>
      <c r="G164" s="153"/>
      <c r="H164" s="153"/>
    </row>
    <row r="165" spans="1:8" x14ac:dyDescent="0.3">
      <c r="A165" s="376" t="s">
        <v>291</v>
      </c>
      <c r="B165" s="381">
        <v>1</v>
      </c>
      <c r="D165" s="153"/>
      <c r="E165" s="153"/>
      <c r="F165" s="153"/>
      <c r="G165" s="153"/>
      <c r="H165" s="153"/>
    </row>
    <row r="166" spans="1:8" x14ac:dyDescent="0.3">
      <c r="A166" s="376" t="s">
        <v>678</v>
      </c>
      <c r="B166" s="381">
        <v>1</v>
      </c>
      <c r="D166" s="153"/>
      <c r="E166" s="153"/>
      <c r="F166" s="153"/>
      <c r="G166" s="153"/>
      <c r="H166" s="153"/>
    </row>
    <row r="167" spans="1:8" x14ac:dyDescent="0.3">
      <c r="A167" s="376" t="s">
        <v>329</v>
      </c>
      <c r="B167" s="381">
        <v>1</v>
      </c>
      <c r="D167" s="153"/>
      <c r="E167" s="153"/>
      <c r="F167" s="153"/>
      <c r="G167" s="153"/>
      <c r="H167" s="153"/>
    </row>
    <row r="168" spans="1:8" x14ac:dyDescent="0.3">
      <c r="A168" s="376" t="s">
        <v>394</v>
      </c>
      <c r="B168" s="381">
        <v>1</v>
      </c>
      <c r="D168" s="153"/>
      <c r="E168" s="153"/>
      <c r="F168" s="153"/>
      <c r="G168" s="153"/>
      <c r="H168" s="153"/>
    </row>
    <row r="169" spans="1:8" x14ac:dyDescent="0.3">
      <c r="A169" s="376" t="s">
        <v>397</v>
      </c>
      <c r="B169" s="381">
        <v>1</v>
      </c>
      <c r="D169" s="153"/>
      <c r="E169" s="153"/>
      <c r="F169" s="153"/>
      <c r="G169" s="153"/>
      <c r="H169" s="153"/>
    </row>
    <row r="170" spans="1:8" x14ac:dyDescent="0.3">
      <c r="A170" s="376" t="s">
        <v>298</v>
      </c>
      <c r="B170" s="381">
        <v>1</v>
      </c>
      <c r="D170" s="153"/>
      <c r="E170" s="153"/>
      <c r="F170" s="153"/>
      <c r="G170" s="153"/>
      <c r="H170" s="153"/>
    </row>
    <row r="171" spans="1:8" x14ac:dyDescent="0.3">
      <c r="A171" s="376" t="s">
        <v>293</v>
      </c>
      <c r="B171" s="381">
        <v>1</v>
      </c>
      <c r="D171" s="153"/>
      <c r="E171" s="153"/>
      <c r="F171" s="153"/>
      <c r="G171" s="153"/>
      <c r="H171" s="153"/>
    </row>
    <row r="172" spans="1:8" x14ac:dyDescent="0.3">
      <c r="A172" s="376" t="s">
        <v>295</v>
      </c>
      <c r="B172" s="381">
        <v>1</v>
      </c>
      <c r="D172" s="153"/>
      <c r="E172" s="153"/>
      <c r="F172" s="153"/>
      <c r="G172" s="153"/>
      <c r="H172" s="153"/>
    </row>
    <row r="173" spans="1:8" x14ac:dyDescent="0.3">
      <c r="A173" s="376" t="s">
        <v>680</v>
      </c>
      <c r="B173" s="381">
        <v>1</v>
      </c>
      <c r="D173" s="153"/>
      <c r="E173" s="153"/>
      <c r="F173" s="153"/>
      <c r="G173" s="153"/>
      <c r="H173" s="153"/>
    </row>
    <row r="174" spans="1:8" x14ac:dyDescent="0.3">
      <c r="A174" s="376" t="s">
        <v>682</v>
      </c>
      <c r="B174" s="381">
        <v>1</v>
      </c>
      <c r="D174" s="153"/>
      <c r="E174" s="153"/>
      <c r="F174" s="153"/>
      <c r="G174" s="153"/>
      <c r="H174" s="153"/>
    </row>
    <row r="175" spans="1:8" x14ac:dyDescent="0.3">
      <c r="A175" s="376" t="s">
        <v>371</v>
      </c>
      <c r="B175" s="381">
        <v>1</v>
      </c>
      <c r="D175" s="153"/>
      <c r="E175" s="153"/>
      <c r="F175" s="153"/>
      <c r="G175" s="153"/>
      <c r="H175" s="153"/>
    </row>
    <row r="176" spans="1:8" x14ac:dyDescent="0.3">
      <c r="A176" s="376" t="s">
        <v>374</v>
      </c>
      <c r="B176" s="381">
        <v>1</v>
      </c>
      <c r="D176" s="153"/>
      <c r="E176" s="153"/>
      <c r="F176" s="153"/>
      <c r="G176" s="153"/>
      <c r="H176" s="153"/>
    </row>
    <row r="177" spans="1:8" x14ac:dyDescent="0.3">
      <c r="A177" s="376" t="s">
        <v>685</v>
      </c>
      <c r="B177" s="381">
        <v>1</v>
      </c>
      <c r="D177" s="153"/>
      <c r="E177" s="153"/>
      <c r="F177" s="153"/>
      <c r="G177" s="153"/>
      <c r="H177" s="153"/>
    </row>
    <row r="178" spans="1:8" x14ac:dyDescent="0.3">
      <c r="A178" s="376" t="s">
        <v>2932</v>
      </c>
      <c r="B178" s="381">
        <v>1</v>
      </c>
      <c r="D178" s="153"/>
      <c r="E178" s="153"/>
      <c r="F178" s="153"/>
      <c r="G178" s="153"/>
      <c r="H178" s="153"/>
    </row>
    <row r="179" spans="1:8" x14ac:dyDescent="0.3">
      <c r="A179" s="376" t="s">
        <v>688</v>
      </c>
      <c r="B179" s="381">
        <v>1</v>
      </c>
      <c r="D179" s="153"/>
      <c r="E179" s="153"/>
      <c r="F179" s="153"/>
      <c r="G179" s="153"/>
      <c r="H179" s="153"/>
    </row>
    <row r="180" spans="1:8" x14ac:dyDescent="0.3">
      <c r="A180" s="376" t="s">
        <v>691</v>
      </c>
      <c r="B180" s="381">
        <v>1</v>
      </c>
      <c r="D180" s="153"/>
      <c r="E180" s="153"/>
      <c r="F180" s="153"/>
      <c r="G180" s="153"/>
      <c r="H180" s="153"/>
    </row>
    <row r="181" spans="1:8" x14ac:dyDescent="0.3">
      <c r="A181" s="376" t="s">
        <v>744</v>
      </c>
      <c r="B181" s="381">
        <v>1</v>
      </c>
      <c r="D181" s="153"/>
      <c r="E181" s="153"/>
      <c r="F181" s="153"/>
      <c r="G181" s="153"/>
      <c r="H181" s="153"/>
    </row>
    <row r="182" spans="1:8" x14ac:dyDescent="0.3">
      <c r="A182" s="376" t="s">
        <v>337</v>
      </c>
      <c r="B182" s="381">
        <v>1</v>
      </c>
      <c r="D182" s="153"/>
      <c r="E182" s="153"/>
      <c r="F182" s="153"/>
      <c r="G182" s="153"/>
      <c r="H182" s="153"/>
    </row>
    <row r="183" spans="1:8" x14ac:dyDescent="0.3">
      <c r="A183" s="376" t="s">
        <v>695</v>
      </c>
      <c r="B183" s="381">
        <v>1</v>
      </c>
      <c r="D183" s="153"/>
      <c r="E183" s="153"/>
      <c r="F183" s="153"/>
      <c r="G183" s="153"/>
      <c r="H183" s="153"/>
    </row>
    <row r="184" spans="1:8" x14ac:dyDescent="0.3">
      <c r="A184" s="376" t="s">
        <v>698</v>
      </c>
      <c r="B184" s="381">
        <v>1</v>
      </c>
      <c r="D184" s="153"/>
      <c r="E184" s="153"/>
      <c r="F184" s="153"/>
      <c r="G184" s="153"/>
      <c r="H184" s="153"/>
    </row>
    <row r="185" spans="1:8" x14ac:dyDescent="0.3">
      <c r="A185" s="376" t="s">
        <v>334</v>
      </c>
      <c r="B185" s="381">
        <v>1</v>
      </c>
      <c r="D185" s="153"/>
      <c r="E185" s="153"/>
      <c r="F185" s="153"/>
      <c r="G185" s="153"/>
      <c r="H185" s="153"/>
    </row>
    <row r="186" spans="1:8" x14ac:dyDescent="0.3">
      <c r="A186" s="376" t="s">
        <v>693</v>
      </c>
      <c r="B186" s="381">
        <v>1</v>
      </c>
      <c r="D186" s="153"/>
      <c r="E186" s="153"/>
      <c r="F186" s="153"/>
      <c r="G186" s="153"/>
      <c r="H186" s="153"/>
    </row>
    <row r="187" spans="1:8" x14ac:dyDescent="0.3">
      <c r="A187" s="376" t="s">
        <v>281</v>
      </c>
      <c r="B187" s="381">
        <v>1</v>
      </c>
      <c r="D187" s="153"/>
      <c r="E187" s="153"/>
      <c r="F187" s="153"/>
      <c r="G187" s="153"/>
      <c r="H187" s="153"/>
    </row>
    <row r="188" spans="1:8" x14ac:dyDescent="0.3">
      <c r="A188" s="376" t="s">
        <v>641</v>
      </c>
      <c r="B188" s="381">
        <v>1</v>
      </c>
      <c r="D188" s="153"/>
      <c r="E188" s="153"/>
      <c r="F188" s="153"/>
      <c r="G188" s="153"/>
      <c r="H188" s="153"/>
    </row>
    <row r="189" spans="1:8" x14ac:dyDescent="0.3">
      <c r="A189" s="376" t="s">
        <v>326</v>
      </c>
      <c r="B189" s="381">
        <v>1</v>
      </c>
      <c r="D189" s="153"/>
      <c r="E189" s="153"/>
      <c r="F189" s="153"/>
      <c r="G189" s="153"/>
      <c r="H189" s="153"/>
    </row>
    <row r="190" spans="1:8" x14ac:dyDescent="0.3">
      <c r="A190" s="376" t="s">
        <v>644</v>
      </c>
      <c r="B190" s="381">
        <v>1</v>
      </c>
      <c r="D190" s="153"/>
      <c r="E190" s="153"/>
      <c r="F190" s="153"/>
      <c r="G190" s="153"/>
      <c r="H190" s="153"/>
    </row>
    <row r="191" spans="1:8" x14ac:dyDescent="0.3">
      <c r="A191" s="376" t="s">
        <v>305</v>
      </c>
      <c r="B191" s="381">
        <v>1</v>
      </c>
      <c r="D191" s="153"/>
      <c r="E191" s="153"/>
      <c r="F191" s="153"/>
      <c r="G191" s="153"/>
      <c r="H191" s="153"/>
    </row>
    <row r="192" spans="1:8" x14ac:dyDescent="0.3">
      <c r="A192" s="376" t="s">
        <v>2933</v>
      </c>
      <c r="B192" s="381">
        <v>1</v>
      </c>
      <c r="D192" s="153"/>
      <c r="E192" s="153"/>
      <c r="F192" s="153"/>
      <c r="G192" s="153"/>
      <c r="H192" s="153"/>
    </row>
    <row r="193" spans="1:8" x14ac:dyDescent="0.3">
      <c r="A193" s="376" t="s">
        <v>659</v>
      </c>
      <c r="B193" s="381">
        <v>1</v>
      </c>
      <c r="D193" s="153"/>
      <c r="E193" s="153"/>
      <c r="F193" s="153"/>
      <c r="G193" s="153"/>
      <c r="H193" s="153"/>
    </row>
    <row r="194" spans="1:8" x14ac:dyDescent="0.3">
      <c r="A194" s="376" t="s">
        <v>662</v>
      </c>
      <c r="B194" s="381">
        <v>1</v>
      </c>
      <c r="D194" s="153"/>
      <c r="E194" s="153"/>
      <c r="F194" s="153"/>
      <c r="G194" s="153"/>
      <c r="H194" s="153"/>
    </row>
    <row r="195" spans="1:8" x14ac:dyDescent="0.3">
      <c r="A195" s="376" t="s">
        <v>666</v>
      </c>
      <c r="B195" s="381">
        <v>1</v>
      </c>
      <c r="D195" s="153"/>
      <c r="E195" s="153"/>
      <c r="F195" s="153"/>
      <c r="G195" s="153"/>
      <c r="H195" s="153"/>
    </row>
    <row r="196" spans="1:8" x14ac:dyDescent="0.3">
      <c r="A196" s="376" t="s">
        <v>669</v>
      </c>
      <c r="B196" s="381">
        <v>1</v>
      </c>
      <c r="D196" s="153"/>
      <c r="E196" s="153"/>
      <c r="F196" s="153"/>
      <c r="G196" s="153"/>
      <c r="H196" s="153"/>
    </row>
    <row r="197" spans="1:8" x14ac:dyDescent="0.3">
      <c r="A197" s="376" t="s">
        <v>672</v>
      </c>
      <c r="B197" s="381">
        <v>1</v>
      </c>
      <c r="D197" s="153"/>
      <c r="E197" s="153"/>
      <c r="F197" s="153"/>
      <c r="G197" s="153"/>
      <c r="H197" s="153"/>
    </row>
    <row r="198" spans="1:8" x14ac:dyDescent="0.3">
      <c r="A198" s="376" t="s">
        <v>675</v>
      </c>
      <c r="B198" s="381">
        <v>1</v>
      </c>
      <c r="D198" s="153"/>
      <c r="E198" s="153"/>
      <c r="F198" s="153"/>
      <c r="G198" s="153"/>
      <c r="H198" s="153"/>
    </row>
    <row r="199" spans="1:8" x14ac:dyDescent="0.3">
      <c r="A199" s="376" t="s">
        <v>331</v>
      </c>
      <c r="B199" s="381">
        <v>1</v>
      </c>
      <c r="D199" s="153"/>
      <c r="E199" s="153"/>
      <c r="F199" s="153"/>
      <c r="G199" s="153"/>
      <c r="H199" s="153"/>
    </row>
    <row r="200" spans="1:8" x14ac:dyDescent="0.3">
      <c r="A200" s="376" t="s">
        <v>399</v>
      </c>
      <c r="B200" s="381">
        <v>1</v>
      </c>
      <c r="D200" s="153"/>
      <c r="E200" s="153"/>
      <c r="F200" s="153"/>
      <c r="G200" s="153"/>
      <c r="H200" s="153"/>
    </row>
    <row r="201" spans="1:8" x14ac:dyDescent="0.3">
      <c r="A201" s="376" t="s">
        <v>343</v>
      </c>
      <c r="B201" s="381">
        <v>1</v>
      </c>
      <c r="D201" s="153"/>
      <c r="E201" s="153"/>
      <c r="F201" s="153"/>
      <c r="G201" s="153"/>
      <c r="H201" s="153"/>
    </row>
    <row r="202" spans="1:8" x14ac:dyDescent="0.3">
      <c r="A202" s="376" t="s">
        <v>619</v>
      </c>
      <c r="B202" s="381">
        <v>1</v>
      </c>
      <c r="D202" s="153"/>
      <c r="E202" s="153"/>
      <c r="F202" s="153"/>
      <c r="G202" s="153"/>
      <c r="H202" s="153"/>
    </row>
    <row r="203" spans="1:8" x14ac:dyDescent="0.3">
      <c r="A203" s="376" t="s">
        <v>812</v>
      </c>
      <c r="B203" s="381">
        <v>1</v>
      </c>
      <c r="D203" s="153"/>
      <c r="E203" s="153"/>
      <c r="F203" s="153"/>
      <c r="G203" s="153"/>
      <c r="H203" s="153"/>
    </row>
    <row r="204" spans="1:8" x14ac:dyDescent="0.3">
      <c r="A204" s="376" t="s">
        <v>801</v>
      </c>
      <c r="B204" s="381">
        <v>1</v>
      </c>
      <c r="D204" s="153"/>
      <c r="E204" s="153"/>
      <c r="F204" s="153"/>
      <c r="G204" s="153"/>
      <c r="H204" s="153"/>
    </row>
    <row r="205" spans="1:8" x14ac:dyDescent="0.3">
      <c r="A205" s="376" t="s">
        <v>355</v>
      </c>
      <c r="B205" s="381">
        <v>1</v>
      </c>
      <c r="D205" s="153"/>
      <c r="E205" s="153"/>
      <c r="F205" s="153"/>
      <c r="G205" s="153"/>
      <c r="H205" s="153"/>
    </row>
    <row r="206" spans="1:8" x14ac:dyDescent="0.3">
      <c r="A206" s="376" t="s">
        <v>367</v>
      </c>
      <c r="B206" s="381">
        <v>1</v>
      </c>
      <c r="D206" s="153"/>
      <c r="E206" s="153"/>
      <c r="F206" s="153"/>
      <c r="G206" s="153"/>
      <c r="H206" s="153"/>
    </row>
    <row r="207" spans="1:8" x14ac:dyDescent="0.3">
      <c r="A207" s="376" t="s">
        <v>351</v>
      </c>
      <c r="B207" s="381">
        <v>1</v>
      </c>
      <c r="D207" s="153"/>
      <c r="E207" s="153"/>
      <c r="F207" s="153"/>
      <c r="G207" s="153"/>
      <c r="H207" s="153"/>
    </row>
    <row r="208" spans="1:8" x14ac:dyDescent="0.3">
      <c r="A208" s="376" t="s">
        <v>363</v>
      </c>
      <c r="B208" s="381">
        <v>1</v>
      </c>
      <c r="D208" s="153"/>
      <c r="E208" s="153"/>
      <c r="F208" s="153"/>
      <c r="G208" s="153"/>
      <c r="H208" s="153"/>
    </row>
    <row r="209" spans="1:8" x14ac:dyDescent="0.3">
      <c r="A209" s="376" t="s">
        <v>412</v>
      </c>
      <c r="B209" s="381">
        <v>1</v>
      </c>
      <c r="D209" s="153"/>
      <c r="E209" s="153"/>
      <c r="F209" s="153"/>
      <c r="G209" s="153"/>
      <c r="H209" s="153"/>
    </row>
    <row r="210" spans="1:8" x14ac:dyDescent="0.3">
      <c r="A210" s="376" t="s">
        <v>341</v>
      </c>
      <c r="B210" s="381">
        <v>1</v>
      </c>
      <c r="D210" s="153"/>
      <c r="E210" s="153"/>
      <c r="F210" s="153"/>
      <c r="G210" s="153"/>
      <c r="H210" s="153"/>
    </row>
    <row r="211" spans="1:8" x14ac:dyDescent="0.3">
      <c r="A211" s="376" t="s">
        <v>377</v>
      </c>
      <c r="B211" s="381">
        <v>1</v>
      </c>
      <c r="D211" s="153"/>
      <c r="E211" s="153"/>
      <c r="F211" s="153"/>
      <c r="G211" s="153"/>
      <c r="H211" s="153"/>
    </row>
    <row r="212" spans="1:8" x14ac:dyDescent="0.3">
      <c r="A212" s="376" t="s">
        <v>380</v>
      </c>
      <c r="B212" s="381">
        <v>1</v>
      </c>
      <c r="D212" s="153"/>
      <c r="E212" s="153"/>
      <c r="F212" s="153"/>
      <c r="G212" s="153"/>
      <c r="H212" s="153"/>
    </row>
    <row r="213" spans="1:8" x14ac:dyDescent="0.3">
      <c r="A213" s="376" t="s">
        <v>3257</v>
      </c>
      <c r="B213" s="381">
        <v>1</v>
      </c>
      <c r="D213" s="153"/>
      <c r="E213" s="153"/>
      <c r="F213" s="153"/>
      <c r="G213" s="153"/>
      <c r="H213" s="153"/>
    </row>
    <row r="214" spans="1:8" x14ac:dyDescent="0.3">
      <c r="A214" s="376" t="s">
        <v>609</v>
      </c>
      <c r="B214" s="381">
        <v>1</v>
      </c>
      <c r="D214" s="153"/>
      <c r="E214" s="153"/>
      <c r="F214" s="153"/>
      <c r="G214" s="153"/>
      <c r="H214" s="153"/>
    </row>
    <row r="215" spans="1:8" x14ac:dyDescent="0.3">
      <c r="A215" s="376" t="s">
        <v>651</v>
      </c>
      <c r="B215" s="381">
        <v>1</v>
      </c>
      <c r="D215" s="153"/>
      <c r="E215" s="153"/>
      <c r="F215" s="153"/>
      <c r="G215" s="153"/>
      <c r="H215" s="153"/>
    </row>
    <row r="216" spans="1:8" x14ac:dyDescent="0.3">
      <c r="A216" s="376" t="s">
        <v>632</v>
      </c>
      <c r="B216" s="381">
        <v>1</v>
      </c>
      <c r="D216" s="153"/>
      <c r="E216" s="153"/>
      <c r="F216" s="153"/>
      <c r="G216" s="153"/>
      <c r="H216" s="153"/>
    </row>
    <row r="217" spans="1:8" x14ac:dyDescent="0.3">
      <c r="A217" s="376" t="s">
        <v>634</v>
      </c>
      <c r="B217" s="381">
        <v>1</v>
      </c>
      <c r="D217" s="153"/>
      <c r="E217" s="153"/>
      <c r="F217" s="153"/>
      <c r="G217" s="153"/>
      <c r="H217" s="153"/>
    </row>
    <row r="218" spans="1:8" x14ac:dyDescent="0.3">
      <c r="A218" s="376" t="s">
        <v>615</v>
      </c>
      <c r="B218" s="381">
        <v>1</v>
      </c>
      <c r="D218" s="153"/>
      <c r="E218" s="153"/>
      <c r="F218" s="153"/>
      <c r="G218" s="153"/>
      <c r="H218" s="153"/>
    </row>
    <row r="219" spans="1:8" x14ac:dyDescent="0.3">
      <c r="A219" s="376" t="s">
        <v>617</v>
      </c>
      <c r="B219" s="381">
        <v>1</v>
      </c>
      <c r="D219" s="153"/>
      <c r="E219" s="153"/>
      <c r="F219" s="153"/>
      <c r="G219" s="153"/>
      <c r="H219" s="153"/>
    </row>
    <row r="220" spans="1:8" x14ac:dyDescent="0.3">
      <c r="A220" s="376" t="s">
        <v>622</v>
      </c>
      <c r="B220" s="381">
        <v>1</v>
      </c>
      <c r="D220" s="153"/>
      <c r="E220" s="153"/>
      <c r="F220" s="153"/>
      <c r="G220" s="153"/>
      <c r="H220" s="153"/>
    </row>
    <row r="221" spans="1:8" x14ac:dyDescent="0.3">
      <c r="A221" s="376" t="s">
        <v>624</v>
      </c>
      <c r="B221" s="381">
        <v>1</v>
      </c>
      <c r="D221" s="153"/>
      <c r="E221" s="153"/>
      <c r="F221" s="153"/>
      <c r="G221" s="153"/>
      <c r="H221" s="153"/>
    </row>
    <row r="222" spans="1:8" x14ac:dyDescent="0.3">
      <c r="A222" s="376" t="s">
        <v>647</v>
      </c>
      <c r="B222" s="381">
        <v>1</v>
      </c>
      <c r="D222" s="153"/>
      <c r="E222" s="153"/>
      <c r="F222" s="153"/>
      <c r="G222" s="153"/>
      <c r="H222" s="153"/>
    </row>
    <row r="223" spans="1:8" x14ac:dyDescent="0.3">
      <c r="A223" s="376" t="s">
        <v>2925</v>
      </c>
      <c r="B223" s="381">
        <v>1</v>
      </c>
      <c r="D223" s="153"/>
      <c r="E223" s="153"/>
      <c r="F223" s="153"/>
      <c r="G223" s="153"/>
      <c r="H223" s="153"/>
    </row>
    <row r="224" spans="1:8" x14ac:dyDescent="0.3">
      <c r="A224" s="376" t="s">
        <v>799</v>
      </c>
      <c r="B224" s="381">
        <v>1</v>
      </c>
      <c r="D224" s="153"/>
      <c r="E224" s="153"/>
      <c r="F224" s="153"/>
      <c r="G224" s="153"/>
      <c r="H224" s="153"/>
    </row>
    <row r="225" spans="1:8" x14ac:dyDescent="0.3">
      <c r="A225" s="376" t="s">
        <v>803</v>
      </c>
      <c r="B225" s="381">
        <v>1</v>
      </c>
      <c r="D225" s="153"/>
      <c r="E225" s="153"/>
      <c r="F225" s="153"/>
      <c r="G225" s="153"/>
      <c r="H225" s="153"/>
    </row>
    <row r="226" spans="1:8" x14ac:dyDescent="0.3">
      <c r="A226" s="376" t="s">
        <v>797</v>
      </c>
      <c r="B226" s="381">
        <v>1</v>
      </c>
      <c r="D226" s="153"/>
      <c r="E226" s="153"/>
      <c r="F226" s="153"/>
      <c r="G226" s="153"/>
      <c r="H226" s="153"/>
    </row>
    <row r="227" spans="1:8" x14ac:dyDescent="0.3">
      <c r="A227" s="376" t="s">
        <v>805</v>
      </c>
      <c r="B227" s="381">
        <v>1</v>
      </c>
      <c r="D227" s="153"/>
      <c r="E227" s="153"/>
      <c r="F227" s="153"/>
      <c r="G227" s="153"/>
      <c r="H227" s="153"/>
    </row>
    <row r="228" spans="1:8" x14ac:dyDescent="0.3">
      <c r="A228" s="376" t="s">
        <v>353</v>
      </c>
      <c r="B228" s="381">
        <v>1</v>
      </c>
      <c r="D228" s="153"/>
      <c r="E228" s="153"/>
      <c r="F228" s="153"/>
      <c r="G228" s="153"/>
      <c r="H228" s="153"/>
    </row>
    <row r="229" spans="1:8" x14ac:dyDescent="0.3">
      <c r="A229" s="376" t="s">
        <v>365</v>
      </c>
      <c r="B229" s="381">
        <v>1</v>
      </c>
      <c r="D229" s="153"/>
      <c r="E229" s="153"/>
      <c r="F229" s="153"/>
      <c r="G229" s="153"/>
      <c r="H229" s="153"/>
    </row>
    <row r="230" spans="1:8" x14ac:dyDescent="0.3">
      <c r="A230" s="376" t="s">
        <v>357</v>
      </c>
      <c r="B230" s="381">
        <v>1</v>
      </c>
      <c r="D230" s="153"/>
      <c r="E230" s="153"/>
      <c r="F230" s="153"/>
      <c r="G230" s="153"/>
      <c r="H230" s="153"/>
    </row>
    <row r="231" spans="1:8" x14ac:dyDescent="0.3">
      <c r="A231" s="376" t="s">
        <v>438</v>
      </c>
      <c r="B231" s="381">
        <v>1</v>
      </c>
      <c r="D231" s="153"/>
      <c r="E231" s="153"/>
      <c r="F231" s="153"/>
      <c r="G231" s="153"/>
      <c r="H231" s="153"/>
    </row>
    <row r="232" spans="1:8" x14ac:dyDescent="0.3">
      <c r="A232" s="376" t="s">
        <v>444</v>
      </c>
      <c r="B232" s="381">
        <v>1</v>
      </c>
      <c r="D232" s="153"/>
      <c r="E232" s="153"/>
      <c r="F232" s="153"/>
      <c r="G232" s="153"/>
      <c r="H232" s="153"/>
    </row>
    <row r="233" spans="1:8" x14ac:dyDescent="0.3">
      <c r="A233" s="376" t="s">
        <v>446</v>
      </c>
      <c r="B233" s="381">
        <v>1</v>
      </c>
      <c r="D233" s="153"/>
      <c r="E233" s="153"/>
      <c r="F233" s="153"/>
      <c r="G233" s="153"/>
      <c r="H233" s="153"/>
    </row>
    <row r="234" spans="1:8" x14ac:dyDescent="0.3">
      <c r="A234" s="376" t="s">
        <v>448</v>
      </c>
      <c r="B234" s="381">
        <v>1</v>
      </c>
      <c r="D234" s="153"/>
      <c r="E234" s="153"/>
      <c r="F234" s="153"/>
      <c r="G234" s="153"/>
      <c r="H234" s="153"/>
    </row>
    <row r="235" spans="1:8" x14ac:dyDescent="0.3">
      <c r="A235" s="376" t="s">
        <v>636</v>
      </c>
      <c r="B235" s="381">
        <v>1</v>
      </c>
      <c r="D235" s="153"/>
      <c r="E235" s="153"/>
      <c r="F235" s="153"/>
      <c r="G235" s="153"/>
      <c r="H235" s="153"/>
    </row>
    <row r="236" spans="1:8" x14ac:dyDescent="0.3">
      <c r="A236" s="376" t="s">
        <v>638</v>
      </c>
      <c r="B236" s="381">
        <v>1</v>
      </c>
      <c r="D236" s="153"/>
      <c r="E236" s="153"/>
      <c r="F236" s="153"/>
      <c r="G236" s="153"/>
      <c r="H236" s="153"/>
    </row>
    <row r="237" spans="1:8" x14ac:dyDescent="0.3">
      <c r="A237" s="376" t="s">
        <v>597</v>
      </c>
      <c r="B237" s="381">
        <v>1</v>
      </c>
      <c r="D237" s="153"/>
      <c r="E237" s="153"/>
      <c r="F237" s="153"/>
      <c r="G237" s="153"/>
      <c r="H237" s="153"/>
    </row>
    <row r="238" spans="1:8" x14ac:dyDescent="0.3">
      <c r="A238" s="376" t="s">
        <v>601</v>
      </c>
      <c r="B238" s="381">
        <v>1</v>
      </c>
      <c r="D238" s="153"/>
      <c r="E238" s="153"/>
      <c r="F238" s="153"/>
      <c r="G238" s="153"/>
      <c r="H238" s="153"/>
    </row>
    <row r="239" spans="1:8" x14ac:dyDescent="0.3">
      <c r="A239" s="376" t="s">
        <v>607</v>
      </c>
      <c r="B239" s="381">
        <v>1</v>
      </c>
      <c r="D239" s="153"/>
      <c r="E239" s="153"/>
      <c r="F239" s="153"/>
      <c r="G239" s="153"/>
      <c r="H239" s="153"/>
    </row>
    <row r="240" spans="1:8" x14ac:dyDescent="0.3">
      <c r="A240" s="376" t="s">
        <v>605</v>
      </c>
      <c r="B240" s="381">
        <v>1</v>
      </c>
      <c r="D240" s="153"/>
      <c r="E240" s="153"/>
      <c r="F240" s="153"/>
      <c r="G240" s="153"/>
      <c r="H240" s="153"/>
    </row>
    <row r="241" spans="1:8" x14ac:dyDescent="0.3">
      <c r="A241" s="376" t="s">
        <v>612</v>
      </c>
      <c r="B241" s="381">
        <v>1</v>
      </c>
      <c r="D241" s="153"/>
      <c r="E241" s="153"/>
      <c r="F241" s="153"/>
      <c r="G241" s="153"/>
      <c r="H241" s="153"/>
    </row>
    <row r="242" spans="1:8" x14ac:dyDescent="0.3">
      <c r="A242" s="376" t="s">
        <v>416</v>
      </c>
      <c r="B242" s="381">
        <v>1</v>
      </c>
      <c r="D242" s="153"/>
      <c r="E242" s="153"/>
      <c r="F242" s="153"/>
      <c r="G242" s="153"/>
      <c r="H242" s="153"/>
    </row>
    <row r="243" spans="1:8" x14ac:dyDescent="0.3">
      <c r="A243" s="376" t="s">
        <v>418</v>
      </c>
      <c r="B243" s="381">
        <v>1</v>
      </c>
      <c r="D243" s="153"/>
      <c r="E243" s="153"/>
      <c r="F243" s="153"/>
      <c r="G243" s="153"/>
      <c r="H243" s="153"/>
    </row>
    <row r="244" spans="1:8" x14ac:dyDescent="0.3">
      <c r="A244" s="376" t="s">
        <v>422</v>
      </c>
      <c r="B244" s="381">
        <v>1</v>
      </c>
      <c r="D244" s="153"/>
      <c r="E244" s="153"/>
      <c r="F244" s="153"/>
      <c r="G244" s="153"/>
      <c r="H244" s="153"/>
    </row>
    <row r="245" spans="1:8" x14ac:dyDescent="0.3">
      <c r="A245" s="376" t="s">
        <v>424</v>
      </c>
      <c r="B245" s="381">
        <v>1</v>
      </c>
      <c r="D245" s="153"/>
      <c r="E245" s="153"/>
      <c r="F245" s="153"/>
      <c r="G245" s="153"/>
      <c r="H245" s="153"/>
    </row>
    <row r="246" spans="1:8" x14ac:dyDescent="0.3">
      <c r="A246" s="376" t="s">
        <v>729</v>
      </c>
      <c r="B246" s="381">
        <v>1</v>
      </c>
      <c r="D246" s="153"/>
      <c r="E246" s="153"/>
      <c r="F246" s="153"/>
      <c r="G246" s="153"/>
      <c r="H246" s="153"/>
    </row>
    <row r="247" spans="1:8" x14ac:dyDescent="0.3">
      <c r="A247" s="376" t="s">
        <v>731</v>
      </c>
      <c r="B247" s="381">
        <v>1</v>
      </c>
      <c r="D247" s="153"/>
      <c r="E247" s="153"/>
      <c r="F247" s="153"/>
      <c r="G247" s="153"/>
      <c r="H247" s="153"/>
    </row>
    <row r="248" spans="1:8" x14ac:dyDescent="0.3">
      <c r="A248" s="376" t="s">
        <v>733</v>
      </c>
      <c r="B248" s="381">
        <v>1</v>
      </c>
      <c r="D248" s="153"/>
      <c r="E248" s="153"/>
      <c r="F248" s="153"/>
      <c r="G248" s="153"/>
      <c r="H248" s="153"/>
    </row>
    <row r="249" spans="1:8" x14ac:dyDescent="0.3">
      <c r="A249" s="376" t="s">
        <v>735</v>
      </c>
      <c r="B249" s="381">
        <v>1</v>
      </c>
      <c r="D249" s="153"/>
      <c r="E249" s="153"/>
      <c r="F249" s="153"/>
      <c r="G249" s="153"/>
      <c r="H249" s="153"/>
    </row>
    <row r="250" spans="1:8" x14ac:dyDescent="0.3">
      <c r="A250" s="376" t="s">
        <v>414</v>
      </c>
      <c r="B250" s="381">
        <v>1</v>
      </c>
      <c r="D250" s="153"/>
      <c r="E250" s="153"/>
      <c r="F250" s="153"/>
      <c r="G250" s="153"/>
      <c r="H250" s="153"/>
    </row>
    <row r="251" spans="1:8" x14ac:dyDescent="0.3">
      <c r="A251" s="376" t="s">
        <v>420</v>
      </c>
      <c r="B251" s="381">
        <v>1</v>
      </c>
      <c r="D251" s="153"/>
      <c r="E251" s="153"/>
      <c r="F251" s="153"/>
      <c r="G251" s="153"/>
      <c r="H251" s="153"/>
    </row>
    <row r="252" spans="1:8" x14ac:dyDescent="0.3">
      <c r="A252" s="376" t="s">
        <v>392</v>
      </c>
      <c r="B252" s="381">
        <v>1</v>
      </c>
      <c r="D252" s="153"/>
      <c r="E252" s="153"/>
      <c r="F252" s="153"/>
      <c r="G252" s="153"/>
      <c r="H252" s="153"/>
    </row>
    <row r="253" spans="1:8" x14ac:dyDescent="0.3">
      <c r="A253" s="376" t="s">
        <v>655</v>
      </c>
      <c r="B253" s="381">
        <v>1</v>
      </c>
      <c r="D253" s="153"/>
      <c r="E253" s="153"/>
      <c r="F253" s="153"/>
      <c r="G253" s="153"/>
      <c r="H253" s="153"/>
    </row>
    <row r="254" spans="1:8" x14ac:dyDescent="0.3">
      <c r="A254" s="376" t="s">
        <v>657</v>
      </c>
      <c r="B254" s="381">
        <v>1</v>
      </c>
      <c r="D254" s="153"/>
      <c r="E254" s="153"/>
      <c r="F254" s="153"/>
      <c r="G254" s="153"/>
      <c r="H254" s="153"/>
    </row>
    <row r="255" spans="1:8" x14ac:dyDescent="0.3">
      <c r="A255" s="376" t="s">
        <v>810</v>
      </c>
      <c r="B255" s="381">
        <v>1</v>
      </c>
      <c r="D255" s="153"/>
      <c r="E255" s="153"/>
      <c r="F255" s="153"/>
      <c r="G255" s="153"/>
      <c r="H255" s="153"/>
    </row>
    <row r="256" spans="1:8" x14ac:dyDescent="0.3">
      <c r="A256" s="376" t="s">
        <v>345</v>
      </c>
      <c r="B256" s="381">
        <v>1</v>
      </c>
      <c r="D256" s="153"/>
      <c r="E256" s="153"/>
      <c r="F256" s="153"/>
      <c r="G256" s="153"/>
      <c r="H256" s="153"/>
    </row>
    <row r="257" spans="1:8" x14ac:dyDescent="0.3">
      <c r="A257" s="376" t="s">
        <v>626</v>
      </c>
      <c r="B257" s="381">
        <v>1</v>
      </c>
      <c r="D257" s="153"/>
      <c r="E257" s="153"/>
      <c r="F257" s="153"/>
      <c r="G257" s="153"/>
      <c r="H257" s="153"/>
    </row>
    <row r="258" spans="1:8" x14ac:dyDescent="0.3">
      <c r="A258" s="376" t="s">
        <v>649</v>
      </c>
      <c r="B258" s="381">
        <v>1</v>
      </c>
      <c r="D258" s="153"/>
      <c r="E258" s="153"/>
      <c r="F258" s="153"/>
      <c r="G258" s="153"/>
      <c r="H258" s="153"/>
    </row>
    <row r="259" spans="1:8" x14ac:dyDescent="0.3">
      <c r="A259" s="376" t="s">
        <v>383</v>
      </c>
      <c r="B259" s="381">
        <v>1</v>
      </c>
      <c r="D259" s="153"/>
      <c r="E259" s="153"/>
      <c r="F259" s="153"/>
      <c r="G259" s="153"/>
      <c r="H259" s="153"/>
    </row>
    <row r="260" spans="1:8" x14ac:dyDescent="0.3">
      <c r="A260" s="376" t="s">
        <v>385</v>
      </c>
      <c r="B260" s="381">
        <v>1</v>
      </c>
      <c r="D260" s="153"/>
      <c r="E260" s="153"/>
      <c r="F260" s="153"/>
      <c r="G260" s="153"/>
      <c r="H260" s="153"/>
    </row>
    <row r="261" spans="1:8" x14ac:dyDescent="0.3">
      <c r="A261" s="376" t="s">
        <v>628</v>
      </c>
      <c r="B261" s="381">
        <v>1</v>
      </c>
      <c r="D261" s="153"/>
      <c r="E261" s="153"/>
      <c r="F261" s="153"/>
      <c r="G261" s="153"/>
      <c r="H261" s="153"/>
    </row>
    <row r="262" spans="1:8" x14ac:dyDescent="0.3">
      <c r="A262" s="376" t="s">
        <v>653</v>
      </c>
      <c r="B262" s="381">
        <v>1</v>
      </c>
      <c r="D262" s="153"/>
      <c r="E262" s="153"/>
      <c r="F262" s="153"/>
      <c r="G262" s="153"/>
      <c r="H262" s="153"/>
    </row>
    <row r="263" spans="1:8" x14ac:dyDescent="0.3">
      <c r="A263" s="376" t="s">
        <v>630</v>
      </c>
      <c r="B263" s="381">
        <v>1</v>
      </c>
      <c r="D263" s="153"/>
      <c r="E263" s="153"/>
      <c r="F263" s="153"/>
      <c r="G263" s="153"/>
      <c r="H263" s="153"/>
    </row>
    <row r="264" spans="1:8" x14ac:dyDescent="0.3">
      <c r="A264" s="376" t="s">
        <v>808</v>
      </c>
      <c r="B264" s="381">
        <v>1</v>
      </c>
      <c r="D264" s="153"/>
      <c r="E264" s="153"/>
      <c r="F264" s="153"/>
      <c r="G264" s="153"/>
      <c r="H264" s="153"/>
    </row>
    <row r="265" spans="1:8" x14ac:dyDescent="0.3">
      <c r="A265" s="376" t="s">
        <v>359</v>
      </c>
      <c r="B265" s="381">
        <v>1</v>
      </c>
      <c r="D265" s="153"/>
      <c r="E265" s="153"/>
      <c r="F265" s="153"/>
      <c r="G265" s="153"/>
      <c r="H265" s="153"/>
    </row>
    <row r="266" spans="1:8" x14ac:dyDescent="0.3">
      <c r="A266" s="376" t="s">
        <v>361</v>
      </c>
      <c r="B266" s="381">
        <v>1</v>
      </c>
      <c r="D266" s="153"/>
      <c r="E266" s="153"/>
      <c r="F266" s="153"/>
      <c r="G266" s="153"/>
      <c r="H266" s="153"/>
    </row>
    <row r="267" spans="1:8" x14ac:dyDescent="0.3">
      <c r="A267" s="376" t="s">
        <v>369</v>
      </c>
      <c r="B267" s="381">
        <v>1</v>
      </c>
      <c r="D267" s="153"/>
      <c r="E267" s="153"/>
      <c r="F267" s="153"/>
      <c r="G267" s="153"/>
      <c r="H267" s="153"/>
    </row>
    <row r="268" spans="1:8" x14ac:dyDescent="0.3">
      <c r="A268" s="376" t="s">
        <v>441</v>
      </c>
      <c r="B268" s="381">
        <v>1</v>
      </c>
      <c r="D268" s="153"/>
      <c r="E268" s="153"/>
      <c r="F268" s="153"/>
      <c r="G268" s="153"/>
      <c r="H268" s="153"/>
    </row>
    <row r="269" spans="1:8" x14ac:dyDescent="0.3">
      <c r="A269" s="376" t="s">
        <v>599</v>
      </c>
      <c r="B269" s="381">
        <v>1</v>
      </c>
      <c r="D269" s="153"/>
      <c r="E269" s="153"/>
      <c r="F269" s="153"/>
      <c r="G269" s="153"/>
      <c r="H269" s="153"/>
    </row>
    <row r="270" spans="1:8" x14ac:dyDescent="0.3">
      <c r="A270" s="376" t="s">
        <v>603</v>
      </c>
      <c r="B270" s="381">
        <v>1</v>
      </c>
      <c r="D270" s="153"/>
      <c r="E270" s="153"/>
      <c r="F270" s="153"/>
      <c r="G270" s="153"/>
      <c r="H270" s="153"/>
    </row>
    <row r="271" spans="1:8" x14ac:dyDescent="0.3">
      <c r="A271" s="376" t="s">
        <v>429</v>
      </c>
      <c r="B271" s="381">
        <v>1</v>
      </c>
      <c r="D271" s="153"/>
      <c r="E271" s="153"/>
      <c r="F271" s="153"/>
      <c r="G271" s="153"/>
      <c r="H271" s="153"/>
    </row>
    <row r="272" spans="1:8" x14ac:dyDescent="0.3">
      <c r="A272" s="376" t="s">
        <v>431</v>
      </c>
      <c r="B272" s="381">
        <v>1</v>
      </c>
      <c r="D272" s="153"/>
      <c r="E272" s="153"/>
      <c r="F272" s="153"/>
      <c r="G272" s="153"/>
      <c r="H272" s="153"/>
    </row>
    <row r="273" spans="1:8" x14ac:dyDescent="0.3">
      <c r="A273" s="376" t="s">
        <v>426</v>
      </c>
      <c r="B273" s="381">
        <v>1</v>
      </c>
      <c r="D273" s="153"/>
      <c r="E273" s="153"/>
      <c r="F273" s="153"/>
      <c r="G273" s="153"/>
      <c r="H273" s="153"/>
    </row>
    <row r="274" spans="1:8" x14ac:dyDescent="0.3">
      <c r="A274" s="376" t="s">
        <v>433</v>
      </c>
      <c r="B274" s="381">
        <v>1</v>
      </c>
      <c r="D274" s="153"/>
      <c r="E274" s="153"/>
      <c r="F274" s="153"/>
      <c r="G274" s="153"/>
      <c r="H274" s="153"/>
    </row>
    <row r="275" spans="1:8" x14ac:dyDescent="0.3">
      <c r="A275" s="376" t="s">
        <v>435</v>
      </c>
      <c r="B275" s="381">
        <v>1</v>
      </c>
      <c r="D275" s="153"/>
      <c r="E275" s="153"/>
      <c r="F275" s="153"/>
      <c r="G275" s="153"/>
      <c r="H275" s="153"/>
    </row>
    <row r="276" spans="1:8" x14ac:dyDescent="0.3">
      <c r="A276" s="376" t="s">
        <v>737</v>
      </c>
      <c r="B276" s="381">
        <v>1</v>
      </c>
      <c r="D276" s="153"/>
      <c r="E276" s="153"/>
      <c r="F276" s="153"/>
      <c r="G276" s="153"/>
      <c r="H276" s="153"/>
    </row>
    <row r="277" spans="1:8" x14ac:dyDescent="0.3">
      <c r="A277" s="376" t="s">
        <v>991</v>
      </c>
      <c r="B277" s="381">
        <v>1</v>
      </c>
      <c r="D277" s="153"/>
      <c r="E277" s="153"/>
      <c r="F277" s="153"/>
      <c r="G277" s="153"/>
      <c r="H277" s="153"/>
    </row>
    <row r="278" spans="1:8" x14ac:dyDescent="0.3">
      <c r="A278" s="376" t="s">
        <v>1003</v>
      </c>
      <c r="B278" s="381">
        <v>1</v>
      </c>
      <c r="D278" s="153"/>
      <c r="E278" s="153"/>
      <c r="F278" s="153"/>
      <c r="G278" s="153"/>
      <c r="H278" s="153"/>
    </row>
    <row r="279" spans="1:8" x14ac:dyDescent="0.3">
      <c r="A279" s="376" t="s">
        <v>995</v>
      </c>
      <c r="B279" s="381">
        <v>1</v>
      </c>
      <c r="D279" s="153"/>
      <c r="E279" s="153"/>
      <c r="F279" s="153"/>
      <c r="G279" s="153"/>
      <c r="H279" s="153"/>
    </row>
    <row r="280" spans="1:8" x14ac:dyDescent="0.3">
      <c r="A280" s="376" t="s">
        <v>999</v>
      </c>
      <c r="B280" s="381">
        <v>1</v>
      </c>
      <c r="D280" s="153"/>
      <c r="E280" s="153"/>
      <c r="F280" s="153"/>
      <c r="G280" s="153"/>
      <c r="H280" s="153"/>
    </row>
    <row r="281" spans="1:8" x14ac:dyDescent="0.3">
      <c r="A281" s="376" t="s">
        <v>1037</v>
      </c>
      <c r="B281" s="381">
        <v>1</v>
      </c>
      <c r="D281" s="153"/>
      <c r="E281" s="153"/>
      <c r="F281" s="153"/>
      <c r="G281" s="153"/>
      <c r="H281" s="153"/>
    </row>
    <row r="282" spans="1:8" x14ac:dyDescent="0.3">
      <c r="A282" s="376" t="s">
        <v>1044</v>
      </c>
      <c r="B282" s="381">
        <v>1</v>
      </c>
      <c r="D282" s="153"/>
      <c r="E282" s="153"/>
      <c r="F282" s="153"/>
      <c r="G282" s="153"/>
      <c r="H282" s="153"/>
    </row>
    <row r="283" spans="1:8" x14ac:dyDescent="0.3">
      <c r="A283" s="376" t="s">
        <v>1057</v>
      </c>
      <c r="B283" s="381">
        <v>1</v>
      </c>
      <c r="D283" s="153"/>
      <c r="E283" s="153"/>
      <c r="F283" s="153"/>
      <c r="G283" s="153"/>
      <c r="H283" s="153"/>
    </row>
    <row r="284" spans="1:8" x14ac:dyDescent="0.3">
      <c r="A284" s="376" t="s">
        <v>1063</v>
      </c>
      <c r="B284" s="381">
        <v>1</v>
      </c>
      <c r="D284" s="153"/>
      <c r="E284" s="153"/>
      <c r="F284" s="153"/>
      <c r="G284" s="153"/>
      <c r="H284" s="153"/>
    </row>
    <row r="285" spans="1:8" x14ac:dyDescent="0.3">
      <c r="A285" s="376" t="s">
        <v>1048</v>
      </c>
      <c r="B285" s="381">
        <v>1</v>
      </c>
      <c r="D285" s="153"/>
      <c r="E285" s="153"/>
      <c r="F285" s="153"/>
      <c r="G285" s="153"/>
      <c r="H285" s="153"/>
    </row>
    <row r="286" spans="1:8" x14ac:dyDescent="0.3">
      <c r="A286" s="376" t="s">
        <v>859</v>
      </c>
      <c r="B286" s="381">
        <v>1</v>
      </c>
      <c r="D286" s="153"/>
      <c r="E286" s="153"/>
      <c r="F286" s="153"/>
      <c r="G286" s="153"/>
      <c r="H286" s="153"/>
    </row>
    <row r="287" spans="1:8" x14ac:dyDescent="0.3">
      <c r="A287" s="376" t="s">
        <v>883</v>
      </c>
      <c r="B287" s="381">
        <v>1</v>
      </c>
      <c r="D287" s="153"/>
      <c r="E287" s="153"/>
      <c r="F287" s="153"/>
      <c r="G287" s="153"/>
      <c r="H287" s="153"/>
    </row>
    <row r="288" spans="1:8" x14ac:dyDescent="0.3">
      <c r="A288" s="376" t="s">
        <v>885</v>
      </c>
      <c r="B288" s="381">
        <v>1</v>
      </c>
      <c r="D288" s="153"/>
      <c r="E288" s="153"/>
      <c r="F288" s="153"/>
      <c r="G288" s="153"/>
      <c r="H288" s="153"/>
    </row>
    <row r="289" spans="1:8" x14ac:dyDescent="0.3">
      <c r="A289" s="376" t="s">
        <v>456</v>
      </c>
      <c r="B289" s="381">
        <v>1</v>
      </c>
      <c r="D289" s="153"/>
      <c r="E289" s="153"/>
      <c r="F289" s="153"/>
      <c r="G289" s="153"/>
      <c r="H289" s="153"/>
    </row>
    <row r="290" spans="1:8" x14ac:dyDescent="0.3">
      <c r="A290" s="376" t="s">
        <v>466</v>
      </c>
      <c r="B290" s="381">
        <v>1</v>
      </c>
      <c r="D290" s="153"/>
      <c r="E290" s="153"/>
      <c r="F290" s="153"/>
      <c r="G290" s="153"/>
      <c r="H290" s="153"/>
    </row>
    <row r="291" spans="1:8" x14ac:dyDescent="0.3">
      <c r="A291" s="376" t="s">
        <v>470</v>
      </c>
      <c r="B291" s="381">
        <v>1</v>
      </c>
      <c r="D291" s="153"/>
      <c r="E291" s="153"/>
      <c r="F291" s="153"/>
      <c r="G291" s="153"/>
      <c r="H291" s="153"/>
    </row>
    <row r="292" spans="1:8" x14ac:dyDescent="0.3">
      <c r="A292" s="376" t="s">
        <v>462</v>
      </c>
      <c r="B292" s="381">
        <v>1</v>
      </c>
      <c r="D292" s="153"/>
      <c r="E292" s="153"/>
      <c r="F292" s="153"/>
      <c r="G292" s="153"/>
      <c r="H292" s="153"/>
    </row>
    <row r="293" spans="1:8" x14ac:dyDescent="0.3">
      <c r="A293" s="376" t="s">
        <v>945</v>
      </c>
      <c r="B293" s="381">
        <v>1</v>
      </c>
      <c r="D293" s="153"/>
      <c r="E293" s="153"/>
      <c r="F293" s="153"/>
      <c r="G293" s="153"/>
      <c r="H293" s="153"/>
    </row>
    <row r="294" spans="1:8" x14ac:dyDescent="0.3">
      <c r="A294" s="376" t="s">
        <v>952</v>
      </c>
      <c r="B294" s="381">
        <v>1</v>
      </c>
      <c r="D294" s="153"/>
      <c r="E294" s="153"/>
      <c r="F294" s="153"/>
      <c r="G294" s="153"/>
      <c r="H294" s="153"/>
    </row>
    <row r="295" spans="1:8" x14ac:dyDescent="0.3">
      <c r="A295" s="376" t="s">
        <v>958</v>
      </c>
      <c r="B295" s="381">
        <v>1</v>
      </c>
      <c r="D295" s="153"/>
      <c r="E295" s="153"/>
      <c r="F295" s="153"/>
      <c r="G295" s="153"/>
      <c r="H295" s="153"/>
    </row>
    <row r="296" spans="1:8" x14ac:dyDescent="0.3">
      <c r="A296" s="376" t="s">
        <v>960</v>
      </c>
      <c r="B296" s="381">
        <v>1</v>
      </c>
      <c r="D296" s="153"/>
      <c r="E296" s="153"/>
      <c r="F296" s="153"/>
      <c r="G296" s="153"/>
      <c r="H296" s="153"/>
    </row>
    <row r="297" spans="1:8" x14ac:dyDescent="0.3">
      <c r="A297" s="376" t="s">
        <v>965</v>
      </c>
      <c r="B297" s="381">
        <v>1</v>
      </c>
      <c r="D297" s="153"/>
      <c r="E297" s="153"/>
      <c r="F297" s="153"/>
      <c r="G297" s="153"/>
      <c r="H297" s="153"/>
    </row>
    <row r="298" spans="1:8" x14ac:dyDescent="0.3">
      <c r="A298" s="376" t="s">
        <v>967</v>
      </c>
      <c r="B298" s="381">
        <v>1</v>
      </c>
      <c r="D298" s="153"/>
      <c r="E298" s="153"/>
      <c r="F298" s="153"/>
      <c r="G298" s="153"/>
      <c r="H298" s="153"/>
    </row>
    <row r="299" spans="1:8" x14ac:dyDescent="0.3">
      <c r="A299" s="376" t="s">
        <v>978</v>
      </c>
      <c r="B299" s="381">
        <v>1</v>
      </c>
      <c r="D299" s="153"/>
      <c r="E299" s="153"/>
      <c r="F299" s="153"/>
      <c r="G299" s="153"/>
      <c r="H299" s="153"/>
    </row>
    <row r="300" spans="1:8" x14ac:dyDescent="0.3">
      <c r="A300" s="376" t="s">
        <v>971</v>
      </c>
      <c r="B300" s="381">
        <v>1</v>
      </c>
      <c r="D300" s="153"/>
      <c r="E300" s="153"/>
      <c r="F300" s="153"/>
      <c r="G300" s="153"/>
      <c r="H300" s="153"/>
    </row>
    <row r="301" spans="1:8" x14ac:dyDescent="0.3">
      <c r="A301" s="376" t="s">
        <v>993</v>
      </c>
      <c r="B301" s="381">
        <v>1</v>
      </c>
      <c r="D301" s="153"/>
      <c r="E301" s="153"/>
      <c r="F301" s="153"/>
      <c r="G301" s="153"/>
      <c r="H301" s="153"/>
    </row>
    <row r="302" spans="1:8" x14ac:dyDescent="0.3">
      <c r="A302" s="376" t="s">
        <v>989</v>
      </c>
      <c r="B302" s="381">
        <v>1</v>
      </c>
      <c r="D302" s="153"/>
      <c r="E302" s="153"/>
      <c r="F302" s="153"/>
      <c r="G302" s="153"/>
      <c r="H302" s="153"/>
    </row>
    <row r="303" spans="1:8" x14ac:dyDescent="0.3">
      <c r="A303" s="376" t="s">
        <v>1001</v>
      </c>
      <c r="B303" s="381">
        <v>1</v>
      </c>
      <c r="D303" s="153"/>
      <c r="E303" s="153"/>
      <c r="F303" s="153"/>
      <c r="G303" s="153"/>
      <c r="H303" s="153"/>
    </row>
    <row r="304" spans="1:8" x14ac:dyDescent="0.3">
      <c r="A304" s="376" t="s">
        <v>997</v>
      </c>
      <c r="B304" s="381">
        <v>1</v>
      </c>
      <c r="D304" s="153"/>
      <c r="E304" s="153"/>
      <c r="F304" s="153"/>
      <c r="G304" s="153"/>
      <c r="H304" s="153"/>
    </row>
    <row r="305" spans="1:8" x14ac:dyDescent="0.3">
      <c r="A305" s="376" t="s">
        <v>1007</v>
      </c>
      <c r="B305" s="381">
        <v>1</v>
      </c>
      <c r="D305" s="153"/>
      <c r="E305" s="153"/>
      <c r="F305" s="153"/>
      <c r="G305" s="153"/>
      <c r="H305" s="153"/>
    </row>
    <row r="306" spans="1:8" x14ac:dyDescent="0.3">
      <c r="A306" s="376" t="s">
        <v>1052</v>
      </c>
      <c r="B306" s="381">
        <v>1</v>
      </c>
      <c r="D306" s="153"/>
      <c r="E306" s="153"/>
      <c r="F306" s="153"/>
      <c r="G306" s="153"/>
      <c r="H306" s="153"/>
    </row>
    <row r="307" spans="1:8" x14ac:dyDescent="0.3">
      <c r="A307" s="376" t="s">
        <v>1039</v>
      </c>
      <c r="B307" s="381">
        <v>1</v>
      </c>
      <c r="D307" s="153"/>
      <c r="E307" s="153"/>
      <c r="F307" s="153"/>
      <c r="G307" s="153"/>
      <c r="H307" s="153"/>
    </row>
    <row r="308" spans="1:8" x14ac:dyDescent="0.3">
      <c r="A308" s="376" t="s">
        <v>1046</v>
      </c>
      <c r="B308" s="381">
        <v>1</v>
      </c>
      <c r="D308" s="153"/>
      <c r="E308" s="153"/>
      <c r="F308" s="153"/>
      <c r="G308" s="153"/>
      <c r="H308" s="153"/>
    </row>
    <row r="309" spans="1:8" x14ac:dyDescent="0.3">
      <c r="A309" s="376" t="s">
        <v>1059</v>
      </c>
      <c r="B309" s="381">
        <v>1</v>
      </c>
      <c r="D309" s="153"/>
      <c r="E309" s="153"/>
      <c r="F309" s="153"/>
      <c r="G309" s="153"/>
      <c r="H309" s="153"/>
    </row>
    <row r="310" spans="1:8" x14ac:dyDescent="0.3">
      <c r="A310" s="376" t="s">
        <v>1065</v>
      </c>
      <c r="B310" s="381">
        <v>1</v>
      </c>
      <c r="D310" s="153"/>
      <c r="E310" s="153"/>
      <c r="F310" s="153"/>
      <c r="G310" s="153"/>
      <c r="H310" s="153"/>
    </row>
    <row r="311" spans="1:8" x14ac:dyDescent="0.3">
      <c r="A311" s="376" t="s">
        <v>1041</v>
      </c>
      <c r="B311" s="381">
        <v>1</v>
      </c>
      <c r="D311" s="153"/>
      <c r="E311" s="153"/>
      <c r="F311" s="153"/>
      <c r="G311" s="153"/>
      <c r="H311" s="153"/>
    </row>
    <row r="312" spans="1:8" x14ac:dyDescent="0.3">
      <c r="A312" s="376" t="s">
        <v>1050</v>
      </c>
      <c r="B312" s="381">
        <v>1</v>
      </c>
      <c r="D312" s="153"/>
      <c r="E312" s="153"/>
      <c r="F312" s="153"/>
      <c r="G312" s="153"/>
      <c r="H312" s="153"/>
    </row>
    <row r="313" spans="1:8" x14ac:dyDescent="0.3">
      <c r="A313" s="376" t="s">
        <v>1054</v>
      </c>
      <c r="B313" s="381">
        <v>1</v>
      </c>
      <c r="D313" s="153"/>
      <c r="E313" s="153"/>
      <c r="F313" s="153"/>
      <c r="G313" s="153"/>
      <c r="H313" s="153"/>
    </row>
    <row r="314" spans="1:8" x14ac:dyDescent="0.3">
      <c r="A314" s="376" t="s">
        <v>1056</v>
      </c>
      <c r="B314" s="381">
        <v>1</v>
      </c>
      <c r="D314" s="153"/>
      <c r="E314" s="153"/>
      <c r="F314" s="153"/>
      <c r="G314" s="153"/>
      <c r="H314" s="153"/>
    </row>
    <row r="315" spans="1:8" x14ac:dyDescent="0.3">
      <c r="A315" s="376" t="s">
        <v>1061</v>
      </c>
      <c r="B315" s="381">
        <v>1</v>
      </c>
      <c r="D315" s="153"/>
      <c r="E315" s="153"/>
      <c r="F315" s="153"/>
      <c r="G315" s="153"/>
      <c r="H315" s="153"/>
    </row>
    <row r="316" spans="1:8" x14ac:dyDescent="0.3">
      <c r="A316" s="376" t="s">
        <v>865</v>
      </c>
      <c r="B316" s="381">
        <v>1</v>
      </c>
      <c r="D316" s="153"/>
      <c r="E316" s="153"/>
      <c r="F316" s="153"/>
      <c r="G316" s="153"/>
      <c r="H316" s="153"/>
    </row>
    <row r="317" spans="1:8" x14ac:dyDescent="0.3">
      <c r="A317" s="376" t="s">
        <v>869</v>
      </c>
      <c r="B317" s="381">
        <v>1</v>
      </c>
      <c r="D317" s="153"/>
      <c r="E317" s="153"/>
      <c r="F317" s="153"/>
      <c r="G317" s="153"/>
      <c r="H317" s="153"/>
    </row>
    <row r="318" spans="1:8" x14ac:dyDescent="0.3">
      <c r="A318" s="376" t="s">
        <v>873</v>
      </c>
      <c r="B318" s="381">
        <v>1</v>
      </c>
      <c r="D318" s="153"/>
      <c r="E318" s="153"/>
      <c r="F318" s="153"/>
      <c r="G318" s="153"/>
      <c r="H318" s="153"/>
    </row>
    <row r="319" spans="1:8" x14ac:dyDescent="0.3">
      <c r="A319" s="376" t="s">
        <v>877</v>
      </c>
      <c r="B319" s="381">
        <v>1</v>
      </c>
      <c r="D319" s="153"/>
      <c r="E319" s="153"/>
      <c r="F319" s="153"/>
      <c r="G319" s="153"/>
      <c r="H319" s="153"/>
    </row>
    <row r="320" spans="1:8" x14ac:dyDescent="0.3">
      <c r="A320" s="376" t="s">
        <v>881</v>
      </c>
      <c r="B320" s="381">
        <v>1</v>
      </c>
      <c r="D320" s="153"/>
      <c r="E320" s="153"/>
      <c r="F320" s="153"/>
      <c r="G320" s="153"/>
      <c r="H320" s="153"/>
    </row>
    <row r="321" spans="1:8" x14ac:dyDescent="0.3">
      <c r="A321" s="376" t="s">
        <v>888</v>
      </c>
      <c r="B321" s="381">
        <v>1</v>
      </c>
      <c r="D321" s="153"/>
      <c r="E321" s="153"/>
      <c r="F321" s="153"/>
      <c r="G321" s="153"/>
      <c r="H321" s="153"/>
    </row>
    <row r="322" spans="1:8" x14ac:dyDescent="0.3">
      <c r="A322" s="376" t="s">
        <v>458</v>
      </c>
      <c r="B322" s="381">
        <v>1</v>
      </c>
      <c r="D322" s="153"/>
      <c r="E322" s="153"/>
      <c r="F322" s="153"/>
      <c r="G322" s="153"/>
      <c r="H322" s="153"/>
    </row>
    <row r="323" spans="1:8" x14ac:dyDescent="0.3">
      <c r="A323" s="376" t="s">
        <v>474</v>
      </c>
      <c r="B323" s="381">
        <v>1</v>
      </c>
      <c r="D323" s="153"/>
      <c r="E323" s="153"/>
      <c r="F323" s="153"/>
      <c r="G323" s="153"/>
      <c r="H323" s="153"/>
    </row>
    <row r="324" spans="1:8" x14ac:dyDescent="0.3">
      <c r="A324" s="376" t="s">
        <v>483</v>
      </c>
      <c r="B324" s="381">
        <v>1</v>
      </c>
      <c r="D324" s="153"/>
      <c r="E324" s="153"/>
      <c r="F324" s="153"/>
      <c r="G324" s="153"/>
      <c r="H324" s="153"/>
    </row>
    <row r="325" spans="1:8" x14ac:dyDescent="0.3">
      <c r="A325" s="376" t="s">
        <v>485</v>
      </c>
      <c r="B325" s="381">
        <v>1</v>
      </c>
      <c r="D325" s="153"/>
      <c r="E325" s="153"/>
      <c r="F325" s="153"/>
      <c r="G325" s="153"/>
      <c r="H325" s="153"/>
    </row>
    <row r="326" spans="1:8" x14ac:dyDescent="0.3">
      <c r="A326" s="376" t="s">
        <v>450</v>
      </c>
      <c r="B326" s="381">
        <v>1</v>
      </c>
      <c r="D326" s="153"/>
      <c r="E326" s="153"/>
      <c r="F326" s="153"/>
      <c r="G326" s="153"/>
      <c r="H326" s="153"/>
    </row>
    <row r="327" spans="1:8" x14ac:dyDescent="0.3">
      <c r="A327" s="376" t="s">
        <v>454</v>
      </c>
      <c r="B327" s="381">
        <v>1</v>
      </c>
      <c r="D327" s="153"/>
      <c r="E327" s="153"/>
      <c r="F327" s="153"/>
      <c r="G327" s="153"/>
      <c r="H327" s="153"/>
    </row>
    <row r="328" spans="1:8" x14ac:dyDescent="0.3">
      <c r="A328" s="376" t="s">
        <v>487</v>
      </c>
      <c r="B328" s="381">
        <v>1</v>
      </c>
      <c r="D328" s="153"/>
      <c r="E328" s="153"/>
      <c r="F328" s="153"/>
      <c r="G328" s="153"/>
      <c r="H328" s="153"/>
    </row>
    <row r="329" spans="1:8" x14ac:dyDescent="0.3">
      <c r="A329" s="376" t="s">
        <v>499</v>
      </c>
      <c r="B329" s="381">
        <v>1</v>
      </c>
      <c r="D329" s="153"/>
      <c r="E329" s="153"/>
      <c r="F329" s="153"/>
      <c r="G329" s="153"/>
      <c r="H329" s="153"/>
    </row>
    <row r="330" spans="1:8" x14ac:dyDescent="0.3">
      <c r="A330" s="376" t="s">
        <v>501</v>
      </c>
      <c r="B330" s="381">
        <v>1</v>
      </c>
      <c r="D330" s="153"/>
      <c r="E330" s="153"/>
      <c r="F330" s="153"/>
      <c r="G330" s="153"/>
      <c r="H330" s="153"/>
    </row>
    <row r="331" spans="1:8" x14ac:dyDescent="0.3">
      <c r="A331" s="376" t="s">
        <v>503</v>
      </c>
      <c r="B331" s="381">
        <v>1</v>
      </c>
      <c r="D331" s="153"/>
      <c r="E331" s="153"/>
      <c r="F331" s="153"/>
      <c r="G331" s="153"/>
      <c r="H331" s="153"/>
    </row>
    <row r="332" spans="1:8" x14ac:dyDescent="0.3">
      <c r="A332" s="376" t="s">
        <v>497</v>
      </c>
      <c r="B332" s="381">
        <v>1</v>
      </c>
      <c r="D332" s="153"/>
      <c r="E332" s="153"/>
      <c r="F332" s="153"/>
      <c r="G332" s="153"/>
      <c r="H332" s="153"/>
    </row>
    <row r="333" spans="1:8" x14ac:dyDescent="0.3">
      <c r="A333" s="376" t="s">
        <v>476</v>
      </c>
      <c r="B333" s="381">
        <v>1</v>
      </c>
      <c r="D333" s="153"/>
      <c r="E333" s="153"/>
      <c r="F333" s="153"/>
      <c r="G333" s="153"/>
      <c r="H333" s="153"/>
    </row>
    <row r="334" spans="1:8" x14ac:dyDescent="0.3">
      <c r="A334" s="376" t="s">
        <v>931</v>
      </c>
      <c r="B334" s="381">
        <v>1</v>
      </c>
      <c r="D334" s="153"/>
      <c r="E334" s="153"/>
      <c r="F334" s="153"/>
      <c r="G334" s="153"/>
      <c r="H334" s="153"/>
    </row>
    <row r="335" spans="1:8" x14ac:dyDescent="0.3">
      <c r="A335" s="376" t="s">
        <v>937</v>
      </c>
      <c r="B335" s="381">
        <v>1</v>
      </c>
      <c r="D335" s="153"/>
      <c r="E335" s="153"/>
      <c r="F335" s="153"/>
      <c r="G335" s="153"/>
      <c r="H335" s="153"/>
    </row>
    <row r="336" spans="1:8" x14ac:dyDescent="0.3">
      <c r="A336" s="376" t="s">
        <v>935</v>
      </c>
      <c r="B336" s="381">
        <v>1</v>
      </c>
      <c r="D336" s="153"/>
      <c r="E336" s="153"/>
      <c r="F336" s="153"/>
      <c r="G336" s="153"/>
      <c r="H336" s="153"/>
    </row>
    <row r="337" spans="1:8" x14ac:dyDescent="0.3">
      <c r="A337" s="376" t="s">
        <v>939</v>
      </c>
      <c r="B337" s="381">
        <v>1</v>
      </c>
      <c r="D337" s="153"/>
      <c r="E337" s="153"/>
      <c r="F337" s="153"/>
      <c r="G337" s="153"/>
      <c r="H337" s="153"/>
    </row>
    <row r="338" spans="1:8" x14ac:dyDescent="0.3">
      <c r="A338" s="376" t="s">
        <v>941</v>
      </c>
      <c r="B338" s="381">
        <v>1</v>
      </c>
      <c r="D338" s="153"/>
      <c r="E338" s="153"/>
      <c r="F338" s="153"/>
      <c r="G338" s="153"/>
      <c r="H338" s="153"/>
    </row>
    <row r="339" spans="1:8" x14ac:dyDescent="0.3">
      <c r="A339" s="376" t="s">
        <v>948</v>
      </c>
      <c r="B339" s="381">
        <v>1</v>
      </c>
      <c r="D339" s="153"/>
      <c r="E339" s="153"/>
      <c r="F339" s="153"/>
      <c r="G339" s="153"/>
      <c r="H339" s="153"/>
    </row>
    <row r="340" spans="1:8" x14ac:dyDescent="0.3">
      <c r="A340" s="376" t="s">
        <v>954</v>
      </c>
      <c r="B340" s="381">
        <v>1</v>
      </c>
      <c r="D340" s="153"/>
      <c r="E340" s="153"/>
      <c r="F340" s="153"/>
      <c r="G340" s="153"/>
      <c r="H340" s="153"/>
    </row>
    <row r="341" spans="1:8" x14ac:dyDescent="0.3">
      <c r="A341" s="376" t="s">
        <v>964</v>
      </c>
      <c r="B341" s="381">
        <v>1</v>
      </c>
      <c r="D341" s="153"/>
      <c r="E341" s="153"/>
      <c r="F341" s="153"/>
      <c r="G341" s="153"/>
      <c r="H341" s="153"/>
    </row>
    <row r="342" spans="1:8" x14ac:dyDescent="0.3">
      <c r="A342" s="376" t="s">
        <v>969</v>
      </c>
      <c r="B342" s="381">
        <v>1</v>
      </c>
      <c r="D342" s="153"/>
      <c r="E342" s="153"/>
      <c r="F342" s="153"/>
      <c r="G342" s="153"/>
      <c r="H342" s="153"/>
    </row>
    <row r="343" spans="1:8" x14ac:dyDescent="0.3">
      <c r="A343" s="376" t="s">
        <v>974</v>
      </c>
      <c r="B343" s="381">
        <v>1</v>
      </c>
      <c r="D343" s="153"/>
      <c r="E343" s="153"/>
      <c r="F343" s="153"/>
      <c r="G343" s="153"/>
      <c r="H343" s="153"/>
    </row>
    <row r="344" spans="1:8" x14ac:dyDescent="0.3">
      <c r="A344" s="376" t="s">
        <v>1070</v>
      </c>
      <c r="B344" s="381">
        <v>1</v>
      </c>
      <c r="D344" s="153"/>
      <c r="E344" s="153"/>
      <c r="F344" s="153"/>
      <c r="G344" s="153"/>
      <c r="H344" s="153"/>
    </row>
    <row r="345" spans="1:8" x14ac:dyDescent="0.3">
      <c r="A345" s="376" t="s">
        <v>1072</v>
      </c>
      <c r="B345" s="381">
        <v>1</v>
      </c>
      <c r="D345" s="153"/>
      <c r="E345" s="153"/>
      <c r="F345" s="153"/>
      <c r="G345" s="153"/>
      <c r="H345" s="153"/>
    </row>
    <row r="346" spans="1:8" x14ac:dyDescent="0.3">
      <c r="A346" s="376" t="s">
        <v>1005</v>
      </c>
      <c r="B346" s="381">
        <v>1</v>
      </c>
      <c r="D346" s="153"/>
      <c r="E346" s="153"/>
      <c r="F346" s="153"/>
      <c r="G346" s="153"/>
      <c r="H346" s="153"/>
    </row>
    <row r="347" spans="1:8" x14ac:dyDescent="0.3">
      <c r="A347" s="376" t="s">
        <v>861</v>
      </c>
      <c r="B347" s="381">
        <v>1</v>
      </c>
      <c r="D347" s="153"/>
      <c r="E347" s="153"/>
      <c r="F347" s="153"/>
      <c r="G347" s="153"/>
      <c r="H347" s="153"/>
    </row>
    <row r="348" spans="1:8" x14ac:dyDescent="0.3">
      <c r="A348" s="376" t="s">
        <v>863</v>
      </c>
      <c r="B348" s="381">
        <v>1</v>
      </c>
      <c r="D348" s="153"/>
      <c r="E348" s="153"/>
      <c r="F348" s="153"/>
      <c r="G348" s="153"/>
      <c r="H348" s="153"/>
    </row>
    <row r="349" spans="1:8" x14ac:dyDescent="0.3">
      <c r="A349" s="376" t="s">
        <v>867</v>
      </c>
      <c r="B349" s="381">
        <v>1</v>
      </c>
      <c r="D349" s="153"/>
      <c r="E349" s="153"/>
      <c r="F349" s="153"/>
      <c r="G349" s="153"/>
      <c r="H349" s="153"/>
    </row>
    <row r="350" spans="1:8" x14ac:dyDescent="0.3">
      <c r="A350" s="376" t="s">
        <v>871</v>
      </c>
      <c r="B350" s="381">
        <v>1</v>
      </c>
      <c r="D350" s="153"/>
      <c r="E350" s="153"/>
      <c r="F350" s="153"/>
      <c r="G350" s="153"/>
      <c r="H350" s="153"/>
    </row>
    <row r="351" spans="1:8" x14ac:dyDescent="0.3">
      <c r="A351" s="376" t="s">
        <v>875</v>
      </c>
      <c r="B351" s="381">
        <v>1</v>
      </c>
      <c r="D351" s="153"/>
      <c r="E351" s="153"/>
      <c r="F351" s="153"/>
      <c r="G351" s="153"/>
      <c r="H351" s="153"/>
    </row>
    <row r="352" spans="1:8" x14ac:dyDescent="0.3">
      <c r="A352" s="376" t="s">
        <v>879</v>
      </c>
      <c r="B352" s="381">
        <v>1</v>
      </c>
      <c r="D352" s="153"/>
      <c r="E352" s="153"/>
      <c r="F352" s="153"/>
      <c r="G352" s="153"/>
      <c r="H352" s="153"/>
    </row>
    <row r="353" spans="1:8" x14ac:dyDescent="0.3">
      <c r="A353" s="376" t="s">
        <v>468</v>
      </c>
      <c r="B353" s="381">
        <v>1</v>
      </c>
      <c r="D353" s="153"/>
      <c r="E353" s="153"/>
      <c r="F353" s="153"/>
      <c r="G353" s="153"/>
      <c r="H353" s="153"/>
    </row>
    <row r="354" spans="1:8" x14ac:dyDescent="0.3">
      <c r="A354" s="376" t="s">
        <v>479</v>
      </c>
      <c r="B354" s="381">
        <v>1</v>
      </c>
      <c r="D354" s="153"/>
      <c r="E354" s="153"/>
      <c r="F354" s="153"/>
      <c r="G354" s="153"/>
      <c r="H354" s="153"/>
    </row>
    <row r="355" spans="1:8" x14ac:dyDescent="0.3">
      <c r="A355" s="376" t="s">
        <v>481</v>
      </c>
      <c r="B355" s="381">
        <v>1</v>
      </c>
      <c r="D355" s="153"/>
      <c r="E355" s="153"/>
      <c r="F355" s="153"/>
      <c r="G355" s="153"/>
      <c r="H355" s="153"/>
    </row>
    <row r="356" spans="1:8" x14ac:dyDescent="0.3">
      <c r="A356" s="376" t="s">
        <v>489</v>
      </c>
      <c r="B356" s="381">
        <v>1</v>
      </c>
      <c r="D356" s="153"/>
      <c r="E356" s="153"/>
      <c r="F356" s="153"/>
      <c r="G356" s="153"/>
      <c r="H356" s="153"/>
    </row>
    <row r="357" spans="1:8" x14ac:dyDescent="0.3">
      <c r="A357" s="376" t="s">
        <v>464</v>
      </c>
      <c r="B357" s="381">
        <v>1</v>
      </c>
      <c r="D357" s="153"/>
      <c r="E357" s="153"/>
      <c r="F357" s="153"/>
      <c r="G357" s="153"/>
      <c r="H357" s="153"/>
    </row>
    <row r="358" spans="1:8" x14ac:dyDescent="0.3">
      <c r="A358" s="376" t="s">
        <v>491</v>
      </c>
      <c r="B358" s="381">
        <v>1</v>
      </c>
      <c r="D358" s="153"/>
      <c r="E358" s="153"/>
      <c r="F358" s="153"/>
      <c r="G358" s="153"/>
      <c r="H358" s="153"/>
    </row>
    <row r="359" spans="1:8" x14ac:dyDescent="0.3">
      <c r="A359" s="376" t="s">
        <v>493</v>
      </c>
      <c r="B359" s="381">
        <v>1</v>
      </c>
      <c r="D359" s="153"/>
      <c r="E359" s="153"/>
      <c r="F359" s="153"/>
      <c r="G359" s="153"/>
      <c r="H359" s="153"/>
    </row>
    <row r="360" spans="1:8" x14ac:dyDescent="0.3">
      <c r="A360" s="376" t="s">
        <v>495</v>
      </c>
      <c r="B360" s="381">
        <v>1</v>
      </c>
      <c r="D360" s="153"/>
      <c r="E360" s="153"/>
      <c r="F360" s="153"/>
      <c r="G360" s="153"/>
      <c r="H360" s="153"/>
    </row>
    <row r="361" spans="1:8" x14ac:dyDescent="0.3">
      <c r="A361" s="376" t="s">
        <v>472</v>
      </c>
      <c r="B361" s="381">
        <v>1</v>
      </c>
      <c r="D361" s="153"/>
      <c r="E361" s="153"/>
      <c r="F361" s="153"/>
      <c r="G361" s="153"/>
      <c r="H361" s="153"/>
    </row>
    <row r="362" spans="1:8" x14ac:dyDescent="0.3">
      <c r="A362" s="376" t="s">
        <v>460</v>
      </c>
      <c r="B362" s="381">
        <v>1</v>
      </c>
      <c r="D362" s="153"/>
      <c r="E362" s="153"/>
      <c r="F362" s="153"/>
      <c r="G362" s="153"/>
      <c r="H362" s="153"/>
    </row>
    <row r="363" spans="1:8" x14ac:dyDescent="0.3">
      <c r="A363" s="376" t="s">
        <v>933</v>
      </c>
      <c r="B363" s="381">
        <v>1</v>
      </c>
      <c r="D363" s="153"/>
      <c r="E363" s="153"/>
      <c r="F363" s="153"/>
      <c r="G363" s="153"/>
      <c r="H363" s="153"/>
    </row>
    <row r="364" spans="1:8" x14ac:dyDescent="0.3">
      <c r="A364" s="376" t="s">
        <v>347</v>
      </c>
      <c r="B364" s="381">
        <v>1</v>
      </c>
      <c r="D364" s="153"/>
      <c r="E364" s="153"/>
      <c r="F364" s="153"/>
      <c r="G364" s="153"/>
      <c r="H364" s="153"/>
    </row>
    <row r="365" spans="1:8" x14ac:dyDescent="0.3">
      <c r="A365" s="376" t="s">
        <v>321</v>
      </c>
      <c r="B365" s="381">
        <v>1</v>
      </c>
      <c r="D365" s="153"/>
      <c r="E365" s="153"/>
      <c r="F365" s="153"/>
      <c r="G365" s="153"/>
      <c r="H365" s="153"/>
    </row>
    <row r="366" spans="1:8" x14ac:dyDescent="0.3">
      <c r="A366" s="376" t="s">
        <v>2916</v>
      </c>
      <c r="B366" s="381">
        <v>1</v>
      </c>
      <c r="D366" s="153"/>
      <c r="E366" s="153"/>
      <c r="F366" s="153"/>
      <c r="G366" s="153"/>
      <c r="H366" s="153"/>
    </row>
    <row r="367" spans="1:8" x14ac:dyDescent="0.3">
      <c r="A367" s="376" t="s">
        <v>514</v>
      </c>
      <c r="B367" s="381">
        <v>1</v>
      </c>
      <c r="D367" s="153"/>
      <c r="E367" s="153"/>
      <c r="F367" s="153"/>
      <c r="G367" s="153"/>
      <c r="H367" s="153"/>
    </row>
    <row r="368" spans="1:8" x14ac:dyDescent="0.3">
      <c r="A368" s="376" t="s">
        <v>814</v>
      </c>
      <c r="B368" s="381">
        <v>1</v>
      </c>
      <c r="D368" s="153"/>
      <c r="E368" s="153"/>
      <c r="F368" s="153"/>
      <c r="G368" s="153"/>
      <c r="H368" s="153"/>
    </row>
    <row r="369" spans="1:8" x14ac:dyDescent="0.3">
      <c r="A369" s="376" t="s">
        <v>816</v>
      </c>
      <c r="B369" s="381">
        <v>1</v>
      </c>
      <c r="D369" s="153"/>
      <c r="E369" s="153"/>
      <c r="F369" s="153"/>
      <c r="G369" s="153"/>
      <c r="H369" s="153"/>
    </row>
    <row r="370" spans="1:8" x14ac:dyDescent="0.3">
      <c r="A370" s="376" t="s">
        <v>1093</v>
      </c>
      <c r="B370" s="381">
        <v>1</v>
      </c>
      <c r="D370" s="153"/>
      <c r="E370" s="153"/>
      <c r="F370" s="153"/>
      <c r="G370" s="153"/>
      <c r="H370" s="153"/>
    </row>
    <row r="371" spans="1:8" x14ac:dyDescent="0.3">
      <c r="A371" s="376" t="s">
        <v>1074</v>
      </c>
      <c r="B371" s="381">
        <v>1</v>
      </c>
      <c r="D371" s="153"/>
      <c r="E371" s="153"/>
      <c r="F371" s="153"/>
      <c r="G371" s="153"/>
      <c r="H371" s="153"/>
    </row>
    <row r="372" spans="1:8" x14ac:dyDescent="0.3">
      <c r="A372" s="376" t="s">
        <v>1082</v>
      </c>
      <c r="B372" s="381">
        <v>1</v>
      </c>
      <c r="D372" s="153"/>
      <c r="E372" s="153"/>
      <c r="F372" s="153"/>
      <c r="G372" s="153"/>
      <c r="H372" s="153"/>
    </row>
    <row r="373" spans="1:8" x14ac:dyDescent="0.3">
      <c r="A373" s="376" t="s">
        <v>1099</v>
      </c>
      <c r="B373" s="381">
        <v>1</v>
      </c>
      <c r="D373" s="153"/>
      <c r="E373" s="153"/>
      <c r="F373" s="153"/>
      <c r="G373" s="153"/>
      <c r="H373" s="153"/>
    </row>
    <row r="374" spans="1:8" x14ac:dyDescent="0.3">
      <c r="A374" s="376" t="s">
        <v>592</v>
      </c>
      <c r="B374" s="381">
        <v>1</v>
      </c>
      <c r="D374" s="153"/>
      <c r="E374" s="153"/>
      <c r="F374" s="153"/>
      <c r="G374" s="153"/>
      <c r="H374" s="153"/>
    </row>
    <row r="375" spans="1:8" x14ac:dyDescent="0.3">
      <c r="A375" s="376" t="s">
        <v>522</v>
      </c>
      <c r="B375" s="381">
        <v>1</v>
      </c>
      <c r="D375" s="153"/>
      <c r="E375" s="153"/>
      <c r="F375" s="153"/>
      <c r="G375" s="153"/>
      <c r="H375" s="153"/>
    </row>
    <row r="376" spans="1:8" x14ac:dyDescent="0.3">
      <c r="A376" s="376" t="s">
        <v>555</v>
      </c>
      <c r="B376" s="381">
        <v>1</v>
      </c>
      <c r="D376" s="153"/>
      <c r="E376" s="153"/>
      <c r="F376" s="153"/>
      <c r="G376" s="153"/>
      <c r="H376" s="153"/>
    </row>
    <row r="377" spans="1:8" x14ac:dyDescent="0.3">
      <c r="A377" s="376" t="s">
        <v>537</v>
      </c>
      <c r="B377" s="381">
        <v>1</v>
      </c>
      <c r="D377" s="153"/>
      <c r="E377" s="153"/>
      <c r="F377" s="153"/>
      <c r="G377" s="153"/>
      <c r="H377" s="153"/>
    </row>
    <row r="378" spans="1:8" x14ac:dyDescent="0.3">
      <c r="A378" s="376" t="s">
        <v>518</v>
      </c>
      <c r="B378" s="381">
        <v>1</v>
      </c>
      <c r="D378" s="153"/>
      <c r="E378" s="153"/>
      <c r="F378" s="153"/>
      <c r="G378" s="153"/>
      <c r="H378" s="153"/>
    </row>
    <row r="379" spans="1:8" x14ac:dyDescent="0.3">
      <c r="A379" s="376" t="s">
        <v>564</v>
      </c>
      <c r="B379" s="381">
        <v>1</v>
      </c>
      <c r="D379" s="153"/>
      <c r="E379" s="153"/>
      <c r="F379" s="153"/>
      <c r="G379" s="153"/>
      <c r="H379" s="153"/>
    </row>
    <row r="380" spans="1:8" x14ac:dyDescent="0.3">
      <c r="A380" s="376" t="s">
        <v>569</v>
      </c>
      <c r="B380" s="381">
        <v>1</v>
      </c>
      <c r="D380" s="153"/>
      <c r="E380" s="153"/>
      <c r="F380" s="153"/>
      <c r="G380" s="153"/>
      <c r="H380" s="153"/>
    </row>
    <row r="381" spans="1:8" x14ac:dyDescent="0.3">
      <c r="A381" s="376" t="s">
        <v>544</v>
      </c>
      <c r="B381" s="381">
        <v>1</v>
      </c>
      <c r="D381" s="153"/>
      <c r="E381" s="153"/>
      <c r="F381" s="153"/>
      <c r="G381" s="153"/>
      <c r="H381" s="153"/>
    </row>
    <row r="382" spans="1:8" x14ac:dyDescent="0.3">
      <c r="A382" s="376" t="s">
        <v>1078</v>
      </c>
      <c r="B382" s="381">
        <v>1</v>
      </c>
      <c r="D382" s="153"/>
      <c r="E382" s="153"/>
      <c r="F382" s="153"/>
      <c r="G382" s="153"/>
      <c r="H382" s="153"/>
    </row>
    <row r="383" spans="1:8" x14ac:dyDescent="0.3">
      <c r="A383" s="376" t="s">
        <v>2926</v>
      </c>
      <c r="B383" s="381">
        <v>1</v>
      </c>
      <c r="D383" s="153"/>
      <c r="E383" s="153"/>
      <c r="F383" s="153"/>
      <c r="G383" s="153"/>
      <c r="H383" s="153"/>
    </row>
    <row r="384" spans="1:8" x14ac:dyDescent="0.3">
      <c r="A384" s="376" t="s">
        <v>206</v>
      </c>
      <c r="B384" s="381">
        <v>1</v>
      </c>
      <c r="D384" s="153"/>
      <c r="E384" s="153"/>
      <c r="F384" s="153"/>
      <c r="G384" s="153"/>
      <c r="H384" s="153"/>
    </row>
    <row r="385" spans="1:8" x14ac:dyDescent="0.3">
      <c r="A385" s="376" t="s">
        <v>575</v>
      </c>
      <c r="B385" s="381">
        <v>1</v>
      </c>
      <c r="D385" s="153"/>
      <c r="E385" s="153"/>
      <c r="F385" s="153"/>
      <c r="G385" s="153"/>
      <c r="H385" s="153"/>
    </row>
    <row r="386" spans="1:8" x14ac:dyDescent="0.3">
      <c r="A386" s="376" t="s">
        <v>1088</v>
      </c>
      <c r="B386" s="381">
        <v>1</v>
      </c>
      <c r="D386" s="153"/>
      <c r="E386" s="153"/>
      <c r="F386" s="153"/>
      <c r="G386" s="153"/>
      <c r="H386" s="153"/>
    </row>
    <row r="387" spans="1:8" x14ac:dyDescent="0.3">
      <c r="A387" s="376" t="s">
        <v>580</v>
      </c>
      <c r="B387" s="381">
        <v>1</v>
      </c>
      <c r="D387" s="153"/>
      <c r="E387" s="153"/>
      <c r="F387" s="153"/>
      <c r="G387" s="153"/>
      <c r="H387" s="153"/>
    </row>
    <row r="388" spans="1:8" x14ac:dyDescent="0.3">
      <c r="A388" s="376" t="s">
        <v>560</v>
      </c>
      <c r="B388" s="381">
        <v>1</v>
      </c>
      <c r="D388" s="153"/>
      <c r="E388" s="153"/>
      <c r="F388" s="153"/>
      <c r="G388" s="153"/>
      <c r="H388" s="153"/>
    </row>
    <row r="389" spans="1:8" x14ac:dyDescent="0.3">
      <c r="A389" s="376" t="s">
        <v>550</v>
      </c>
      <c r="B389" s="381">
        <v>1</v>
      </c>
      <c r="D389" s="153"/>
      <c r="E389" s="153"/>
      <c r="F389" s="153"/>
      <c r="G389" s="153"/>
      <c r="H389" s="153"/>
    </row>
    <row r="390" spans="1:8" x14ac:dyDescent="0.3">
      <c r="A390" s="376" t="s">
        <v>528</v>
      </c>
      <c r="B390" s="381">
        <v>1</v>
      </c>
      <c r="D390" s="153"/>
      <c r="E390" s="153"/>
      <c r="F390" s="153"/>
      <c r="G390" s="153"/>
      <c r="H390" s="153"/>
    </row>
    <row r="391" spans="1:8" x14ac:dyDescent="0.3">
      <c r="A391" s="376" t="s">
        <v>533</v>
      </c>
      <c r="B391" s="381">
        <v>1</v>
      </c>
      <c r="D391" s="153"/>
      <c r="E391" s="153"/>
      <c r="F391" s="153"/>
      <c r="G391" s="153"/>
      <c r="H391" s="153"/>
    </row>
    <row r="392" spans="1:8" x14ac:dyDescent="0.3">
      <c r="A392" s="376" t="s">
        <v>586</v>
      </c>
      <c r="B392" s="381">
        <v>1</v>
      </c>
      <c r="D392" s="153"/>
      <c r="E392" s="153"/>
      <c r="F392" s="153"/>
      <c r="G392" s="153"/>
      <c r="H392" s="153"/>
    </row>
    <row r="393" spans="1:8" x14ac:dyDescent="0.3">
      <c r="A393" s="376" t="s">
        <v>1017</v>
      </c>
      <c r="B393" s="381">
        <v>1</v>
      </c>
      <c r="D393" s="153"/>
      <c r="E393" s="153"/>
      <c r="F393" s="153"/>
      <c r="G393" s="153"/>
      <c r="H393" s="153"/>
    </row>
    <row r="394" spans="1:8" x14ac:dyDescent="0.3">
      <c r="A394" s="376" t="s">
        <v>981</v>
      </c>
      <c r="B394" s="381">
        <v>1</v>
      </c>
      <c r="D394" s="153"/>
      <c r="E394" s="153"/>
      <c r="F394" s="153"/>
      <c r="G394" s="153"/>
      <c r="H394" s="153"/>
    </row>
    <row r="395" spans="1:8" x14ac:dyDescent="0.3">
      <c r="A395" s="376" t="s">
        <v>1009</v>
      </c>
      <c r="B395" s="381">
        <v>1</v>
      </c>
      <c r="D395" s="153"/>
      <c r="E395" s="153"/>
      <c r="F395" s="153"/>
      <c r="G395" s="153"/>
      <c r="H395" s="153"/>
    </row>
    <row r="396" spans="1:8" x14ac:dyDescent="0.3">
      <c r="A396" s="376" t="s">
        <v>505</v>
      </c>
      <c r="B396" s="381">
        <v>1</v>
      </c>
      <c r="D396" s="153"/>
      <c r="E396" s="153"/>
      <c r="F396" s="153"/>
      <c r="G396" s="153"/>
      <c r="H396" s="153"/>
    </row>
    <row r="397" spans="1:8" x14ac:dyDescent="0.3">
      <c r="A397" s="376" t="s">
        <v>512</v>
      </c>
      <c r="B397" s="381">
        <v>1</v>
      </c>
      <c r="D397" s="153"/>
      <c r="E397" s="153"/>
      <c r="F397" s="153"/>
      <c r="G397" s="153"/>
      <c r="H397" s="153"/>
    </row>
    <row r="398" spans="1:8" x14ac:dyDescent="0.3">
      <c r="A398" s="376" t="s">
        <v>1021</v>
      </c>
      <c r="B398" s="381">
        <v>1</v>
      </c>
      <c r="D398" s="153"/>
      <c r="E398" s="153"/>
      <c r="F398" s="153"/>
      <c r="G398" s="153"/>
      <c r="H398" s="153"/>
    </row>
    <row r="399" spans="1:8" x14ac:dyDescent="0.3">
      <c r="A399" s="376" t="s">
        <v>2918</v>
      </c>
      <c r="B399" s="381">
        <v>1</v>
      </c>
      <c r="D399" s="153"/>
      <c r="E399" s="153"/>
      <c r="F399" s="153"/>
      <c r="G399" s="153"/>
      <c r="H399" s="153"/>
    </row>
    <row r="400" spans="1:8" x14ac:dyDescent="0.3">
      <c r="A400" s="376" t="s">
        <v>387</v>
      </c>
      <c r="B400" s="381">
        <v>1</v>
      </c>
      <c r="D400" s="153"/>
      <c r="E400" s="153"/>
      <c r="F400" s="153"/>
      <c r="G400" s="153"/>
      <c r="H400" s="153"/>
    </row>
    <row r="401" spans="1:8" x14ac:dyDescent="0.3">
      <c r="A401" s="376" t="s">
        <v>773</v>
      </c>
      <c r="B401" s="381">
        <v>1</v>
      </c>
      <c r="D401" s="153"/>
      <c r="E401" s="153"/>
      <c r="F401" s="153"/>
      <c r="G401" s="153"/>
      <c r="H401" s="153"/>
    </row>
    <row r="402" spans="1:8" x14ac:dyDescent="0.3">
      <c r="A402" s="376" t="s">
        <v>1086</v>
      </c>
      <c r="B402" s="381">
        <v>1</v>
      </c>
      <c r="D402" s="153"/>
      <c r="E402" s="153"/>
      <c r="F402" s="153"/>
      <c r="G402" s="153"/>
      <c r="H402" s="153"/>
    </row>
    <row r="403" spans="1:8" x14ac:dyDescent="0.3">
      <c r="A403" s="376" t="s">
        <v>1097</v>
      </c>
      <c r="B403" s="381">
        <v>1</v>
      </c>
      <c r="D403" s="153"/>
      <c r="E403" s="153"/>
      <c r="F403" s="153"/>
      <c r="G403" s="153"/>
      <c r="H403" s="153"/>
    </row>
    <row r="404" spans="1:8" x14ac:dyDescent="0.3">
      <c r="A404" s="376" t="s">
        <v>2934</v>
      </c>
      <c r="B404" s="381">
        <v>1</v>
      </c>
      <c r="D404" s="153"/>
      <c r="E404" s="153"/>
      <c r="F404" s="153"/>
      <c r="G404" s="153"/>
      <c r="H404" s="153"/>
    </row>
    <row r="405" spans="1:8" x14ac:dyDescent="0.3">
      <c r="A405" s="376" t="s">
        <v>2935</v>
      </c>
      <c r="B405" s="381">
        <v>1</v>
      </c>
      <c r="D405" s="153"/>
      <c r="E405" s="153"/>
      <c r="F405" s="153"/>
      <c r="G405" s="153"/>
      <c r="H405" s="153"/>
    </row>
    <row r="406" spans="1:8" x14ac:dyDescent="0.3">
      <c r="A406" s="376" t="s">
        <v>3253</v>
      </c>
      <c r="B406" s="381">
        <v>1</v>
      </c>
      <c r="D406" s="153"/>
      <c r="E406" s="153"/>
      <c r="F406" s="153"/>
      <c r="G406" s="153"/>
      <c r="H406" s="153"/>
    </row>
    <row r="407" spans="1:8" x14ac:dyDescent="0.3">
      <c r="A407" s="376" t="s">
        <v>752</v>
      </c>
      <c r="B407" s="381">
        <v>1</v>
      </c>
      <c r="D407" s="153"/>
      <c r="E407" s="153"/>
      <c r="F407" s="153"/>
      <c r="G407" s="153"/>
      <c r="H407" s="153"/>
    </row>
    <row r="408" spans="1:8" x14ac:dyDescent="0.3">
      <c r="A408" s="376" t="s">
        <v>324</v>
      </c>
      <c r="B408" s="381">
        <v>1</v>
      </c>
      <c r="D408" s="153"/>
      <c r="E408" s="153"/>
      <c r="F408" s="153"/>
      <c r="G408" s="153"/>
      <c r="H408" s="153"/>
    </row>
    <row r="409" spans="1:8" x14ac:dyDescent="0.3">
      <c r="A409" s="376" t="s">
        <v>2917</v>
      </c>
      <c r="B409" s="381">
        <v>1</v>
      </c>
      <c r="D409" s="153"/>
      <c r="E409" s="153"/>
      <c r="F409" s="153"/>
      <c r="G409" s="153"/>
      <c r="H409" s="153"/>
    </row>
    <row r="410" spans="1:8" x14ac:dyDescent="0.3">
      <c r="A410" s="376" t="s">
        <v>818</v>
      </c>
      <c r="B410" s="381">
        <v>1</v>
      </c>
      <c r="D410" s="153"/>
      <c r="E410" s="153"/>
      <c r="F410" s="153"/>
      <c r="G410" s="153"/>
      <c r="H410" s="153"/>
    </row>
    <row r="411" spans="1:8" x14ac:dyDescent="0.3">
      <c r="A411" s="376" t="s">
        <v>820</v>
      </c>
      <c r="B411" s="381">
        <v>1</v>
      </c>
      <c r="D411" s="153"/>
      <c r="E411" s="153"/>
      <c r="F411" s="153"/>
      <c r="G411" s="153"/>
      <c r="H411" s="153"/>
    </row>
    <row r="412" spans="1:8" x14ac:dyDescent="0.3">
      <c r="A412" s="376" t="s">
        <v>516</v>
      </c>
      <c r="B412" s="381">
        <v>1</v>
      </c>
      <c r="D412" s="153"/>
      <c r="E412" s="153"/>
      <c r="F412" s="153"/>
      <c r="G412" s="153"/>
      <c r="H412" s="153"/>
    </row>
    <row r="413" spans="1:8" x14ac:dyDescent="0.3">
      <c r="A413" s="376" t="s">
        <v>1095</v>
      </c>
      <c r="B413" s="381">
        <v>1</v>
      </c>
      <c r="D413" s="153"/>
      <c r="E413" s="153"/>
      <c r="F413" s="153"/>
      <c r="G413" s="153"/>
      <c r="H413" s="153"/>
    </row>
    <row r="414" spans="1:8" x14ac:dyDescent="0.3">
      <c r="A414" s="376" t="s">
        <v>1076</v>
      </c>
      <c r="B414" s="381">
        <v>1</v>
      </c>
      <c r="D414" s="153"/>
      <c r="E414" s="153"/>
      <c r="F414" s="153"/>
      <c r="G414" s="153"/>
      <c r="H414" s="153"/>
    </row>
    <row r="415" spans="1:8" x14ac:dyDescent="0.3">
      <c r="A415" s="376" t="s">
        <v>1084</v>
      </c>
      <c r="B415" s="381">
        <v>1</v>
      </c>
      <c r="D415" s="153"/>
      <c r="E415" s="153"/>
      <c r="F415" s="153"/>
      <c r="G415" s="153"/>
      <c r="H415" s="153"/>
    </row>
    <row r="416" spans="1:8" x14ac:dyDescent="0.3">
      <c r="A416" s="376" t="s">
        <v>1025</v>
      </c>
      <c r="B416" s="381">
        <v>1</v>
      </c>
      <c r="D416" s="153"/>
      <c r="E416" s="153"/>
      <c r="F416" s="153"/>
      <c r="G416" s="153"/>
      <c r="H416" s="153"/>
    </row>
    <row r="417" spans="1:8" x14ac:dyDescent="0.3">
      <c r="A417" s="376" t="s">
        <v>594</v>
      </c>
      <c r="B417" s="381">
        <v>1</v>
      </c>
      <c r="D417" s="153"/>
      <c r="E417" s="153"/>
      <c r="F417" s="153"/>
      <c r="G417" s="153"/>
      <c r="H417" s="153"/>
    </row>
    <row r="418" spans="1:8" x14ac:dyDescent="0.3">
      <c r="A418" s="376" t="s">
        <v>1027</v>
      </c>
      <c r="B418" s="381">
        <v>1</v>
      </c>
      <c r="D418" s="153"/>
      <c r="E418" s="153"/>
      <c r="F418" s="153"/>
      <c r="G418" s="153"/>
      <c r="H418" s="153"/>
    </row>
    <row r="419" spans="1:8" x14ac:dyDescent="0.3">
      <c r="A419" s="376" t="s">
        <v>1030</v>
      </c>
      <c r="B419" s="381">
        <v>1</v>
      </c>
      <c r="D419" s="153"/>
      <c r="E419" s="153"/>
      <c r="F419" s="153"/>
      <c r="G419" s="153"/>
      <c r="H419" s="153"/>
    </row>
    <row r="420" spans="1:8" x14ac:dyDescent="0.3">
      <c r="A420" s="376" t="s">
        <v>1033</v>
      </c>
      <c r="B420" s="381">
        <v>1</v>
      </c>
      <c r="D420" s="153"/>
      <c r="E420" s="153"/>
      <c r="F420" s="153"/>
      <c r="G420" s="153"/>
      <c r="H420" s="153"/>
    </row>
    <row r="421" spans="1:8" x14ac:dyDescent="0.3">
      <c r="A421" s="376" t="s">
        <v>1035</v>
      </c>
      <c r="B421" s="381">
        <v>1</v>
      </c>
      <c r="D421" s="153"/>
      <c r="E421" s="153"/>
      <c r="F421" s="153"/>
      <c r="G421" s="153"/>
      <c r="H421" s="153"/>
    </row>
    <row r="422" spans="1:8" x14ac:dyDescent="0.3">
      <c r="A422" s="376" t="s">
        <v>526</v>
      </c>
      <c r="B422" s="381">
        <v>1</v>
      </c>
      <c r="D422" s="153"/>
      <c r="E422" s="153"/>
      <c r="F422" s="153"/>
      <c r="G422" s="153"/>
      <c r="H422" s="153"/>
    </row>
    <row r="423" spans="1:8" x14ac:dyDescent="0.3">
      <c r="A423" s="376" t="s">
        <v>559</v>
      </c>
      <c r="B423" s="381">
        <v>1</v>
      </c>
      <c r="D423" s="153"/>
      <c r="E423" s="153"/>
      <c r="F423" s="153"/>
      <c r="G423" s="153"/>
      <c r="H423" s="153"/>
    </row>
    <row r="424" spans="1:8" x14ac:dyDescent="0.3">
      <c r="A424" s="376" t="s">
        <v>542</v>
      </c>
      <c r="B424" s="381">
        <v>1</v>
      </c>
      <c r="D424" s="153"/>
      <c r="E424" s="153"/>
      <c r="F424" s="153"/>
      <c r="G424" s="153"/>
      <c r="H424" s="153"/>
    </row>
    <row r="425" spans="1:8" x14ac:dyDescent="0.3">
      <c r="A425" s="376" t="s">
        <v>520</v>
      </c>
      <c r="B425" s="381">
        <v>1</v>
      </c>
      <c r="D425" s="153"/>
      <c r="E425" s="153"/>
      <c r="F425" s="153"/>
      <c r="G425" s="153"/>
      <c r="H425" s="153"/>
    </row>
    <row r="426" spans="1:8" x14ac:dyDescent="0.3">
      <c r="A426" s="376" t="s">
        <v>568</v>
      </c>
      <c r="B426" s="381">
        <v>1</v>
      </c>
      <c r="D426" s="153"/>
      <c r="E426" s="153"/>
      <c r="F426" s="153"/>
      <c r="G426" s="153"/>
      <c r="H426" s="153"/>
    </row>
    <row r="427" spans="1:8" x14ac:dyDescent="0.3">
      <c r="A427" s="376" t="s">
        <v>573</v>
      </c>
      <c r="B427" s="381">
        <v>1</v>
      </c>
      <c r="D427" s="153"/>
      <c r="E427" s="153"/>
      <c r="F427" s="153"/>
      <c r="G427" s="153"/>
      <c r="H427" s="153"/>
    </row>
    <row r="428" spans="1:8" x14ac:dyDescent="0.3">
      <c r="A428" s="376" t="s">
        <v>548</v>
      </c>
      <c r="B428" s="381">
        <v>1</v>
      </c>
      <c r="D428" s="153"/>
      <c r="E428" s="153"/>
      <c r="F428" s="153"/>
      <c r="G428" s="153"/>
      <c r="H428" s="153"/>
    </row>
    <row r="429" spans="1:8" x14ac:dyDescent="0.3">
      <c r="A429" s="376" t="s">
        <v>1080</v>
      </c>
      <c r="B429" s="381">
        <v>1</v>
      </c>
      <c r="D429" s="153"/>
      <c r="E429" s="153"/>
      <c r="F429" s="153"/>
      <c r="G429" s="153"/>
      <c r="H429" s="153"/>
    </row>
    <row r="430" spans="1:8" x14ac:dyDescent="0.3">
      <c r="A430" s="376" t="s">
        <v>209</v>
      </c>
      <c r="B430" s="381">
        <v>1</v>
      </c>
      <c r="D430" s="153"/>
      <c r="E430" s="153"/>
      <c r="F430" s="153"/>
      <c r="G430" s="153"/>
      <c r="H430" s="153"/>
    </row>
    <row r="431" spans="1:8" x14ac:dyDescent="0.3">
      <c r="A431" s="376" t="s">
        <v>579</v>
      </c>
      <c r="B431" s="381">
        <v>1</v>
      </c>
      <c r="D431" s="153"/>
      <c r="E431" s="153"/>
      <c r="F431" s="153"/>
      <c r="G431" s="153"/>
      <c r="H431" s="153"/>
    </row>
    <row r="432" spans="1:8" x14ac:dyDescent="0.3">
      <c r="A432" s="376" t="s">
        <v>1092</v>
      </c>
      <c r="B432" s="381">
        <v>1</v>
      </c>
      <c r="D432" s="153"/>
      <c r="E432" s="153"/>
      <c r="F432" s="153"/>
      <c r="G432" s="153"/>
      <c r="H432" s="153"/>
    </row>
    <row r="433" spans="1:8" x14ac:dyDescent="0.3">
      <c r="A433" s="376" t="s">
        <v>584</v>
      </c>
      <c r="B433" s="381">
        <v>1</v>
      </c>
      <c r="D433" s="153"/>
      <c r="E433" s="153"/>
      <c r="F433" s="153"/>
      <c r="G433" s="153"/>
      <c r="H433" s="153"/>
    </row>
    <row r="434" spans="1:8" x14ac:dyDescent="0.3">
      <c r="A434" s="376" t="s">
        <v>562</v>
      </c>
      <c r="B434" s="381">
        <v>1</v>
      </c>
      <c r="D434" s="153"/>
      <c r="E434" s="153"/>
      <c r="F434" s="153"/>
      <c r="G434" s="153"/>
      <c r="H434" s="153"/>
    </row>
    <row r="435" spans="1:8" x14ac:dyDescent="0.3">
      <c r="A435" s="376" t="s">
        <v>554</v>
      </c>
      <c r="B435" s="381">
        <v>1</v>
      </c>
      <c r="D435" s="153"/>
      <c r="E435" s="153"/>
      <c r="F435" s="153"/>
      <c r="G435" s="153"/>
      <c r="H435" s="153"/>
    </row>
    <row r="436" spans="1:8" x14ac:dyDescent="0.3">
      <c r="A436" s="376" t="s">
        <v>532</v>
      </c>
      <c r="B436" s="381">
        <v>1</v>
      </c>
      <c r="D436" s="153"/>
      <c r="E436" s="153"/>
      <c r="F436" s="153"/>
      <c r="G436" s="153"/>
      <c r="H436" s="153"/>
    </row>
    <row r="437" spans="1:8" x14ac:dyDescent="0.3">
      <c r="A437" s="376" t="s">
        <v>535</v>
      </c>
      <c r="B437" s="381">
        <v>1</v>
      </c>
      <c r="D437" s="153"/>
      <c r="E437" s="153"/>
      <c r="F437" s="153"/>
      <c r="G437" s="153"/>
      <c r="H437" s="153"/>
    </row>
    <row r="438" spans="1:8" x14ac:dyDescent="0.3">
      <c r="A438" s="376" t="s">
        <v>590</v>
      </c>
      <c r="B438" s="381">
        <v>1</v>
      </c>
      <c r="D438" s="153"/>
      <c r="E438" s="153"/>
      <c r="F438" s="153"/>
      <c r="G438" s="153"/>
      <c r="H438" s="153"/>
    </row>
    <row r="439" spans="1:8" x14ac:dyDescent="0.3">
      <c r="A439" s="376" t="s">
        <v>1019</v>
      </c>
      <c r="B439" s="381">
        <v>1</v>
      </c>
      <c r="D439" s="153"/>
      <c r="E439" s="153"/>
      <c r="F439" s="153"/>
      <c r="G439" s="153"/>
      <c r="H439" s="153"/>
    </row>
    <row r="440" spans="1:8" x14ac:dyDescent="0.3">
      <c r="A440" s="376" t="s">
        <v>986</v>
      </c>
      <c r="B440" s="381">
        <v>1</v>
      </c>
      <c r="D440" s="153"/>
      <c r="E440" s="153"/>
      <c r="F440" s="153"/>
      <c r="G440" s="153"/>
      <c r="H440" s="153"/>
    </row>
    <row r="441" spans="1:8" x14ac:dyDescent="0.3">
      <c r="A441" s="376" t="s">
        <v>1013</v>
      </c>
      <c r="B441" s="381">
        <v>1</v>
      </c>
      <c r="D441" s="153"/>
      <c r="E441" s="153"/>
      <c r="F441" s="153"/>
      <c r="G441" s="153"/>
      <c r="H441" s="153"/>
    </row>
    <row r="442" spans="1:8" x14ac:dyDescent="0.3">
      <c r="A442" s="376" t="s">
        <v>510</v>
      </c>
      <c r="B442" s="381">
        <v>1</v>
      </c>
      <c r="D442" s="153"/>
      <c r="E442" s="153"/>
      <c r="F442" s="153"/>
      <c r="G442" s="153"/>
      <c r="H442" s="153"/>
    </row>
    <row r="443" spans="1:8" x14ac:dyDescent="0.3">
      <c r="A443" s="376" t="s">
        <v>1015</v>
      </c>
      <c r="B443" s="381">
        <v>1</v>
      </c>
      <c r="D443" s="153"/>
      <c r="E443" s="153"/>
      <c r="F443" s="153"/>
      <c r="G443" s="153"/>
      <c r="H443" s="153"/>
    </row>
    <row r="444" spans="1:8" x14ac:dyDescent="0.3">
      <c r="A444" s="376" t="s">
        <v>1023</v>
      </c>
      <c r="B444" s="381">
        <v>1</v>
      </c>
      <c r="D444" s="153"/>
      <c r="E444" s="153"/>
      <c r="F444" s="153"/>
      <c r="G444" s="153"/>
      <c r="H444" s="153"/>
    </row>
    <row r="445" spans="1:8" x14ac:dyDescent="0.3">
      <c r="A445" s="376" t="s">
        <v>3254</v>
      </c>
      <c r="B445" s="381">
        <v>1</v>
      </c>
      <c r="D445" s="153"/>
      <c r="E445" s="153"/>
      <c r="F445" s="153"/>
      <c r="G445" s="153"/>
      <c r="H445" s="153"/>
    </row>
    <row r="446" spans="1:8" x14ac:dyDescent="0.3">
      <c r="A446" s="376" t="s">
        <v>3258</v>
      </c>
      <c r="B446" s="381"/>
      <c r="D446" s="153"/>
      <c r="E446" s="153"/>
      <c r="F446" s="153"/>
      <c r="G446" s="153"/>
      <c r="H446" s="153"/>
    </row>
    <row r="447" spans="1:8" x14ac:dyDescent="0.3">
      <c r="A447" s="376" t="s">
        <v>3259</v>
      </c>
      <c r="B447" s="381"/>
      <c r="D447" s="153"/>
      <c r="E447" s="153"/>
      <c r="F447" s="153"/>
      <c r="G447" s="153"/>
      <c r="H447" s="153"/>
    </row>
    <row r="448" spans="1:8" x14ac:dyDescent="0.3">
      <c r="A448" s="376" t="s">
        <v>3255</v>
      </c>
      <c r="B448" s="381">
        <v>1</v>
      </c>
      <c r="D448" s="153"/>
      <c r="E448" s="153"/>
      <c r="F448" s="153"/>
      <c r="G448" s="153"/>
      <c r="H448" s="153"/>
    </row>
    <row r="449" spans="1:8" x14ac:dyDescent="0.3">
      <c r="A449" s="376" t="s">
        <v>756</v>
      </c>
      <c r="B449" s="381">
        <v>1</v>
      </c>
      <c r="D449" s="153"/>
      <c r="E449" s="153"/>
      <c r="F449" s="153"/>
      <c r="G449" s="153"/>
      <c r="H449" s="153"/>
    </row>
    <row r="450" spans="1:8" x14ac:dyDescent="0.3">
      <c r="A450" s="376" t="s">
        <v>758</v>
      </c>
      <c r="B450" s="381">
        <v>1</v>
      </c>
      <c r="D450" s="153"/>
      <c r="E450" s="153"/>
      <c r="F450" s="153"/>
      <c r="G450" s="153"/>
      <c r="H450" s="153"/>
    </row>
    <row r="451" spans="1:8" x14ac:dyDescent="0.3">
      <c r="A451" s="376" t="s">
        <v>760</v>
      </c>
      <c r="B451" s="381">
        <v>1</v>
      </c>
      <c r="D451" s="153"/>
      <c r="E451" s="153"/>
      <c r="F451" s="153"/>
      <c r="G451" s="153"/>
      <c r="H451" s="153"/>
    </row>
    <row r="452" spans="1:8" x14ac:dyDescent="0.3">
      <c r="A452" s="376" t="s">
        <v>762</v>
      </c>
      <c r="B452" s="381">
        <v>1</v>
      </c>
      <c r="D452" s="153"/>
      <c r="E452" s="153"/>
      <c r="F452" s="153"/>
      <c r="G452" s="153"/>
      <c r="H452" s="153"/>
    </row>
    <row r="453" spans="1:8" x14ac:dyDescent="0.3">
      <c r="A453" s="376" t="s">
        <v>764</v>
      </c>
      <c r="B453" s="381">
        <v>1</v>
      </c>
      <c r="D453" s="153"/>
      <c r="E453" s="153"/>
      <c r="F453" s="153"/>
      <c r="G453" s="153"/>
      <c r="H453" s="153"/>
    </row>
    <row r="454" spans="1:8" x14ac:dyDescent="0.3">
      <c r="A454" s="376" t="s">
        <v>767</v>
      </c>
      <c r="B454" s="381">
        <v>1</v>
      </c>
      <c r="D454" s="153"/>
      <c r="E454" s="153"/>
      <c r="F454" s="153"/>
      <c r="G454" s="153"/>
      <c r="H454" s="153"/>
    </row>
    <row r="455" spans="1:8" x14ac:dyDescent="0.3">
      <c r="A455" s="376" t="s">
        <v>769</v>
      </c>
      <c r="B455" s="381">
        <v>1</v>
      </c>
      <c r="D455" s="153"/>
      <c r="E455" s="153"/>
      <c r="F455" s="153"/>
      <c r="G455" s="153"/>
      <c r="H455" s="153"/>
    </row>
    <row r="456" spans="1:8" x14ac:dyDescent="0.3">
      <c r="A456" s="376" t="s">
        <v>771</v>
      </c>
      <c r="B456" s="381">
        <v>1</v>
      </c>
      <c r="D456" s="153"/>
      <c r="E456" s="153"/>
      <c r="F456" s="153"/>
      <c r="G456" s="153"/>
      <c r="H456" s="153"/>
    </row>
    <row r="457" spans="1:8" x14ac:dyDescent="0.3">
      <c r="A457" s="376" t="s">
        <v>1101</v>
      </c>
      <c r="B457" s="381">
        <v>1</v>
      </c>
      <c r="D457" s="153"/>
      <c r="E457" s="153"/>
      <c r="F457" s="153"/>
      <c r="G457" s="153"/>
      <c r="H457" s="153"/>
    </row>
    <row r="458" spans="1:8" x14ac:dyDescent="0.3">
      <c r="A458" s="376" t="s">
        <v>2919</v>
      </c>
      <c r="B458" s="381">
        <v>1</v>
      </c>
      <c r="D458" s="153"/>
      <c r="E458" s="153"/>
      <c r="F458" s="153"/>
      <c r="G458" s="153"/>
      <c r="H458" s="153"/>
    </row>
    <row r="459" spans="1:8" x14ac:dyDescent="0.3">
      <c r="A459" s="376" t="s">
        <v>2920</v>
      </c>
      <c r="B459" s="381">
        <v>1</v>
      </c>
      <c r="D459" s="153"/>
      <c r="E459" s="153"/>
      <c r="F459" s="153"/>
      <c r="G459" s="153"/>
      <c r="H459" s="153"/>
    </row>
    <row r="460" spans="1:8" x14ac:dyDescent="0.3">
      <c r="A460" s="376" t="s">
        <v>2863</v>
      </c>
      <c r="B460" s="381">
        <v>1</v>
      </c>
      <c r="D460" s="153"/>
      <c r="E460" s="153"/>
      <c r="F460" s="153"/>
      <c r="G460" s="153"/>
      <c r="H460" s="153"/>
    </row>
    <row r="461" spans="1:8" x14ac:dyDescent="0.3">
      <c r="A461" s="376" t="s">
        <v>3260</v>
      </c>
      <c r="B461" s="381"/>
      <c r="D461" s="153"/>
      <c r="E461" s="153"/>
      <c r="F461" s="153"/>
      <c r="G461" s="153"/>
      <c r="H461" s="153"/>
    </row>
    <row r="462" spans="1:8" x14ac:dyDescent="0.3">
      <c r="A462" s="376" t="s">
        <v>750</v>
      </c>
      <c r="B462" s="381">
        <v>1</v>
      </c>
      <c r="D462" s="153"/>
      <c r="E462" s="153"/>
      <c r="F462" s="153"/>
      <c r="G462" s="153"/>
      <c r="H462" s="153"/>
    </row>
    <row r="463" spans="1:8" x14ac:dyDescent="0.3">
      <c r="A463" s="376" t="s">
        <v>739</v>
      </c>
      <c r="B463" s="381">
        <v>1</v>
      </c>
      <c r="D463" s="153"/>
      <c r="E463" s="153"/>
      <c r="F463" s="153"/>
      <c r="G463" s="153"/>
      <c r="H463" s="153"/>
    </row>
    <row r="464" spans="1:8" x14ac:dyDescent="0.3">
      <c r="A464" s="376" t="s">
        <v>741</v>
      </c>
      <c r="B464" s="381">
        <v>1</v>
      </c>
      <c r="D464" s="153"/>
      <c r="E464" s="153"/>
      <c r="F464" s="153"/>
      <c r="G464" s="153"/>
      <c r="H464" s="153"/>
    </row>
    <row r="465" spans="1:8" x14ac:dyDescent="0.3">
      <c r="A465" s="376" t="s">
        <v>296</v>
      </c>
      <c r="B465" s="381">
        <v>1</v>
      </c>
      <c r="D465" s="153"/>
      <c r="E465" s="153"/>
      <c r="F465" s="153"/>
      <c r="G465" s="153"/>
      <c r="H465" s="153"/>
    </row>
    <row r="466" spans="1:8" x14ac:dyDescent="0.3">
      <c r="A466" s="376" t="s">
        <v>3261</v>
      </c>
      <c r="B466" s="381">
        <v>1</v>
      </c>
      <c r="D466" s="153"/>
      <c r="E466" s="153"/>
      <c r="F466" s="153"/>
      <c r="G466" s="153"/>
      <c r="H466" s="153"/>
    </row>
    <row r="467" spans="1:8" x14ac:dyDescent="0.3">
      <c r="A467" s="376" t="s">
        <v>1785</v>
      </c>
      <c r="B467" s="381">
        <v>1</v>
      </c>
      <c r="D467" s="153"/>
      <c r="E467" s="153"/>
      <c r="F467" s="153"/>
      <c r="G467" s="153"/>
      <c r="H467" s="153"/>
    </row>
    <row r="468" spans="1:8" x14ac:dyDescent="0.3">
      <c r="A468" s="376" t="s">
        <v>1011</v>
      </c>
      <c r="B468" s="381">
        <v>1</v>
      </c>
      <c r="D468" s="153"/>
      <c r="E468" s="153"/>
      <c r="F468" s="153"/>
      <c r="G468" s="153"/>
      <c r="H468" s="153"/>
    </row>
    <row r="469" spans="1:8" x14ac:dyDescent="0.3">
      <c r="A469" s="376" t="s">
        <v>1340</v>
      </c>
      <c r="B469" s="381">
        <v>1</v>
      </c>
      <c r="D469" s="153"/>
      <c r="E469" s="153"/>
      <c r="F469" s="153"/>
      <c r="G469" s="153"/>
      <c r="H469" s="153"/>
    </row>
    <row r="470" spans="1:8" x14ac:dyDescent="0.3">
      <c r="A470" s="376" t="s">
        <v>3262</v>
      </c>
      <c r="B470" s="381">
        <v>1</v>
      </c>
      <c r="D470" s="153"/>
      <c r="E470" s="153"/>
      <c r="F470" s="153"/>
      <c r="G470" s="153"/>
      <c r="H470" s="153"/>
    </row>
    <row r="471" spans="1:8" x14ac:dyDescent="0.3">
      <c r="A471" s="376" t="s">
        <v>3256</v>
      </c>
      <c r="B471" s="381">
        <v>1</v>
      </c>
      <c r="D471" s="153"/>
      <c r="E471" s="153"/>
      <c r="F471" s="153"/>
      <c r="G471" s="153"/>
      <c r="H471" s="153"/>
    </row>
    <row r="472" spans="1:8" x14ac:dyDescent="0.3">
      <c r="A472" s="376" t="s">
        <v>1343</v>
      </c>
      <c r="B472" s="381">
        <v>1</v>
      </c>
      <c r="D472" s="153"/>
      <c r="E472" s="153"/>
      <c r="F472" s="153"/>
      <c r="G472" s="153"/>
      <c r="H472" s="153"/>
    </row>
    <row r="473" spans="1:8" x14ac:dyDescent="0.3">
      <c r="A473" s="376" t="s">
        <v>1353</v>
      </c>
      <c r="B473" s="381">
        <v>1</v>
      </c>
      <c r="D473" s="153"/>
      <c r="E473" s="153"/>
      <c r="F473" s="153"/>
      <c r="G473" s="153"/>
      <c r="H473" s="153"/>
    </row>
    <row r="474" spans="1:8" x14ac:dyDescent="0.3">
      <c r="A474" s="376" t="s">
        <v>1351</v>
      </c>
      <c r="B474" s="381">
        <v>1</v>
      </c>
      <c r="D474" s="153"/>
      <c r="E474" s="153"/>
      <c r="F474" s="153"/>
      <c r="G474" s="153"/>
      <c r="H474" s="153"/>
    </row>
    <row r="475" spans="1:8" x14ac:dyDescent="0.3">
      <c r="A475" s="376" t="s">
        <v>1347</v>
      </c>
      <c r="B475" s="381">
        <v>1</v>
      </c>
      <c r="D475" s="153"/>
      <c r="E475" s="153"/>
      <c r="F475" s="153"/>
      <c r="G475" s="153"/>
      <c r="H475" s="153"/>
    </row>
    <row r="476" spans="1:8" x14ac:dyDescent="0.3">
      <c r="A476" s="376" t="s">
        <v>1355</v>
      </c>
      <c r="B476" s="381">
        <v>1</v>
      </c>
      <c r="D476" s="153"/>
      <c r="E476" s="153"/>
      <c r="F476" s="153"/>
      <c r="G476" s="153"/>
      <c r="H476" s="153"/>
    </row>
    <row r="477" spans="1:8" x14ac:dyDescent="0.3">
      <c r="A477" s="376" t="s">
        <v>1357</v>
      </c>
      <c r="B477" s="381">
        <v>1</v>
      </c>
      <c r="D477" s="153"/>
      <c r="E477" s="153"/>
      <c r="F477" s="153"/>
      <c r="G477" s="153"/>
      <c r="H477" s="153"/>
    </row>
    <row r="478" spans="1:8" x14ac:dyDescent="0.3">
      <c r="A478" s="376" t="s">
        <v>1345</v>
      </c>
      <c r="B478" s="381">
        <v>1</v>
      </c>
      <c r="D478" s="153"/>
      <c r="E478" s="153"/>
      <c r="F478" s="153"/>
      <c r="G478" s="153"/>
      <c r="H478" s="153"/>
    </row>
    <row r="479" spans="1:8" x14ac:dyDescent="0.3">
      <c r="A479" s="376" t="s">
        <v>1349</v>
      </c>
      <c r="B479" s="381">
        <v>1</v>
      </c>
      <c r="D479" s="153"/>
      <c r="E479" s="153"/>
      <c r="F479" s="153"/>
      <c r="G479" s="153"/>
      <c r="H479" s="153"/>
    </row>
    <row r="480" spans="1:8" x14ac:dyDescent="0.3">
      <c r="A480" s="376" t="s">
        <v>3263</v>
      </c>
      <c r="B480" s="381">
        <v>1</v>
      </c>
      <c r="D480" s="153"/>
      <c r="E480" s="153"/>
      <c r="F480" s="153"/>
      <c r="G480" s="153"/>
      <c r="H480" s="153"/>
    </row>
    <row r="481" spans="1:8" x14ac:dyDescent="0.3">
      <c r="A481" s="376" t="s">
        <v>3264</v>
      </c>
      <c r="B481" s="381">
        <v>1</v>
      </c>
      <c r="D481" s="153"/>
      <c r="E481" s="153"/>
      <c r="F481" s="153"/>
      <c r="G481" s="153"/>
      <c r="H481" s="153"/>
    </row>
    <row r="482" spans="1:8" x14ac:dyDescent="0.3">
      <c r="A482" s="376" t="s">
        <v>1359</v>
      </c>
      <c r="B482" s="381">
        <v>1</v>
      </c>
      <c r="D482" s="153"/>
      <c r="E482" s="153"/>
      <c r="F482" s="153"/>
      <c r="G482" s="153"/>
      <c r="H482" s="153"/>
    </row>
    <row r="483" spans="1:8" x14ac:dyDescent="0.3">
      <c r="A483" s="376" t="s">
        <v>1103</v>
      </c>
      <c r="B483" s="381">
        <v>1</v>
      </c>
      <c r="D483" s="153"/>
      <c r="E483" s="153"/>
      <c r="F483" s="153"/>
      <c r="G483" s="153"/>
      <c r="H483" s="153"/>
    </row>
    <row r="484" spans="1:8" x14ac:dyDescent="0.3">
      <c r="A484" s="376" t="s">
        <v>1106</v>
      </c>
      <c r="B484" s="381">
        <v>1</v>
      </c>
      <c r="D484" s="153"/>
      <c r="E484" s="153"/>
      <c r="F484" s="153"/>
      <c r="G484" s="153"/>
      <c r="H484" s="153"/>
    </row>
    <row r="485" spans="1:8" x14ac:dyDescent="0.3">
      <c r="A485" s="376" t="s">
        <v>1108</v>
      </c>
      <c r="B485" s="381">
        <v>1</v>
      </c>
      <c r="D485" s="153"/>
      <c r="E485" s="153"/>
      <c r="F485" s="153"/>
      <c r="G485" s="153"/>
      <c r="H485" s="153"/>
    </row>
    <row r="486" spans="1:8" x14ac:dyDescent="0.3">
      <c r="A486" s="376" t="s">
        <v>1110</v>
      </c>
      <c r="B486" s="381">
        <v>1</v>
      </c>
      <c r="D486" s="153"/>
      <c r="E486" s="153"/>
      <c r="F486" s="153"/>
      <c r="G486" s="153"/>
      <c r="H486" s="153"/>
    </row>
    <row r="487" spans="1:8" x14ac:dyDescent="0.3">
      <c r="A487" s="376" t="s">
        <v>1112</v>
      </c>
      <c r="B487" s="381">
        <v>1</v>
      </c>
      <c r="D487" s="153"/>
      <c r="E487" s="153"/>
      <c r="F487" s="153"/>
      <c r="G487" s="153"/>
      <c r="H487" s="153"/>
    </row>
    <row r="488" spans="1:8" x14ac:dyDescent="0.3">
      <c r="A488" s="376" t="s">
        <v>1114</v>
      </c>
      <c r="B488" s="381">
        <v>1</v>
      </c>
      <c r="D488" s="153"/>
      <c r="E488" s="153"/>
      <c r="F488" s="153"/>
      <c r="G488" s="153"/>
      <c r="H488" s="153"/>
    </row>
    <row r="489" spans="1:8" x14ac:dyDescent="0.3">
      <c r="A489" s="376" t="s">
        <v>1116</v>
      </c>
      <c r="B489" s="381">
        <v>1</v>
      </c>
      <c r="D489" s="153"/>
      <c r="E489" s="153"/>
      <c r="F489" s="153"/>
      <c r="G489" s="153"/>
      <c r="H489" s="153"/>
    </row>
    <row r="490" spans="1:8" x14ac:dyDescent="0.3">
      <c r="A490" s="376" t="s">
        <v>1118</v>
      </c>
      <c r="B490" s="381">
        <v>1</v>
      </c>
      <c r="D490" s="153"/>
      <c r="E490" s="153"/>
      <c r="F490" s="153"/>
      <c r="G490" s="153"/>
      <c r="H490" s="153"/>
    </row>
    <row r="491" spans="1:8" x14ac:dyDescent="0.3">
      <c r="A491" s="376" t="s">
        <v>1120</v>
      </c>
      <c r="B491" s="381">
        <v>1</v>
      </c>
      <c r="D491" s="153"/>
      <c r="E491" s="153"/>
      <c r="F491" s="153"/>
      <c r="G491" s="153"/>
      <c r="H491" s="153"/>
    </row>
    <row r="492" spans="1:8" x14ac:dyDescent="0.3">
      <c r="A492" s="376" t="s">
        <v>1122</v>
      </c>
      <c r="B492" s="381">
        <v>1</v>
      </c>
      <c r="D492" s="153"/>
      <c r="E492" s="153"/>
      <c r="F492" s="153"/>
      <c r="G492" s="153"/>
      <c r="H492" s="153"/>
    </row>
    <row r="493" spans="1:8" x14ac:dyDescent="0.3">
      <c r="A493" s="376" t="s">
        <v>1124</v>
      </c>
      <c r="B493" s="381">
        <v>1</v>
      </c>
      <c r="D493" s="153"/>
      <c r="E493" s="153"/>
      <c r="F493" s="153"/>
      <c r="G493" s="153"/>
      <c r="H493" s="153"/>
    </row>
    <row r="494" spans="1:8" x14ac:dyDescent="0.3">
      <c r="A494" s="376" t="s">
        <v>1126</v>
      </c>
      <c r="B494" s="381">
        <v>1</v>
      </c>
      <c r="D494" s="153"/>
      <c r="E494" s="153"/>
      <c r="F494" s="153"/>
      <c r="G494" s="153"/>
      <c r="H494" s="153"/>
    </row>
    <row r="495" spans="1:8" x14ac:dyDescent="0.3">
      <c r="A495" s="376" t="s">
        <v>1128</v>
      </c>
      <c r="B495" s="381">
        <v>1</v>
      </c>
      <c r="D495" s="153"/>
      <c r="E495" s="153"/>
      <c r="F495" s="153"/>
      <c r="G495" s="153"/>
      <c r="H495" s="153"/>
    </row>
    <row r="496" spans="1:8" x14ac:dyDescent="0.3">
      <c r="A496" s="376" t="s">
        <v>1130</v>
      </c>
      <c r="B496" s="381">
        <v>1</v>
      </c>
      <c r="D496" s="153"/>
      <c r="E496" s="153"/>
      <c r="F496" s="153"/>
      <c r="G496" s="153"/>
      <c r="H496" s="153"/>
    </row>
    <row r="497" spans="1:8" x14ac:dyDescent="0.3">
      <c r="A497" s="376" t="s">
        <v>1132</v>
      </c>
      <c r="B497" s="381">
        <v>1</v>
      </c>
      <c r="D497" s="153"/>
      <c r="E497" s="153"/>
      <c r="F497" s="153"/>
      <c r="G497" s="153"/>
      <c r="H497" s="153"/>
    </row>
    <row r="498" spans="1:8" x14ac:dyDescent="0.3">
      <c r="A498" s="376" t="s">
        <v>1134</v>
      </c>
      <c r="B498" s="381">
        <v>1</v>
      </c>
      <c r="D498" s="153"/>
      <c r="E498" s="153"/>
      <c r="F498" s="153"/>
      <c r="G498" s="153"/>
      <c r="H498" s="153"/>
    </row>
    <row r="499" spans="1:8" x14ac:dyDescent="0.3">
      <c r="A499" s="376" t="s">
        <v>1136</v>
      </c>
      <c r="B499" s="381">
        <v>1</v>
      </c>
      <c r="D499" s="153"/>
      <c r="E499" s="153"/>
      <c r="F499" s="153"/>
      <c r="G499" s="153"/>
      <c r="H499" s="153"/>
    </row>
    <row r="500" spans="1:8" x14ac:dyDescent="0.3">
      <c r="A500" s="376" t="s">
        <v>1138</v>
      </c>
      <c r="B500" s="381">
        <v>1</v>
      </c>
      <c r="D500" s="153"/>
      <c r="E500" s="153"/>
      <c r="F500" s="153"/>
      <c r="G500" s="153"/>
      <c r="H500" s="153"/>
    </row>
    <row r="501" spans="1:8" x14ac:dyDescent="0.3">
      <c r="A501" s="376" t="s">
        <v>1140</v>
      </c>
      <c r="B501" s="381">
        <v>1</v>
      </c>
      <c r="D501" s="153"/>
      <c r="E501" s="153"/>
      <c r="F501" s="153"/>
      <c r="G501" s="153"/>
      <c r="H501" s="153"/>
    </row>
    <row r="502" spans="1:8" x14ac:dyDescent="0.3">
      <c r="A502" s="376" t="s">
        <v>1142</v>
      </c>
      <c r="B502" s="381">
        <v>1</v>
      </c>
      <c r="D502" s="153"/>
      <c r="E502" s="153"/>
      <c r="F502" s="153"/>
      <c r="G502" s="153"/>
      <c r="H502" s="153"/>
    </row>
    <row r="503" spans="1:8" x14ac:dyDescent="0.3">
      <c r="A503" s="376" t="s">
        <v>1144</v>
      </c>
      <c r="B503" s="381">
        <v>1</v>
      </c>
      <c r="D503" s="153"/>
      <c r="E503" s="153"/>
      <c r="F503" s="153"/>
      <c r="G503" s="153"/>
      <c r="H503" s="153"/>
    </row>
    <row r="504" spans="1:8" x14ac:dyDescent="0.3">
      <c r="A504" s="376" t="s">
        <v>1146</v>
      </c>
      <c r="B504" s="381">
        <v>1</v>
      </c>
      <c r="D504" s="153"/>
      <c r="E504" s="153"/>
      <c r="F504" s="153"/>
      <c r="G504" s="153"/>
      <c r="H504" s="153"/>
    </row>
    <row r="505" spans="1:8" x14ac:dyDescent="0.3">
      <c r="A505" s="376" t="s">
        <v>1148</v>
      </c>
      <c r="B505" s="381">
        <v>1</v>
      </c>
      <c r="D505" s="153"/>
      <c r="E505" s="153"/>
      <c r="F505" s="153"/>
      <c r="G505" s="153"/>
      <c r="H505" s="153"/>
    </row>
    <row r="506" spans="1:8" x14ac:dyDescent="0.3">
      <c r="A506" s="376" t="s">
        <v>1150</v>
      </c>
      <c r="B506" s="381">
        <v>1</v>
      </c>
      <c r="D506" s="153"/>
      <c r="E506" s="153"/>
      <c r="F506" s="153"/>
      <c r="G506" s="153"/>
      <c r="H506" s="153"/>
    </row>
    <row r="507" spans="1:8" x14ac:dyDescent="0.3">
      <c r="A507" s="376" t="s">
        <v>1152</v>
      </c>
      <c r="B507" s="381">
        <v>1</v>
      </c>
      <c r="D507" s="153"/>
      <c r="E507" s="153"/>
      <c r="F507" s="153"/>
      <c r="G507" s="153"/>
      <c r="H507" s="153"/>
    </row>
    <row r="508" spans="1:8" x14ac:dyDescent="0.3">
      <c r="A508" s="376" t="s">
        <v>1154</v>
      </c>
      <c r="B508" s="381">
        <v>1</v>
      </c>
      <c r="D508" s="153"/>
      <c r="E508" s="153"/>
      <c r="F508" s="153"/>
      <c r="G508" s="153"/>
      <c r="H508" s="153"/>
    </row>
    <row r="509" spans="1:8" x14ac:dyDescent="0.3">
      <c r="A509" s="376" t="s">
        <v>1156</v>
      </c>
      <c r="B509" s="381">
        <v>1</v>
      </c>
      <c r="D509" s="153"/>
      <c r="E509" s="153"/>
      <c r="F509" s="153"/>
      <c r="G509" s="153"/>
      <c r="H509" s="153"/>
    </row>
    <row r="510" spans="1:8" x14ac:dyDescent="0.3">
      <c r="A510" s="376" t="s">
        <v>1158</v>
      </c>
      <c r="B510" s="381">
        <v>1</v>
      </c>
      <c r="D510" s="153"/>
      <c r="E510" s="153"/>
      <c r="F510" s="153"/>
      <c r="G510" s="153"/>
      <c r="H510" s="153"/>
    </row>
    <row r="511" spans="1:8" x14ac:dyDescent="0.3">
      <c r="A511" s="376" t="s">
        <v>1160</v>
      </c>
      <c r="B511" s="381">
        <v>1</v>
      </c>
      <c r="D511" s="153"/>
      <c r="E511" s="153"/>
      <c r="F511" s="153"/>
      <c r="G511" s="153"/>
      <c r="H511" s="153"/>
    </row>
    <row r="512" spans="1:8" x14ac:dyDescent="0.3">
      <c r="A512" s="376" t="s">
        <v>1162</v>
      </c>
      <c r="B512" s="381">
        <v>1</v>
      </c>
      <c r="D512" s="153"/>
      <c r="E512" s="153"/>
      <c r="F512" s="153"/>
      <c r="G512" s="153"/>
      <c r="H512" s="153"/>
    </row>
    <row r="513" spans="1:8" x14ac:dyDescent="0.3">
      <c r="A513" s="376" t="s">
        <v>1164</v>
      </c>
      <c r="B513" s="381">
        <v>1</v>
      </c>
      <c r="D513" s="153"/>
      <c r="E513" s="153"/>
      <c r="F513" s="153"/>
      <c r="G513" s="153"/>
      <c r="H513" s="153"/>
    </row>
    <row r="514" spans="1:8" x14ac:dyDescent="0.3">
      <c r="A514" s="376" t="s">
        <v>1166</v>
      </c>
      <c r="B514" s="381">
        <v>1</v>
      </c>
      <c r="D514" s="153"/>
      <c r="E514" s="153"/>
      <c r="F514" s="153"/>
      <c r="G514" s="153"/>
      <c r="H514" s="153"/>
    </row>
    <row r="515" spans="1:8" x14ac:dyDescent="0.3">
      <c r="A515" s="376" t="s">
        <v>1168</v>
      </c>
      <c r="B515" s="381">
        <v>1</v>
      </c>
      <c r="D515" s="153"/>
      <c r="E515" s="153"/>
      <c r="F515" s="153"/>
      <c r="G515" s="153"/>
      <c r="H515" s="153"/>
    </row>
    <row r="516" spans="1:8" x14ac:dyDescent="0.3">
      <c r="A516" s="376" t="s">
        <v>1170</v>
      </c>
      <c r="B516" s="381">
        <v>1</v>
      </c>
      <c r="D516" s="153"/>
      <c r="E516" s="153"/>
      <c r="F516" s="153"/>
      <c r="G516" s="153"/>
      <c r="H516" s="153"/>
    </row>
    <row r="517" spans="1:8" x14ac:dyDescent="0.3">
      <c r="A517" s="376" t="s">
        <v>1172</v>
      </c>
      <c r="B517" s="381">
        <v>1</v>
      </c>
      <c r="D517" s="153"/>
      <c r="E517" s="153"/>
      <c r="F517" s="153"/>
      <c r="G517" s="153"/>
      <c r="H517" s="153"/>
    </row>
    <row r="518" spans="1:8" x14ac:dyDescent="0.3">
      <c r="A518" s="376" t="s">
        <v>1174</v>
      </c>
      <c r="B518" s="381">
        <v>1</v>
      </c>
      <c r="D518" s="153"/>
      <c r="E518" s="153"/>
      <c r="F518" s="153"/>
      <c r="G518" s="153"/>
      <c r="H518" s="153"/>
    </row>
    <row r="519" spans="1:8" x14ac:dyDescent="0.3">
      <c r="A519" s="376" t="s">
        <v>1176</v>
      </c>
      <c r="B519" s="381">
        <v>1</v>
      </c>
      <c r="D519" s="153"/>
      <c r="E519" s="153"/>
      <c r="F519" s="153"/>
      <c r="G519" s="153"/>
      <c r="H519" s="153"/>
    </row>
    <row r="520" spans="1:8" x14ac:dyDescent="0.3">
      <c r="A520" s="376" t="s">
        <v>1178</v>
      </c>
      <c r="B520" s="381">
        <v>1</v>
      </c>
      <c r="D520" s="153"/>
      <c r="E520" s="153"/>
      <c r="F520" s="153"/>
      <c r="G520" s="153"/>
      <c r="H520" s="153"/>
    </row>
    <row r="521" spans="1:8" x14ac:dyDescent="0.3">
      <c r="A521" s="376" t="s">
        <v>891</v>
      </c>
      <c r="B521" s="381">
        <v>1</v>
      </c>
      <c r="D521" s="153"/>
      <c r="E521" s="153"/>
      <c r="F521" s="153"/>
      <c r="G521" s="153"/>
      <c r="H521" s="153"/>
    </row>
    <row r="522" spans="1:8" x14ac:dyDescent="0.3">
      <c r="A522" s="376" t="s">
        <v>896</v>
      </c>
      <c r="B522" s="381">
        <v>1</v>
      </c>
      <c r="D522" s="153"/>
      <c r="E522" s="153"/>
      <c r="F522" s="153"/>
      <c r="G522" s="153"/>
      <c r="H522" s="153"/>
    </row>
    <row r="523" spans="1:8" x14ac:dyDescent="0.3">
      <c r="A523" s="376" t="s">
        <v>3265</v>
      </c>
      <c r="B523" s="381">
        <v>1</v>
      </c>
      <c r="D523" s="153"/>
      <c r="E523" s="153"/>
      <c r="F523" s="153"/>
      <c r="G523" s="153"/>
      <c r="H523" s="153"/>
    </row>
    <row r="524" spans="1:8" x14ac:dyDescent="0.3">
      <c r="A524" s="376" t="s">
        <v>899</v>
      </c>
      <c r="B524" s="381">
        <v>1</v>
      </c>
      <c r="D524" s="153"/>
      <c r="E524" s="153"/>
      <c r="F524" s="153"/>
      <c r="G524" s="153"/>
      <c r="H524" s="153"/>
    </row>
    <row r="525" spans="1:8" x14ac:dyDescent="0.3">
      <c r="A525" s="376" t="s">
        <v>2864</v>
      </c>
      <c r="B525" s="381">
        <v>1</v>
      </c>
      <c r="D525" s="153"/>
      <c r="E525" s="153"/>
      <c r="F525" s="153"/>
      <c r="G525" s="153"/>
      <c r="H525" s="153"/>
    </row>
    <row r="526" spans="1:8" x14ac:dyDescent="0.3">
      <c r="A526" s="376" t="s">
        <v>894</v>
      </c>
      <c r="B526" s="381">
        <v>1</v>
      </c>
      <c r="D526" s="153"/>
      <c r="E526" s="153"/>
      <c r="F526" s="153"/>
      <c r="G526" s="153"/>
      <c r="H526" s="153"/>
    </row>
    <row r="527" spans="1:8" x14ac:dyDescent="0.3">
      <c r="A527" s="376" t="s">
        <v>902</v>
      </c>
      <c r="B527" s="381">
        <v>1</v>
      </c>
      <c r="D527" s="153"/>
      <c r="E527" s="153"/>
      <c r="F527" s="153"/>
      <c r="G527" s="153"/>
      <c r="H527" s="153"/>
    </row>
    <row r="528" spans="1:8" x14ac:dyDescent="0.3">
      <c r="A528" s="376" t="s">
        <v>1393</v>
      </c>
      <c r="B528" s="381">
        <v>1</v>
      </c>
      <c r="D528" s="153"/>
      <c r="E528" s="153"/>
      <c r="F528" s="153"/>
      <c r="G528" s="153"/>
      <c r="H528" s="153"/>
    </row>
    <row r="529" spans="1:8" x14ac:dyDescent="0.3">
      <c r="A529" s="376" t="s">
        <v>911</v>
      </c>
      <c r="B529" s="381">
        <v>1</v>
      </c>
      <c r="D529" s="153"/>
      <c r="E529" s="153"/>
      <c r="F529" s="153"/>
      <c r="G529" s="153"/>
      <c r="H529" s="153"/>
    </row>
    <row r="530" spans="1:8" x14ac:dyDescent="0.3">
      <c r="A530" s="376" t="s">
        <v>917</v>
      </c>
      <c r="B530" s="381">
        <v>1</v>
      </c>
      <c r="D530" s="153"/>
      <c r="E530" s="153"/>
      <c r="F530" s="153"/>
      <c r="G530" s="153"/>
      <c r="H530" s="153"/>
    </row>
    <row r="531" spans="1:8" x14ac:dyDescent="0.3">
      <c r="A531" s="376" t="s">
        <v>924</v>
      </c>
      <c r="B531" s="381">
        <v>1</v>
      </c>
      <c r="D531" s="153"/>
      <c r="E531" s="153"/>
      <c r="F531" s="153"/>
      <c r="G531" s="153"/>
      <c r="H531" s="153"/>
    </row>
    <row r="532" spans="1:8" x14ac:dyDescent="0.3">
      <c r="A532" s="376" t="s">
        <v>929</v>
      </c>
      <c r="B532" s="381">
        <v>1</v>
      </c>
      <c r="D532" s="153"/>
      <c r="E532" s="153"/>
      <c r="F532" s="153"/>
      <c r="G532" s="153"/>
      <c r="H532" s="153"/>
    </row>
    <row r="533" spans="1:8" x14ac:dyDescent="0.3">
      <c r="A533" s="376" t="s">
        <v>3266</v>
      </c>
      <c r="B533" s="381">
        <v>1</v>
      </c>
      <c r="D533" s="153"/>
      <c r="E533" s="153"/>
      <c r="F533" s="153"/>
      <c r="G533" s="153"/>
      <c r="H533" s="153"/>
    </row>
    <row r="534" spans="1:8" x14ac:dyDescent="0.3">
      <c r="A534" s="376" t="s">
        <v>1180</v>
      </c>
      <c r="B534" s="381">
        <v>1</v>
      </c>
      <c r="D534" s="153"/>
      <c r="E534" s="153"/>
      <c r="F534" s="153"/>
      <c r="G534" s="153"/>
      <c r="H534" s="153"/>
    </row>
    <row r="535" spans="1:8" x14ac:dyDescent="0.3">
      <c r="A535" s="376" t="s">
        <v>1182</v>
      </c>
      <c r="B535" s="381">
        <v>1</v>
      </c>
      <c r="D535" s="153"/>
      <c r="E535" s="153"/>
      <c r="F535" s="153"/>
      <c r="G535" s="153"/>
      <c r="H535" s="153"/>
    </row>
    <row r="536" spans="1:8" x14ac:dyDescent="0.3">
      <c r="A536" s="376" t="s">
        <v>1184</v>
      </c>
      <c r="B536" s="381">
        <v>1</v>
      </c>
      <c r="D536" s="153"/>
      <c r="E536" s="153"/>
      <c r="F536" s="153"/>
      <c r="G536" s="153"/>
      <c r="H536" s="153"/>
    </row>
    <row r="537" spans="1:8" x14ac:dyDescent="0.3">
      <c r="A537" s="376" t="s">
        <v>1186</v>
      </c>
      <c r="B537" s="381">
        <v>1</v>
      </c>
      <c r="D537" s="153"/>
      <c r="E537" s="153"/>
      <c r="F537" s="153"/>
      <c r="G537" s="153"/>
      <c r="H537" s="153"/>
    </row>
    <row r="538" spans="1:8" x14ac:dyDescent="0.3">
      <c r="A538" s="376" t="s">
        <v>1188</v>
      </c>
      <c r="B538" s="381">
        <v>1</v>
      </c>
      <c r="D538" s="153"/>
      <c r="E538" s="153"/>
      <c r="F538" s="153"/>
      <c r="G538" s="153"/>
      <c r="H538" s="153"/>
    </row>
    <row r="539" spans="1:8" x14ac:dyDescent="0.3">
      <c r="A539" s="376" t="s">
        <v>1190</v>
      </c>
      <c r="B539" s="381">
        <v>1</v>
      </c>
      <c r="D539" s="153"/>
      <c r="E539" s="153"/>
      <c r="F539" s="153"/>
      <c r="G539" s="153"/>
      <c r="H539" s="153"/>
    </row>
    <row r="540" spans="1:8" x14ac:dyDescent="0.3">
      <c r="A540" s="376" t="s">
        <v>1192</v>
      </c>
      <c r="B540" s="381">
        <v>1</v>
      </c>
      <c r="D540" s="153"/>
      <c r="E540" s="153"/>
      <c r="F540" s="153"/>
      <c r="G540" s="153"/>
      <c r="H540" s="153"/>
    </row>
    <row r="541" spans="1:8" x14ac:dyDescent="0.3">
      <c r="A541" s="376" t="s">
        <v>1194</v>
      </c>
      <c r="B541" s="381">
        <v>1</v>
      </c>
      <c r="D541" s="153"/>
      <c r="E541" s="153"/>
      <c r="F541" s="153"/>
      <c r="G541" s="153"/>
      <c r="H541" s="153"/>
    </row>
    <row r="542" spans="1:8" x14ac:dyDescent="0.3">
      <c r="A542" s="376" t="s">
        <v>1196</v>
      </c>
      <c r="B542" s="381">
        <v>1</v>
      </c>
      <c r="D542" s="153"/>
      <c r="E542" s="153"/>
      <c r="F542" s="153"/>
      <c r="G542" s="153"/>
      <c r="H542" s="153"/>
    </row>
    <row r="543" spans="1:8" x14ac:dyDescent="0.3">
      <c r="A543" s="376" t="s">
        <v>1198</v>
      </c>
      <c r="B543" s="381">
        <v>1</v>
      </c>
      <c r="D543" s="153"/>
      <c r="E543" s="153"/>
      <c r="F543" s="153"/>
      <c r="G543" s="153"/>
      <c r="H543" s="153"/>
    </row>
    <row r="544" spans="1:8" x14ac:dyDescent="0.3">
      <c r="A544" s="376" t="s">
        <v>1200</v>
      </c>
      <c r="B544" s="381">
        <v>1</v>
      </c>
      <c r="D544" s="153"/>
      <c r="E544" s="153"/>
      <c r="F544" s="153"/>
      <c r="G544" s="153"/>
      <c r="H544" s="153"/>
    </row>
    <row r="545" spans="1:8" x14ac:dyDescent="0.3">
      <c r="A545" s="376" t="s">
        <v>1202</v>
      </c>
      <c r="B545" s="381">
        <v>1</v>
      </c>
      <c r="D545" s="153"/>
      <c r="E545" s="153"/>
      <c r="F545" s="153"/>
      <c r="G545" s="153"/>
      <c r="H545" s="153"/>
    </row>
    <row r="546" spans="1:8" x14ac:dyDescent="0.3">
      <c r="A546" s="376" t="s">
        <v>1204</v>
      </c>
      <c r="B546" s="381">
        <v>1</v>
      </c>
      <c r="D546" s="153"/>
      <c r="E546" s="153"/>
      <c r="F546" s="153"/>
      <c r="G546" s="153"/>
      <c r="H546" s="153"/>
    </row>
    <row r="547" spans="1:8" x14ac:dyDescent="0.3">
      <c r="A547" s="376" t="s">
        <v>1206</v>
      </c>
      <c r="B547" s="381">
        <v>1</v>
      </c>
      <c r="D547" s="153"/>
      <c r="E547" s="153"/>
      <c r="F547" s="153"/>
      <c r="G547" s="153"/>
      <c r="H547" s="153"/>
    </row>
    <row r="548" spans="1:8" x14ac:dyDescent="0.3">
      <c r="A548" s="376" t="s">
        <v>1208</v>
      </c>
      <c r="B548" s="381">
        <v>1</v>
      </c>
      <c r="D548" s="153"/>
      <c r="E548" s="153"/>
      <c r="F548" s="153"/>
      <c r="G548" s="153"/>
      <c r="H548" s="153"/>
    </row>
    <row r="549" spans="1:8" x14ac:dyDescent="0.3">
      <c r="A549" s="376" t="s">
        <v>1210</v>
      </c>
      <c r="B549" s="381">
        <v>1</v>
      </c>
      <c r="D549" s="153"/>
      <c r="E549" s="153"/>
      <c r="F549" s="153"/>
      <c r="G549" s="153"/>
      <c r="H549" s="153"/>
    </row>
    <row r="550" spans="1:8" x14ac:dyDescent="0.3">
      <c r="A550" s="376" t="s">
        <v>1212</v>
      </c>
      <c r="B550" s="381">
        <v>1</v>
      </c>
      <c r="D550" s="153"/>
      <c r="E550" s="153"/>
      <c r="F550" s="153"/>
      <c r="G550" s="153"/>
      <c r="H550" s="153"/>
    </row>
    <row r="551" spans="1:8" x14ac:dyDescent="0.3">
      <c r="A551" s="376" t="s">
        <v>1214</v>
      </c>
      <c r="B551" s="381">
        <v>1</v>
      </c>
      <c r="D551" s="153"/>
      <c r="E551" s="153"/>
      <c r="F551" s="153"/>
      <c r="G551" s="153"/>
      <c r="H551" s="153"/>
    </row>
    <row r="552" spans="1:8" x14ac:dyDescent="0.3">
      <c r="A552" s="376" t="s">
        <v>1216</v>
      </c>
      <c r="B552" s="381">
        <v>1</v>
      </c>
      <c r="D552" s="153"/>
      <c r="E552" s="153"/>
      <c r="F552" s="153"/>
      <c r="G552" s="153"/>
      <c r="H552" s="153"/>
    </row>
    <row r="553" spans="1:8" x14ac:dyDescent="0.3">
      <c r="A553" s="376" t="s">
        <v>1218</v>
      </c>
      <c r="B553" s="381">
        <v>1</v>
      </c>
      <c r="D553" s="153"/>
      <c r="E553" s="153"/>
      <c r="F553" s="153"/>
      <c r="G553" s="153"/>
      <c r="H553" s="153"/>
    </row>
    <row r="554" spans="1:8" x14ac:dyDescent="0.3">
      <c r="A554" s="376" t="s">
        <v>1220</v>
      </c>
      <c r="B554" s="381">
        <v>1</v>
      </c>
      <c r="D554" s="153"/>
      <c r="E554" s="153"/>
      <c r="F554" s="153"/>
      <c r="G554" s="153"/>
      <c r="H554" s="153"/>
    </row>
    <row r="555" spans="1:8" x14ac:dyDescent="0.3">
      <c r="A555" s="376" t="s">
        <v>1222</v>
      </c>
      <c r="B555" s="381">
        <v>1</v>
      </c>
      <c r="D555" s="153"/>
      <c r="E555" s="153"/>
      <c r="F555" s="153"/>
      <c r="G555" s="153"/>
      <c r="H555" s="153"/>
    </row>
    <row r="556" spans="1:8" x14ac:dyDescent="0.3">
      <c r="A556" s="376" t="s">
        <v>1224</v>
      </c>
      <c r="B556" s="381">
        <v>1</v>
      </c>
      <c r="D556" s="153"/>
      <c r="E556" s="153"/>
      <c r="F556" s="153"/>
      <c r="G556" s="153"/>
      <c r="H556" s="153"/>
    </row>
    <row r="557" spans="1:8" x14ac:dyDescent="0.3">
      <c r="A557" s="376" t="s">
        <v>1226</v>
      </c>
      <c r="B557" s="381">
        <v>1</v>
      </c>
      <c r="D557" s="153"/>
      <c r="E557" s="153"/>
      <c r="F557" s="153"/>
      <c r="G557" s="153"/>
      <c r="H557" s="153"/>
    </row>
    <row r="558" spans="1:8" x14ac:dyDescent="0.3">
      <c r="A558" s="376" t="s">
        <v>1228</v>
      </c>
      <c r="B558" s="381">
        <v>1</v>
      </c>
      <c r="D558" s="153"/>
      <c r="E558" s="153"/>
      <c r="F558" s="153"/>
      <c r="G558" s="153"/>
      <c r="H558" s="153"/>
    </row>
    <row r="559" spans="1:8" x14ac:dyDescent="0.3">
      <c r="A559" s="376" t="s">
        <v>1230</v>
      </c>
      <c r="B559" s="381">
        <v>1</v>
      </c>
      <c r="D559" s="153"/>
      <c r="E559" s="153"/>
      <c r="F559" s="153"/>
      <c r="G559" s="153"/>
      <c r="H559" s="153"/>
    </row>
    <row r="560" spans="1:8" x14ac:dyDescent="0.3">
      <c r="A560" s="376" t="s">
        <v>1232</v>
      </c>
      <c r="B560" s="381">
        <v>1</v>
      </c>
      <c r="D560" s="153"/>
      <c r="E560" s="153"/>
      <c r="F560" s="153"/>
      <c r="G560" s="153"/>
      <c r="H560" s="153"/>
    </row>
    <row r="561" spans="1:8" x14ac:dyDescent="0.3">
      <c r="A561" s="376" t="s">
        <v>1234</v>
      </c>
      <c r="B561" s="381">
        <v>1</v>
      </c>
      <c r="D561" s="153"/>
      <c r="E561" s="153"/>
      <c r="F561" s="153"/>
      <c r="G561" s="153"/>
      <c r="H561" s="153"/>
    </row>
    <row r="562" spans="1:8" x14ac:dyDescent="0.3">
      <c r="A562" s="376" t="s">
        <v>1236</v>
      </c>
      <c r="B562" s="381">
        <v>1</v>
      </c>
      <c r="D562" s="153"/>
      <c r="E562" s="153"/>
      <c r="F562" s="153"/>
      <c r="G562" s="153"/>
      <c r="H562" s="153"/>
    </row>
    <row r="563" spans="1:8" x14ac:dyDescent="0.3">
      <c r="A563" s="376" t="s">
        <v>1238</v>
      </c>
      <c r="B563" s="381">
        <v>1</v>
      </c>
      <c r="D563" s="153"/>
      <c r="E563" s="153"/>
      <c r="F563" s="153"/>
      <c r="G563" s="153"/>
      <c r="H563" s="153"/>
    </row>
    <row r="564" spans="1:8" x14ac:dyDescent="0.3">
      <c r="A564" s="376" t="s">
        <v>1240</v>
      </c>
      <c r="B564" s="381">
        <v>1</v>
      </c>
      <c r="D564" s="153"/>
      <c r="E564" s="153"/>
      <c r="F564" s="153"/>
      <c r="G564" s="153"/>
      <c r="H564" s="153"/>
    </row>
    <row r="565" spans="1:8" x14ac:dyDescent="0.3">
      <c r="A565" s="376" t="s">
        <v>1242</v>
      </c>
      <c r="B565" s="381">
        <v>1</v>
      </c>
      <c r="D565" s="153"/>
      <c r="E565" s="153"/>
      <c r="F565" s="153"/>
      <c r="G565" s="153"/>
      <c r="H565" s="153"/>
    </row>
    <row r="566" spans="1:8" x14ac:dyDescent="0.3">
      <c r="A566" s="376" t="s">
        <v>1244</v>
      </c>
      <c r="B566" s="381">
        <v>1</v>
      </c>
      <c r="D566" s="153"/>
      <c r="E566" s="153"/>
      <c r="F566" s="153"/>
      <c r="G566" s="153"/>
      <c r="H566" s="153"/>
    </row>
    <row r="567" spans="1:8" x14ac:dyDescent="0.3">
      <c r="A567" s="376" t="s">
        <v>1246</v>
      </c>
      <c r="B567" s="381">
        <v>1</v>
      </c>
      <c r="D567" s="153"/>
      <c r="E567" s="153"/>
      <c r="F567" s="153"/>
      <c r="G567" s="153"/>
      <c r="H567" s="153"/>
    </row>
    <row r="568" spans="1:8" x14ac:dyDescent="0.3">
      <c r="A568" s="376" t="s">
        <v>1248</v>
      </c>
      <c r="B568" s="381">
        <v>1</v>
      </c>
      <c r="D568" s="153"/>
      <c r="E568" s="153"/>
      <c r="F568" s="153"/>
      <c r="G568" s="153"/>
      <c r="H568" s="153"/>
    </row>
    <row r="569" spans="1:8" x14ac:dyDescent="0.3">
      <c r="A569" s="376" t="s">
        <v>1250</v>
      </c>
      <c r="B569" s="381">
        <v>1</v>
      </c>
      <c r="D569" s="153"/>
      <c r="E569" s="153"/>
      <c r="F569" s="153"/>
      <c r="G569" s="153"/>
      <c r="H569" s="153"/>
    </row>
    <row r="570" spans="1:8" x14ac:dyDescent="0.3">
      <c r="A570" s="376" t="s">
        <v>1252</v>
      </c>
      <c r="B570" s="381">
        <v>1</v>
      </c>
      <c r="D570" s="153"/>
      <c r="E570" s="153"/>
      <c r="F570" s="153"/>
      <c r="G570" s="153"/>
      <c r="H570" s="153"/>
    </row>
    <row r="571" spans="1:8" x14ac:dyDescent="0.3">
      <c r="A571" s="376" t="s">
        <v>1331</v>
      </c>
      <c r="B571" s="381">
        <v>1</v>
      </c>
      <c r="D571" s="153"/>
      <c r="E571" s="153"/>
      <c r="F571" s="153"/>
      <c r="G571" s="153"/>
      <c r="H571" s="153"/>
    </row>
    <row r="572" spans="1:8" x14ac:dyDescent="0.3">
      <c r="A572" s="376" t="s">
        <v>1333</v>
      </c>
      <c r="B572" s="381">
        <v>1</v>
      </c>
      <c r="D572" s="153"/>
      <c r="E572" s="153"/>
      <c r="F572" s="153"/>
      <c r="G572" s="153"/>
      <c r="H572" s="153"/>
    </row>
    <row r="573" spans="1:8" x14ac:dyDescent="0.3">
      <c r="A573" s="376" t="s">
        <v>1335</v>
      </c>
      <c r="B573" s="381">
        <v>1</v>
      </c>
      <c r="D573" s="153"/>
      <c r="E573" s="153"/>
      <c r="F573" s="153"/>
      <c r="G573" s="153"/>
      <c r="H573" s="153"/>
    </row>
    <row r="574" spans="1:8" x14ac:dyDescent="0.3">
      <c r="A574" s="376" t="s">
        <v>1338</v>
      </c>
      <c r="B574" s="381">
        <v>1</v>
      </c>
      <c r="D574" s="153"/>
      <c r="E574" s="153"/>
      <c r="F574" s="153"/>
      <c r="G574" s="153"/>
      <c r="H574" s="153"/>
    </row>
    <row r="575" spans="1:8" x14ac:dyDescent="0.3">
      <c r="A575" s="376" t="s">
        <v>1254</v>
      </c>
      <c r="B575" s="381">
        <v>1</v>
      </c>
      <c r="D575" s="153"/>
      <c r="E575" s="153"/>
      <c r="F575" s="153"/>
      <c r="G575" s="153"/>
      <c r="H575" s="153"/>
    </row>
    <row r="576" spans="1:8" x14ac:dyDescent="0.3">
      <c r="A576" s="376" t="s">
        <v>1256</v>
      </c>
      <c r="B576" s="381">
        <v>1</v>
      </c>
      <c r="D576" s="153"/>
      <c r="E576" s="153"/>
      <c r="F576" s="153"/>
      <c r="G576" s="153"/>
      <c r="H576" s="153"/>
    </row>
    <row r="577" spans="1:8" x14ac:dyDescent="0.3">
      <c r="A577" s="376" t="s">
        <v>1258</v>
      </c>
      <c r="B577" s="381">
        <v>1</v>
      </c>
      <c r="D577" s="153"/>
      <c r="E577" s="153"/>
      <c r="F577" s="153"/>
      <c r="G577" s="153"/>
      <c r="H577" s="153"/>
    </row>
    <row r="578" spans="1:8" x14ac:dyDescent="0.3">
      <c r="A578" s="376" t="s">
        <v>1260</v>
      </c>
      <c r="B578" s="381">
        <v>1</v>
      </c>
      <c r="D578" s="153"/>
      <c r="E578" s="153"/>
      <c r="F578" s="153"/>
      <c r="G578" s="153"/>
      <c r="H578" s="153"/>
    </row>
    <row r="579" spans="1:8" x14ac:dyDescent="0.3">
      <c r="A579" s="376" t="s">
        <v>1262</v>
      </c>
      <c r="B579" s="381">
        <v>1</v>
      </c>
      <c r="D579" s="153"/>
      <c r="E579" s="153"/>
      <c r="F579" s="153"/>
      <c r="G579" s="153"/>
      <c r="H579" s="153"/>
    </row>
    <row r="580" spans="1:8" x14ac:dyDescent="0.3">
      <c r="A580" s="376" t="s">
        <v>1264</v>
      </c>
      <c r="B580" s="381">
        <v>1</v>
      </c>
      <c r="D580" s="153"/>
      <c r="E580" s="153"/>
      <c r="F580" s="153"/>
      <c r="G580" s="153"/>
      <c r="H580" s="153"/>
    </row>
    <row r="581" spans="1:8" x14ac:dyDescent="0.3">
      <c r="A581" s="376" t="s">
        <v>1266</v>
      </c>
      <c r="B581" s="381">
        <v>1</v>
      </c>
      <c r="D581" s="153"/>
      <c r="E581" s="153"/>
      <c r="F581" s="153"/>
      <c r="G581" s="153"/>
      <c r="H581" s="153"/>
    </row>
    <row r="582" spans="1:8" x14ac:dyDescent="0.3">
      <c r="A582" s="376" t="s">
        <v>1268</v>
      </c>
      <c r="B582" s="381">
        <v>1</v>
      </c>
      <c r="D582" s="153"/>
      <c r="E582" s="153"/>
      <c r="F582" s="153"/>
      <c r="G582" s="153"/>
      <c r="H582" s="153"/>
    </row>
    <row r="583" spans="1:8" x14ac:dyDescent="0.3">
      <c r="A583" s="376" t="s">
        <v>1270</v>
      </c>
      <c r="B583" s="381">
        <v>1</v>
      </c>
      <c r="D583" s="153"/>
      <c r="E583" s="153"/>
      <c r="F583" s="153"/>
      <c r="G583" s="153"/>
      <c r="H583" s="153"/>
    </row>
    <row r="584" spans="1:8" x14ac:dyDescent="0.3">
      <c r="A584" s="376" t="s">
        <v>1272</v>
      </c>
      <c r="B584" s="381">
        <v>1</v>
      </c>
      <c r="D584" s="153"/>
      <c r="E584" s="153"/>
      <c r="F584" s="153"/>
      <c r="G584" s="153"/>
      <c r="H584" s="153"/>
    </row>
    <row r="585" spans="1:8" x14ac:dyDescent="0.3">
      <c r="A585" s="376" t="s">
        <v>1274</v>
      </c>
      <c r="B585" s="381">
        <v>1</v>
      </c>
      <c r="D585" s="153"/>
      <c r="E585" s="153"/>
      <c r="F585" s="153"/>
      <c r="G585" s="153"/>
      <c r="H585" s="153"/>
    </row>
    <row r="586" spans="1:8" x14ac:dyDescent="0.3">
      <c r="A586" s="376" t="s">
        <v>1276</v>
      </c>
      <c r="B586" s="381">
        <v>1</v>
      </c>
      <c r="D586" s="153"/>
      <c r="E586" s="153"/>
      <c r="F586" s="153"/>
      <c r="G586" s="153"/>
      <c r="H586" s="153"/>
    </row>
    <row r="587" spans="1:8" x14ac:dyDescent="0.3">
      <c r="A587" s="376" t="s">
        <v>1278</v>
      </c>
      <c r="B587" s="381">
        <v>1</v>
      </c>
      <c r="D587" s="153"/>
      <c r="E587" s="153"/>
      <c r="F587" s="153"/>
      <c r="G587" s="153"/>
      <c r="H587" s="153"/>
    </row>
    <row r="588" spans="1:8" x14ac:dyDescent="0.3">
      <c r="A588" s="376" t="s">
        <v>1280</v>
      </c>
      <c r="B588" s="381">
        <v>1</v>
      </c>
      <c r="D588" s="153"/>
      <c r="E588" s="153"/>
      <c r="F588" s="153"/>
      <c r="G588" s="153"/>
      <c r="H588" s="153"/>
    </row>
    <row r="589" spans="1:8" x14ac:dyDescent="0.3">
      <c r="A589" s="376" t="s">
        <v>1282</v>
      </c>
      <c r="B589" s="381">
        <v>1</v>
      </c>
      <c r="D589" s="153"/>
      <c r="E589" s="153"/>
      <c r="F589" s="153"/>
      <c r="G589" s="153"/>
      <c r="H589" s="153"/>
    </row>
    <row r="590" spans="1:8" x14ac:dyDescent="0.3">
      <c r="A590" s="376" t="s">
        <v>1284</v>
      </c>
      <c r="B590" s="381">
        <v>1</v>
      </c>
      <c r="D590" s="153"/>
      <c r="E590" s="153"/>
      <c r="F590" s="153"/>
      <c r="G590" s="153"/>
      <c r="H590" s="153"/>
    </row>
    <row r="591" spans="1:8" x14ac:dyDescent="0.3">
      <c r="A591" s="376" t="s">
        <v>1286</v>
      </c>
      <c r="B591" s="381">
        <v>1</v>
      </c>
      <c r="D591" s="153"/>
      <c r="E591" s="153"/>
      <c r="F591" s="153"/>
      <c r="G591" s="153"/>
      <c r="H591" s="153"/>
    </row>
    <row r="592" spans="1:8" x14ac:dyDescent="0.3">
      <c r="A592" s="376" t="s">
        <v>1288</v>
      </c>
      <c r="B592" s="381">
        <v>1</v>
      </c>
      <c r="D592" s="153"/>
      <c r="E592" s="153"/>
      <c r="F592" s="153"/>
      <c r="G592" s="153"/>
      <c r="H592" s="153"/>
    </row>
    <row r="593" spans="1:8" x14ac:dyDescent="0.3">
      <c r="A593" s="376" t="s">
        <v>1290</v>
      </c>
      <c r="B593" s="381">
        <v>1</v>
      </c>
      <c r="D593" s="153"/>
      <c r="E593" s="153"/>
      <c r="F593" s="153"/>
      <c r="G593" s="153"/>
      <c r="H593" s="153"/>
    </row>
    <row r="594" spans="1:8" x14ac:dyDescent="0.3">
      <c r="A594" s="376" t="s">
        <v>1292</v>
      </c>
      <c r="B594" s="381">
        <v>1</v>
      </c>
      <c r="D594" s="153"/>
      <c r="E594" s="153"/>
      <c r="F594" s="153"/>
      <c r="G594" s="153"/>
      <c r="H594" s="153"/>
    </row>
    <row r="595" spans="1:8" x14ac:dyDescent="0.3">
      <c r="A595" s="376" t="s">
        <v>1294</v>
      </c>
      <c r="B595" s="381">
        <v>1</v>
      </c>
      <c r="D595" s="153"/>
      <c r="E595" s="153"/>
      <c r="F595" s="153"/>
      <c r="G595" s="153"/>
      <c r="H595" s="153"/>
    </row>
    <row r="596" spans="1:8" x14ac:dyDescent="0.3">
      <c r="A596" s="376" t="s">
        <v>1296</v>
      </c>
      <c r="B596" s="381">
        <v>1</v>
      </c>
      <c r="D596" s="153"/>
      <c r="E596" s="153"/>
      <c r="F596" s="153"/>
      <c r="G596" s="153"/>
      <c r="H596" s="153"/>
    </row>
    <row r="597" spans="1:8" x14ac:dyDescent="0.3">
      <c r="A597" s="376" t="s">
        <v>1298</v>
      </c>
      <c r="B597" s="381">
        <v>1</v>
      </c>
      <c r="D597" s="153"/>
      <c r="E597" s="153"/>
      <c r="F597" s="153"/>
      <c r="G597" s="153"/>
      <c r="H597" s="153"/>
    </row>
    <row r="598" spans="1:8" x14ac:dyDescent="0.3">
      <c r="A598" s="376" t="s">
        <v>1300</v>
      </c>
      <c r="B598" s="381">
        <v>1</v>
      </c>
      <c r="D598" s="153"/>
      <c r="E598" s="153"/>
      <c r="F598" s="153"/>
      <c r="G598" s="153"/>
      <c r="H598" s="153"/>
    </row>
    <row r="599" spans="1:8" x14ac:dyDescent="0.3">
      <c r="A599" s="376" t="s">
        <v>1302</v>
      </c>
      <c r="B599" s="381">
        <v>1</v>
      </c>
      <c r="D599" s="153"/>
      <c r="E599" s="153"/>
      <c r="F599" s="153"/>
      <c r="G599" s="153"/>
      <c r="H599" s="153"/>
    </row>
    <row r="600" spans="1:8" x14ac:dyDescent="0.3">
      <c r="A600" s="376" t="s">
        <v>1304</v>
      </c>
      <c r="B600" s="381">
        <v>1</v>
      </c>
      <c r="D600" s="153"/>
      <c r="E600" s="153"/>
      <c r="F600" s="153"/>
      <c r="G600" s="153"/>
      <c r="H600" s="153"/>
    </row>
    <row r="601" spans="1:8" x14ac:dyDescent="0.3">
      <c r="A601" s="376" t="s">
        <v>1306</v>
      </c>
      <c r="B601" s="381">
        <v>1</v>
      </c>
      <c r="D601" s="153"/>
      <c r="E601" s="153"/>
      <c r="F601" s="153"/>
      <c r="G601" s="153"/>
      <c r="H601" s="153"/>
    </row>
    <row r="602" spans="1:8" x14ac:dyDescent="0.3">
      <c r="A602" s="376" t="s">
        <v>1308</v>
      </c>
      <c r="B602" s="381">
        <v>1</v>
      </c>
      <c r="D602" s="153"/>
      <c r="E602" s="153"/>
      <c r="F602" s="153"/>
      <c r="G602" s="153"/>
      <c r="H602" s="153"/>
    </row>
    <row r="603" spans="1:8" x14ac:dyDescent="0.3">
      <c r="A603" s="376" t="s">
        <v>1310</v>
      </c>
      <c r="B603" s="381">
        <v>1</v>
      </c>
      <c r="D603" s="153"/>
      <c r="E603" s="153"/>
      <c r="F603" s="153"/>
      <c r="G603" s="153"/>
      <c r="H603" s="153"/>
    </row>
    <row r="604" spans="1:8" x14ac:dyDescent="0.3">
      <c r="A604" s="376" t="s">
        <v>1312</v>
      </c>
      <c r="B604" s="381">
        <v>1</v>
      </c>
      <c r="D604" s="153"/>
      <c r="E604" s="153"/>
      <c r="F604" s="153"/>
      <c r="G604" s="153"/>
      <c r="H604" s="153"/>
    </row>
    <row r="605" spans="1:8" x14ac:dyDescent="0.3">
      <c r="A605" s="376" t="s">
        <v>1314</v>
      </c>
      <c r="B605" s="381">
        <v>1</v>
      </c>
      <c r="D605" s="153"/>
      <c r="E605" s="153"/>
      <c r="F605" s="153"/>
      <c r="G605" s="153"/>
      <c r="H605" s="153"/>
    </row>
    <row r="606" spans="1:8" x14ac:dyDescent="0.3">
      <c r="A606" s="376" t="s">
        <v>1316</v>
      </c>
      <c r="B606" s="381">
        <v>1</v>
      </c>
      <c r="D606" s="153"/>
      <c r="E606" s="153"/>
      <c r="F606" s="153"/>
      <c r="G606" s="153"/>
      <c r="H606" s="153"/>
    </row>
    <row r="607" spans="1:8" x14ac:dyDescent="0.3">
      <c r="A607" s="376" t="s">
        <v>1318</v>
      </c>
      <c r="B607" s="381">
        <v>1</v>
      </c>
      <c r="D607" s="153"/>
      <c r="E607" s="153"/>
      <c r="F607" s="153"/>
      <c r="G607" s="153"/>
      <c r="H607" s="153"/>
    </row>
    <row r="608" spans="1:8" x14ac:dyDescent="0.3">
      <c r="A608" s="376" t="s">
        <v>1320</v>
      </c>
      <c r="B608" s="381">
        <v>1</v>
      </c>
      <c r="D608" s="153"/>
      <c r="E608" s="153"/>
      <c r="F608" s="153"/>
      <c r="G608" s="153"/>
      <c r="H608" s="153"/>
    </row>
    <row r="609" spans="1:8" x14ac:dyDescent="0.3">
      <c r="A609" s="376" t="s">
        <v>1322</v>
      </c>
      <c r="B609" s="381">
        <v>1</v>
      </c>
      <c r="D609" s="153"/>
      <c r="E609" s="153"/>
      <c r="F609" s="153"/>
      <c r="G609" s="153"/>
      <c r="H609" s="153"/>
    </row>
    <row r="610" spans="1:8" x14ac:dyDescent="0.3">
      <c r="A610" s="376" t="s">
        <v>1324</v>
      </c>
      <c r="B610" s="381">
        <v>1</v>
      </c>
      <c r="D610" s="153"/>
      <c r="E610" s="153"/>
      <c r="F610" s="153"/>
      <c r="G610" s="153"/>
      <c r="H610" s="153"/>
    </row>
    <row r="611" spans="1:8" x14ac:dyDescent="0.3">
      <c r="A611" s="376" t="s">
        <v>1326</v>
      </c>
      <c r="B611" s="381">
        <v>1</v>
      </c>
      <c r="D611" s="153"/>
      <c r="E611" s="153"/>
      <c r="F611" s="153"/>
      <c r="G611" s="153"/>
      <c r="H611" s="153"/>
    </row>
    <row r="612" spans="1:8" x14ac:dyDescent="0.3">
      <c r="A612" s="376" t="s">
        <v>905</v>
      </c>
      <c r="B612" s="381">
        <v>1</v>
      </c>
      <c r="D612" s="153"/>
      <c r="E612" s="153"/>
      <c r="F612" s="153"/>
      <c r="G612" s="153"/>
      <c r="H612" s="153"/>
    </row>
    <row r="613" spans="1:8" x14ac:dyDescent="0.3">
      <c r="A613" s="376" t="s">
        <v>909</v>
      </c>
      <c r="B613" s="381">
        <v>1</v>
      </c>
      <c r="D613" s="153"/>
      <c r="E613" s="153"/>
      <c r="F613" s="153"/>
      <c r="G613" s="153"/>
      <c r="H613" s="153"/>
    </row>
    <row r="614" spans="1:8" x14ac:dyDescent="0.3">
      <c r="A614" s="376" t="s">
        <v>920</v>
      </c>
      <c r="B614" s="381">
        <v>1</v>
      </c>
      <c r="D614" s="153"/>
      <c r="E614" s="153"/>
      <c r="F614" s="153"/>
      <c r="G614" s="153"/>
      <c r="H614" s="153"/>
    </row>
    <row r="615" spans="1:8" x14ac:dyDescent="0.3">
      <c r="A615" s="376" t="s">
        <v>925</v>
      </c>
      <c r="B615" s="381">
        <v>1</v>
      </c>
      <c r="D615" s="153"/>
      <c r="E615" s="153"/>
      <c r="F615" s="153"/>
      <c r="G615" s="153"/>
      <c r="H615" s="153"/>
    </row>
    <row r="616" spans="1:8" x14ac:dyDescent="0.3">
      <c r="A616" s="376" t="s">
        <v>915</v>
      </c>
      <c r="B616" s="381">
        <v>1</v>
      </c>
      <c r="D616" s="153"/>
      <c r="E616" s="153"/>
      <c r="F616" s="153"/>
      <c r="G616" s="153"/>
      <c r="H616" s="153"/>
    </row>
    <row r="617" spans="1:8" x14ac:dyDescent="0.3">
      <c r="A617" s="376" t="s">
        <v>2936</v>
      </c>
      <c r="B617" s="381">
        <v>1</v>
      </c>
      <c r="D617" s="153"/>
      <c r="E617" s="153"/>
      <c r="F617" s="153"/>
      <c r="G617" s="153"/>
      <c r="H617" s="153"/>
    </row>
    <row r="618" spans="1:8" x14ac:dyDescent="0.3">
      <c r="A618" s="376" t="s">
        <v>1328</v>
      </c>
      <c r="B618" s="381">
        <v>1</v>
      </c>
      <c r="D618" s="153"/>
      <c r="E618" s="153"/>
      <c r="F618" s="153"/>
      <c r="G618" s="153"/>
      <c r="H618" s="153"/>
    </row>
    <row r="619" spans="1:8" x14ac:dyDescent="0.3">
      <c r="A619" s="376" t="s">
        <v>285</v>
      </c>
      <c r="B619" s="381">
        <v>1</v>
      </c>
      <c r="D619" s="153"/>
      <c r="E619" s="153"/>
      <c r="F619" s="153"/>
      <c r="G619" s="153"/>
      <c r="H619" s="153"/>
    </row>
    <row r="620" spans="1:8" x14ac:dyDescent="0.3">
      <c r="A620" s="376" t="s">
        <v>1362</v>
      </c>
      <c r="B620" s="381">
        <v>1</v>
      </c>
      <c r="D620" s="153"/>
      <c r="E620" s="153"/>
      <c r="F620" s="153"/>
      <c r="G620" s="153"/>
      <c r="H620" s="153"/>
    </row>
    <row r="621" spans="1:8" x14ac:dyDescent="0.3">
      <c r="A621" s="376" t="s">
        <v>1365</v>
      </c>
      <c r="B621" s="381">
        <v>1</v>
      </c>
      <c r="D621" s="153"/>
      <c r="E621" s="153"/>
      <c r="F621" s="153"/>
      <c r="G621" s="153"/>
      <c r="H621" s="153"/>
    </row>
    <row r="622" spans="1:8" x14ac:dyDescent="0.3">
      <c r="A622" s="376" t="s">
        <v>1368</v>
      </c>
      <c r="B622" s="381">
        <v>1</v>
      </c>
      <c r="D622" s="153"/>
      <c r="E622" s="153"/>
      <c r="F622" s="153"/>
      <c r="G622" s="153"/>
      <c r="H622" s="153"/>
    </row>
    <row r="623" spans="1:8" x14ac:dyDescent="0.3">
      <c r="A623" s="376" t="s">
        <v>1371</v>
      </c>
      <c r="B623" s="381">
        <v>1</v>
      </c>
      <c r="D623" s="153"/>
      <c r="E623" s="153"/>
      <c r="F623" s="153"/>
      <c r="G623" s="153"/>
      <c r="H623" s="153"/>
    </row>
    <row r="624" spans="1:8" x14ac:dyDescent="0.3">
      <c r="A624" s="376" t="s">
        <v>1373</v>
      </c>
      <c r="B624" s="381">
        <v>1</v>
      </c>
      <c r="D624" s="153"/>
      <c r="E624" s="153"/>
      <c r="F624" s="153"/>
      <c r="G624" s="153"/>
      <c r="H624" s="153"/>
    </row>
    <row r="625" spans="1:8" x14ac:dyDescent="0.3">
      <c r="A625" s="376" t="s">
        <v>1375</v>
      </c>
      <c r="B625" s="381">
        <v>1</v>
      </c>
      <c r="D625" s="153"/>
      <c r="E625" s="153"/>
      <c r="F625" s="153"/>
      <c r="G625" s="153"/>
      <c r="H625" s="153"/>
    </row>
    <row r="626" spans="1:8" x14ac:dyDescent="0.3">
      <c r="A626" s="376" t="s">
        <v>1377</v>
      </c>
      <c r="B626" s="381">
        <v>1</v>
      </c>
      <c r="D626" s="153"/>
      <c r="E626" s="153"/>
      <c r="F626" s="153"/>
      <c r="G626" s="153"/>
      <c r="H626" s="153"/>
    </row>
    <row r="627" spans="1:8" x14ac:dyDescent="0.3">
      <c r="A627" s="376" t="s">
        <v>1379</v>
      </c>
      <c r="B627" s="381">
        <v>1</v>
      </c>
      <c r="D627" s="153"/>
      <c r="E627" s="153"/>
      <c r="F627" s="153"/>
      <c r="G627" s="153"/>
      <c r="H627" s="153"/>
    </row>
    <row r="628" spans="1:8" x14ac:dyDescent="0.3">
      <c r="A628" s="376" t="s">
        <v>3267</v>
      </c>
      <c r="B628" s="381">
        <v>1</v>
      </c>
      <c r="D628" s="153"/>
      <c r="E628" s="153"/>
      <c r="F628" s="153"/>
      <c r="G628" s="153"/>
      <c r="H628" s="153"/>
    </row>
    <row r="629" spans="1:8" x14ac:dyDescent="0.3">
      <c r="A629" s="376" t="s">
        <v>3268</v>
      </c>
      <c r="B629" s="381">
        <v>1</v>
      </c>
      <c r="D629" s="153"/>
      <c r="E629" s="153"/>
      <c r="F629" s="153"/>
      <c r="G629" s="153"/>
      <c r="H629" s="153"/>
    </row>
    <row r="630" spans="1:8" x14ac:dyDescent="0.3">
      <c r="A630" s="376" t="s">
        <v>3269</v>
      </c>
      <c r="B630" s="381">
        <v>1</v>
      </c>
      <c r="D630" s="153"/>
      <c r="E630" s="153"/>
      <c r="F630" s="153"/>
      <c r="G630" s="153"/>
      <c r="H630" s="153"/>
    </row>
    <row r="631" spans="1:8" x14ac:dyDescent="0.3">
      <c r="A631" s="376" t="s">
        <v>3270</v>
      </c>
      <c r="B631" s="381">
        <v>1</v>
      </c>
      <c r="D631" s="153"/>
      <c r="E631" s="153"/>
      <c r="F631" s="153"/>
      <c r="G631" s="153"/>
      <c r="H631" s="153"/>
    </row>
    <row r="632" spans="1:8" x14ac:dyDescent="0.3">
      <c r="A632" s="376" t="s">
        <v>3271</v>
      </c>
      <c r="B632" s="381">
        <v>1</v>
      </c>
      <c r="D632" s="153"/>
      <c r="E632" s="153"/>
      <c r="F632" s="153"/>
      <c r="G632" s="153"/>
      <c r="H632" s="153"/>
    </row>
    <row r="633" spans="1:8" x14ac:dyDescent="0.3">
      <c r="A633" s="376" t="s">
        <v>3272</v>
      </c>
      <c r="B633" s="381">
        <v>1</v>
      </c>
      <c r="D633" s="153"/>
      <c r="E633" s="153"/>
      <c r="F633" s="153"/>
      <c r="G633" s="153"/>
      <c r="H633" s="153"/>
    </row>
    <row r="634" spans="1:8" x14ac:dyDescent="0.3">
      <c r="A634" s="376" t="s">
        <v>3273</v>
      </c>
      <c r="B634" s="381">
        <v>1</v>
      </c>
      <c r="D634" s="153"/>
      <c r="E634" s="153"/>
      <c r="F634" s="153"/>
      <c r="G634" s="153"/>
      <c r="H634" s="153"/>
    </row>
    <row r="635" spans="1:8" x14ac:dyDescent="0.3">
      <c r="A635" s="376" t="s">
        <v>74</v>
      </c>
      <c r="B635" s="381"/>
      <c r="D635" s="153"/>
      <c r="E635" s="153"/>
      <c r="F635" s="153"/>
      <c r="G635" s="153"/>
      <c r="H635" s="153"/>
    </row>
    <row r="636" spans="1:8" x14ac:dyDescent="0.3">
      <c r="A636" s="376" t="s">
        <v>3279</v>
      </c>
      <c r="B636" s="381">
        <v>1</v>
      </c>
      <c r="D636" s="153"/>
      <c r="E636" s="153"/>
      <c r="F636" s="153"/>
      <c r="G636" s="153"/>
      <c r="H636" s="153"/>
    </row>
    <row r="637" spans="1:8" x14ac:dyDescent="0.3">
      <c r="A637" s="376" t="s">
        <v>45</v>
      </c>
      <c r="B637" s="381">
        <v>564</v>
      </c>
      <c r="D637" s="153"/>
      <c r="E637" s="153"/>
      <c r="F637" s="153"/>
      <c r="G637" s="153"/>
      <c r="H637" s="153"/>
    </row>
  </sheetData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47"/>
  <sheetViews>
    <sheetView topLeftCell="L25" zoomScaleNormal="100" zoomScaleSheetLayoutView="100" workbookViewId="0">
      <selection activeCell="AK47" sqref="AK47"/>
    </sheetView>
  </sheetViews>
  <sheetFormatPr defaultRowHeight="14.5" x14ac:dyDescent="0.3"/>
  <cols>
    <col min="1" max="1" width="18.3984375" customWidth="1"/>
    <col min="2" max="7" width="5.69921875" customWidth="1"/>
    <col min="8" max="8" width="6.796875" customWidth="1"/>
    <col min="9" max="11" width="5.69921875" customWidth="1"/>
    <col min="12" max="13" width="5.69921875" style="266" customWidth="1"/>
    <col min="14" max="15" width="5.69921875" customWidth="1"/>
    <col min="16" max="17" width="5.69921875" style="266" customWidth="1"/>
    <col min="18" max="18" width="5.69921875" style="595" customWidth="1"/>
    <col min="23" max="23" width="17.3984375" bestFit="1" customWidth="1"/>
    <col min="24" max="24" width="5.69921875" customWidth="1"/>
    <col min="25" max="39" width="5.69921875" style="153" customWidth="1"/>
    <col min="40" max="40" width="5.69921875" customWidth="1"/>
  </cols>
  <sheetData>
    <row r="3" spans="1:39" x14ac:dyDescent="0.3">
      <c r="A3" s="153"/>
      <c r="B3" s="401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</row>
    <row r="4" spans="1:39" x14ac:dyDescent="0.3">
      <c r="A4" s="609"/>
      <c r="B4" s="609">
        <v>2021</v>
      </c>
      <c r="C4" s="609">
        <v>2022</v>
      </c>
      <c r="D4" s="632">
        <v>44569</v>
      </c>
      <c r="E4" s="610"/>
      <c r="F4" s="632">
        <v>44576</v>
      </c>
      <c r="G4" s="610"/>
      <c r="H4" s="632">
        <v>44583</v>
      </c>
      <c r="I4" s="610"/>
      <c r="J4" s="632">
        <v>44590</v>
      </c>
      <c r="K4" s="610"/>
      <c r="L4" s="610">
        <v>44604</v>
      </c>
      <c r="M4" s="610"/>
      <c r="N4" s="610">
        <v>44611</v>
      </c>
      <c r="O4" s="610"/>
      <c r="P4" s="610">
        <v>44618</v>
      </c>
      <c r="Q4" s="610"/>
      <c r="R4" s="611" t="s">
        <v>2309</v>
      </c>
      <c r="S4" s="611"/>
      <c r="T4" s="611"/>
      <c r="V4" s="266"/>
      <c r="W4" s="609"/>
      <c r="X4" s="609">
        <v>2021</v>
      </c>
      <c r="Y4" s="610"/>
      <c r="Z4" s="632">
        <v>44583</v>
      </c>
      <c r="AA4" s="632"/>
      <c r="AB4" s="632">
        <v>44590</v>
      </c>
      <c r="AC4" s="632"/>
      <c r="AD4" s="632">
        <v>44604</v>
      </c>
      <c r="AE4" s="632"/>
      <c r="AF4" s="632">
        <v>44611</v>
      </c>
      <c r="AG4" s="632"/>
      <c r="AH4" s="632">
        <v>44618</v>
      </c>
      <c r="AI4" s="610"/>
      <c r="AJ4" s="613" t="s">
        <v>3129</v>
      </c>
      <c r="AK4" s="613"/>
      <c r="AL4" s="614"/>
      <c r="AM4"/>
    </row>
    <row r="5" spans="1:39" x14ac:dyDescent="0.3">
      <c r="A5" s="609" t="s">
        <v>3233</v>
      </c>
      <c r="B5" s="609" t="s">
        <v>2173</v>
      </c>
      <c r="C5" s="609" t="s">
        <v>2174</v>
      </c>
      <c r="D5" s="609" t="s">
        <v>2173</v>
      </c>
      <c r="E5" s="609" t="s">
        <v>2174</v>
      </c>
      <c r="F5" s="609" t="s">
        <v>2173</v>
      </c>
      <c r="G5" s="609" t="s">
        <v>2174</v>
      </c>
      <c r="H5" s="609" t="s">
        <v>2173</v>
      </c>
      <c r="I5" s="609" t="s">
        <v>2174</v>
      </c>
      <c r="J5" s="609" t="s">
        <v>2173</v>
      </c>
      <c r="K5" s="609" t="s">
        <v>2174</v>
      </c>
      <c r="L5" s="609"/>
      <c r="M5" s="609"/>
      <c r="N5" s="609"/>
      <c r="O5" s="609"/>
      <c r="P5" s="609"/>
      <c r="Q5" s="609"/>
      <c r="R5" s="611" t="s">
        <v>3122</v>
      </c>
      <c r="S5" s="611" t="s">
        <v>3123</v>
      </c>
      <c r="T5" s="612" t="s">
        <v>3121</v>
      </c>
      <c r="V5" s="266"/>
      <c r="W5" s="609" t="s">
        <v>3130</v>
      </c>
      <c r="X5" s="615" t="s">
        <v>2173</v>
      </c>
      <c r="Y5" s="615" t="s">
        <v>2174</v>
      </c>
      <c r="Z5" s="615" t="s">
        <v>2173</v>
      </c>
      <c r="AA5" s="615" t="s">
        <v>2174</v>
      </c>
      <c r="AB5" s="615" t="s">
        <v>2173</v>
      </c>
      <c r="AC5" s="615" t="s">
        <v>2174</v>
      </c>
      <c r="AD5" s="615" t="s">
        <v>2173</v>
      </c>
      <c r="AE5" s="615" t="s">
        <v>2174</v>
      </c>
      <c r="AF5" s="615" t="s">
        <v>2173</v>
      </c>
      <c r="AG5" s="615" t="s">
        <v>2174</v>
      </c>
      <c r="AH5" s="615" t="s">
        <v>2173</v>
      </c>
      <c r="AI5" s="615" t="s">
        <v>2174</v>
      </c>
      <c r="AJ5" s="616" t="s">
        <v>2173</v>
      </c>
      <c r="AK5" s="616" t="s">
        <v>2174</v>
      </c>
      <c r="AL5" s="616" t="s">
        <v>3121</v>
      </c>
      <c r="AM5"/>
    </row>
    <row r="6" spans="1:39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15</v>
      </c>
      <c r="J6" s="153">
        <f>統計tmp!J7</f>
        <v>0</v>
      </c>
      <c r="K6" s="153">
        <f>統計tmp!K7</f>
        <v>0</v>
      </c>
      <c r="L6" s="153">
        <f>統計tmp!L7</f>
        <v>0</v>
      </c>
      <c r="M6" s="153">
        <f>統計tmp!M7</f>
        <v>0</v>
      </c>
      <c r="N6" s="153">
        <f>統計tmp!N7</f>
        <v>0</v>
      </c>
      <c r="O6" s="153">
        <f>統計tmp!O7</f>
        <v>0</v>
      </c>
      <c r="P6" s="153">
        <f>統計tmp!P7</f>
        <v>0</v>
      </c>
      <c r="Q6" s="153">
        <f>統計tmp!Q7</f>
        <v>0</v>
      </c>
      <c r="R6" s="607">
        <f>統計tmp!R7</f>
        <v>15</v>
      </c>
      <c r="S6" s="607">
        <f>統計tmp!S7</f>
        <v>15</v>
      </c>
      <c r="T6" s="608">
        <f>S6/R6</f>
        <v>1</v>
      </c>
      <c r="V6" s="266"/>
      <c r="W6" s="153" t="s">
        <v>65</v>
      </c>
      <c r="X6" s="153">
        <f>統計tmp!B30</f>
        <v>15</v>
      </c>
      <c r="Y6" s="153">
        <f>統計tmp!C30</f>
        <v>15</v>
      </c>
      <c r="Z6" s="153">
        <f>統計tmp!D30</f>
        <v>0</v>
      </c>
      <c r="AA6" s="153">
        <f>統計tmp!E30</f>
        <v>0</v>
      </c>
      <c r="AB6" s="153">
        <f>統計tmp!F30</f>
        <v>0</v>
      </c>
      <c r="AC6" s="153">
        <f>統計tmp!G30</f>
        <v>0</v>
      </c>
      <c r="AD6" s="153">
        <f>統計tmp!H30</f>
        <v>0</v>
      </c>
      <c r="AE6" s="153">
        <f>統計tmp!I30</f>
        <v>0</v>
      </c>
      <c r="AF6" s="153">
        <f>統計tmp!J30</f>
        <v>0</v>
      </c>
      <c r="AG6" s="153">
        <f>統計tmp!K30</f>
        <v>0</v>
      </c>
      <c r="AH6" s="153">
        <f>統計tmp!L30</f>
        <v>0</v>
      </c>
      <c r="AI6" s="153">
        <f>統計tmp!M30</f>
        <v>0</v>
      </c>
      <c r="AJ6" s="607">
        <f>統計tmp!N30</f>
        <v>15</v>
      </c>
      <c r="AK6" s="607">
        <f>統計tmp!O30</f>
        <v>15</v>
      </c>
      <c r="AL6" s="608">
        <f>AK6/AJ6</f>
        <v>1</v>
      </c>
      <c r="AM6"/>
    </row>
    <row r="7" spans="1:39" x14ac:dyDescent="0.3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153">
        <f>統計tmp!L8</f>
        <v>0</v>
      </c>
      <c r="M7" s="153">
        <f>統計tmp!M8</f>
        <v>0</v>
      </c>
      <c r="N7" s="153">
        <f>統計tmp!N8</f>
        <v>0</v>
      </c>
      <c r="O7" s="153">
        <f>統計tmp!O8</f>
        <v>0</v>
      </c>
      <c r="P7" s="153">
        <f>統計tmp!P8</f>
        <v>0</v>
      </c>
      <c r="Q7" s="153">
        <f>統計tmp!Q8</f>
        <v>0</v>
      </c>
      <c r="R7" s="607">
        <f>統計tmp!R8</f>
        <v>79</v>
      </c>
      <c r="S7" s="607">
        <f>統計tmp!S8</f>
        <v>79</v>
      </c>
      <c r="T7" s="608">
        <f t="shared" ref="T7:T16" si="0">S7/R7</f>
        <v>1</v>
      </c>
      <c r="V7" s="266"/>
      <c r="W7" s="153" t="s">
        <v>66</v>
      </c>
      <c r="X7" s="153">
        <f>統計tmp!B31</f>
        <v>72</v>
      </c>
      <c r="Y7" s="153">
        <f>統計tmp!C31</f>
        <v>72</v>
      </c>
      <c r="Z7" s="153">
        <f>統計tmp!D31</f>
        <v>0</v>
      </c>
      <c r="AA7" s="153">
        <f>統計tmp!E31</f>
        <v>0</v>
      </c>
      <c r="AB7" s="153">
        <f>統計tmp!F31</f>
        <v>0</v>
      </c>
      <c r="AC7" s="153">
        <f>統計tmp!G31</f>
        <v>0</v>
      </c>
      <c r="AD7" s="153">
        <f>統計tmp!H31</f>
        <v>0</v>
      </c>
      <c r="AE7" s="153">
        <f>統計tmp!I31</f>
        <v>0</v>
      </c>
      <c r="AF7" s="153">
        <f>統計tmp!J31</f>
        <v>1</v>
      </c>
      <c r="AG7" s="153">
        <f>統計tmp!K31</f>
        <v>0</v>
      </c>
      <c r="AH7" s="153">
        <f>統計tmp!L31</f>
        <v>6</v>
      </c>
      <c r="AI7" s="153">
        <f>統計tmp!M31</f>
        <v>0</v>
      </c>
      <c r="AJ7" s="607">
        <f>統計tmp!N31</f>
        <v>79</v>
      </c>
      <c r="AK7" s="607">
        <f>統計tmp!O31</f>
        <v>72</v>
      </c>
      <c r="AL7" s="608">
        <f t="shared" ref="AL7:AL16" si="1">AK7/AJ7</f>
        <v>0.91139240506329111</v>
      </c>
      <c r="AM7"/>
    </row>
    <row r="8" spans="1:39" x14ac:dyDescent="0.3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153">
        <f>統計tmp!L9</f>
        <v>0</v>
      </c>
      <c r="M8" s="153">
        <f>統計tmp!M9</f>
        <v>0</v>
      </c>
      <c r="N8" s="153">
        <f>統計tmp!N9</f>
        <v>0</v>
      </c>
      <c r="O8" s="153">
        <f>統計tmp!O9</f>
        <v>0</v>
      </c>
      <c r="P8" s="153">
        <f>統計tmp!P9</f>
        <v>0</v>
      </c>
      <c r="Q8" s="153">
        <f>統計tmp!Q9</f>
        <v>0</v>
      </c>
      <c r="R8" s="607">
        <f>統計tmp!R9</f>
        <v>38</v>
      </c>
      <c r="S8" s="607">
        <f>統計tmp!S9</f>
        <v>38</v>
      </c>
      <c r="T8" s="608">
        <f t="shared" si="0"/>
        <v>1</v>
      </c>
      <c r="V8" s="266"/>
      <c r="W8" s="153" t="s">
        <v>67</v>
      </c>
      <c r="X8" s="153">
        <f>統計tmp!B32</f>
        <v>33</v>
      </c>
      <c r="Y8" s="153">
        <f>統計tmp!C32</f>
        <v>33</v>
      </c>
      <c r="Z8" s="153">
        <f>統計tmp!D32</f>
        <v>0</v>
      </c>
      <c r="AA8" s="153">
        <f>統計tmp!E32</f>
        <v>0</v>
      </c>
      <c r="AB8" s="153">
        <f>統計tmp!F32</f>
        <v>0</v>
      </c>
      <c r="AC8" s="153">
        <f>統計tmp!G32</f>
        <v>0</v>
      </c>
      <c r="AD8" s="153">
        <f>統計tmp!H32</f>
        <v>0</v>
      </c>
      <c r="AE8" s="153">
        <f>統計tmp!I32</f>
        <v>0</v>
      </c>
      <c r="AF8" s="153">
        <f>統計tmp!J32</f>
        <v>5</v>
      </c>
      <c r="AG8" s="153">
        <f>統計tmp!K32</f>
        <v>0</v>
      </c>
      <c r="AH8" s="153">
        <f>統計tmp!L32</f>
        <v>0</v>
      </c>
      <c r="AI8" s="153">
        <f>統計tmp!M32</f>
        <v>0</v>
      </c>
      <c r="AJ8" s="607">
        <f>統計tmp!N32</f>
        <v>38</v>
      </c>
      <c r="AK8" s="607">
        <f>統計tmp!O32</f>
        <v>33</v>
      </c>
      <c r="AL8" s="608">
        <f t="shared" si="1"/>
        <v>0.86842105263157898</v>
      </c>
      <c r="AM8"/>
    </row>
    <row r="9" spans="1:39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46</v>
      </c>
      <c r="J9" s="153">
        <f>統計tmp!J10</f>
        <v>10</v>
      </c>
      <c r="K9" s="153">
        <f>統計tmp!K10</f>
        <v>10</v>
      </c>
      <c r="L9" s="153">
        <f>統計tmp!L10</f>
        <v>0</v>
      </c>
      <c r="M9" s="153">
        <f>統計tmp!M10</f>
        <v>0</v>
      </c>
      <c r="N9" s="153">
        <f>統計tmp!N10</f>
        <v>0</v>
      </c>
      <c r="O9" s="153">
        <f>統計tmp!O10</f>
        <v>0</v>
      </c>
      <c r="P9" s="153">
        <f>統計tmp!P10</f>
        <v>0</v>
      </c>
      <c r="Q9" s="153">
        <f>統計tmp!Q10</f>
        <v>0</v>
      </c>
      <c r="R9" s="607">
        <f>統計tmp!R10</f>
        <v>76</v>
      </c>
      <c r="S9" s="607">
        <f>統計tmp!S10</f>
        <v>76</v>
      </c>
      <c r="T9" s="608">
        <f t="shared" si="0"/>
        <v>1</v>
      </c>
      <c r="V9" s="266"/>
      <c r="W9" s="153" t="s">
        <v>68</v>
      </c>
      <c r="X9" s="153">
        <f>統計tmp!B33</f>
        <v>75</v>
      </c>
      <c r="Y9" s="153">
        <f>統計tmp!C33</f>
        <v>75</v>
      </c>
      <c r="Z9" s="153">
        <f>統計tmp!D33</f>
        <v>0</v>
      </c>
      <c r="AA9" s="153">
        <f>統計tmp!E33</f>
        <v>0</v>
      </c>
      <c r="AB9" s="153">
        <f>統計tmp!F33</f>
        <v>0</v>
      </c>
      <c r="AC9" s="153">
        <f>統計tmp!G33</f>
        <v>0</v>
      </c>
      <c r="AD9" s="153">
        <f>統計tmp!H33</f>
        <v>0</v>
      </c>
      <c r="AE9" s="153">
        <f>統計tmp!I33</f>
        <v>0</v>
      </c>
      <c r="AF9" s="153">
        <f>統計tmp!J33</f>
        <v>1</v>
      </c>
      <c r="AG9" s="153">
        <f>統計tmp!K33</f>
        <v>0</v>
      </c>
      <c r="AH9" s="153">
        <f>統計tmp!L33</f>
        <v>0</v>
      </c>
      <c r="AI9" s="153">
        <f>統計tmp!M33</f>
        <v>0</v>
      </c>
      <c r="AJ9" s="607">
        <f>統計tmp!N33</f>
        <v>76</v>
      </c>
      <c r="AK9" s="607">
        <f>統計tmp!O33</f>
        <v>75</v>
      </c>
      <c r="AL9" s="608">
        <f t="shared" si="1"/>
        <v>0.98684210526315785</v>
      </c>
      <c r="AM9"/>
    </row>
    <row r="10" spans="1:39" x14ac:dyDescent="0.3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0</v>
      </c>
      <c r="K10" s="153">
        <f>統計tmp!K11</f>
        <v>0</v>
      </c>
      <c r="L10" s="153">
        <f>統計tmp!L11</f>
        <v>15</v>
      </c>
      <c r="M10" s="153">
        <f>統計tmp!M11</f>
        <v>0</v>
      </c>
      <c r="N10" s="153">
        <f>統計tmp!N11</f>
        <v>0</v>
      </c>
      <c r="O10" s="153">
        <f>統計tmp!O11</f>
        <v>0</v>
      </c>
      <c r="P10" s="153">
        <f>統計tmp!P11</f>
        <v>0</v>
      </c>
      <c r="Q10" s="153">
        <f>統計tmp!Q11</f>
        <v>0</v>
      </c>
      <c r="R10" s="607">
        <f>統計tmp!R11</f>
        <v>87</v>
      </c>
      <c r="S10" s="607">
        <f>統計tmp!S11</f>
        <v>72</v>
      </c>
      <c r="T10" s="608">
        <f t="shared" si="0"/>
        <v>0.82758620689655171</v>
      </c>
      <c r="V10" s="266"/>
      <c r="W10" s="153" t="s">
        <v>69</v>
      </c>
      <c r="X10" s="153">
        <f>統計tmp!B34</f>
        <v>20</v>
      </c>
      <c r="Y10" s="153">
        <f>統計tmp!C34</f>
        <v>20</v>
      </c>
      <c r="Z10" s="153">
        <f>統計tmp!D34</f>
        <v>0</v>
      </c>
      <c r="AA10" s="153">
        <f>統計tmp!E34</f>
        <v>0</v>
      </c>
      <c r="AB10" s="153">
        <f>統計tmp!F34</f>
        <v>35</v>
      </c>
      <c r="AC10" s="153">
        <f>統計tmp!G34</f>
        <v>35</v>
      </c>
      <c r="AD10" s="153">
        <f>統計tmp!H34</f>
        <v>12</v>
      </c>
      <c r="AE10" s="153">
        <f>統計tmp!I34</f>
        <v>0</v>
      </c>
      <c r="AF10" s="153">
        <f>統計tmp!J34</f>
        <v>20</v>
      </c>
      <c r="AG10" s="153">
        <f>統計tmp!K34</f>
        <v>0</v>
      </c>
      <c r="AH10" s="153">
        <f>統計tmp!L34</f>
        <v>0</v>
      </c>
      <c r="AI10" s="153">
        <f>統計tmp!M34</f>
        <v>0</v>
      </c>
      <c r="AJ10" s="607">
        <f>統計tmp!N34</f>
        <v>87</v>
      </c>
      <c r="AK10" s="607">
        <f>統計tmp!O34</f>
        <v>55</v>
      </c>
      <c r="AL10" s="608">
        <f t="shared" si="1"/>
        <v>0.63218390804597702</v>
      </c>
      <c r="AM10"/>
    </row>
    <row r="11" spans="1:39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16</v>
      </c>
      <c r="J11" s="153">
        <f>統計tmp!J12</f>
        <v>1</v>
      </c>
      <c r="K11" s="153">
        <f>統計tmp!K12</f>
        <v>1</v>
      </c>
      <c r="L11" s="153">
        <f>統計tmp!L12</f>
        <v>0</v>
      </c>
      <c r="M11" s="153">
        <f>統計tmp!M12</f>
        <v>0</v>
      </c>
      <c r="N11" s="153">
        <f>統計tmp!N12</f>
        <v>0</v>
      </c>
      <c r="O11" s="153">
        <f>統計tmp!O12</f>
        <v>0</v>
      </c>
      <c r="P11" s="153">
        <f>統計tmp!P12</f>
        <v>0</v>
      </c>
      <c r="Q11" s="153">
        <f>統計tmp!Q12</f>
        <v>0</v>
      </c>
      <c r="R11" s="607">
        <f>統計tmp!R12</f>
        <v>106</v>
      </c>
      <c r="S11" s="607">
        <f>統計tmp!S12</f>
        <v>106</v>
      </c>
      <c r="T11" s="608">
        <f t="shared" si="0"/>
        <v>1</v>
      </c>
      <c r="V11" s="266"/>
      <c r="W11" s="153" t="s">
        <v>70</v>
      </c>
      <c r="X11" s="153">
        <f>統計tmp!B35</f>
        <v>94</v>
      </c>
      <c r="Y11" s="153">
        <f>統計tmp!C35</f>
        <v>94</v>
      </c>
      <c r="Z11" s="153">
        <f>統計tmp!D35</f>
        <v>4</v>
      </c>
      <c r="AA11" s="153">
        <f>統計tmp!E35</f>
        <v>4</v>
      </c>
      <c r="AB11" s="153">
        <f>統計tmp!F35</f>
        <v>0</v>
      </c>
      <c r="AC11" s="153">
        <f>統計tmp!G35</f>
        <v>0</v>
      </c>
      <c r="AD11" s="153">
        <f>統計tmp!H35</f>
        <v>0</v>
      </c>
      <c r="AE11" s="153">
        <f>統計tmp!I35</f>
        <v>0</v>
      </c>
      <c r="AF11" s="153">
        <f>統計tmp!J35</f>
        <v>8</v>
      </c>
      <c r="AG11" s="153">
        <f>統計tmp!K35</f>
        <v>0</v>
      </c>
      <c r="AH11" s="153">
        <f>統計tmp!L35</f>
        <v>0</v>
      </c>
      <c r="AI11" s="153">
        <f>統計tmp!M35</f>
        <v>0</v>
      </c>
      <c r="AJ11" s="607">
        <f>統計tmp!N35</f>
        <v>106</v>
      </c>
      <c r="AK11" s="607">
        <f>統計tmp!O35</f>
        <v>98</v>
      </c>
      <c r="AL11" s="608">
        <f t="shared" si="1"/>
        <v>0.92452830188679247</v>
      </c>
      <c r="AM11"/>
    </row>
    <row r="12" spans="1:39" x14ac:dyDescent="0.3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10</v>
      </c>
      <c r="L12" s="153">
        <f>統計tmp!L13</f>
        <v>0</v>
      </c>
      <c r="M12" s="153">
        <f>統計tmp!M13</f>
        <v>0</v>
      </c>
      <c r="N12" s="153">
        <f>統計tmp!N13</f>
        <v>0</v>
      </c>
      <c r="O12" s="153">
        <f>統計tmp!O13</f>
        <v>0</v>
      </c>
      <c r="P12" s="153">
        <f>統計tmp!P13</f>
        <v>0</v>
      </c>
      <c r="Q12" s="153">
        <f>統計tmp!Q13</f>
        <v>0</v>
      </c>
      <c r="R12" s="607">
        <f>統計tmp!R13</f>
        <v>17</v>
      </c>
      <c r="S12" s="607">
        <f>統計tmp!S13</f>
        <v>17</v>
      </c>
      <c r="T12" s="608">
        <f t="shared" si="0"/>
        <v>1</v>
      </c>
      <c r="V12" s="266"/>
      <c r="W12" s="153" t="s">
        <v>71</v>
      </c>
      <c r="X12" s="153">
        <f>統計tmp!B36</f>
        <v>7</v>
      </c>
      <c r="Y12" s="153">
        <f>統計tmp!C36</f>
        <v>7</v>
      </c>
      <c r="Z12" s="153">
        <f>統計tmp!D36</f>
        <v>0</v>
      </c>
      <c r="AA12" s="153">
        <f>統計tmp!E36</f>
        <v>0</v>
      </c>
      <c r="AB12" s="153">
        <f>統計tmp!F36</f>
        <v>0</v>
      </c>
      <c r="AC12" s="153">
        <f>統計tmp!G36</f>
        <v>0</v>
      </c>
      <c r="AD12" s="153">
        <f>統計tmp!H36</f>
        <v>10</v>
      </c>
      <c r="AE12" s="153">
        <f>統計tmp!I36</f>
        <v>0</v>
      </c>
      <c r="AF12" s="153">
        <f>統計tmp!J36</f>
        <v>0</v>
      </c>
      <c r="AG12" s="153">
        <f>統計tmp!K36</f>
        <v>0</v>
      </c>
      <c r="AH12" s="153">
        <f>統計tmp!L36</f>
        <v>0</v>
      </c>
      <c r="AI12" s="153">
        <f>統計tmp!M36</f>
        <v>0</v>
      </c>
      <c r="AJ12" s="607">
        <f>統計tmp!N36</f>
        <v>17</v>
      </c>
      <c r="AK12" s="607">
        <f>統計tmp!O36</f>
        <v>7</v>
      </c>
      <c r="AL12" s="608">
        <f t="shared" si="1"/>
        <v>0.41176470588235292</v>
      </c>
      <c r="AM12"/>
    </row>
    <row r="13" spans="1:39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77</v>
      </c>
      <c r="G13" s="153">
        <f>統計tmp!G14</f>
        <v>77</v>
      </c>
      <c r="H13" s="153">
        <f>統計tmp!H14</f>
        <v>18</v>
      </c>
      <c r="I13" s="153">
        <f>統計tmp!I14</f>
        <v>18</v>
      </c>
      <c r="J13" s="153">
        <f>統計tmp!J14</f>
        <v>3</v>
      </c>
      <c r="K13" s="153">
        <f>統計tmp!K14</f>
        <v>3</v>
      </c>
      <c r="L13" s="153">
        <f>統計tmp!L14</f>
        <v>0</v>
      </c>
      <c r="M13" s="153">
        <f>統計tmp!M14</f>
        <v>0</v>
      </c>
      <c r="N13" s="153">
        <f>統計tmp!N14</f>
        <v>19</v>
      </c>
      <c r="O13" s="153">
        <f>統計tmp!O14</f>
        <v>0</v>
      </c>
      <c r="P13" s="153">
        <f>統計tmp!P14</f>
        <v>19</v>
      </c>
      <c r="Q13" s="153">
        <f>統計tmp!Q14</f>
        <v>0</v>
      </c>
      <c r="R13" s="607">
        <f>統計tmp!R14</f>
        <v>136</v>
      </c>
      <c r="S13" s="607">
        <f>統計tmp!S14</f>
        <v>98</v>
      </c>
      <c r="T13" s="608">
        <f t="shared" si="0"/>
        <v>0.72058823529411764</v>
      </c>
      <c r="V13" s="266"/>
      <c r="W13" s="153" t="s">
        <v>72</v>
      </c>
      <c r="X13" s="153">
        <f>統計tmp!B37</f>
        <v>6</v>
      </c>
      <c r="Y13" s="153">
        <f>統計tmp!C37</f>
        <v>6</v>
      </c>
      <c r="Z13" s="153">
        <f>統計tmp!D37</f>
        <v>0</v>
      </c>
      <c r="AA13" s="153">
        <f>統計tmp!E37</f>
        <v>0</v>
      </c>
      <c r="AB13" s="153">
        <f>統計tmp!F37</f>
        <v>0</v>
      </c>
      <c r="AC13" s="153">
        <f>統計tmp!G37</f>
        <v>0</v>
      </c>
      <c r="AD13" s="153">
        <f>統計tmp!H37</f>
        <v>48</v>
      </c>
      <c r="AE13" s="153">
        <f>統計tmp!I37</f>
        <v>0</v>
      </c>
      <c r="AF13" s="153">
        <f>統計tmp!J37</f>
        <v>25</v>
      </c>
      <c r="AG13" s="153">
        <f>統計tmp!K37</f>
        <v>0</v>
      </c>
      <c r="AH13" s="153">
        <f>統計tmp!L37</f>
        <v>57</v>
      </c>
      <c r="AI13" s="153">
        <f>統計tmp!M37</f>
        <v>0</v>
      </c>
      <c r="AJ13" s="607">
        <f>統計tmp!N37</f>
        <v>136</v>
      </c>
      <c r="AK13" s="607">
        <f>統計tmp!O37</f>
        <v>6</v>
      </c>
      <c r="AL13" s="608">
        <f t="shared" si="1"/>
        <v>4.4117647058823532E-2</v>
      </c>
      <c r="AM13"/>
    </row>
    <row r="14" spans="1:39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153">
        <f>統計tmp!L15</f>
        <v>0</v>
      </c>
      <c r="M14" s="153">
        <f>統計tmp!M15</f>
        <v>0</v>
      </c>
      <c r="N14" s="153">
        <f>統計tmp!N15</f>
        <v>0</v>
      </c>
      <c r="O14" s="153">
        <f>統計tmp!O15</f>
        <v>0</v>
      </c>
      <c r="P14" s="153">
        <f>統計tmp!P15</f>
        <v>0</v>
      </c>
      <c r="Q14" s="153">
        <f>統計tmp!Q15</f>
        <v>0</v>
      </c>
      <c r="R14" s="607">
        <f>統計tmp!R15</f>
        <v>1</v>
      </c>
      <c r="S14" s="607">
        <f>統計tmp!S15</f>
        <v>1</v>
      </c>
      <c r="T14" s="608">
        <f t="shared" si="0"/>
        <v>1</v>
      </c>
      <c r="V14" s="266"/>
      <c r="W14" s="153" t="s">
        <v>73</v>
      </c>
      <c r="X14" s="153">
        <f>統計tmp!B38</f>
        <v>1</v>
      </c>
      <c r="Y14" s="153">
        <f>統計tmp!C38</f>
        <v>1</v>
      </c>
      <c r="Z14" s="153">
        <f>統計tmp!D38</f>
        <v>0</v>
      </c>
      <c r="AA14" s="153">
        <f>統計tmp!E38</f>
        <v>0</v>
      </c>
      <c r="AB14" s="153">
        <f>統計tmp!F38</f>
        <v>0</v>
      </c>
      <c r="AC14" s="153">
        <f>統計tmp!G38</f>
        <v>0</v>
      </c>
      <c r="AD14" s="153">
        <f>統計tmp!H38</f>
        <v>0</v>
      </c>
      <c r="AE14" s="153">
        <f>統計tmp!I38</f>
        <v>0</v>
      </c>
      <c r="AF14" s="153">
        <f>統計tmp!J38</f>
        <v>0</v>
      </c>
      <c r="AG14" s="153">
        <f>統計tmp!K38</f>
        <v>0</v>
      </c>
      <c r="AH14" s="153">
        <f>統計tmp!L38</f>
        <v>0</v>
      </c>
      <c r="AI14" s="153">
        <f>統計tmp!M38</f>
        <v>0</v>
      </c>
      <c r="AJ14" s="607">
        <f>統計tmp!N38</f>
        <v>1</v>
      </c>
      <c r="AK14" s="607">
        <f>統計tmp!O38</f>
        <v>1</v>
      </c>
      <c r="AL14" s="608">
        <f t="shared" si="1"/>
        <v>1</v>
      </c>
      <c r="AM14"/>
    </row>
    <row r="15" spans="1:39" x14ac:dyDescent="0.3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12</v>
      </c>
      <c r="J15" s="153">
        <f>統計tmp!J16</f>
        <v>0</v>
      </c>
      <c r="K15" s="153">
        <f>統計tmp!K16</f>
        <v>0</v>
      </c>
      <c r="L15" s="153">
        <f>統計tmp!L16</f>
        <v>0</v>
      </c>
      <c r="M15" s="153">
        <f>統計tmp!M16</f>
        <v>0</v>
      </c>
      <c r="N15" s="153">
        <f>統計tmp!N16</f>
        <v>0</v>
      </c>
      <c r="O15" s="153">
        <f>統計tmp!O16</f>
        <v>0</v>
      </c>
      <c r="P15" s="153">
        <f>統計tmp!P16</f>
        <v>0</v>
      </c>
      <c r="Q15" s="153">
        <f>統計tmp!Q16</f>
        <v>0</v>
      </c>
      <c r="R15" s="607">
        <f>統計tmp!R16</f>
        <v>12</v>
      </c>
      <c r="S15" s="607">
        <f>統計tmp!S16</f>
        <v>12</v>
      </c>
      <c r="T15" s="608">
        <f t="shared" si="0"/>
        <v>1</v>
      </c>
      <c r="V15" s="266"/>
      <c r="W15" s="153" t="s">
        <v>2524</v>
      </c>
      <c r="X15" s="153">
        <f>統計tmp!B39</f>
        <v>6</v>
      </c>
      <c r="Y15" s="153">
        <f>統計tmp!C39</f>
        <v>6</v>
      </c>
      <c r="Z15" s="153">
        <f>統計tmp!D39</f>
        <v>0</v>
      </c>
      <c r="AA15" s="153">
        <f>統計tmp!E39</f>
        <v>0</v>
      </c>
      <c r="AB15" s="153">
        <f>統計tmp!F39</f>
        <v>0</v>
      </c>
      <c r="AC15" s="153">
        <f>統計tmp!G39</f>
        <v>0</v>
      </c>
      <c r="AD15" s="153">
        <f>統計tmp!H39</f>
        <v>0</v>
      </c>
      <c r="AE15" s="153">
        <f>統計tmp!I39</f>
        <v>0</v>
      </c>
      <c r="AF15" s="153">
        <f>統計tmp!J39</f>
        <v>6</v>
      </c>
      <c r="AG15" s="153">
        <f>統計tmp!K39</f>
        <v>0</v>
      </c>
      <c r="AH15" s="153">
        <f>統計tmp!L39</f>
        <v>0</v>
      </c>
      <c r="AI15" s="153">
        <f>統計tmp!M39</f>
        <v>0</v>
      </c>
      <c r="AJ15" s="607">
        <f>統計tmp!N39</f>
        <v>12</v>
      </c>
      <c r="AK15" s="607">
        <f>統計tmp!O39</f>
        <v>6</v>
      </c>
      <c r="AL15" s="608">
        <f t="shared" si="1"/>
        <v>0.5</v>
      </c>
      <c r="AM15"/>
    </row>
    <row r="16" spans="1:39" x14ac:dyDescent="0.3">
      <c r="A16" s="609" t="s">
        <v>45</v>
      </c>
      <c r="B16" s="609">
        <f>統計tmp!B17</f>
        <v>48</v>
      </c>
      <c r="C16" s="609">
        <f>統計tmp!C17</f>
        <v>48</v>
      </c>
      <c r="D16" s="609">
        <f>統計tmp!D17</f>
        <v>108</v>
      </c>
      <c r="E16" s="609">
        <f>統計tmp!E17</f>
        <v>108</v>
      </c>
      <c r="F16" s="609">
        <f>統計tmp!F17</f>
        <v>183</v>
      </c>
      <c r="G16" s="609">
        <f>統計tmp!G17</f>
        <v>183</v>
      </c>
      <c r="H16" s="609">
        <f>統計tmp!H17</f>
        <v>151</v>
      </c>
      <c r="I16" s="609">
        <f>統計tmp!I17</f>
        <v>151</v>
      </c>
      <c r="J16" s="609">
        <f>統計tmp!J17</f>
        <v>24</v>
      </c>
      <c r="K16" s="609">
        <f>統計tmp!K17</f>
        <v>24</v>
      </c>
      <c r="L16" s="609">
        <f>統計tmp!L17</f>
        <v>15</v>
      </c>
      <c r="M16" s="609">
        <f>統計tmp!M17</f>
        <v>0</v>
      </c>
      <c r="N16" s="609">
        <f>統計tmp!N17</f>
        <v>19</v>
      </c>
      <c r="O16" s="609">
        <f>統計tmp!O17</f>
        <v>0</v>
      </c>
      <c r="P16" s="609">
        <f>統計tmp!P17</f>
        <v>19</v>
      </c>
      <c r="Q16" s="609">
        <f>統計tmp!Q17</f>
        <v>0</v>
      </c>
      <c r="R16" s="611">
        <f>統計tmp!R17</f>
        <v>567</v>
      </c>
      <c r="S16" s="611">
        <f>統計tmp!S17</f>
        <v>514</v>
      </c>
      <c r="T16" s="612">
        <f t="shared" si="0"/>
        <v>0.90652557319223981</v>
      </c>
      <c r="V16" s="266"/>
      <c r="W16" s="609" t="s">
        <v>2526</v>
      </c>
      <c r="X16" s="609">
        <f>統計tmp!B40</f>
        <v>329</v>
      </c>
      <c r="Y16" s="609">
        <f>統計tmp!C40</f>
        <v>329</v>
      </c>
      <c r="Z16" s="609">
        <f>統計tmp!D40</f>
        <v>4</v>
      </c>
      <c r="AA16" s="609">
        <f>統計tmp!E40</f>
        <v>4</v>
      </c>
      <c r="AB16" s="609">
        <f>統計tmp!F40</f>
        <v>35</v>
      </c>
      <c r="AC16" s="609">
        <f>統計tmp!G40</f>
        <v>35</v>
      </c>
      <c r="AD16" s="609">
        <f>統計tmp!H40</f>
        <v>70</v>
      </c>
      <c r="AE16" s="609">
        <f>統計tmp!I40</f>
        <v>0</v>
      </c>
      <c r="AF16" s="609">
        <f>統計tmp!J40</f>
        <v>66</v>
      </c>
      <c r="AG16" s="609">
        <f>統計tmp!K40</f>
        <v>0</v>
      </c>
      <c r="AH16" s="609">
        <f>統計tmp!L40</f>
        <v>63</v>
      </c>
      <c r="AI16" s="609">
        <f>統計tmp!M40</f>
        <v>0</v>
      </c>
      <c r="AJ16" s="611">
        <f>統計tmp!N40</f>
        <v>567</v>
      </c>
      <c r="AK16" s="611">
        <f>統計tmp!O40</f>
        <v>368</v>
      </c>
      <c r="AL16" s="612">
        <f t="shared" si="1"/>
        <v>0.64902998236331566</v>
      </c>
      <c r="AM16"/>
    </row>
    <row r="17" spans="1:40" x14ac:dyDescent="0.3">
      <c r="AN17" s="266"/>
    </row>
    <row r="18" spans="1:40" s="266" customFormat="1" x14ac:dyDescent="0.3">
      <c r="R18" s="595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</row>
    <row r="19" spans="1:40" s="266" customFormat="1" x14ac:dyDescent="0.3">
      <c r="R19" s="595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</row>
    <row r="20" spans="1:40" s="266" customFormat="1" x14ac:dyDescent="0.3">
      <c r="R20" s="595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</row>
    <row r="21" spans="1:40" s="266" customFormat="1" x14ac:dyDescent="0.3">
      <c r="R21" s="595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/>
    </row>
    <row r="23" spans="1:40" x14ac:dyDescent="0.3">
      <c r="A23" s="97" t="s">
        <v>3126</v>
      </c>
      <c r="W23" s="97" t="s">
        <v>3126</v>
      </c>
    </row>
    <row r="24" spans="1:40" x14ac:dyDescent="0.3">
      <c r="A24" s="609" t="s">
        <v>3120</v>
      </c>
      <c r="B24" s="609">
        <v>2021</v>
      </c>
      <c r="C24" s="611">
        <v>2022</v>
      </c>
      <c r="D24" s="645">
        <v>44569</v>
      </c>
      <c r="E24" s="645"/>
      <c r="F24" s="645">
        <v>44576</v>
      </c>
      <c r="G24" s="645"/>
      <c r="H24" s="645">
        <v>44583</v>
      </c>
      <c r="I24" s="645"/>
      <c r="J24" s="645">
        <v>44590</v>
      </c>
      <c r="K24" s="645"/>
      <c r="L24" s="645">
        <v>44604</v>
      </c>
      <c r="M24" s="645"/>
      <c r="N24" s="645">
        <v>44611</v>
      </c>
      <c r="O24" s="645"/>
      <c r="P24" s="645">
        <v>44618</v>
      </c>
      <c r="Q24" s="645"/>
      <c r="R24" s="611" t="s">
        <v>2309</v>
      </c>
      <c r="S24" s="611"/>
      <c r="T24" s="611"/>
      <c r="W24" s="609" t="s">
        <v>3128</v>
      </c>
      <c r="X24" s="609">
        <v>2021</v>
      </c>
      <c r="Y24" s="613">
        <v>2022</v>
      </c>
      <c r="Z24" s="633" t="s">
        <v>3131</v>
      </c>
      <c r="AA24" s="613"/>
      <c r="AB24" s="634" t="s">
        <v>3132</v>
      </c>
      <c r="AC24" s="613"/>
      <c r="AD24" s="634" t="s">
        <v>3133</v>
      </c>
      <c r="AE24" s="613"/>
      <c r="AF24" s="635">
        <v>44611</v>
      </c>
      <c r="AG24" s="613"/>
      <c r="AH24" s="635">
        <v>44618</v>
      </c>
      <c r="AI24" s="613"/>
      <c r="AJ24" s="613" t="s">
        <v>2309</v>
      </c>
      <c r="AK24" s="613"/>
      <c r="AL24" s="614"/>
      <c r="AM24"/>
    </row>
    <row r="25" spans="1:40" x14ac:dyDescent="0.3">
      <c r="A25" s="609" t="s">
        <v>21</v>
      </c>
      <c r="B25" s="609" t="s">
        <v>3124</v>
      </c>
      <c r="C25" s="609" t="s">
        <v>3125</v>
      </c>
      <c r="D25" s="609" t="s">
        <v>2173</v>
      </c>
      <c r="E25" s="609" t="s">
        <v>2174</v>
      </c>
      <c r="F25" s="609" t="s">
        <v>2173</v>
      </c>
      <c r="G25" s="609" t="s">
        <v>2174</v>
      </c>
      <c r="H25" s="609" t="s">
        <v>2173</v>
      </c>
      <c r="I25" s="609" t="s">
        <v>2174</v>
      </c>
      <c r="J25" s="609" t="s">
        <v>2173</v>
      </c>
      <c r="K25" s="609" t="s">
        <v>2174</v>
      </c>
      <c r="L25" s="609" t="s">
        <v>2173</v>
      </c>
      <c r="M25" s="609" t="s">
        <v>2174</v>
      </c>
      <c r="N25" s="609" t="s">
        <v>2173</v>
      </c>
      <c r="O25" s="609" t="s">
        <v>2174</v>
      </c>
      <c r="P25" s="609" t="s">
        <v>2173</v>
      </c>
      <c r="Q25" s="609" t="s">
        <v>2174</v>
      </c>
      <c r="R25" s="611" t="s">
        <v>3122</v>
      </c>
      <c r="S25" s="611" t="s">
        <v>3123</v>
      </c>
      <c r="T25" s="612" t="s">
        <v>3121</v>
      </c>
      <c r="W25" s="609" t="s">
        <v>21</v>
      </c>
      <c r="X25" s="615" t="s">
        <v>2173</v>
      </c>
      <c r="Y25" s="615" t="s">
        <v>2174</v>
      </c>
      <c r="Z25" s="615" t="s">
        <v>2173</v>
      </c>
      <c r="AA25" s="615" t="s">
        <v>2174</v>
      </c>
      <c r="AB25" s="615" t="s">
        <v>2173</v>
      </c>
      <c r="AC25" s="615" t="s">
        <v>2174</v>
      </c>
      <c r="AD25" s="615" t="s">
        <v>2173</v>
      </c>
      <c r="AE25" s="615" t="s">
        <v>2174</v>
      </c>
      <c r="AF25" s="615" t="s">
        <v>2173</v>
      </c>
      <c r="AG25" s="615" t="s">
        <v>2174</v>
      </c>
      <c r="AH25" s="615" t="s">
        <v>2173</v>
      </c>
      <c r="AI25" s="615" t="s">
        <v>2174</v>
      </c>
      <c r="AJ25" s="616" t="s">
        <v>2173</v>
      </c>
      <c r="AK25" s="616" t="s">
        <v>2174</v>
      </c>
      <c r="AL25" s="616" t="s">
        <v>2325</v>
      </c>
      <c r="AM25"/>
    </row>
    <row r="26" spans="1:40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153">
        <v>0</v>
      </c>
      <c r="M26" s="153">
        <v>0</v>
      </c>
      <c r="N26" s="153">
        <v>0</v>
      </c>
      <c r="O26" s="153">
        <v>0</v>
      </c>
      <c r="P26" s="153">
        <v>0</v>
      </c>
      <c r="Q26" s="153">
        <v>0</v>
      </c>
      <c r="R26" s="607">
        <v>15</v>
      </c>
      <c r="S26" s="607">
        <v>15</v>
      </c>
      <c r="T26" s="608">
        <f>S26/R26</f>
        <v>1</v>
      </c>
      <c r="W26" s="153" t="s">
        <v>65</v>
      </c>
      <c r="X26" s="153">
        <v>15</v>
      </c>
      <c r="Y26" s="153">
        <v>15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153">
        <v>0</v>
      </c>
      <c r="AI26" s="153">
        <v>0</v>
      </c>
      <c r="AJ26" s="607">
        <v>15</v>
      </c>
      <c r="AK26" s="607">
        <v>15</v>
      </c>
      <c r="AL26" s="608">
        <f>AK26/AJ26</f>
        <v>1</v>
      </c>
      <c r="AM26"/>
    </row>
    <row r="27" spans="1:40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153">
        <v>0</v>
      </c>
      <c r="M27" s="153">
        <v>0</v>
      </c>
      <c r="N27" s="153">
        <v>0</v>
      </c>
      <c r="O27" s="153">
        <v>0</v>
      </c>
      <c r="P27" s="153">
        <v>0</v>
      </c>
      <c r="Q27" s="153">
        <v>0</v>
      </c>
      <c r="R27" s="607">
        <v>79</v>
      </c>
      <c r="S27" s="607">
        <v>79</v>
      </c>
      <c r="T27" s="608">
        <f t="shared" ref="T27:T36" si="2">S27/R27</f>
        <v>1</v>
      </c>
      <c r="W27" s="153" t="s">
        <v>66</v>
      </c>
      <c r="X27" s="153">
        <v>72</v>
      </c>
      <c r="Y27" s="153">
        <v>72</v>
      </c>
      <c r="Z27" s="153">
        <v>1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0</v>
      </c>
      <c r="AG27" s="153">
        <v>0</v>
      </c>
      <c r="AH27" s="153">
        <v>6</v>
      </c>
      <c r="AI27" s="153">
        <v>0</v>
      </c>
      <c r="AJ27" s="607">
        <v>79</v>
      </c>
      <c r="AK27" s="607">
        <v>72</v>
      </c>
      <c r="AL27" s="608">
        <f t="shared" ref="AL27:AL36" si="3">AK27/AJ27</f>
        <v>0.91139240506329111</v>
      </c>
      <c r="AM27"/>
    </row>
    <row r="28" spans="1:40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153">
        <v>0</v>
      </c>
      <c r="M28" s="153">
        <v>0</v>
      </c>
      <c r="N28" s="153">
        <v>0</v>
      </c>
      <c r="O28" s="153">
        <v>0</v>
      </c>
      <c r="P28" s="153">
        <v>0</v>
      </c>
      <c r="Q28" s="153">
        <v>0</v>
      </c>
      <c r="R28" s="607">
        <v>38</v>
      </c>
      <c r="S28" s="607">
        <v>38</v>
      </c>
      <c r="T28" s="608">
        <f t="shared" si="2"/>
        <v>1</v>
      </c>
      <c r="W28" s="153" t="s">
        <v>67</v>
      </c>
      <c r="X28" s="153">
        <v>33</v>
      </c>
      <c r="Y28" s="153">
        <v>33</v>
      </c>
      <c r="Z28" s="153">
        <v>0</v>
      </c>
      <c r="AA28" s="153">
        <v>0</v>
      </c>
      <c r="AB28" s="153">
        <v>0</v>
      </c>
      <c r="AC28" s="153">
        <v>0</v>
      </c>
      <c r="AD28" s="153">
        <v>0</v>
      </c>
      <c r="AE28" s="153">
        <v>0</v>
      </c>
      <c r="AF28" s="153">
        <v>5</v>
      </c>
      <c r="AG28" s="153">
        <v>0</v>
      </c>
      <c r="AH28" s="153">
        <v>0</v>
      </c>
      <c r="AI28" s="153">
        <v>0</v>
      </c>
      <c r="AJ28" s="607">
        <v>38</v>
      </c>
      <c r="AK28" s="607">
        <v>33</v>
      </c>
      <c r="AL28" s="608">
        <f t="shared" si="3"/>
        <v>0.86842105263157898</v>
      </c>
      <c r="AM28"/>
    </row>
    <row r="29" spans="1:40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153">
        <v>0</v>
      </c>
      <c r="M29" s="153">
        <v>0</v>
      </c>
      <c r="N29" s="153">
        <v>0</v>
      </c>
      <c r="O29" s="153">
        <v>0</v>
      </c>
      <c r="P29" s="153">
        <v>0</v>
      </c>
      <c r="Q29" s="153">
        <v>0</v>
      </c>
      <c r="R29" s="607">
        <v>76</v>
      </c>
      <c r="S29" s="607">
        <v>76</v>
      </c>
      <c r="T29" s="608">
        <f t="shared" si="2"/>
        <v>1</v>
      </c>
      <c r="W29" s="153" t="s">
        <v>68</v>
      </c>
      <c r="X29" s="153">
        <v>75</v>
      </c>
      <c r="Y29" s="153">
        <v>75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1</v>
      </c>
      <c r="AG29" s="153">
        <v>0</v>
      </c>
      <c r="AH29" s="153">
        <v>0</v>
      </c>
      <c r="AI29" s="153">
        <v>0</v>
      </c>
      <c r="AJ29" s="607">
        <v>76</v>
      </c>
      <c r="AK29" s="607">
        <v>75</v>
      </c>
      <c r="AL29" s="608">
        <f t="shared" si="3"/>
        <v>0.98684210526315785</v>
      </c>
      <c r="AM29"/>
    </row>
    <row r="30" spans="1:40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0</v>
      </c>
      <c r="K30" s="153">
        <v>0</v>
      </c>
      <c r="L30" s="153">
        <v>15</v>
      </c>
      <c r="M30" s="153">
        <v>0</v>
      </c>
      <c r="N30" s="153">
        <v>0</v>
      </c>
      <c r="O30" s="153">
        <v>0</v>
      </c>
      <c r="P30" s="153">
        <v>0</v>
      </c>
      <c r="Q30" s="153">
        <v>0</v>
      </c>
      <c r="R30" s="607">
        <v>87</v>
      </c>
      <c r="S30" s="607">
        <v>72</v>
      </c>
      <c r="T30" s="608">
        <f t="shared" si="2"/>
        <v>0.82758620689655171</v>
      </c>
      <c r="W30" s="153" t="s">
        <v>69</v>
      </c>
      <c r="X30" s="153">
        <v>20</v>
      </c>
      <c r="Y30" s="153">
        <v>20</v>
      </c>
      <c r="Z30" s="153">
        <v>0</v>
      </c>
      <c r="AA30" s="153">
        <v>0</v>
      </c>
      <c r="AB30" s="153">
        <v>48</v>
      </c>
      <c r="AC30" s="153">
        <v>35</v>
      </c>
      <c r="AD30" s="153">
        <v>19</v>
      </c>
      <c r="AE30" s="153">
        <v>0</v>
      </c>
      <c r="AF30" s="153">
        <v>0</v>
      </c>
      <c r="AG30" s="153">
        <v>0</v>
      </c>
      <c r="AH30" s="153">
        <v>0</v>
      </c>
      <c r="AI30" s="153">
        <v>0</v>
      </c>
      <c r="AJ30" s="607">
        <v>87</v>
      </c>
      <c r="AK30" s="607">
        <v>55</v>
      </c>
      <c r="AL30" s="608">
        <f t="shared" si="3"/>
        <v>0.63218390804597702</v>
      </c>
      <c r="AM30"/>
    </row>
    <row r="31" spans="1:40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1</v>
      </c>
      <c r="K31" s="153">
        <v>1</v>
      </c>
      <c r="L31" s="153">
        <v>0</v>
      </c>
      <c r="M31" s="153">
        <v>0</v>
      </c>
      <c r="N31" s="153">
        <v>0</v>
      </c>
      <c r="O31" s="153">
        <v>0</v>
      </c>
      <c r="P31" s="153">
        <v>0</v>
      </c>
      <c r="Q31" s="153">
        <v>0</v>
      </c>
      <c r="R31" s="607">
        <v>106</v>
      </c>
      <c r="S31" s="607">
        <v>106</v>
      </c>
      <c r="T31" s="608">
        <f t="shared" si="2"/>
        <v>1</v>
      </c>
      <c r="W31" s="153" t="s">
        <v>70</v>
      </c>
      <c r="X31" s="153">
        <v>94</v>
      </c>
      <c r="Y31" s="153">
        <v>94</v>
      </c>
      <c r="Z31" s="153">
        <v>4</v>
      </c>
      <c r="AA31" s="153">
        <v>4</v>
      </c>
      <c r="AB31" s="153">
        <v>6</v>
      </c>
      <c r="AC31" s="153">
        <v>0</v>
      </c>
      <c r="AD31" s="153">
        <v>0</v>
      </c>
      <c r="AE31" s="153">
        <v>0</v>
      </c>
      <c r="AF31" s="153">
        <v>1</v>
      </c>
      <c r="AG31" s="153">
        <v>0</v>
      </c>
      <c r="AH31" s="153">
        <v>0</v>
      </c>
      <c r="AI31" s="153">
        <v>0</v>
      </c>
      <c r="AJ31" s="607">
        <v>105</v>
      </c>
      <c r="AK31" s="607">
        <v>98</v>
      </c>
      <c r="AL31" s="608">
        <f t="shared" si="3"/>
        <v>0.93333333333333335</v>
      </c>
      <c r="AM31"/>
    </row>
    <row r="32" spans="1:40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10</v>
      </c>
      <c r="L32" s="153">
        <v>0</v>
      </c>
      <c r="M32" s="153">
        <v>0</v>
      </c>
      <c r="N32" s="153">
        <v>0</v>
      </c>
      <c r="O32" s="153">
        <v>0</v>
      </c>
      <c r="P32" s="153">
        <v>0</v>
      </c>
      <c r="Q32" s="153">
        <v>0</v>
      </c>
      <c r="R32" s="607">
        <v>17</v>
      </c>
      <c r="S32" s="607">
        <v>17</v>
      </c>
      <c r="T32" s="608">
        <f t="shared" si="2"/>
        <v>1</v>
      </c>
      <c r="W32" s="153" t="s">
        <v>71</v>
      </c>
      <c r="X32" s="153">
        <v>7</v>
      </c>
      <c r="Y32" s="153">
        <v>7</v>
      </c>
      <c r="Z32" s="153">
        <v>0</v>
      </c>
      <c r="AA32" s="153">
        <v>0</v>
      </c>
      <c r="AB32" s="153">
        <v>0</v>
      </c>
      <c r="AC32" s="153">
        <v>0</v>
      </c>
      <c r="AD32" s="153">
        <v>10</v>
      </c>
      <c r="AE32" s="153">
        <v>0</v>
      </c>
      <c r="AF32" s="153">
        <v>0</v>
      </c>
      <c r="AG32" s="153">
        <v>0</v>
      </c>
      <c r="AH32" s="153">
        <v>0</v>
      </c>
      <c r="AI32" s="153">
        <v>0</v>
      </c>
      <c r="AJ32" s="607">
        <v>17</v>
      </c>
      <c r="AK32" s="607">
        <v>7</v>
      </c>
      <c r="AL32" s="608">
        <f t="shared" si="3"/>
        <v>0.41176470588235292</v>
      </c>
      <c r="AM32"/>
    </row>
    <row r="33" spans="1:39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77</v>
      </c>
      <c r="G33" s="153">
        <v>77</v>
      </c>
      <c r="H33" s="153">
        <v>18</v>
      </c>
      <c r="I33" s="153">
        <v>18</v>
      </c>
      <c r="J33" s="153">
        <v>3</v>
      </c>
      <c r="K33" s="153">
        <v>3</v>
      </c>
      <c r="L33" s="153">
        <v>0</v>
      </c>
      <c r="M33" s="153">
        <v>0</v>
      </c>
      <c r="N33" s="153">
        <v>19</v>
      </c>
      <c r="O33" s="153">
        <v>0</v>
      </c>
      <c r="P33" s="153">
        <v>19</v>
      </c>
      <c r="Q33" s="153">
        <v>0</v>
      </c>
      <c r="R33" s="607">
        <v>136</v>
      </c>
      <c r="S33" s="607">
        <v>98</v>
      </c>
      <c r="T33" s="608">
        <f t="shared" si="2"/>
        <v>0.72058823529411764</v>
      </c>
      <c r="W33" s="153" t="s">
        <v>72</v>
      </c>
      <c r="X33" s="153">
        <v>6</v>
      </c>
      <c r="Y33" s="153">
        <v>6</v>
      </c>
      <c r="Z33" s="153">
        <v>0</v>
      </c>
      <c r="AA33" s="153">
        <v>0</v>
      </c>
      <c r="AB33" s="153">
        <v>13</v>
      </c>
      <c r="AC33" s="153">
        <v>0</v>
      </c>
      <c r="AD33" s="153">
        <v>117</v>
      </c>
      <c r="AE33" s="153">
        <v>0</v>
      </c>
      <c r="AF33" s="153">
        <v>0</v>
      </c>
      <c r="AG33" s="153">
        <v>0</v>
      </c>
      <c r="AH33" s="153">
        <v>0</v>
      </c>
      <c r="AI33" s="153">
        <v>0</v>
      </c>
      <c r="AJ33" s="607">
        <v>136</v>
      </c>
      <c r="AK33" s="607">
        <v>6</v>
      </c>
      <c r="AL33" s="608">
        <f t="shared" si="3"/>
        <v>4.4117647058823532E-2</v>
      </c>
      <c r="AM33"/>
    </row>
    <row r="34" spans="1:39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153">
        <v>0</v>
      </c>
      <c r="M34" s="153">
        <v>0</v>
      </c>
      <c r="N34" s="153">
        <v>0</v>
      </c>
      <c r="O34" s="153">
        <v>0</v>
      </c>
      <c r="P34" s="153">
        <v>0</v>
      </c>
      <c r="Q34" s="153">
        <v>0</v>
      </c>
      <c r="R34" s="607">
        <v>1</v>
      </c>
      <c r="S34" s="607">
        <v>1</v>
      </c>
      <c r="T34" s="608">
        <f t="shared" si="2"/>
        <v>1</v>
      </c>
      <c r="W34" s="153" t="s">
        <v>73</v>
      </c>
      <c r="X34" s="153">
        <v>1</v>
      </c>
      <c r="Y34" s="153">
        <v>1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153">
        <v>0</v>
      </c>
      <c r="AI34" s="153">
        <v>0</v>
      </c>
      <c r="AJ34" s="607">
        <v>1</v>
      </c>
      <c r="AK34" s="607">
        <v>1</v>
      </c>
      <c r="AL34" s="608">
        <f t="shared" si="3"/>
        <v>1</v>
      </c>
      <c r="AM34"/>
    </row>
    <row r="35" spans="1:39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153">
        <v>0</v>
      </c>
      <c r="M35" s="153">
        <v>0</v>
      </c>
      <c r="N35" s="153">
        <v>0</v>
      </c>
      <c r="O35" s="153">
        <v>0</v>
      </c>
      <c r="P35" s="153">
        <v>0</v>
      </c>
      <c r="Q35" s="153">
        <v>0</v>
      </c>
      <c r="R35" s="607">
        <v>12</v>
      </c>
      <c r="S35" s="607">
        <v>12</v>
      </c>
      <c r="T35" s="608">
        <f t="shared" si="2"/>
        <v>1</v>
      </c>
      <c r="W35" s="153" t="s">
        <v>2524</v>
      </c>
      <c r="X35" s="153">
        <v>6</v>
      </c>
      <c r="Y35" s="153">
        <v>6</v>
      </c>
      <c r="Z35" s="153">
        <v>0</v>
      </c>
      <c r="AA35" s="153">
        <v>0</v>
      </c>
      <c r="AB35" s="153">
        <v>6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153">
        <v>0</v>
      </c>
      <c r="AI35" s="153">
        <v>0</v>
      </c>
      <c r="AJ35" s="607">
        <v>12</v>
      </c>
      <c r="AK35" s="607">
        <v>6</v>
      </c>
      <c r="AL35" s="608">
        <f t="shared" si="3"/>
        <v>0.5</v>
      </c>
      <c r="AM35"/>
    </row>
    <row r="36" spans="1:39" x14ac:dyDescent="0.3">
      <c r="A36" s="609" t="s">
        <v>45</v>
      </c>
      <c r="B36" s="609">
        <v>48</v>
      </c>
      <c r="C36" s="609">
        <v>48</v>
      </c>
      <c r="D36" s="609">
        <v>108</v>
      </c>
      <c r="E36" s="609">
        <v>108</v>
      </c>
      <c r="F36" s="609">
        <v>183</v>
      </c>
      <c r="G36" s="609">
        <v>183</v>
      </c>
      <c r="H36" s="609">
        <v>151</v>
      </c>
      <c r="I36" s="609">
        <v>151</v>
      </c>
      <c r="J36" s="609">
        <v>24</v>
      </c>
      <c r="K36" s="609">
        <v>24</v>
      </c>
      <c r="L36" s="609">
        <v>15</v>
      </c>
      <c r="M36" s="609">
        <v>0</v>
      </c>
      <c r="N36" s="609">
        <v>19</v>
      </c>
      <c r="O36" s="609">
        <v>0</v>
      </c>
      <c r="P36" s="609">
        <v>19</v>
      </c>
      <c r="Q36" s="609">
        <v>0</v>
      </c>
      <c r="R36" s="611">
        <v>567</v>
      </c>
      <c r="S36" s="611">
        <v>514</v>
      </c>
      <c r="T36" s="612">
        <f t="shared" si="2"/>
        <v>0.90652557319223981</v>
      </c>
      <c r="W36" s="609" t="s">
        <v>45</v>
      </c>
      <c r="X36" s="609">
        <v>329</v>
      </c>
      <c r="Y36" s="609">
        <v>329</v>
      </c>
      <c r="Z36" s="609">
        <v>5</v>
      </c>
      <c r="AA36" s="609">
        <v>4</v>
      </c>
      <c r="AB36" s="609">
        <v>73</v>
      </c>
      <c r="AC36" s="609">
        <v>35</v>
      </c>
      <c r="AD36" s="609">
        <v>146</v>
      </c>
      <c r="AE36" s="609">
        <v>0</v>
      </c>
      <c r="AF36" s="609">
        <v>7</v>
      </c>
      <c r="AG36" s="609">
        <v>0</v>
      </c>
      <c r="AH36" s="609">
        <v>6</v>
      </c>
      <c r="AI36" s="609">
        <v>0</v>
      </c>
      <c r="AJ36" s="611">
        <v>566</v>
      </c>
      <c r="AK36" s="611">
        <v>368</v>
      </c>
      <c r="AL36" s="612">
        <f t="shared" si="3"/>
        <v>0.65017667844522964</v>
      </c>
      <c r="AM36"/>
    </row>
    <row r="37" spans="1:39" x14ac:dyDescent="0.3">
      <c r="A37" s="609" t="s">
        <v>3155</v>
      </c>
      <c r="B37" s="609"/>
      <c r="C37" s="609"/>
      <c r="D37" s="609"/>
      <c r="E37" s="609"/>
      <c r="F37" s="621">
        <f>(B36+D36+F36)/R36</f>
        <v>0.59788359788359791</v>
      </c>
      <c r="G37" s="621">
        <f>(C36+E36+G36)/$R$36</f>
        <v>0.59788359788359791</v>
      </c>
      <c r="H37" s="621">
        <f>(B36+D36+F36+H36)/R36</f>
        <v>0.86419753086419748</v>
      </c>
      <c r="I37" s="621">
        <f>(C36+E36+G36+I36)/$R$36</f>
        <v>0.86419753086419748</v>
      </c>
      <c r="J37" s="621">
        <f>(B36+D36+F36+H36+J36)/R36</f>
        <v>0.90652557319223981</v>
      </c>
      <c r="K37" s="609"/>
      <c r="L37" s="609"/>
      <c r="M37" s="609"/>
      <c r="N37" s="609"/>
      <c r="O37" s="609"/>
      <c r="P37" s="609"/>
      <c r="Q37" s="609"/>
      <c r="R37" s="611"/>
      <c r="S37" s="611"/>
      <c r="T37" s="612"/>
      <c r="W37" s="609" t="s">
        <v>3155</v>
      </c>
      <c r="X37" s="609"/>
      <c r="Y37" s="609"/>
      <c r="Z37" s="621">
        <f>(X36+Z36)/$AJ$36</f>
        <v>0.59010600706713778</v>
      </c>
      <c r="AA37" s="621">
        <f>(Y36+AA36)/$AJ$36</f>
        <v>0.58833922261484095</v>
      </c>
      <c r="AB37" s="621">
        <f>(X36+Z36+AB36)/$AJ$36</f>
        <v>0.71908127208480566</v>
      </c>
      <c r="AC37" s="621">
        <f>(Y36+AA36+AC36)/$AJ$36</f>
        <v>0.65017667844522964</v>
      </c>
      <c r="AD37" s="621">
        <f>(X36+Z36+AB36+AD36)/$AJ$36</f>
        <v>0.97703180212014129</v>
      </c>
      <c r="AE37" s="609"/>
      <c r="AF37" s="621">
        <f>(X36+Z36+AB36+AD36+AF36)/$AJ$36</f>
        <v>0.98939929328621912</v>
      </c>
      <c r="AG37" s="609"/>
      <c r="AH37" s="621">
        <f>(X36+Z36+AB36+AD36+AF36+AH36)/$AJ$36</f>
        <v>1</v>
      </c>
      <c r="AI37" s="609"/>
      <c r="AJ37" s="611"/>
      <c r="AK37" s="611"/>
      <c r="AL37" s="611"/>
      <c r="AM37"/>
    </row>
    <row r="40" spans="1:39" x14ac:dyDescent="0.3">
      <c r="A40" s="97" t="s">
        <v>3126</v>
      </c>
      <c r="W40" s="97" t="s">
        <v>3126</v>
      </c>
    </row>
    <row r="41" spans="1:39" x14ac:dyDescent="0.3">
      <c r="A41" s="153" t="s">
        <v>3138</v>
      </c>
      <c r="W41" s="153" t="s">
        <v>3138</v>
      </c>
      <c r="X41" s="266"/>
    </row>
    <row r="42" spans="1:39" x14ac:dyDescent="0.3">
      <c r="A42" s="609"/>
      <c r="B42" s="609">
        <v>2021</v>
      </c>
      <c r="C42" s="609"/>
      <c r="D42" s="610" t="s">
        <v>3117</v>
      </c>
      <c r="E42" s="609"/>
      <c r="F42" s="610" t="s">
        <v>3119</v>
      </c>
      <c r="G42" s="609"/>
      <c r="H42" s="632">
        <v>44611</v>
      </c>
      <c r="I42" s="609"/>
      <c r="J42" s="632">
        <v>44618</v>
      </c>
      <c r="K42" s="609"/>
      <c r="L42" s="611" t="s">
        <v>2309</v>
      </c>
      <c r="M42" s="611"/>
      <c r="N42" s="611"/>
      <c r="R42" s="266"/>
      <c r="S42" s="266"/>
      <c r="V42" s="595"/>
      <c r="W42" s="609"/>
      <c r="X42" s="610">
        <v>2021</v>
      </c>
      <c r="Y42" s="610">
        <v>2022</v>
      </c>
      <c r="Z42" s="644">
        <v>44604</v>
      </c>
      <c r="AA42" s="610"/>
      <c r="AB42" s="644">
        <v>44611</v>
      </c>
      <c r="AC42" s="610"/>
      <c r="AD42" s="644">
        <v>44618</v>
      </c>
      <c r="AE42" s="610"/>
      <c r="AF42" s="611" t="s">
        <v>3129</v>
      </c>
      <c r="AG42" s="611"/>
      <c r="AH42" s="611"/>
    </row>
    <row r="43" spans="1:39" x14ac:dyDescent="0.3">
      <c r="A43" s="609" t="s">
        <v>3228</v>
      </c>
      <c r="B43" s="609" t="s">
        <v>2173</v>
      </c>
      <c r="C43" s="609" t="s">
        <v>2174</v>
      </c>
      <c r="D43" s="609" t="s">
        <v>2173</v>
      </c>
      <c r="E43" s="609" t="s">
        <v>2174</v>
      </c>
      <c r="F43" s="609" t="s">
        <v>2173</v>
      </c>
      <c r="G43" s="609" t="s">
        <v>2174</v>
      </c>
      <c r="H43" s="609" t="s">
        <v>2173</v>
      </c>
      <c r="I43" s="609" t="s">
        <v>2174</v>
      </c>
      <c r="J43" s="609" t="s">
        <v>2173</v>
      </c>
      <c r="K43" s="609" t="s">
        <v>2174</v>
      </c>
      <c r="L43" s="611" t="s">
        <v>2173</v>
      </c>
      <c r="M43" s="611" t="s">
        <v>2174</v>
      </c>
      <c r="N43" s="611" t="s">
        <v>3121</v>
      </c>
      <c r="R43" s="266"/>
      <c r="S43" s="266"/>
      <c r="V43" s="595"/>
      <c r="W43" s="609" t="s">
        <v>3231</v>
      </c>
      <c r="X43" s="609" t="s">
        <v>2173</v>
      </c>
      <c r="Y43" s="609" t="s">
        <v>2174</v>
      </c>
      <c r="Z43" s="609" t="s">
        <v>2173</v>
      </c>
      <c r="AA43" s="609" t="s">
        <v>2174</v>
      </c>
      <c r="AB43" s="609" t="s">
        <v>2173</v>
      </c>
      <c r="AC43" s="609" t="s">
        <v>2174</v>
      </c>
      <c r="AD43" s="609" t="s">
        <v>2173</v>
      </c>
      <c r="AE43" s="609" t="s">
        <v>2174</v>
      </c>
      <c r="AF43" s="611" t="s">
        <v>2173</v>
      </c>
      <c r="AG43" s="611" t="s">
        <v>2174</v>
      </c>
      <c r="AH43" s="611" t="s">
        <v>3121</v>
      </c>
    </row>
    <row r="44" spans="1:39" x14ac:dyDescent="0.3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10</v>
      </c>
      <c r="H44" s="153"/>
      <c r="I44" s="153"/>
      <c r="J44" s="153"/>
      <c r="K44" s="153"/>
      <c r="L44" s="607">
        <v>17</v>
      </c>
      <c r="M44" s="607">
        <v>17</v>
      </c>
      <c r="N44" s="608">
        <f>M44/L44</f>
        <v>1</v>
      </c>
      <c r="R44" s="266"/>
      <c r="S44" s="266"/>
      <c r="V44" s="595"/>
      <c r="W44" s="153" t="s">
        <v>71</v>
      </c>
      <c r="X44" s="153">
        <v>7</v>
      </c>
      <c r="Y44" s="153">
        <v>7</v>
      </c>
      <c r="Z44" s="153">
        <v>10</v>
      </c>
      <c r="AF44" s="607">
        <v>17</v>
      </c>
      <c r="AG44" s="607">
        <v>7</v>
      </c>
      <c r="AH44" s="608">
        <f>AG44/AF44</f>
        <v>0.41176470588235292</v>
      </c>
    </row>
    <row r="45" spans="1:39" x14ac:dyDescent="0.3">
      <c r="A45" s="153" t="s">
        <v>72</v>
      </c>
      <c r="B45" s="153"/>
      <c r="C45" s="153"/>
      <c r="D45" s="153">
        <v>77</v>
      </c>
      <c r="E45" s="153">
        <v>77</v>
      </c>
      <c r="F45" s="153">
        <v>2</v>
      </c>
      <c r="G45" s="153">
        <v>2</v>
      </c>
      <c r="H45" s="153">
        <v>19</v>
      </c>
      <c r="I45" s="153"/>
      <c r="J45" s="153">
        <v>19</v>
      </c>
      <c r="K45" s="153"/>
      <c r="L45" s="607">
        <v>117</v>
      </c>
      <c r="M45" s="607">
        <v>79</v>
      </c>
      <c r="N45" s="608">
        <f t="shared" ref="N45:N46" si="4">M45/L45</f>
        <v>0.67521367521367526</v>
      </c>
      <c r="R45" s="266"/>
      <c r="S45" s="266"/>
      <c r="V45" s="595"/>
      <c r="W45" s="153" t="s">
        <v>72</v>
      </c>
      <c r="X45" s="153"/>
      <c r="Z45" s="153">
        <v>41</v>
      </c>
      <c r="AB45" s="153">
        <v>19</v>
      </c>
      <c r="AD45" s="153">
        <v>57</v>
      </c>
      <c r="AF45" s="607">
        <v>117</v>
      </c>
      <c r="AG45" s="607"/>
      <c r="AH45" s="608">
        <f t="shared" ref="AH45:AH46" si="5">AG45/AF45</f>
        <v>0</v>
      </c>
    </row>
    <row r="46" spans="1:39" x14ac:dyDescent="0.3">
      <c r="A46" s="609" t="s">
        <v>45</v>
      </c>
      <c r="B46" s="609">
        <v>4</v>
      </c>
      <c r="C46" s="609">
        <v>4</v>
      </c>
      <c r="D46" s="609">
        <v>80</v>
      </c>
      <c r="E46" s="609">
        <v>80</v>
      </c>
      <c r="F46" s="609">
        <v>12</v>
      </c>
      <c r="G46" s="609">
        <v>12</v>
      </c>
      <c r="H46" s="609">
        <v>19</v>
      </c>
      <c r="I46" s="609"/>
      <c r="J46" s="609">
        <v>19</v>
      </c>
      <c r="K46" s="609"/>
      <c r="L46" s="611">
        <v>134</v>
      </c>
      <c r="M46" s="611">
        <v>96</v>
      </c>
      <c r="N46" s="612">
        <f t="shared" si="4"/>
        <v>0.71641791044776115</v>
      </c>
      <c r="R46" s="266"/>
      <c r="S46" s="266"/>
      <c r="V46" s="595"/>
      <c r="W46" s="609" t="s">
        <v>45</v>
      </c>
      <c r="X46" s="609">
        <v>7</v>
      </c>
      <c r="Y46" s="609">
        <v>7</v>
      </c>
      <c r="Z46" s="609">
        <v>51</v>
      </c>
      <c r="AA46" s="609"/>
      <c r="AB46" s="609">
        <v>19</v>
      </c>
      <c r="AC46" s="609"/>
      <c r="AD46" s="609">
        <v>57</v>
      </c>
      <c r="AE46" s="609"/>
      <c r="AF46" s="611">
        <v>134</v>
      </c>
      <c r="AG46" s="611">
        <v>7</v>
      </c>
      <c r="AH46" s="612">
        <f t="shared" si="5"/>
        <v>5.2238805970149252E-2</v>
      </c>
    </row>
    <row r="47" spans="1:39" x14ac:dyDescent="0.3">
      <c r="A47" s="609" t="s">
        <v>3155</v>
      </c>
      <c r="B47" s="609"/>
      <c r="C47" s="609"/>
      <c r="D47" s="621">
        <f>(B46+D46)/$L$46</f>
        <v>0.62686567164179108</v>
      </c>
      <c r="E47" s="621">
        <f>(C46+E46)/$L$46</f>
        <v>0.62686567164179108</v>
      </c>
      <c r="F47" s="637">
        <f>(B46+D46+F46)/$L$46</f>
        <v>0.71641791044776115</v>
      </c>
      <c r="G47" s="621">
        <f>(C46+E46+G46)/$L$46</f>
        <v>0.71641791044776115</v>
      </c>
      <c r="H47" s="637">
        <f>(B46+D46+F46+H46)/$L$46</f>
        <v>0.85820895522388063</v>
      </c>
      <c r="I47" s="621">
        <f>(C46+E46+G46+I46)/$L$46</f>
        <v>0.71641791044776115</v>
      </c>
      <c r="J47" s="637">
        <f>(B46+D46+F46+H46+J46)/$L$46</f>
        <v>1</v>
      </c>
      <c r="K47" s="609"/>
      <c r="L47" s="611"/>
      <c r="M47" s="611"/>
      <c r="N47" s="611"/>
      <c r="R47" s="266"/>
      <c r="S47" s="266"/>
      <c r="V47" s="595"/>
      <c r="W47" s="609" t="s">
        <v>3155</v>
      </c>
      <c r="X47" s="621">
        <f>X46/AF46</f>
        <v>5.2238805970149252E-2</v>
      </c>
      <c r="Y47" s="621">
        <f>Y46/AF46</f>
        <v>5.2238805970149252E-2</v>
      </c>
      <c r="Z47" s="621">
        <f>(X46+Z46)/$AF$46</f>
        <v>0.43283582089552236</v>
      </c>
      <c r="AA47" s="621">
        <f>(Y46+AA46)/$AF$46</f>
        <v>5.2238805970149252E-2</v>
      </c>
      <c r="AB47" s="621">
        <f>(X46+Z46+AB46)/$AF$46</f>
        <v>0.57462686567164178</v>
      </c>
      <c r="AC47" s="621">
        <f>(Y46+AA46+AC46)/$AF$46</f>
        <v>5.2238805970149252E-2</v>
      </c>
      <c r="AD47" s="621">
        <f>(X46+Z46+AB46+AD46)/$AF$46</f>
        <v>1</v>
      </c>
      <c r="AE47" s="621">
        <f>(Y46+AA46+AC46+AE46)/$AF$46</f>
        <v>5.2238805970149252E-2</v>
      </c>
      <c r="AF47" s="611"/>
      <c r="AG47" s="611"/>
      <c r="AH47" s="6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5" customWidth="1"/>
    <col min="4" max="5" width="8" style="365" customWidth="1"/>
    <col min="6" max="6" width="8.19921875" style="365" customWidth="1"/>
    <col min="7" max="7" width="9.09765625" style="365" bestFit="1" customWidth="1"/>
    <col min="8" max="8" width="5.69921875" style="365" bestFit="1" customWidth="1"/>
    <col min="9" max="9" width="10.19921875" style="365" bestFit="1" customWidth="1"/>
    <col min="10" max="10" width="8.69921875" style="365" customWidth="1"/>
    <col min="11" max="11" width="4.69921875" style="365" bestFit="1" customWidth="1"/>
    <col min="12" max="12" width="5.69921875" style="365" bestFit="1" customWidth="1"/>
    <col min="13" max="14" width="4.69921875" style="365" customWidth="1"/>
    <col min="15" max="15" width="7" style="372" customWidth="1"/>
    <col min="16" max="16" width="8" style="381" customWidth="1"/>
    <col min="17" max="17" width="12.59765625" style="381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5" customFormat="1" ht="52" customHeight="1" x14ac:dyDescent="0.3">
      <c r="C1" s="386"/>
      <c r="D1" s="386"/>
      <c r="E1" s="386"/>
      <c r="F1" s="388" t="s">
        <v>2552</v>
      </c>
      <c r="G1" s="386"/>
      <c r="H1" s="386"/>
      <c r="I1" s="394" t="s">
        <v>2551</v>
      </c>
      <c r="J1" s="646" t="s">
        <v>2549</v>
      </c>
      <c r="K1" s="646"/>
      <c r="L1" s="646"/>
      <c r="M1" s="402" t="s">
        <v>2550</v>
      </c>
      <c r="N1" s="402"/>
      <c r="O1" s="403"/>
      <c r="P1" s="403"/>
      <c r="Q1" s="403"/>
      <c r="R1" s="403"/>
      <c r="S1" s="403"/>
    </row>
    <row r="2" spans="1:21" s="366" customFormat="1" ht="34.5" x14ac:dyDescent="0.3">
      <c r="A2" s="368"/>
      <c r="B2" s="368"/>
      <c r="C2" s="369" t="s">
        <v>2526</v>
      </c>
      <c r="D2" s="369" t="s">
        <v>2528</v>
      </c>
      <c r="E2" s="369" t="s">
        <v>2527</v>
      </c>
      <c r="F2" s="393" t="s">
        <v>2529</v>
      </c>
      <c r="G2" s="369" t="s">
        <v>2411</v>
      </c>
      <c r="H2" s="370" t="s">
        <v>2530</v>
      </c>
      <c r="I2" s="392" t="s">
        <v>2531</v>
      </c>
      <c r="J2" s="391" t="s">
        <v>2527</v>
      </c>
      <c r="K2" s="391" t="s">
        <v>2544</v>
      </c>
      <c r="L2" s="391" t="s">
        <v>2543</v>
      </c>
      <c r="M2" s="389" t="s">
        <v>2555</v>
      </c>
      <c r="N2" s="389" t="s">
        <v>2556</v>
      </c>
      <c r="O2" s="390" t="s">
        <v>2532</v>
      </c>
      <c r="P2" s="390" t="s">
        <v>2563</v>
      </c>
      <c r="Q2" s="390" t="s">
        <v>2564</v>
      </c>
      <c r="R2" s="411" t="s">
        <v>2566</v>
      </c>
      <c r="S2" s="389" t="s">
        <v>2548</v>
      </c>
      <c r="T2" s="369" t="s">
        <v>2545</v>
      </c>
      <c r="U2" s="368"/>
    </row>
    <row r="3" spans="1:21" s="409" customFormat="1" ht="11" x14ac:dyDescent="0.25">
      <c r="C3" s="399"/>
      <c r="D3" s="399"/>
      <c r="E3" s="399"/>
      <c r="F3" s="399">
        <v>1</v>
      </c>
      <c r="G3" s="399"/>
      <c r="H3" s="399"/>
      <c r="I3" s="399">
        <v>2</v>
      </c>
      <c r="J3" s="399">
        <v>3</v>
      </c>
      <c r="K3" s="399">
        <v>4</v>
      </c>
      <c r="L3" s="399"/>
      <c r="M3" s="399">
        <v>5</v>
      </c>
      <c r="N3" s="399">
        <v>6</v>
      </c>
      <c r="O3" s="410">
        <v>7</v>
      </c>
      <c r="P3" s="410"/>
      <c r="Q3" s="410"/>
      <c r="S3" s="399"/>
    </row>
    <row r="4" spans="1:21" x14ac:dyDescent="0.3">
      <c r="A4" s="364" t="s">
        <v>65</v>
      </c>
      <c r="B4" s="364"/>
      <c r="C4" s="367">
        <v>16</v>
      </c>
      <c r="D4" s="367">
        <v>16</v>
      </c>
      <c r="E4" s="367">
        <v>16</v>
      </c>
      <c r="F4" s="367"/>
      <c r="G4" s="367" t="e">
        <f>統計tmp!#REF!</f>
        <v>#REF!</v>
      </c>
      <c r="H4" s="367" t="e">
        <f>統計tmp!#REF!</f>
        <v>#REF!</v>
      </c>
      <c r="I4" s="367"/>
      <c r="J4" s="367"/>
      <c r="K4" s="367" t="str">
        <f t="shared" ref="K4:K10" si="0">IF(J4="V",C4,"")</f>
        <v/>
      </c>
      <c r="L4" s="367"/>
      <c r="M4" s="367"/>
      <c r="N4" s="367"/>
      <c r="O4" s="378"/>
      <c r="P4" s="382"/>
      <c r="Q4" s="382"/>
      <c r="R4" s="364"/>
      <c r="S4" s="364"/>
    </row>
    <row r="5" spans="1:21" x14ac:dyDescent="0.3">
      <c r="B5" s="153" t="s">
        <v>2456</v>
      </c>
      <c r="C5" s="365">
        <v>11</v>
      </c>
      <c r="D5" s="365">
        <v>11</v>
      </c>
      <c r="E5" s="365">
        <v>11</v>
      </c>
      <c r="F5" s="365">
        <v>11</v>
      </c>
      <c r="G5" s="365" t="e">
        <f>統計tmp!#REF!</f>
        <v>#REF!</v>
      </c>
      <c r="H5" s="365" t="e">
        <f>統計tmp!#REF!</f>
        <v>#REF!</v>
      </c>
      <c r="K5" s="365" t="str">
        <f t="shared" si="0"/>
        <v/>
      </c>
      <c r="L5" s="365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5">
        <v>2</v>
      </c>
      <c r="D6" s="365">
        <v>2</v>
      </c>
      <c r="E6" s="365">
        <v>2</v>
      </c>
      <c r="F6" s="365">
        <v>2</v>
      </c>
      <c r="G6" s="365" t="e">
        <f>統計tmp!#REF!</f>
        <v>#REF!</v>
      </c>
      <c r="H6" s="365" t="e">
        <f>統計tmp!#REF!</f>
        <v>#REF!</v>
      </c>
      <c r="K6" s="365" t="str">
        <f t="shared" si="0"/>
        <v/>
      </c>
      <c r="L6" s="365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5">
        <v>2</v>
      </c>
      <c r="D7" s="365">
        <v>2</v>
      </c>
      <c r="E7" s="365">
        <v>2</v>
      </c>
      <c r="F7" s="365">
        <v>2</v>
      </c>
      <c r="G7" s="365" t="e">
        <f>統計tmp!#REF!</f>
        <v>#REF!</v>
      </c>
      <c r="H7" s="365" t="e">
        <f>統計tmp!#REF!</f>
        <v>#REF!</v>
      </c>
      <c r="K7" s="365" t="str">
        <f t="shared" si="0"/>
        <v/>
      </c>
      <c r="L7" s="365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5">
        <v>1</v>
      </c>
      <c r="D8" s="365">
        <v>1</v>
      </c>
      <c r="E8" s="365">
        <v>1</v>
      </c>
      <c r="F8" s="365">
        <v>1</v>
      </c>
      <c r="G8" s="365" t="e">
        <f>統計tmp!#REF!</f>
        <v>#REF!</v>
      </c>
      <c r="H8" s="365" t="e">
        <f>統計tmp!#REF!</f>
        <v>#REF!</v>
      </c>
      <c r="K8" s="365" t="str">
        <f t="shared" si="0"/>
        <v/>
      </c>
      <c r="L8" s="365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4" t="s">
        <v>66</v>
      </c>
      <c r="B9" s="364"/>
      <c r="C9" s="367">
        <v>78</v>
      </c>
      <c r="D9" s="367">
        <v>78</v>
      </c>
      <c r="E9" s="367">
        <v>62</v>
      </c>
      <c r="F9" s="367"/>
      <c r="G9" s="367" t="e">
        <f>統計tmp!#REF!</f>
        <v>#REF!</v>
      </c>
      <c r="H9" s="367" t="e">
        <f>統計tmp!#REF!</f>
        <v>#REF!</v>
      </c>
      <c r="I9" s="367"/>
      <c r="J9" s="367"/>
      <c r="K9" s="367" t="str">
        <f t="shared" si="0"/>
        <v/>
      </c>
      <c r="L9" s="367"/>
      <c r="M9" s="367"/>
      <c r="N9" s="367"/>
      <c r="O9" s="378"/>
      <c r="P9" s="382"/>
      <c r="Q9" s="382"/>
      <c r="R9" s="364"/>
      <c r="S9" s="364"/>
    </row>
    <row r="10" spans="1:21" x14ac:dyDescent="0.3">
      <c r="B10" s="153" t="s">
        <v>2454</v>
      </c>
      <c r="C10" s="365">
        <v>2</v>
      </c>
      <c r="D10" s="365">
        <v>2</v>
      </c>
      <c r="E10" s="365">
        <v>2</v>
      </c>
      <c r="G10" s="365" t="e">
        <f>統計tmp!#REF!</f>
        <v>#REF!</v>
      </c>
      <c r="H10" s="365" t="e">
        <f>統計tmp!#REF!</f>
        <v>#REF!</v>
      </c>
      <c r="I10" s="365">
        <v>2</v>
      </c>
      <c r="K10" s="365" t="str">
        <f t="shared" si="0"/>
        <v/>
      </c>
      <c r="L10" s="365">
        <f t="shared" si="1"/>
        <v>0</v>
      </c>
      <c r="P10" s="381" t="s">
        <v>2453</v>
      </c>
      <c r="Q10" s="381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5">
        <v>20</v>
      </c>
      <c r="D11" s="365">
        <v>20</v>
      </c>
      <c r="E11" s="377">
        <v>18</v>
      </c>
      <c r="G11" s="365" t="e">
        <f>統計tmp!#REF!</f>
        <v>#REF!</v>
      </c>
      <c r="H11" s="365" t="e">
        <f>統計tmp!#REF!</f>
        <v>#REF!</v>
      </c>
      <c r="J11" s="365">
        <v>18</v>
      </c>
      <c r="K11" s="365">
        <v>2</v>
      </c>
      <c r="L11" s="365">
        <f>SUM(J11:K11)</f>
        <v>20</v>
      </c>
      <c r="P11" s="381" t="s">
        <v>2453</v>
      </c>
      <c r="Q11" s="381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5">
        <v>10</v>
      </c>
      <c r="D12" s="365">
        <v>10</v>
      </c>
      <c r="E12" s="377">
        <v>10</v>
      </c>
      <c r="G12" s="365" t="e">
        <f>統計tmp!#REF!</f>
        <v>#REF!</v>
      </c>
      <c r="H12" s="365" t="e">
        <f>統計tmp!#REF!</f>
        <v>#REF!</v>
      </c>
      <c r="I12" s="365">
        <v>10</v>
      </c>
      <c r="K12" s="365" t="str">
        <f>IF(J12="V",C12,"")</f>
        <v/>
      </c>
      <c r="L12" s="365">
        <f t="shared" ref="L12:L65" si="5">SUM(J12:K12)</f>
        <v>0</v>
      </c>
      <c r="P12" s="381" t="s">
        <v>2453</v>
      </c>
      <c r="Q12" s="381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5">
        <v>19</v>
      </c>
      <c r="D13" s="365">
        <v>19</v>
      </c>
      <c r="E13" s="377">
        <v>10</v>
      </c>
      <c r="G13" s="365" t="e">
        <f>統計tmp!#REF!</f>
        <v>#REF!</v>
      </c>
      <c r="H13" s="365" t="e">
        <f>統計tmp!#REF!</f>
        <v>#REF!</v>
      </c>
      <c r="J13" s="365">
        <v>10</v>
      </c>
      <c r="K13" s="365">
        <v>9</v>
      </c>
      <c r="L13" s="365">
        <f t="shared" si="5"/>
        <v>19</v>
      </c>
      <c r="P13" s="381" t="s">
        <v>2453</v>
      </c>
      <c r="Q13" s="381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5">
        <v>9</v>
      </c>
      <c r="D14" s="365">
        <v>9</v>
      </c>
      <c r="E14" s="365">
        <v>9</v>
      </c>
      <c r="G14" s="365" t="e">
        <f>統計tmp!#REF!</f>
        <v>#REF!</v>
      </c>
      <c r="H14" s="365" t="e">
        <f>統計tmp!#REF!</f>
        <v>#REF!</v>
      </c>
      <c r="I14" s="365">
        <v>9</v>
      </c>
      <c r="K14" s="365" t="str">
        <f>IF(J14="V",C14,"")</f>
        <v/>
      </c>
      <c r="L14" s="365">
        <f t="shared" si="5"/>
        <v>0</v>
      </c>
      <c r="P14" s="381" t="s">
        <v>2453</v>
      </c>
      <c r="Q14" s="381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5">
        <v>6</v>
      </c>
      <c r="D15" s="365">
        <v>6</v>
      </c>
      <c r="E15" s="365">
        <v>3</v>
      </c>
      <c r="G15" s="365" t="e">
        <f>統計tmp!#REF!</f>
        <v>#REF!</v>
      </c>
      <c r="H15" s="365" t="e">
        <f>統計tmp!#REF!</f>
        <v>#REF!</v>
      </c>
      <c r="K15" s="365" t="str">
        <f>IF(J15="V",C15,"")</f>
        <v/>
      </c>
      <c r="L15" s="365">
        <f t="shared" si="5"/>
        <v>0</v>
      </c>
      <c r="M15" s="365">
        <v>2</v>
      </c>
      <c r="N15" s="365">
        <v>1</v>
      </c>
      <c r="P15" s="381">
        <v>3</v>
      </c>
      <c r="Q15" s="381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5">
        <v>11</v>
      </c>
      <c r="D16" s="365">
        <v>11</v>
      </c>
      <c r="E16" s="377">
        <v>9</v>
      </c>
      <c r="G16" s="365" t="e">
        <f>統計tmp!#REF!</f>
        <v>#REF!</v>
      </c>
      <c r="H16" s="365" t="e">
        <f>統計tmp!#REF!</f>
        <v>#REF!</v>
      </c>
      <c r="J16" s="365">
        <v>9</v>
      </c>
      <c r="K16" s="365">
        <v>2</v>
      </c>
      <c r="L16" s="365">
        <f t="shared" si="5"/>
        <v>11</v>
      </c>
      <c r="P16" s="381" t="s">
        <v>2453</v>
      </c>
      <c r="Q16" s="381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5">
        <v>1</v>
      </c>
      <c r="D17" s="365">
        <v>1</v>
      </c>
      <c r="E17" s="365">
        <v>1</v>
      </c>
      <c r="G17" s="365" t="e">
        <f>統計tmp!#REF!</f>
        <v>#REF!</v>
      </c>
      <c r="H17" s="365" t="e">
        <f>統計tmp!#REF!</f>
        <v>#REF!</v>
      </c>
      <c r="I17" s="365">
        <v>1</v>
      </c>
      <c r="K17" s="365" t="str">
        <f t="shared" ref="K17:K34" si="6">IF(J17="V",C17,"")</f>
        <v/>
      </c>
      <c r="L17" s="365">
        <f t="shared" si="5"/>
        <v>0</v>
      </c>
      <c r="P17" s="381" t="s">
        <v>2453</v>
      </c>
      <c r="Q17" s="381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4" t="s">
        <v>67</v>
      </c>
      <c r="B18" s="364"/>
      <c r="C18" s="367">
        <v>38</v>
      </c>
      <c r="D18" s="367">
        <v>38</v>
      </c>
      <c r="E18" s="367">
        <v>36</v>
      </c>
      <c r="F18" s="367"/>
      <c r="G18" s="367" t="e">
        <f>統計tmp!#REF!</f>
        <v>#REF!</v>
      </c>
      <c r="H18" s="367" t="e">
        <f>統計tmp!#REF!</f>
        <v>#REF!</v>
      </c>
      <c r="I18" s="367"/>
      <c r="J18" s="367"/>
      <c r="K18" s="367" t="str">
        <f t="shared" si="6"/>
        <v/>
      </c>
      <c r="L18" s="367"/>
      <c r="M18" s="367"/>
      <c r="N18" s="367"/>
      <c r="O18" s="378"/>
      <c r="P18" s="382" t="s">
        <v>2453</v>
      </c>
      <c r="Q18" s="382" t="s">
        <v>2453</v>
      </c>
      <c r="R18" s="364"/>
      <c r="S18" s="364"/>
    </row>
    <row r="19" spans="1:20" x14ac:dyDescent="0.3">
      <c r="B19" s="153" t="s">
        <v>2505</v>
      </c>
      <c r="C19" s="365">
        <v>7</v>
      </c>
      <c r="D19" s="365">
        <v>7</v>
      </c>
      <c r="E19" s="365">
        <v>7</v>
      </c>
      <c r="F19" s="365">
        <v>7</v>
      </c>
      <c r="G19" s="365" t="e">
        <f>統計tmp!#REF!</f>
        <v>#REF!</v>
      </c>
      <c r="H19" s="365" t="e">
        <f>統計tmp!#REF!</f>
        <v>#REF!</v>
      </c>
      <c r="K19" s="365" t="str">
        <f t="shared" si="6"/>
        <v/>
      </c>
      <c r="L19" s="365">
        <f t="shared" si="5"/>
        <v>0</v>
      </c>
      <c r="P19" s="381" t="s">
        <v>2453</v>
      </c>
      <c r="Q19" s="381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5">
        <v>9</v>
      </c>
      <c r="D20" s="365">
        <v>9</v>
      </c>
      <c r="E20" s="365">
        <v>9</v>
      </c>
      <c r="F20" s="365">
        <v>9</v>
      </c>
      <c r="G20" s="365" t="e">
        <f>統計tmp!#REF!</f>
        <v>#REF!</v>
      </c>
      <c r="H20" s="365" t="e">
        <f>統計tmp!#REF!</f>
        <v>#REF!</v>
      </c>
      <c r="K20" s="365" t="str">
        <f t="shared" si="6"/>
        <v/>
      </c>
      <c r="L20" s="365">
        <f t="shared" si="5"/>
        <v>0</v>
      </c>
      <c r="P20" s="381" t="s">
        <v>2453</v>
      </c>
      <c r="Q20" s="381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5">
        <v>16</v>
      </c>
      <c r="D21" s="365">
        <v>16</v>
      </c>
      <c r="E21" s="365">
        <v>14</v>
      </c>
      <c r="F21" s="365">
        <v>14</v>
      </c>
      <c r="G21" s="365" t="e">
        <f>統計tmp!#REF!</f>
        <v>#REF!</v>
      </c>
      <c r="H21" s="365" t="e">
        <f>統計tmp!#REF!</f>
        <v>#REF!</v>
      </c>
      <c r="I21" s="365">
        <v>2</v>
      </c>
      <c r="K21" s="365" t="str">
        <f t="shared" si="6"/>
        <v/>
      </c>
      <c r="L21" s="365">
        <f t="shared" si="5"/>
        <v>0</v>
      </c>
      <c r="P21" s="381" t="s">
        <v>2453</v>
      </c>
      <c r="Q21" s="381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5">
        <v>3</v>
      </c>
      <c r="D22" s="365">
        <v>3</v>
      </c>
      <c r="E22" s="365">
        <v>3</v>
      </c>
      <c r="F22" s="365">
        <v>3</v>
      </c>
      <c r="G22" s="365" t="e">
        <f>統計tmp!#REF!</f>
        <v>#REF!</v>
      </c>
      <c r="H22" s="365" t="e">
        <f>統計tmp!#REF!</f>
        <v>#REF!</v>
      </c>
      <c r="K22" s="365" t="str">
        <f t="shared" si="6"/>
        <v/>
      </c>
      <c r="L22" s="365">
        <f t="shared" si="5"/>
        <v>0</v>
      </c>
      <c r="P22" s="381" t="s">
        <v>2453</v>
      </c>
      <c r="Q22" s="381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5">
        <v>3</v>
      </c>
      <c r="D23" s="365">
        <v>3</v>
      </c>
      <c r="E23" s="365">
        <v>3</v>
      </c>
      <c r="F23" s="365">
        <v>3</v>
      </c>
      <c r="G23" s="365" t="e">
        <f>統計tmp!#REF!</f>
        <v>#REF!</v>
      </c>
      <c r="H23" s="365" t="e">
        <f>統計tmp!#REF!</f>
        <v>#REF!</v>
      </c>
      <c r="K23" s="365" t="str">
        <f t="shared" si="6"/>
        <v/>
      </c>
      <c r="L23" s="365">
        <f t="shared" si="5"/>
        <v>0</v>
      </c>
      <c r="P23" s="381" t="s">
        <v>2453</v>
      </c>
      <c r="Q23" s="381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4" t="s">
        <v>68</v>
      </c>
      <c r="B24" s="364"/>
      <c r="C24" s="367">
        <v>75</v>
      </c>
      <c r="D24" s="367">
        <v>75</v>
      </c>
      <c r="E24" s="367">
        <v>75</v>
      </c>
      <c r="F24" s="367"/>
      <c r="G24" s="367" t="e">
        <f>統計tmp!#REF!</f>
        <v>#REF!</v>
      </c>
      <c r="H24" s="367" t="e">
        <f>統計tmp!#REF!</f>
        <v>#REF!</v>
      </c>
      <c r="I24" s="367"/>
      <c r="J24" s="367"/>
      <c r="K24" s="367" t="str">
        <f t="shared" si="6"/>
        <v/>
      </c>
      <c r="L24" s="367"/>
      <c r="M24" s="367"/>
      <c r="N24" s="367"/>
      <c r="O24" s="378"/>
      <c r="P24" s="382" t="s">
        <v>2453</v>
      </c>
      <c r="Q24" s="382" t="s">
        <v>2453</v>
      </c>
      <c r="R24" s="364"/>
      <c r="S24" s="364"/>
    </row>
    <row r="25" spans="1:20" x14ac:dyDescent="0.3">
      <c r="B25" s="153" t="s">
        <v>340</v>
      </c>
      <c r="C25" s="365">
        <v>5</v>
      </c>
      <c r="D25" s="365">
        <v>5</v>
      </c>
      <c r="E25" s="365">
        <v>5</v>
      </c>
      <c r="G25" s="365" t="e">
        <f>統計tmp!#REF!</f>
        <v>#REF!</v>
      </c>
      <c r="H25" s="365" t="e">
        <f>統計tmp!#REF!</f>
        <v>#REF!</v>
      </c>
      <c r="I25" s="365">
        <v>5</v>
      </c>
      <c r="K25" s="365" t="str">
        <f t="shared" si="6"/>
        <v/>
      </c>
      <c r="L25" s="365">
        <f t="shared" si="5"/>
        <v>0</v>
      </c>
      <c r="P25" s="381" t="s">
        <v>2453</v>
      </c>
      <c r="Q25" s="381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5">
        <v>17</v>
      </c>
      <c r="D26" s="365">
        <v>17</v>
      </c>
      <c r="E26" s="365">
        <v>17</v>
      </c>
      <c r="G26" s="365" t="e">
        <f>統計tmp!#REF!</f>
        <v>#REF!</v>
      </c>
      <c r="H26" s="365" t="e">
        <f>統計tmp!#REF!</f>
        <v>#REF!</v>
      </c>
      <c r="K26" s="365" t="str">
        <f t="shared" si="6"/>
        <v/>
      </c>
      <c r="L26" s="365">
        <f t="shared" si="5"/>
        <v>0</v>
      </c>
      <c r="M26" s="365">
        <v>16</v>
      </c>
      <c r="P26" s="381" t="s">
        <v>2453</v>
      </c>
      <c r="Q26" s="381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5">
        <v>8</v>
      </c>
      <c r="D27" s="365">
        <v>8</v>
      </c>
      <c r="E27" s="365">
        <v>8</v>
      </c>
      <c r="G27" s="365" t="e">
        <f>統計tmp!#REF!</f>
        <v>#REF!</v>
      </c>
      <c r="H27" s="365" t="e">
        <f>統計tmp!#REF!</f>
        <v>#REF!</v>
      </c>
      <c r="I27" s="365">
        <v>8</v>
      </c>
      <c r="K27" s="365" t="str">
        <f t="shared" si="6"/>
        <v/>
      </c>
      <c r="L27" s="365">
        <f t="shared" si="5"/>
        <v>0</v>
      </c>
      <c r="P27" s="381" t="s">
        <v>2453</v>
      </c>
      <c r="Q27" s="381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5">
        <v>7</v>
      </c>
      <c r="D28" s="365">
        <v>7</v>
      </c>
      <c r="E28" s="365">
        <v>7</v>
      </c>
      <c r="G28" s="365" t="e">
        <f>統計tmp!#REF!</f>
        <v>#REF!</v>
      </c>
      <c r="H28" s="365" t="e">
        <f>統計tmp!#REF!</f>
        <v>#REF!</v>
      </c>
      <c r="K28" s="365" t="str">
        <f t="shared" si="6"/>
        <v/>
      </c>
      <c r="L28" s="365">
        <f t="shared" si="5"/>
        <v>0</v>
      </c>
      <c r="M28" s="365">
        <v>6</v>
      </c>
      <c r="P28" s="381" t="s">
        <v>2453</v>
      </c>
      <c r="Q28" s="381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5">
        <v>10</v>
      </c>
      <c r="D29" s="365">
        <v>10</v>
      </c>
      <c r="E29" s="365">
        <v>10</v>
      </c>
      <c r="G29" s="365" t="e">
        <f>統計tmp!#REF!</f>
        <v>#REF!</v>
      </c>
      <c r="H29" s="365" t="e">
        <f>統計tmp!#REF!</f>
        <v>#REF!</v>
      </c>
      <c r="I29" s="365">
        <v>10</v>
      </c>
      <c r="K29" s="365" t="str">
        <f t="shared" si="6"/>
        <v/>
      </c>
      <c r="L29" s="365">
        <f t="shared" si="5"/>
        <v>0</v>
      </c>
      <c r="P29" s="381" t="s">
        <v>2453</v>
      </c>
      <c r="Q29" s="381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5">
        <v>7</v>
      </c>
      <c r="D30" s="365">
        <v>7</v>
      </c>
      <c r="E30" s="365">
        <v>7</v>
      </c>
      <c r="G30" s="365" t="e">
        <f>統計tmp!#REF!</f>
        <v>#REF!</v>
      </c>
      <c r="H30" s="365" t="e">
        <f>統計tmp!#REF!</f>
        <v>#REF!</v>
      </c>
      <c r="K30" s="365" t="str">
        <f t="shared" si="6"/>
        <v/>
      </c>
      <c r="L30" s="365">
        <f t="shared" si="5"/>
        <v>0</v>
      </c>
      <c r="M30" s="365">
        <v>6</v>
      </c>
      <c r="P30" s="381" t="s">
        <v>2453</v>
      </c>
      <c r="Q30" s="381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5">
        <v>1</v>
      </c>
      <c r="D31" s="365">
        <v>1</v>
      </c>
      <c r="E31" s="365">
        <v>1</v>
      </c>
      <c r="G31" s="365" t="e">
        <f>統計tmp!#REF!</f>
        <v>#REF!</v>
      </c>
      <c r="H31" s="365" t="e">
        <f>統計tmp!#REF!</f>
        <v>#REF!</v>
      </c>
      <c r="I31" s="365">
        <v>1</v>
      </c>
      <c r="K31" s="365" t="str">
        <f t="shared" si="6"/>
        <v/>
      </c>
      <c r="L31" s="365">
        <f t="shared" si="5"/>
        <v>0</v>
      </c>
      <c r="P31" s="381" t="s">
        <v>2453</v>
      </c>
      <c r="Q31" s="381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5">
        <v>17</v>
      </c>
      <c r="D32" s="365">
        <v>17</v>
      </c>
      <c r="E32" s="365">
        <v>17</v>
      </c>
      <c r="G32" s="365" t="e">
        <f>統計tmp!#REF!</f>
        <v>#REF!</v>
      </c>
      <c r="H32" s="365" t="e">
        <f>統計tmp!#REF!</f>
        <v>#REF!</v>
      </c>
      <c r="K32" s="365" t="str">
        <f t="shared" si="6"/>
        <v/>
      </c>
      <c r="L32" s="365">
        <f t="shared" si="5"/>
        <v>0</v>
      </c>
      <c r="M32" s="365">
        <v>16</v>
      </c>
      <c r="P32" s="381" t="s">
        <v>2453</v>
      </c>
      <c r="Q32" s="381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5">
        <v>3</v>
      </c>
      <c r="D33" s="365">
        <v>3</v>
      </c>
      <c r="E33" s="365">
        <v>3</v>
      </c>
      <c r="G33" s="365" t="e">
        <f>統計tmp!#REF!</f>
        <v>#REF!</v>
      </c>
      <c r="H33" s="365" t="e">
        <f>統計tmp!#REF!</f>
        <v>#REF!</v>
      </c>
      <c r="K33" s="365" t="str">
        <f t="shared" si="6"/>
        <v/>
      </c>
      <c r="L33" s="365">
        <f t="shared" si="5"/>
        <v>0</v>
      </c>
      <c r="M33" s="365">
        <v>2</v>
      </c>
      <c r="P33" s="381" t="s">
        <v>2453</v>
      </c>
      <c r="Q33" s="381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4" t="s">
        <v>69</v>
      </c>
      <c r="B34" s="364"/>
      <c r="C34" s="367">
        <v>87</v>
      </c>
      <c r="D34" s="367">
        <v>87</v>
      </c>
      <c r="E34" s="367">
        <v>50</v>
      </c>
      <c r="F34" s="367"/>
      <c r="G34" s="367" t="e">
        <f>統計tmp!#REF!</f>
        <v>#REF!</v>
      </c>
      <c r="H34" s="367" t="e">
        <f>統計tmp!#REF!</f>
        <v>#REF!</v>
      </c>
      <c r="I34" s="367"/>
      <c r="J34" s="367"/>
      <c r="K34" s="367" t="str">
        <f t="shared" si="6"/>
        <v/>
      </c>
      <c r="L34" s="367"/>
      <c r="M34" s="367"/>
      <c r="N34" s="367"/>
      <c r="O34" s="378"/>
      <c r="P34" s="382" t="s">
        <v>2453</v>
      </c>
      <c r="Q34" s="382" t="s">
        <v>2453</v>
      </c>
      <c r="R34" s="364"/>
      <c r="S34" s="364"/>
    </row>
    <row r="35" spans="1:20" x14ac:dyDescent="0.3">
      <c r="B35" s="153" t="s">
        <v>973</v>
      </c>
      <c r="C35" s="365">
        <v>15</v>
      </c>
      <c r="D35" s="365">
        <v>15</v>
      </c>
      <c r="E35" s="377">
        <v>11</v>
      </c>
      <c r="G35" s="365" t="e">
        <f>統計tmp!#REF!</f>
        <v>#REF!</v>
      </c>
      <c r="H35" s="365" t="e">
        <f>統計tmp!#REF!</f>
        <v>#REF!</v>
      </c>
      <c r="J35" s="365">
        <v>11</v>
      </c>
      <c r="K35" s="365">
        <v>4</v>
      </c>
      <c r="L35" s="365">
        <f t="shared" si="5"/>
        <v>15</v>
      </c>
      <c r="P35" s="381" t="s">
        <v>2453</v>
      </c>
      <c r="Q35" s="381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5">
        <v>12</v>
      </c>
      <c r="D36" s="365">
        <v>12</v>
      </c>
      <c r="E36" s="377">
        <v>4</v>
      </c>
      <c r="G36" s="365" t="e">
        <f>統計tmp!#REF!</f>
        <v>#REF!</v>
      </c>
      <c r="H36" s="365" t="e">
        <f>統計tmp!#REF!</f>
        <v>#REF!</v>
      </c>
      <c r="J36" s="365">
        <v>4</v>
      </c>
      <c r="K36" s="365">
        <v>8</v>
      </c>
      <c r="L36" s="365">
        <f t="shared" si="5"/>
        <v>12</v>
      </c>
      <c r="P36" s="381" t="s">
        <v>2453</v>
      </c>
      <c r="Q36" s="381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5">
        <v>15</v>
      </c>
      <c r="D37" s="365">
        <v>15</v>
      </c>
      <c r="E37" s="377">
        <v>9</v>
      </c>
      <c r="G37" s="365" t="e">
        <f>統計tmp!#REF!</f>
        <v>#REF!</v>
      </c>
      <c r="H37" s="365" t="e">
        <f>統計tmp!#REF!</f>
        <v>#REF!</v>
      </c>
      <c r="K37" s="365" t="str">
        <f>IF(J37="V",C37,"")</f>
        <v/>
      </c>
      <c r="L37" s="365">
        <f t="shared" si="5"/>
        <v>0</v>
      </c>
      <c r="P37" s="381">
        <v>12</v>
      </c>
      <c r="Q37" s="381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5">
        <v>15</v>
      </c>
      <c r="D38" s="365">
        <v>15</v>
      </c>
      <c r="E38" s="377"/>
      <c r="G38" s="365" t="e">
        <f>統計tmp!#REF!</f>
        <v>#REF!</v>
      </c>
      <c r="H38" s="365" t="e">
        <f>統計tmp!#REF!</f>
        <v>#REF!</v>
      </c>
      <c r="K38" s="365" t="str">
        <f>IF(J38="V",C38,"")</f>
        <v/>
      </c>
      <c r="L38" s="365">
        <f t="shared" si="5"/>
        <v>0</v>
      </c>
      <c r="N38" s="365">
        <v>14</v>
      </c>
      <c r="P38" s="381" t="s">
        <v>2453</v>
      </c>
      <c r="Q38" s="381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5">
        <v>26</v>
      </c>
      <c r="D39" s="365">
        <v>26</v>
      </c>
      <c r="E39" s="365">
        <v>26</v>
      </c>
      <c r="F39" s="365">
        <v>26</v>
      </c>
      <c r="G39" s="365" t="e">
        <f>統計tmp!#REF!</f>
        <v>#REF!</v>
      </c>
      <c r="H39" s="365" t="e">
        <f>統計tmp!#REF!</f>
        <v>#REF!</v>
      </c>
      <c r="K39" s="365" t="str">
        <f>IF(J39="V",C39,"")</f>
        <v/>
      </c>
      <c r="L39" s="365">
        <f t="shared" si="5"/>
        <v>0</v>
      </c>
      <c r="P39" s="381" t="s">
        <v>2453</v>
      </c>
      <c r="Q39" s="381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5">
        <v>4</v>
      </c>
      <c r="D40" s="365">
        <v>4</v>
      </c>
      <c r="G40" s="365" t="e">
        <f>統計tmp!#REF!</f>
        <v>#REF!</v>
      </c>
      <c r="H40" s="365" t="e">
        <f>統計tmp!#REF!</f>
        <v>#REF!</v>
      </c>
      <c r="J40" s="365">
        <v>0</v>
      </c>
      <c r="K40" s="365">
        <v>4</v>
      </c>
      <c r="L40" s="365">
        <f t="shared" si="5"/>
        <v>4</v>
      </c>
      <c r="P40" s="381" t="s">
        <v>2453</v>
      </c>
      <c r="Q40" s="381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4" t="s">
        <v>70</v>
      </c>
      <c r="B41" s="364"/>
      <c r="C41" s="367">
        <v>88</v>
      </c>
      <c r="D41" s="367">
        <v>88</v>
      </c>
      <c r="E41" s="367">
        <v>42</v>
      </c>
      <c r="F41" s="367"/>
      <c r="G41" s="367" t="e">
        <f>統計tmp!#REF!</f>
        <v>#REF!</v>
      </c>
      <c r="H41" s="367" t="e">
        <f>統計tmp!#REF!</f>
        <v>#REF!</v>
      </c>
      <c r="I41" s="367"/>
      <c r="J41" s="367"/>
      <c r="K41" s="367" t="str">
        <f>IF(J41="V",C41,"")</f>
        <v/>
      </c>
      <c r="L41" s="367"/>
      <c r="M41" s="367"/>
      <c r="N41" s="367"/>
      <c r="O41" s="378"/>
      <c r="P41" s="382" t="s">
        <v>2453</v>
      </c>
      <c r="Q41" s="382" t="s">
        <v>2453</v>
      </c>
      <c r="R41" s="364"/>
      <c r="S41" s="364"/>
    </row>
    <row r="42" spans="1:20" x14ac:dyDescent="0.3">
      <c r="B42" s="153" t="s">
        <v>2511</v>
      </c>
      <c r="C42" s="365">
        <v>4</v>
      </c>
      <c r="D42" s="365">
        <v>4</v>
      </c>
      <c r="E42" s="377"/>
      <c r="G42" s="365" t="e">
        <f>統計tmp!#REF!</f>
        <v>#REF!</v>
      </c>
      <c r="H42" s="365" t="e">
        <f>統計tmp!#REF!</f>
        <v>#REF!</v>
      </c>
      <c r="K42" s="365" t="str">
        <f>IF(J42="V",C42,"")</f>
        <v/>
      </c>
      <c r="L42" s="365">
        <f t="shared" si="5"/>
        <v>0</v>
      </c>
      <c r="N42" s="365">
        <v>1</v>
      </c>
      <c r="P42" s="381">
        <v>2</v>
      </c>
      <c r="Q42" s="381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5">
        <v>9</v>
      </c>
      <c r="D43" s="365">
        <v>9</v>
      </c>
      <c r="E43" s="365">
        <v>7</v>
      </c>
      <c r="G43" s="365" t="e">
        <f>統計tmp!#REF!</f>
        <v>#REF!</v>
      </c>
      <c r="H43" s="365" t="e">
        <f>統計tmp!#REF!</f>
        <v>#REF!</v>
      </c>
      <c r="J43" s="365">
        <v>7</v>
      </c>
      <c r="K43" s="365">
        <v>2</v>
      </c>
      <c r="L43" s="365">
        <f t="shared" si="5"/>
        <v>9</v>
      </c>
      <c r="P43" s="381" t="s">
        <v>2453</v>
      </c>
      <c r="Q43" s="381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5">
        <v>6</v>
      </c>
      <c r="D44" s="365">
        <v>6</v>
      </c>
      <c r="G44" s="365" t="e">
        <f>統計tmp!#REF!</f>
        <v>#REF!</v>
      </c>
      <c r="H44" s="365" t="e">
        <f>統計tmp!#REF!</f>
        <v>#REF!</v>
      </c>
      <c r="J44" s="365">
        <v>0</v>
      </c>
      <c r="K44" s="365">
        <v>6</v>
      </c>
      <c r="L44" s="365">
        <f t="shared" si="5"/>
        <v>6</v>
      </c>
      <c r="P44" s="381" t="s">
        <v>2453</v>
      </c>
      <c r="Q44" s="381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5">
        <v>8</v>
      </c>
      <c r="D45" s="365">
        <v>8</v>
      </c>
      <c r="E45" s="377"/>
      <c r="G45" s="365" t="e">
        <f>統計tmp!#REF!</f>
        <v>#REF!</v>
      </c>
      <c r="H45" s="365" t="e">
        <f>統計tmp!#REF!</f>
        <v>#REF!</v>
      </c>
      <c r="K45" s="365" t="str">
        <f>IF(J45="V",C45,"")</f>
        <v/>
      </c>
      <c r="L45" s="365">
        <f t="shared" si="5"/>
        <v>0</v>
      </c>
      <c r="P45" s="381">
        <v>8</v>
      </c>
      <c r="Q45" s="381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5">
        <v>7</v>
      </c>
      <c r="D46" s="365">
        <v>7</v>
      </c>
      <c r="E46" s="377">
        <v>4</v>
      </c>
      <c r="G46" s="365" t="e">
        <f>統計tmp!#REF!</f>
        <v>#REF!</v>
      </c>
      <c r="H46" s="365" t="e">
        <f>統計tmp!#REF!</f>
        <v>#REF!</v>
      </c>
      <c r="L46" s="365">
        <f t="shared" si="5"/>
        <v>0</v>
      </c>
      <c r="M46" s="365">
        <v>4</v>
      </c>
      <c r="N46" s="365">
        <v>2</v>
      </c>
      <c r="P46" s="381" t="s">
        <v>2453</v>
      </c>
      <c r="Q46" s="381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5">
        <v>20</v>
      </c>
      <c r="D47" s="365">
        <v>20</v>
      </c>
      <c r="E47" s="377">
        <v>12</v>
      </c>
      <c r="G47" s="365" t="e">
        <f>統計tmp!#REF!</f>
        <v>#REF!</v>
      </c>
      <c r="H47" s="365" t="e">
        <f>統計tmp!#REF!</f>
        <v>#REF!</v>
      </c>
      <c r="J47" s="365">
        <v>12</v>
      </c>
      <c r="K47" s="365">
        <v>8</v>
      </c>
      <c r="L47" s="365">
        <f t="shared" si="5"/>
        <v>20</v>
      </c>
      <c r="P47" s="381" t="s">
        <v>2453</v>
      </c>
      <c r="Q47" s="381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5">
        <v>29</v>
      </c>
      <c r="D48" s="365">
        <v>29</v>
      </c>
      <c r="E48" s="377">
        <v>15</v>
      </c>
      <c r="G48" s="365" t="e">
        <f>統計tmp!#REF!</f>
        <v>#REF!</v>
      </c>
      <c r="H48" s="365" t="e">
        <f>統計tmp!#REF!</f>
        <v>#REF!</v>
      </c>
      <c r="J48" s="365">
        <v>15</v>
      </c>
      <c r="K48" s="365">
        <v>14</v>
      </c>
      <c r="L48" s="365">
        <f t="shared" si="5"/>
        <v>29</v>
      </c>
      <c r="P48" s="381" t="s">
        <v>2453</v>
      </c>
      <c r="Q48" s="381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5">
        <v>5</v>
      </c>
      <c r="D49" s="365">
        <v>5</v>
      </c>
      <c r="E49" s="377">
        <v>4</v>
      </c>
      <c r="G49" s="365" t="e">
        <f>統計tmp!#REF!</f>
        <v>#REF!</v>
      </c>
      <c r="H49" s="365" t="e">
        <f>統計tmp!#REF!</f>
        <v>#REF!</v>
      </c>
      <c r="K49" s="365" t="str">
        <f>IF(J49="V",C49,"")</f>
        <v/>
      </c>
      <c r="L49" s="365">
        <f t="shared" si="5"/>
        <v>0</v>
      </c>
      <c r="M49" s="365">
        <v>4</v>
      </c>
      <c r="P49" s="381">
        <v>1</v>
      </c>
      <c r="Q49" s="381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4" t="s">
        <v>71</v>
      </c>
      <c r="B50" s="364"/>
      <c r="C50" s="367">
        <v>10</v>
      </c>
      <c r="D50" s="367">
        <v>10</v>
      </c>
      <c r="E50" s="367"/>
      <c r="F50" s="367"/>
      <c r="G50" s="367" t="e">
        <f>統計tmp!#REF!</f>
        <v>#REF!</v>
      </c>
      <c r="H50" s="367" t="e">
        <f>統計tmp!#REF!</f>
        <v>#REF!</v>
      </c>
      <c r="I50" s="367"/>
      <c r="J50" s="367"/>
      <c r="K50" s="367" t="str">
        <f>IF(J50="V",C50,"")</f>
        <v/>
      </c>
      <c r="L50" s="367"/>
      <c r="M50" s="367"/>
      <c r="N50" s="367"/>
      <c r="O50" s="378"/>
      <c r="P50" s="382" t="s">
        <v>2453</v>
      </c>
      <c r="Q50" s="382" t="s">
        <v>2453</v>
      </c>
      <c r="R50" s="364"/>
      <c r="S50" s="364"/>
    </row>
    <row r="51" spans="1:19" x14ac:dyDescent="0.3">
      <c r="B51" s="153" t="s">
        <v>2519</v>
      </c>
      <c r="C51" s="365">
        <v>1</v>
      </c>
      <c r="D51" s="365">
        <v>1</v>
      </c>
      <c r="E51" s="377"/>
      <c r="G51" s="365">
        <f>統計tmp!BE1</f>
        <v>0</v>
      </c>
      <c r="H51" s="365">
        <f>統計tmp!BD1</f>
        <v>0</v>
      </c>
      <c r="J51" s="365">
        <v>0</v>
      </c>
      <c r="K51" s="365">
        <v>1</v>
      </c>
      <c r="L51" s="365">
        <f t="shared" si="5"/>
        <v>1</v>
      </c>
      <c r="P51" s="381" t="s">
        <v>2453</v>
      </c>
      <c r="Q51" s="381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5">
        <v>9</v>
      </c>
      <c r="D52" s="365">
        <v>9</v>
      </c>
      <c r="E52" s="377"/>
      <c r="G52" s="365">
        <f>統計tmp!BE2</f>
        <v>0</v>
      </c>
      <c r="H52" s="365">
        <f>統計tmp!BD2</f>
        <v>0</v>
      </c>
      <c r="K52" s="365" t="str">
        <f>IF(J52="V",C52,"")</f>
        <v/>
      </c>
      <c r="L52" s="365">
        <f t="shared" si="5"/>
        <v>0</v>
      </c>
      <c r="N52" s="365">
        <v>8</v>
      </c>
      <c r="P52" s="381" t="s">
        <v>2453</v>
      </c>
      <c r="Q52" s="381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4" t="s">
        <v>72</v>
      </c>
      <c r="B53" s="364"/>
      <c r="C53" s="367">
        <v>134</v>
      </c>
      <c r="D53" s="367">
        <v>134</v>
      </c>
      <c r="E53" s="367">
        <v>4</v>
      </c>
      <c r="F53" s="367"/>
      <c r="G53" s="367">
        <f>統計tmp!BE3</f>
        <v>0</v>
      </c>
      <c r="H53" s="367">
        <f>統計tmp!BD3</f>
        <v>0</v>
      </c>
      <c r="I53" s="367"/>
      <c r="J53" s="367"/>
      <c r="K53" s="367" t="str">
        <f>IF(J53="V",C53,"")</f>
        <v/>
      </c>
      <c r="L53" s="367"/>
      <c r="M53" s="367"/>
      <c r="N53" s="367"/>
      <c r="O53" s="378"/>
      <c r="P53" s="382" t="s">
        <v>2453</v>
      </c>
      <c r="Q53" s="382" t="s">
        <v>2453</v>
      </c>
      <c r="R53" s="364"/>
      <c r="S53" s="364"/>
    </row>
    <row r="54" spans="1:19" x14ac:dyDescent="0.3">
      <c r="B54" s="153" t="s">
        <v>890</v>
      </c>
      <c r="C54" s="365">
        <v>7</v>
      </c>
      <c r="D54" s="365">
        <v>7</v>
      </c>
      <c r="E54" s="377">
        <v>2</v>
      </c>
      <c r="F54" s="377"/>
      <c r="G54" s="365">
        <f>統計tmp!BE4</f>
        <v>0</v>
      </c>
      <c r="H54" s="365">
        <f>統計tmp!BD4</f>
        <v>0</v>
      </c>
      <c r="K54" s="365" t="str">
        <f>IF(J54="V",C54,"")</f>
        <v/>
      </c>
      <c r="L54" s="365">
        <f t="shared" si="5"/>
        <v>0</v>
      </c>
      <c r="M54" s="365">
        <v>2</v>
      </c>
      <c r="P54" s="381">
        <v>5</v>
      </c>
      <c r="Q54" s="381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5">
        <v>9</v>
      </c>
      <c r="D55" s="365">
        <v>9</v>
      </c>
      <c r="E55" s="377">
        <v>2</v>
      </c>
      <c r="F55" s="377"/>
      <c r="G55" s="365">
        <f>統計tmp!BE5</f>
        <v>0</v>
      </c>
      <c r="H55" s="365">
        <f>統計tmp!BD5</f>
        <v>0</v>
      </c>
      <c r="K55" s="365" t="str">
        <f>IF(J55="V",C55,"")</f>
        <v/>
      </c>
      <c r="L55" s="365">
        <f t="shared" si="5"/>
        <v>0</v>
      </c>
      <c r="M55" s="365">
        <v>2</v>
      </c>
      <c r="N55" s="365">
        <v>6</v>
      </c>
      <c r="P55" s="381" t="s">
        <v>2453</v>
      </c>
      <c r="Q55" s="381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5">
        <v>112</v>
      </c>
      <c r="D56" s="365">
        <v>112</v>
      </c>
      <c r="E56" s="377"/>
      <c r="F56" s="377"/>
      <c r="G56" s="365">
        <f>統計tmp!BE6</f>
        <v>0</v>
      </c>
      <c r="H56" s="365">
        <f>統計tmp!BD6</f>
        <v>0</v>
      </c>
      <c r="K56" s="365" t="str">
        <f>IF(J56="V",C56,"")</f>
        <v/>
      </c>
      <c r="L56" s="365">
        <f t="shared" si="5"/>
        <v>0</v>
      </c>
      <c r="N56" s="365">
        <v>75</v>
      </c>
      <c r="P56" s="381" t="s">
        <v>2453</v>
      </c>
      <c r="Q56" s="381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5">
        <v>2</v>
      </c>
      <c r="D57" s="365">
        <v>2</v>
      </c>
      <c r="E57" s="377"/>
      <c r="F57" s="377"/>
      <c r="G57" s="365">
        <f>統計tmp!BE7</f>
        <v>0</v>
      </c>
      <c r="H57" s="365">
        <f>統計tmp!BD7</f>
        <v>0</v>
      </c>
      <c r="J57" s="365">
        <v>0</v>
      </c>
      <c r="K57" s="365">
        <v>2</v>
      </c>
      <c r="L57" s="365">
        <f t="shared" si="5"/>
        <v>2</v>
      </c>
      <c r="P57" s="381" t="s">
        <v>2453</v>
      </c>
      <c r="Q57" s="381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5">
        <v>3</v>
      </c>
      <c r="D58" s="365">
        <v>3</v>
      </c>
      <c r="E58" s="377"/>
      <c r="F58" s="377"/>
      <c r="G58" s="365">
        <f>統計tmp!BE8</f>
        <v>0</v>
      </c>
      <c r="H58" s="365">
        <f>統計tmp!BD8</f>
        <v>0</v>
      </c>
      <c r="J58" s="365">
        <v>0</v>
      </c>
      <c r="K58" s="365">
        <v>3</v>
      </c>
      <c r="L58" s="365">
        <f t="shared" si="5"/>
        <v>3</v>
      </c>
      <c r="P58" s="381" t="s">
        <v>2453</v>
      </c>
      <c r="Q58" s="381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5">
        <v>1</v>
      </c>
      <c r="D59" s="365">
        <v>1</v>
      </c>
      <c r="E59" s="377"/>
      <c r="F59" s="377"/>
      <c r="G59" s="365">
        <f>統計tmp!BE9</f>
        <v>0</v>
      </c>
      <c r="H59" s="365">
        <f>統計tmp!BD9</f>
        <v>0</v>
      </c>
      <c r="J59" s="365">
        <v>0</v>
      </c>
      <c r="K59" s="365">
        <v>1</v>
      </c>
      <c r="L59" s="365">
        <f t="shared" si="5"/>
        <v>1</v>
      </c>
      <c r="P59" s="381" t="s">
        <v>2453</v>
      </c>
      <c r="Q59" s="381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4" t="s">
        <v>73</v>
      </c>
      <c r="B60" s="364"/>
      <c r="C60" s="367">
        <v>1</v>
      </c>
      <c r="D60" s="367">
        <v>1</v>
      </c>
      <c r="E60" s="367"/>
      <c r="F60" s="367"/>
      <c r="G60" s="367">
        <f>統計tmp!BE10</f>
        <v>0</v>
      </c>
      <c r="H60" s="367">
        <f>統計tmp!BD10</f>
        <v>0</v>
      </c>
      <c r="I60" s="367"/>
      <c r="J60" s="367"/>
      <c r="K60" s="367" t="str">
        <f>IF(J60="V",C60,"")</f>
        <v/>
      </c>
      <c r="L60" s="367"/>
      <c r="M60" s="367"/>
      <c r="N60" s="367"/>
      <c r="O60" s="378"/>
      <c r="P60" s="382" t="s">
        <v>2453</v>
      </c>
      <c r="Q60" s="382" t="s">
        <v>2453</v>
      </c>
      <c r="R60" s="364"/>
      <c r="S60" s="364"/>
    </row>
    <row r="61" spans="1:19" x14ac:dyDescent="0.3">
      <c r="B61" s="153" t="s">
        <v>2523</v>
      </c>
      <c r="C61" s="365">
        <v>1</v>
      </c>
      <c r="D61" s="365">
        <v>1</v>
      </c>
      <c r="E61" s="377"/>
      <c r="G61" s="365">
        <f>統計tmp!BE11</f>
        <v>0</v>
      </c>
      <c r="H61" s="365">
        <f>統計tmp!BD11</f>
        <v>0</v>
      </c>
      <c r="J61" s="365">
        <v>0</v>
      </c>
      <c r="K61" s="365">
        <v>1</v>
      </c>
      <c r="L61" s="365">
        <f t="shared" si="5"/>
        <v>1</v>
      </c>
      <c r="P61" s="381" t="s">
        <v>2453</v>
      </c>
      <c r="Q61" s="381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5">
        <f>統計tmp!BE12</f>
        <v>0</v>
      </c>
      <c r="H62" s="365">
        <f>統計tmp!BD12</f>
        <v>0</v>
      </c>
      <c r="K62" s="365" t="str">
        <f>IF(J62="V",C62,"")</f>
        <v/>
      </c>
      <c r="L62" s="365">
        <f t="shared" si="5"/>
        <v>0</v>
      </c>
      <c r="P62" s="381" t="s">
        <v>2453</v>
      </c>
      <c r="Q62" s="381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5">
        <f>統計tmp!BE13</f>
        <v>0</v>
      </c>
      <c r="H63" s="365">
        <f>統計tmp!BD13</f>
        <v>0</v>
      </c>
      <c r="K63" s="365" t="str">
        <f>IF(J63="V",C63,"")</f>
        <v/>
      </c>
      <c r="L63" s="365">
        <f t="shared" si="5"/>
        <v>0</v>
      </c>
      <c r="P63" s="381" t="s">
        <v>2453</v>
      </c>
      <c r="Q63" s="381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4" t="s">
        <v>2524</v>
      </c>
      <c r="B64" s="364"/>
      <c r="C64" s="367">
        <v>9</v>
      </c>
      <c r="D64" s="367">
        <v>7</v>
      </c>
      <c r="E64" s="367"/>
      <c r="F64" s="367"/>
      <c r="G64" s="367">
        <f>統計tmp!BE14</f>
        <v>0</v>
      </c>
      <c r="H64" s="367">
        <f>統計tmp!BD14</f>
        <v>0</v>
      </c>
      <c r="I64" s="367"/>
      <c r="J64" s="367"/>
      <c r="K64" s="367" t="str">
        <f>IF(J64="V",C64,"")</f>
        <v/>
      </c>
      <c r="L64" s="367"/>
      <c r="M64" s="367"/>
      <c r="N64" s="367"/>
      <c r="O64" s="378"/>
      <c r="P64" s="382" t="s">
        <v>2453</v>
      </c>
      <c r="Q64" s="382" t="s">
        <v>2453</v>
      </c>
      <c r="R64" s="364"/>
      <c r="S64" s="364"/>
    </row>
    <row r="65" spans="1:21" x14ac:dyDescent="0.3">
      <c r="B65" s="153" t="s">
        <v>2524</v>
      </c>
      <c r="C65" s="365">
        <v>9</v>
      </c>
      <c r="D65" s="365">
        <v>7</v>
      </c>
      <c r="E65" s="377"/>
      <c r="G65" s="365">
        <f>統計tmp!BE15</f>
        <v>0</v>
      </c>
      <c r="H65" s="365">
        <f>統計tmp!BD15</f>
        <v>0</v>
      </c>
      <c r="K65" s="365" t="str">
        <f>IF(J65="V",C65,"")</f>
        <v/>
      </c>
      <c r="L65" s="365">
        <f t="shared" si="5"/>
        <v>0</v>
      </c>
      <c r="P65" s="381" t="s">
        <v>2453</v>
      </c>
      <c r="Q65" s="381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4"/>
      <c r="B66" s="364" t="s">
        <v>2543</v>
      </c>
      <c r="C66" s="367">
        <f>C4+C9+C18+C24+C34+C41+C50+C53+C60+C64</f>
        <v>536</v>
      </c>
      <c r="D66" s="367"/>
      <c r="E66" s="367"/>
      <c r="F66" s="395">
        <f>SUM(F5:F65)</f>
        <v>78</v>
      </c>
      <c r="G66" s="367" t="e">
        <f>G4+G9+G18+G24+G34+G41+G50+G53+G60+G64</f>
        <v>#REF!</v>
      </c>
      <c r="H66" s="367" t="e">
        <f>H4+H9+H18+H24+H34+H41+H50+H53+H60+H64</f>
        <v>#REF!</v>
      </c>
      <c r="I66" s="396">
        <f>SUM(I5:I65)</f>
        <v>48</v>
      </c>
      <c r="J66" s="378">
        <f>SUM(J5:J65)</f>
        <v>86</v>
      </c>
      <c r="K66" s="378">
        <f>SUM(K5:K65)</f>
        <v>67</v>
      </c>
      <c r="L66" s="397">
        <f>SUM(L5:L65)</f>
        <v>153</v>
      </c>
      <c r="M66" s="378">
        <f>SUM(M5:M65)</f>
        <v>60</v>
      </c>
      <c r="N66" s="378">
        <f t="shared" ref="N66:Q66" si="13">SUM(N5:N65)</f>
        <v>107</v>
      </c>
      <c r="O66" s="378">
        <f t="shared" si="13"/>
        <v>0</v>
      </c>
      <c r="P66" s="379">
        <f t="shared" si="13"/>
        <v>31</v>
      </c>
      <c r="Q66" s="379">
        <f t="shared" si="13"/>
        <v>59</v>
      </c>
      <c r="R66" s="398">
        <f>SUM(R5:R65)</f>
        <v>257</v>
      </c>
      <c r="S66" s="364">
        <f>SUM(S6:S65)</f>
        <v>90</v>
      </c>
      <c r="T66" s="387" t="s">
        <v>2553</v>
      </c>
      <c r="U66" s="406">
        <f>F66+I66+L66+R66</f>
        <v>536</v>
      </c>
    </row>
    <row r="67" spans="1:21" x14ac:dyDescent="0.3">
      <c r="B67" s="153" t="s">
        <v>2547</v>
      </c>
      <c r="F67" s="384">
        <f t="shared" ref="F67:L67" si="14">F66/$C$66</f>
        <v>0.1455223880597015</v>
      </c>
      <c r="G67" s="384"/>
      <c r="H67" s="384"/>
      <c r="I67" s="384">
        <f t="shared" si="14"/>
        <v>8.9552238805970144E-2</v>
      </c>
      <c r="J67" s="384"/>
      <c r="K67" s="384"/>
      <c r="L67" s="384">
        <f t="shared" si="14"/>
        <v>0.28544776119402987</v>
      </c>
      <c r="M67" s="384"/>
      <c r="N67" s="384"/>
      <c r="O67" s="384"/>
      <c r="P67" s="384"/>
      <c r="Q67" s="405"/>
      <c r="R67" s="380">
        <f>R66/C66</f>
        <v>0.47947761194029853</v>
      </c>
      <c r="S67" s="383">
        <f>S66/$C$66</f>
        <v>0.16791044776119404</v>
      </c>
      <c r="T67" s="404" t="s">
        <v>2561</v>
      </c>
    </row>
    <row r="68" spans="1:21" x14ac:dyDescent="0.3">
      <c r="R68" s="401"/>
    </row>
    <row r="69" spans="1:21" x14ac:dyDescent="0.3">
      <c r="F69" s="37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72"/>
  <sheetViews>
    <sheetView tabSelected="1" zoomScaleNormal="100" workbookViewId="0">
      <pane xSplit="6" ySplit="1" topLeftCell="Q2" activePane="bottomRight" state="frozen"/>
      <selection pane="topRight" activeCell="H1" sqref="H1"/>
      <selection pane="bottomLeft" activeCell="A2" sqref="A2"/>
      <selection pane="bottomRight" activeCell="T4" sqref="T4"/>
    </sheetView>
  </sheetViews>
  <sheetFormatPr defaultColWidth="8.69921875" defaultRowHeight="14.5" x14ac:dyDescent="0.3"/>
  <cols>
    <col min="1" max="1" width="6.19921875" style="512" customWidth="1"/>
    <col min="2" max="2" width="2.3984375" style="265" hidden="1" customWidth="1"/>
    <col min="3" max="3" width="10.19921875" style="264" customWidth="1"/>
    <col min="4" max="4" width="13.69921875" style="208" customWidth="1"/>
    <col min="5" max="5" width="9.19921875" style="265" customWidth="1"/>
    <col min="6" max="6" width="39.69921875" style="278" customWidth="1"/>
    <col min="7" max="7" width="14.69921875" style="278" customWidth="1"/>
    <col min="8" max="8" width="9" style="265" customWidth="1"/>
    <col min="9" max="9" width="11.3984375" style="278" customWidth="1"/>
    <col min="10" max="10" width="10.8984375" style="279" customWidth="1"/>
    <col min="11" max="11" width="19.69921875" style="279" customWidth="1"/>
    <col min="12" max="12" width="16.5" style="279" bestFit="1" customWidth="1"/>
    <col min="13" max="13" width="16.5" style="279" customWidth="1"/>
    <col min="14" max="14" width="14.5" style="264" hidden="1" customWidth="1"/>
    <col min="15" max="15" width="14.5" style="280" hidden="1" customWidth="1"/>
    <col min="16" max="16" width="12.09765625" style="264" hidden="1" customWidth="1"/>
    <col min="17" max="17" width="8.3984375" style="265" bestFit="1" customWidth="1"/>
    <col min="18" max="18" width="14.3984375" style="264" bestFit="1" customWidth="1"/>
    <col min="19" max="19" width="10.3984375" style="264" bestFit="1" customWidth="1"/>
    <col min="20" max="20" width="15.59765625" style="265" customWidth="1"/>
    <col min="21" max="21" width="9.3984375" style="264" hidden="1" customWidth="1"/>
    <col min="22" max="22" width="5.3984375" style="264" hidden="1" customWidth="1"/>
    <col min="23" max="23" width="9.3984375" style="264" hidden="1" customWidth="1"/>
    <col min="24" max="24" width="5.3984375" style="280" hidden="1" customWidth="1"/>
    <col min="25" max="25" width="5.3984375" style="264" hidden="1" customWidth="1"/>
    <col min="26" max="26" width="5.3984375" style="265" hidden="1" customWidth="1"/>
    <col min="27" max="27" width="9.09765625" style="265" hidden="1" customWidth="1"/>
    <col min="28" max="28" width="16.09765625" style="265" hidden="1" customWidth="1"/>
    <col min="29" max="29" width="12.8984375" style="264" hidden="1" customWidth="1"/>
    <col min="30" max="30" width="18.5" style="264" hidden="1" customWidth="1"/>
    <col min="31" max="31" width="39.69921875" style="265" hidden="1" customWidth="1"/>
    <col min="32" max="32" width="4.59765625" style="265" hidden="1" customWidth="1"/>
    <col min="33" max="33" width="14.3984375" style="251" bestFit="1" customWidth="1"/>
    <col min="34" max="34" width="15.8984375" style="265" hidden="1" customWidth="1"/>
    <col min="35" max="35" width="18.09765625" style="322" hidden="1" customWidth="1"/>
    <col min="36" max="36" width="11.69921875" style="209" hidden="1" customWidth="1"/>
    <col min="37" max="37" width="14.3984375" style="265" hidden="1" customWidth="1"/>
    <col min="38" max="39" width="11.3984375" style="278" hidden="1" customWidth="1"/>
    <col min="40" max="40" width="8.69921875" style="278" hidden="1" customWidth="1"/>
    <col min="41" max="41" width="48.5" style="211" hidden="1" customWidth="1"/>
    <col min="42" max="42" width="14.19921875" style="264" customWidth="1"/>
    <col min="43" max="43" width="33.3984375" style="265" customWidth="1"/>
    <col min="44" max="44" width="6.19921875" style="412" customWidth="1"/>
    <col min="45" max="45" width="9.8984375" style="407" hidden="1" customWidth="1"/>
    <col min="46" max="47" width="9.8984375" style="265" hidden="1" customWidth="1"/>
    <col min="48" max="49" width="12.3984375" style="265" hidden="1" customWidth="1"/>
    <col min="50" max="50" width="8.69921875" style="265" hidden="1" customWidth="1"/>
    <col min="51" max="51" width="0" style="407" hidden="1" customWidth="1"/>
    <col min="52" max="52" width="15.69921875" style="407" customWidth="1"/>
    <col min="53" max="53" width="13.5" style="587" customWidth="1"/>
    <col min="54" max="54" width="11.5" style="407" customWidth="1"/>
    <col min="55" max="55" width="36.5" style="265" customWidth="1"/>
    <col min="56" max="56" width="3" style="265" customWidth="1"/>
    <col min="57" max="57" width="6.8984375" style="264" customWidth="1"/>
    <col min="58" max="58" width="6.59765625" style="264" customWidth="1"/>
    <col min="59" max="59" width="7.09765625" style="264" customWidth="1"/>
    <col min="60" max="60" width="6.5" style="264" customWidth="1"/>
    <col min="61" max="61" width="6.8984375" style="265" bestFit="1" customWidth="1"/>
    <col min="62" max="16384" width="8.69921875" style="265"/>
  </cols>
  <sheetData>
    <row r="1" spans="1:61" ht="54.5" thickBot="1" x14ac:dyDescent="0.35">
      <c r="A1" s="511" t="s">
        <v>2554</v>
      </c>
      <c r="B1" s="205" t="s">
        <v>2562</v>
      </c>
      <c r="C1" s="205" t="s">
        <v>21</v>
      </c>
      <c r="D1" s="260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2980</v>
      </c>
      <c r="L1" s="579" t="s">
        <v>3147</v>
      </c>
      <c r="M1" s="579" t="s">
        <v>2930</v>
      </c>
      <c r="N1" s="272" t="s">
        <v>82</v>
      </c>
      <c r="O1" s="373" t="s">
        <v>83</v>
      </c>
      <c r="P1" s="373" t="s">
        <v>2411</v>
      </c>
      <c r="Q1" s="250" t="s">
        <v>35</v>
      </c>
      <c r="R1" s="250" t="s">
        <v>3284</v>
      </c>
      <c r="S1" s="250" t="s">
        <v>36</v>
      </c>
      <c r="T1" s="247" t="s">
        <v>85</v>
      </c>
      <c r="U1" s="264" t="s">
        <v>86</v>
      </c>
      <c r="V1" s="264" t="s">
        <v>87</v>
      </c>
      <c r="W1" s="264" t="s">
        <v>88</v>
      </c>
      <c r="X1" s="264" t="s">
        <v>89</v>
      </c>
      <c r="Y1" s="264" t="s">
        <v>90</v>
      </c>
      <c r="Z1" s="264" t="s">
        <v>91</v>
      </c>
      <c r="AA1" s="264" t="s">
        <v>92</v>
      </c>
      <c r="AB1" s="265" t="s">
        <v>93</v>
      </c>
      <c r="AC1" s="374" t="s">
        <v>2440</v>
      </c>
      <c r="AD1" s="281" t="s">
        <v>94</v>
      </c>
      <c r="AE1" s="273" t="s">
        <v>95</v>
      </c>
      <c r="AF1" s="374" t="s">
        <v>2849</v>
      </c>
      <c r="AG1" s="207" t="s">
        <v>96</v>
      </c>
      <c r="AH1" s="272" t="s">
        <v>97</v>
      </c>
      <c r="AI1" s="324" t="s">
        <v>98</v>
      </c>
      <c r="AJ1" s="207" t="s">
        <v>99</v>
      </c>
      <c r="AK1" s="207" t="s">
        <v>100</v>
      </c>
      <c r="AL1" s="207" t="s">
        <v>101</v>
      </c>
      <c r="AM1" s="207" t="s">
        <v>102</v>
      </c>
      <c r="AN1" s="206" t="s">
        <v>103</v>
      </c>
      <c r="AO1" s="272" t="s">
        <v>104</v>
      </c>
      <c r="AP1" s="250" t="s">
        <v>105</v>
      </c>
      <c r="AQ1" s="247" t="s">
        <v>106</v>
      </c>
      <c r="AR1" s="592" t="s">
        <v>3152</v>
      </c>
      <c r="AS1" s="483" t="s">
        <v>2565</v>
      </c>
      <c r="AT1" s="484" t="s">
        <v>2577</v>
      </c>
      <c r="AU1" s="486" t="s">
        <v>2571</v>
      </c>
      <c r="AV1" s="488" t="s">
        <v>2568</v>
      </c>
      <c r="AW1" s="490" t="s">
        <v>2569</v>
      </c>
      <c r="AX1" s="492" t="s">
        <v>2570</v>
      </c>
      <c r="AY1" s="407" t="s">
        <v>2937</v>
      </c>
      <c r="AZ1" s="407" t="s">
        <v>3100</v>
      </c>
      <c r="BA1" s="586" t="s">
        <v>3240</v>
      </c>
      <c r="BB1" s="585" t="s">
        <v>2997</v>
      </c>
      <c r="BC1" s="585" t="s">
        <v>3080</v>
      </c>
      <c r="BD1" s="592" t="s">
        <v>56</v>
      </c>
      <c r="BE1" s="596" t="s">
        <v>3081</v>
      </c>
      <c r="BF1" s="596" t="s">
        <v>3083</v>
      </c>
      <c r="BG1" s="596" t="s">
        <v>3084</v>
      </c>
      <c r="BH1" s="596" t="s">
        <v>3085</v>
      </c>
      <c r="BI1" s="591" t="s">
        <v>3082</v>
      </c>
    </row>
    <row r="2" spans="1:61" x14ac:dyDescent="0.3">
      <c r="B2" s="265">
        <v>1</v>
      </c>
      <c r="C2" s="265" t="s">
        <v>65</v>
      </c>
      <c r="D2" s="265" t="s">
        <v>2456</v>
      </c>
      <c r="E2" s="264" t="s">
        <v>108</v>
      </c>
      <c r="F2" s="265" t="s">
        <v>109</v>
      </c>
      <c r="G2" s="265"/>
      <c r="H2" s="264" t="s">
        <v>110</v>
      </c>
      <c r="I2" s="264" t="s">
        <v>2870</v>
      </c>
      <c r="J2" s="212" t="s">
        <v>3172</v>
      </c>
      <c r="K2" s="212" t="s">
        <v>3136</v>
      </c>
      <c r="L2" s="272">
        <v>44578</v>
      </c>
      <c r="M2" s="272">
        <v>44578</v>
      </c>
      <c r="N2" s="272">
        <v>44399</v>
      </c>
      <c r="O2" s="272">
        <v>44399</v>
      </c>
      <c r="P2" s="272">
        <f>IFERROR(IF(VLOOKUP(功能_33[[#This Row],[功能代號]],討論項目!A:H,8,FALSE)=0,"",VLOOKUP(功能_33[[#This Row],[功能代號]],討論項目!A:H,8,FALSE)),"")</f>
        <v>44399</v>
      </c>
      <c r="Q2" s="264" t="s">
        <v>4</v>
      </c>
      <c r="R2" s="264" t="s">
        <v>7</v>
      </c>
      <c r="S2" s="264" t="s">
        <v>7</v>
      </c>
      <c r="X2" s="264"/>
      <c r="Z2" s="264"/>
      <c r="AA2" s="264"/>
      <c r="AB2" s="265" t="str">
        <f>VLOOKUP(功能_33[[#This Row],[User]],SKL放款!A:G,7,FALSE)</f>
        <v>放款推展課</v>
      </c>
      <c r="AC2" s="272">
        <v>44470</v>
      </c>
      <c r="AD2" s="272">
        <v>44463</v>
      </c>
      <c r="AE2" s="272">
        <v>44461</v>
      </c>
      <c r="AF2" s="272">
        <v>44461</v>
      </c>
      <c r="AG2" s="578" t="s">
        <v>3173</v>
      </c>
      <c r="AH2" s="237" t="s">
        <v>2</v>
      </c>
      <c r="AI2" s="322">
        <v>44483.717361111107</v>
      </c>
      <c r="AJ2" s="209">
        <v>44487.745833333327</v>
      </c>
      <c r="AK2" s="272">
        <f>IFERROR(IF(VLOOKUP(功能_33[[#This Row],[功能代號]],E:U,11,FALSE)=0,"",VLOOKUP(功能_33[[#This Row],[功能代號]],E:U,11,FALSE)),"")</f>
        <v>44399</v>
      </c>
      <c r="AL2" s="272"/>
      <c r="AM2" s="272"/>
      <c r="AN2" s="265"/>
      <c r="AO2" s="272">
        <v>44403</v>
      </c>
      <c r="AP2" s="264">
        <v>1</v>
      </c>
      <c r="AQ2" s="265" t="s">
        <v>113</v>
      </c>
      <c r="AR2" s="593" t="s">
        <v>3207</v>
      </c>
      <c r="AS2" s="483" t="str">
        <f>IF(COUNTA(AG2)=1,LEFT(D2,3),"")</f>
        <v>1-1</v>
      </c>
      <c r="AT2" s="485" t="str">
        <f>IF(AND(COUNTA(O2)=1,COUNTA(P2)=1,COUNTA(AC2)=1,COUNTA(AF2)=1,COUNTA(AG2)=0),LEFT(D2,3),"")</f>
        <v/>
      </c>
      <c r="AU2" s="487" t="str">
        <f>IF(AND(COUNTA(O2)=1,COUNTA(P2)=1,COUNTA(AC2)=1,COUNTA(AF2)=0,COUNTA(AG2)=0),LEFT(D2,3),"")</f>
        <v/>
      </c>
      <c r="AV2" s="489" t="str">
        <f>IF(AND(COUNTA(P2)=0,COUNTA(AC2)=1),LEFT(D2,3),"")</f>
        <v/>
      </c>
      <c r="AW2" s="491" t="str">
        <f>IF(AND(COUNTA(P2)=1,COUNTA(AC2)=0),LEFT(D2,3),"")</f>
        <v/>
      </c>
      <c r="AX2" s="493" t="str">
        <f>IF(AND(COUNTA(P2)=0,COUNTA(AC2)=0),LEFT(D2,3),"")</f>
        <v/>
      </c>
      <c r="AY2" s="514" t="str">
        <f>IFERROR(VLOOKUP(功能_33[[#This Row],[功能代號]],SIT_FT_2021tmp!D:D,1,FALSE),"")</f>
        <v>L1001</v>
      </c>
      <c r="AZ2" s="587">
        <v>44516</v>
      </c>
      <c r="BA2" s="587">
        <v>44516</v>
      </c>
      <c r="BB2" s="514" t="s">
        <v>3073</v>
      </c>
      <c r="BC2" s="514" t="s">
        <v>3001</v>
      </c>
      <c r="BD2" s="593"/>
      <c r="BE2" s="597" t="str">
        <f>IF(AND(COUNTIF(AY2,"&gt;&lt;0")=1,COUNTA(M2)=1),LEFT(D2,3),"")</f>
        <v>1-1</v>
      </c>
      <c r="BF2" s="597" t="str">
        <f>IF(AND(COUNTIF(AY2,"&gt;&lt;")=1,COUNTA(M2)=0),LEFT(D2,3),"")</f>
        <v/>
      </c>
      <c r="BG2" s="597" t="str">
        <f>IF(AND(COUNTIF(AY2,"&gt;&lt;0")=0,COUNTA(M2)=1),LEFT(D2,3),"")</f>
        <v/>
      </c>
      <c r="BH2" s="597" t="str">
        <f>IF(AND(COUNTIF(AY2,"&gt;&lt;0")=0,COUNTA(M2)=0),LEFT(D2,3),"")</f>
        <v/>
      </c>
    </row>
    <row r="3" spans="1:61" x14ac:dyDescent="0.3">
      <c r="B3" s="265">
        <v>1</v>
      </c>
      <c r="C3" s="265" t="s">
        <v>65</v>
      </c>
      <c r="D3" s="265" t="s">
        <v>2456</v>
      </c>
      <c r="E3" s="264" t="s">
        <v>114</v>
      </c>
      <c r="F3" s="265" t="s">
        <v>115</v>
      </c>
      <c r="G3" s="265"/>
      <c r="H3" s="264" t="s">
        <v>110</v>
      </c>
      <c r="I3" s="264" t="s">
        <v>110</v>
      </c>
      <c r="J3" s="212" t="s">
        <v>3193</v>
      </c>
      <c r="K3" s="212" t="s">
        <v>3194</v>
      </c>
      <c r="L3" s="272">
        <v>44578</v>
      </c>
      <c r="M3" s="272">
        <v>44578</v>
      </c>
      <c r="N3" s="272">
        <v>44399</v>
      </c>
      <c r="O3" s="272">
        <v>44399</v>
      </c>
      <c r="P3" s="272">
        <f>IFERROR(IF(VLOOKUP(功能_33[[#This Row],[功能代號]],討論項目!A:H,8,FALSE)=0,"",VLOOKUP(功能_33[[#This Row],[功能代號]],討論項目!A:H,8,FALSE)),"")</f>
        <v>44456</v>
      </c>
      <c r="Q3" s="264" t="s">
        <v>4</v>
      </c>
      <c r="R3" s="264" t="s">
        <v>7</v>
      </c>
      <c r="S3" s="264" t="s">
        <v>7</v>
      </c>
      <c r="X3" s="264"/>
      <c r="Z3" s="264"/>
      <c r="AA3" s="264"/>
      <c r="AB3" s="265" t="str">
        <f>VLOOKUP(功能_33[[#This Row],[User]],SKL放款!A:G,7,FALSE)</f>
        <v>放款推展課</v>
      </c>
      <c r="AC3" s="272">
        <v>44470</v>
      </c>
      <c r="AD3" s="272">
        <v>44463</v>
      </c>
      <c r="AE3" s="272">
        <v>44461</v>
      </c>
      <c r="AF3" s="272">
        <v>44461</v>
      </c>
      <c r="AG3" s="578" t="s">
        <v>3187</v>
      </c>
      <c r="AH3" s="237" t="s">
        <v>6</v>
      </c>
      <c r="AI3" s="322">
        <v>44482.39166666667</v>
      </c>
      <c r="AJ3" s="209">
        <v>44487.745833333327</v>
      </c>
      <c r="AK3" s="272">
        <f>IFERROR(IF(VLOOKUP(功能_33[[#This Row],[功能代號]],E:U,11,FALSE)=0,"",VLOOKUP(功能_33[[#This Row],[功能代號]],E:U,11,FALSE)),"")</f>
        <v>44399</v>
      </c>
      <c r="AL3" s="272"/>
      <c r="AM3" s="272"/>
      <c r="AN3" s="265"/>
      <c r="AO3" s="272">
        <v>44403</v>
      </c>
      <c r="AP3" s="264" t="s">
        <v>116</v>
      </c>
      <c r="AQ3" s="265" t="s">
        <v>117</v>
      </c>
      <c r="AR3" s="594" t="s">
        <v>3209</v>
      </c>
      <c r="AS3" s="483" t="str">
        <f>IF(COUNTA(AG3)=1,LEFT(D3,3),"")</f>
        <v>1-1</v>
      </c>
      <c r="AT3" s="485" t="str">
        <f>IF(AND(COUNTA(O3)=1,COUNTA(P3)=1,COUNTA(AC3)=1,COUNTA(AF3)=1,COUNTA(AG3)=0),LEFT(D3,3),"")</f>
        <v/>
      </c>
      <c r="AU3" s="487" t="str">
        <f>IF(AND(COUNTA(O3)=1,COUNTA(P3)=1,COUNTA(AC3)=1,COUNTA(AF3)=0,COUNTA(AG3)=0),LEFT(D3,3),"")</f>
        <v/>
      </c>
      <c r="AV3" s="489" t="str">
        <f>IF(AND(COUNTA(P3)=0,COUNTA(AC3)=1),LEFT(D3,3),"")</f>
        <v/>
      </c>
      <c r="AW3" s="491" t="str">
        <f>IF(AND(COUNTA(P3)=1,COUNTA(AC3)=0),LEFT(D3,3),"")</f>
        <v/>
      </c>
      <c r="AX3" s="493" t="str">
        <f>IF(AND(COUNTA(P3)=0,COUNTA(AC3)=0),LEFT(D3,3),"")</f>
        <v/>
      </c>
      <c r="AY3" s="514" t="str">
        <f>IFERROR(VLOOKUP(功能_33[[#This Row],[功能代號]],SIT_FT_2021tmp!D:D,1,FALSE),"")</f>
        <v>L1101</v>
      </c>
      <c r="AZ3" s="587">
        <v>44516</v>
      </c>
      <c r="BA3" s="587">
        <v>44516</v>
      </c>
      <c r="BB3" s="514" t="s">
        <v>3073</v>
      </c>
      <c r="BC3" s="265" t="s">
        <v>3001</v>
      </c>
      <c r="BD3" s="594"/>
      <c r="BE3" s="264" t="str">
        <f>IF(AND(COUNTIF(AY3,"&gt;&lt;0")=1,COUNTA(M3)=1),LEFT(D3,3),"")</f>
        <v>1-1</v>
      </c>
      <c r="BF3" s="264" t="str">
        <f>IF(AND(COUNTIF(AY3,"&gt;&lt;")=1,COUNTA(M3)=0),LEFT(D3,3),"")</f>
        <v/>
      </c>
      <c r="BG3" s="264" t="str">
        <f>IF(AND(COUNTIF(AY3,"&gt;&lt;0")=0,COUNTA(M3)=1),LEFT(D3,3),"")</f>
        <v/>
      </c>
      <c r="BH3" s="264" t="str">
        <f>IF(AND(COUNTIF(AY3,"&gt;&lt;0")=0,COUNTA(M3)=0),LEFT(D3,3),"")</f>
        <v/>
      </c>
    </row>
    <row r="4" spans="1:61" x14ac:dyDescent="0.3">
      <c r="B4" s="265">
        <v>1</v>
      </c>
      <c r="C4" s="265" t="s">
        <v>65</v>
      </c>
      <c r="D4" s="265" t="s">
        <v>2456</v>
      </c>
      <c r="E4" s="264" t="s">
        <v>118</v>
      </c>
      <c r="F4" s="265" t="s">
        <v>119</v>
      </c>
      <c r="G4" s="265"/>
      <c r="H4" s="264" t="s">
        <v>110</v>
      </c>
      <c r="I4" s="264" t="s">
        <v>110</v>
      </c>
      <c r="J4" s="212" t="s">
        <v>3172</v>
      </c>
      <c r="K4" s="212" t="s">
        <v>3136</v>
      </c>
      <c r="L4" s="272">
        <v>44578</v>
      </c>
      <c r="M4" s="272">
        <v>44578</v>
      </c>
      <c r="N4" s="272">
        <v>44403</v>
      </c>
      <c r="O4" s="272">
        <v>44403</v>
      </c>
      <c r="P4" s="272">
        <f>IFERROR(IF(VLOOKUP(功能_33[[#This Row],[功能代號]],討論項目!A:H,8,FALSE)=0,"",VLOOKUP(功能_33[[#This Row],[功能代號]],討論項目!A:H,8,FALSE)),"")</f>
        <v>44460</v>
      </c>
      <c r="Q4" s="264" t="s">
        <v>4</v>
      </c>
      <c r="R4" s="264" t="s">
        <v>9</v>
      </c>
      <c r="S4" s="264" t="s">
        <v>9</v>
      </c>
      <c r="X4" s="264"/>
      <c r="Z4" s="264"/>
      <c r="AA4" s="264"/>
      <c r="AB4" s="265" t="str">
        <f>VLOOKUP(功能_33[[#This Row],[User]],SKL放款!A:G,7,FALSE)</f>
        <v>放款推展課</v>
      </c>
      <c r="AC4" s="272">
        <v>44470</v>
      </c>
      <c r="AD4" s="272">
        <v>44463</v>
      </c>
      <c r="AE4" s="272">
        <v>44461</v>
      </c>
      <c r="AF4" s="272">
        <v>44461</v>
      </c>
      <c r="AG4" s="578" t="s">
        <v>3174</v>
      </c>
      <c r="AH4" s="237" t="s">
        <v>1</v>
      </c>
      <c r="AI4" s="322" t="s">
        <v>120</v>
      </c>
      <c r="AJ4" s="209">
        <v>44487.745833333327</v>
      </c>
      <c r="AK4" s="272">
        <f>IFERROR(IF(VLOOKUP(功能_33[[#This Row],[功能代號]],E:U,11,FALSE)=0,"",VLOOKUP(功能_33[[#This Row],[功能代號]],E:U,11,FALSE)),"")</f>
        <v>44403</v>
      </c>
      <c r="AL4" s="272"/>
      <c r="AM4" s="272"/>
      <c r="AN4" s="265"/>
      <c r="AO4" s="265"/>
      <c r="AP4" s="264" t="s">
        <v>116</v>
      </c>
      <c r="AQ4" s="265" t="s">
        <v>117</v>
      </c>
      <c r="AR4" s="593" t="s">
        <v>3207</v>
      </c>
      <c r="AS4" s="483" t="str">
        <f>IF(COUNTA(AG4)=1,LEFT(D4,3),"")</f>
        <v>1-1</v>
      </c>
      <c r="AT4" s="485" t="str">
        <f>IF(AND(COUNTA(O4)=1,COUNTA(P4)=1,COUNTA(AC4)=1,COUNTA(AF4)=1,COUNTA(AG4)=0),LEFT(D4,3),"")</f>
        <v/>
      </c>
      <c r="AU4" s="487" t="str">
        <f>IF(AND(COUNTA(O4)=1,COUNTA(P4)=1,COUNTA(AC4)=1,COUNTA(AF4)=0,COUNTA(AG4)=0),LEFT(D4,3),"")</f>
        <v/>
      </c>
      <c r="AV4" s="489" t="str">
        <f>IF(AND(COUNTA(P4)=0,COUNTA(AC4)=1),LEFT(D4,3),"")</f>
        <v/>
      </c>
      <c r="AW4" s="491" t="str">
        <f>IF(AND(COUNTA(P4)=1,COUNTA(AC4)=0),LEFT(D4,3),"")</f>
        <v/>
      </c>
      <c r="AX4" s="493" t="str">
        <f>IF(AND(COUNTA(P4)=0,COUNTA(AC4)=0),LEFT(D4,3),"")</f>
        <v/>
      </c>
      <c r="AY4" s="514" t="str">
        <f>IFERROR(VLOOKUP(功能_33[[#This Row],[功能代號]],SIT_FT_2021tmp!D:D,1,FALSE),"")</f>
        <v>L1102</v>
      </c>
      <c r="AZ4" s="587">
        <v>44516</v>
      </c>
      <c r="BA4" s="587">
        <v>44516</v>
      </c>
      <c r="BB4" s="514" t="s">
        <v>3073</v>
      </c>
      <c r="BC4" s="265" t="s">
        <v>3001</v>
      </c>
      <c r="BD4" s="593"/>
      <c r="BE4" s="264" t="str">
        <f>IF(AND(COUNTIF(AY4,"&gt;&lt;0")=1,COUNTA(M4)=1),LEFT(D4,3),"")</f>
        <v>1-1</v>
      </c>
      <c r="BF4" s="264" t="str">
        <f>IF(AND(COUNTIF(AY4,"&gt;&lt;")=1,COUNTA(M4)=0),LEFT(D4,3),"")</f>
        <v/>
      </c>
      <c r="BG4" s="264" t="str">
        <f>IF(AND(COUNTIF(AY4,"&gt;&lt;0")=0,COUNTA(M4)=1),LEFT(D4,3),"")</f>
        <v/>
      </c>
      <c r="BH4" s="264" t="str">
        <f>IF(AND(COUNTIF(AY4,"&gt;&lt;0")=0,COUNTA(M4)=0),LEFT(D4,3),"")</f>
        <v/>
      </c>
    </row>
    <row r="5" spans="1:61" x14ac:dyDescent="0.3">
      <c r="B5" s="265">
        <v>1</v>
      </c>
      <c r="C5" s="265" t="s">
        <v>65</v>
      </c>
      <c r="D5" s="265" t="s">
        <v>2456</v>
      </c>
      <c r="E5" s="264" t="s">
        <v>121</v>
      </c>
      <c r="F5" s="265" t="s">
        <v>122</v>
      </c>
      <c r="G5" s="265"/>
      <c r="H5" s="264" t="s">
        <v>110</v>
      </c>
      <c r="I5" s="264" t="s">
        <v>110</v>
      </c>
      <c r="J5" s="212" t="s">
        <v>2941</v>
      </c>
      <c r="K5" s="212"/>
      <c r="L5" s="272">
        <v>44578</v>
      </c>
      <c r="M5" s="272">
        <v>44578</v>
      </c>
      <c r="N5" s="272">
        <v>44399</v>
      </c>
      <c r="O5" s="272">
        <v>44399</v>
      </c>
      <c r="P5" s="272">
        <f>IFERROR(IF(VLOOKUP(功能_33[[#This Row],[功能代號]],討論項目!A:H,8,FALSE)=0,"",VLOOKUP(功能_33[[#This Row],[功能代號]],討論項目!A:H,8,FALSE)),"")</f>
        <v>44469</v>
      </c>
      <c r="Q5" s="264" t="s">
        <v>4</v>
      </c>
      <c r="R5" s="264" t="s">
        <v>7</v>
      </c>
      <c r="S5" s="264" t="s">
        <v>7</v>
      </c>
      <c r="X5" s="264"/>
      <c r="Z5" s="264"/>
      <c r="AA5" s="264"/>
      <c r="AB5" s="265" t="str">
        <f>VLOOKUP(功能_33[[#This Row],[User]],SKL放款!A:G,7,FALSE)</f>
        <v>放款推展課</v>
      </c>
      <c r="AC5" s="272">
        <v>44470</v>
      </c>
      <c r="AD5" s="272">
        <v>44463</v>
      </c>
      <c r="AE5" s="272">
        <v>44461</v>
      </c>
      <c r="AF5" s="272">
        <v>44461</v>
      </c>
      <c r="AG5" s="578" t="s">
        <v>2943</v>
      </c>
      <c r="AH5" s="237" t="s">
        <v>6</v>
      </c>
      <c r="AI5" s="322">
        <v>44482.39166666667</v>
      </c>
      <c r="AJ5" s="209">
        <v>44487.745833333327</v>
      </c>
      <c r="AK5" s="272">
        <f>IFERROR(IF(VLOOKUP(功能_33[[#This Row],[功能代號]],E:U,11,FALSE)=0,"",VLOOKUP(功能_33[[#This Row],[功能代號]],E:U,11,FALSE)),"")</f>
        <v>44399</v>
      </c>
      <c r="AL5" s="272"/>
      <c r="AM5" s="272"/>
      <c r="AN5" s="265"/>
      <c r="AO5" s="265"/>
      <c r="AP5" s="264" t="s">
        <v>123</v>
      </c>
      <c r="AQ5" s="265" t="s">
        <v>124</v>
      </c>
      <c r="AR5" s="593" t="s">
        <v>3207</v>
      </c>
      <c r="AS5" s="483" t="str">
        <f>IF(COUNTA(AG5)=1,LEFT(D5,3),"")</f>
        <v>1-1</v>
      </c>
      <c r="AT5" s="485" t="str">
        <f>IF(AND(COUNTA(O5)=1,COUNTA(P5)=1,COUNTA(AC5)=1,COUNTA(AF5)=1,COUNTA(AG5)=0),LEFT(D5,3),"")</f>
        <v/>
      </c>
      <c r="AU5" s="487" t="str">
        <f>IF(AND(COUNTA(O5)=1,COUNTA(P5)=1,COUNTA(AC5)=1,COUNTA(AF5)=0,COUNTA(AG5)=0),LEFT(D5,3),"")</f>
        <v/>
      </c>
      <c r="AV5" s="489" t="str">
        <f>IF(AND(COUNTA(P5)=0,COUNTA(AC5)=1),LEFT(D5,3),"")</f>
        <v/>
      </c>
      <c r="AW5" s="491" t="str">
        <f>IF(AND(COUNTA(P5)=1,COUNTA(AC5)=0),LEFT(D5,3),"")</f>
        <v/>
      </c>
      <c r="AX5" s="493" t="str">
        <f>IF(AND(COUNTA(P5)=0,COUNTA(AC5)=0),LEFT(D5,3),"")</f>
        <v/>
      </c>
      <c r="AY5" s="514" t="str">
        <f>IFERROR(VLOOKUP(功能_33[[#This Row],[功能代號]],SIT_FT_2021tmp!D:D,1,FALSE),"")</f>
        <v>L1103</v>
      </c>
      <c r="AZ5" s="587">
        <v>44516</v>
      </c>
      <c r="BA5" s="587">
        <v>44516</v>
      </c>
      <c r="BB5" s="514" t="s">
        <v>3073</v>
      </c>
      <c r="BC5" s="265" t="s">
        <v>3001</v>
      </c>
      <c r="BD5" s="593"/>
      <c r="BE5" s="264" t="str">
        <f>IF(AND(COUNTIF(AY5,"&gt;&lt;0")=1,COUNTA(M5)=1),LEFT(D5,3),"")</f>
        <v>1-1</v>
      </c>
      <c r="BF5" s="264" t="str">
        <f>IF(AND(COUNTIF(AY5,"&gt;&lt;")=1,COUNTA(M5)=0),LEFT(D5,3),"")</f>
        <v/>
      </c>
      <c r="BG5" s="264" t="str">
        <f>IF(AND(COUNTIF(AY5,"&gt;&lt;0")=0,COUNTA(M5)=1),LEFT(D5,3),"")</f>
        <v/>
      </c>
      <c r="BH5" s="264" t="str">
        <f>IF(AND(COUNTIF(AY5,"&gt;&lt;0")=0,COUNTA(M5)=0),LEFT(D5,3),"")</f>
        <v/>
      </c>
    </row>
    <row r="6" spans="1:61" x14ac:dyDescent="0.3">
      <c r="B6" s="265">
        <v>1</v>
      </c>
      <c r="C6" s="265" t="s">
        <v>65</v>
      </c>
      <c r="D6" s="265" t="s">
        <v>2456</v>
      </c>
      <c r="E6" s="264" t="s">
        <v>125</v>
      </c>
      <c r="F6" s="265" t="s">
        <v>122</v>
      </c>
      <c r="G6" s="265"/>
      <c r="H6" s="264" t="s">
        <v>110</v>
      </c>
      <c r="I6" s="264" t="s">
        <v>110</v>
      </c>
      <c r="J6" s="212" t="s">
        <v>2921</v>
      </c>
      <c r="K6" s="212"/>
      <c r="L6" s="272">
        <v>44578</v>
      </c>
      <c r="M6" s="272">
        <v>44578</v>
      </c>
      <c r="N6" s="272">
        <v>44403</v>
      </c>
      <c r="O6" s="272">
        <v>44403</v>
      </c>
      <c r="P6" s="272">
        <f>IFERROR(IF(VLOOKUP(功能_33[[#This Row],[功能代號]],討論項目!A:H,8,FALSE)=0,"",VLOOKUP(功能_33[[#This Row],[功能代號]],討論項目!A:H,8,FALSE)),"")</f>
        <v>44456</v>
      </c>
      <c r="Q6" s="264" t="s">
        <v>4</v>
      </c>
      <c r="R6" s="264" t="s">
        <v>9</v>
      </c>
      <c r="S6" s="264" t="s">
        <v>9</v>
      </c>
      <c r="X6" s="264"/>
      <c r="Z6" s="264"/>
      <c r="AA6" s="264"/>
      <c r="AB6" s="265" t="str">
        <f>VLOOKUP(功能_33[[#This Row],[User]],SKL放款!A:G,7,FALSE)</f>
        <v>放款推展課</v>
      </c>
      <c r="AC6" s="272">
        <v>44470</v>
      </c>
      <c r="AD6" s="272">
        <v>44463</v>
      </c>
      <c r="AE6" s="272">
        <v>44461</v>
      </c>
      <c r="AF6" s="272">
        <v>44461</v>
      </c>
      <c r="AG6" s="578" t="s">
        <v>2942</v>
      </c>
      <c r="AH6" s="237" t="s">
        <v>6</v>
      </c>
      <c r="AI6" s="322">
        <v>44482.39166666667</v>
      </c>
      <c r="AJ6" s="209">
        <v>44487.745833333327</v>
      </c>
      <c r="AK6" s="272">
        <f>IFERROR(IF(VLOOKUP(功能_33[[#This Row],[功能代號]],E:U,11,FALSE)=0,"",VLOOKUP(功能_33[[#This Row],[功能代號]],E:U,11,FALSE)),"")</f>
        <v>44403</v>
      </c>
      <c r="AL6" s="272"/>
      <c r="AM6" s="272"/>
      <c r="AN6" s="265"/>
      <c r="AO6" s="265"/>
      <c r="AP6" s="264" t="s">
        <v>123</v>
      </c>
      <c r="AQ6" s="265" t="s">
        <v>124</v>
      </c>
      <c r="AR6" s="593" t="s">
        <v>3207</v>
      </c>
      <c r="AS6" s="483" t="str">
        <f>IF(COUNTA(AG6)=1,LEFT(D6,3),"")</f>
        <v>1-1</v>
      </c>
      <c r="AT6" s="485" t="str">
        <f>IF(AND(COUNTA(O6)=1,COUNTA(P6)=1,COUNTA(AC6)=1,COUNTA(AF6)=1,COUNTA(AG6)=0),LEFT(D6,3),"")</f>
        <v/>
      </c>
      <c r="AU6" s="487" t="str">
        <f>IF(AND(COUNTA(O6)=1,COUNTA(P6)=1,COUNTA(AC6)=1,COUNTA(AF6)=0,COUNTA(AG6)=0),LEFT(D6,3),"")</f>
        <v/>
      </c>
      <c r="AV6" s="489" t="str">
        <f>IF(AND(COUNTA(P6)=0,COUNTA(AC6)=1),LEFT(D6,3),"")</f>
        <v/>
      </c>
      <c r="AW6" s="491" t="str">
        <f>IF(AND(COUNTA(P6)=1,COUNTA(AC6)=0),LEFT(D6,3),"")</f>
        <v/>
      </c>
      <c r="AX6" s="493" t="str">
        <f>IF(AND(COUNTA(P6)=0,COUNTA(AC6)=0),LEFT(D6,3),"")</f>
        <v/>
      </c>
      <c r="AY6" s="514" t="str">
        <f>IFERROR(VLOOKUP(功能_33[[#This Row],[功能代號]],SIT_FT_2021tmp!D:D,1,FALSE),"")</f>
        <v>L1104</v>
      </c>
      <c r="AZ6" s="587">
        <v>44516</v>
      </c>
      <c r="BA6" s="587">
        <v>44516</v>
      </c>
      <c r="BB6" s="514" t="s">
        <v>3073</v>
      </c>
      <c r="BC6" s="265" t="s">
        <v>3001</v>
      </c>
      <c r="BD6" s="593"/>
      <c r="BE6" s="264" t="str">
        <f>IF(AND(COUNTIF(AY6,"&gt;&lt;0")=1,COUNTA(M6)=1),LEFT(D6,3),"")</f>
        <v>1-1</v>
      </c>
      <c r="BF6" s="264" t="str">
        <f>IF(AND(COUNTIF(AY6,"&gt;&lt;")=1,COUNTA(M6)=0),LEFT(D6,3),"")</f>
        <v/>
      </c>
      <c r="BG6" s="264" t="str">
        <f>IF(AND(COUNTIF(AY6,"&gt;&lt;0")=0,COUNTA(M6)=1),LEFT(D6,3),"")</f>
        <v/>
      </c>
      <c r="BH6" s="264" t="str">
        <f>IF(AND(COUNTIF(AY6,"&gt;&lt;0")=0,COUNTA(M6)=0),LEFT(D6,3),"")</f>
        <v/>
      </c>
    </row>
    <row r="7" spans="1:61" x14ac:dyDescent="0.3">
      <c r="B7" s="265">
        <v>1</v>
      </c>
      <c r="C7" s="265" t="s">
        <v>65</v>
      </c>
      <c r="D7" s="265" t="s">
        <v>2456</v>
      </c>
      <c r="E7" s="264" t="s">
        <v>126</v>
      </c>
      <c r="F7" s="265" t="s">
        <v>127</v>
      </c>
      <c r="G7" s="265"/>
      <c r="H7" s="264" t="s">
        <v>110</v>
      </c>
      <c r="I7" s="264" t="s">
        <v>110</v>
      </c>
      <c r="J7" s="212" t="s">
        <v>112</v>
      </c>
      <c r="K7" s="212"/>
      <c r="L7" s="272">
        <v>44579</v>
      </c>
      <c r="M7" s="272">
        <v>44579</v>
      </c>
      <c r="N7" s="272">
        <v>44461</v>
      </c>
      <c r="O7" s="272">
        <v>44461</v>
      </c>
      <c r="P7" s="272">
        <v>44515</v>
      </c>
      <c r="Q7" s="264" t="s">
        <v>4</v>
      </c>
      <c r="R7" s="264" t="s">
        <v>5</v>
      </c>
      <c r="S7" s="264" t="s">
        <v>5</v>
      </c>
      <c r="X7" s="264"/>
      <c r="Z7" s="264"/>
      <c r="AA7" s="264"/>
      <c r="AB7" s="265" t="str">
        <f>VLOOKUP(功能_33[[#This Row],[User]],SKL放款!A:G,7,FALSE)</f>
        <v>放款服務課</v>
      </c>
      <c r="AC7" s="272">
        <v>44515</v>
      </c>
      <c r="AD7" s="272">
        <v>44463</v>
      </c>
      <c r="AE7" s="272">
        <v>44461</v>
      </c>
      <c r="AF7" s="272">
        <v>44461</v>
      </c>
      <c r="AG7" s="578">
        <v>44515</v>
      </c>
      <c r="AH7" s="237" t="s">
        <v>4</v>
      </c>
      <c r="AI7" s="322">
        <v>44483.717361111107</v>
      </c>
      <c r="AJ7" s="209">
        <v>44487.745833333327</v>
      </c>
      <c r="AK7" s="272">
        <f>IFERROR(IF(VLOOKUP(功能_33[[#This Row],[功能代號]],E:U,11,FALSE)=0,"",VLOOKUP(功能_33[[#This Row],[功能代號]],E:U,11,FALSE)),"")</f>
        <v>44461</v>
      </c>
      <c r="AL7" s="272"/>
      <c r="AM7" s="272"/>
      <c r="AN7" s="265"/>
      <c r="AO7" s="265"/>
      <c r="AP7" s="264" t="s">
        <v>128</v>
      </c>
      <c r="AQ7" s="265" t="s">
        <v>129</v>
      </c>
      <c r="AR7" s="593" t="s">
        <v>3207</v>
      </c>
      <c r="AS7" s="483" t="str">
        <f>IF(COUNTA(AG7)=1,LEFT(D7,3),"")</f>
        <v>1-1</v>
      </c>
      <c r="AT7" s="485" t="str">
        <f>IF(AND(COUNTA(O7)=1,COUNTA(P7)=1,COUNTA(AC7)=1,COUNTA(AF7)=1,COUNTA(AG7)=0),LEFT(D7,3),"")</f>
        <v/>
      </c>
      <c r="AU7" s="487" t="str">
        <f>IF(AND(COUNTA(O7)=1,COUNTA(P7)=1,COUNTA(AC7)=1,COUNTA(AF7)=0,COUNTA(AG7)=0),LEFT(D7,3),"")</f>
        <v/>
      </c>
      <c r="AV7" s="489" t="str">
        <f>IF(AND(COUNTA(P7)=0,COUNTA(AC7)=1),LEFT(D7,3),"")</f>
        <v/>
      </c>
      <c r="AW7" s="491" t="str">
        <f>IF(AND(COUNTA(P7)=1,COUNTA(AC7)=0),LEFT(D7,3),"")</f>
        <v/>
      </c>
      <c r="AX7" s="493" t="str">
        <f>IF(AND(COUNTA(P7)=0,COUNTA(AC7)=0),LEFT(D7,3),"")</f>
        <v/>
      </c>
      <c r="AY7" s="514" t="str">
        <f>IFERROR(VLOOKUP(功能_33[[#This Row],[功能代號]],SIT_FT_2021tmp!D:D,1,FALSE),"")</f>
        <v>L1110</v>
      </c>
      <c r="AZ7" s="587">
        <v>44516</v>
      </c>
      <c r="BA7" s="587">
        <v>44516</v>
      </c>
      <c r="BB7" s="514" t="s">
        <v>3073</v>
      </c>
      <c r="BC7" s="265" t="s">
        <v>3001</v>
      </c>
      <c r="BD7" s="593"/>
      <c r="BE7" s="264" t="str">
        <f>IF(AND(COUNTIF(AY7,"&gt;&lt;0")=1,COUNTA(M7)=1),LEFT(D7,3),"")</f>
        <v>1-1</v>
      </c>
      <c r="BF7" s="264" t="str">
        <f>IF(AND(COUNTIF(AY7,"&gt;&lt;")=1,COUNTA(M7)=0),LEFT(D7,3),"")</f>
        <v/>
      </c>
      <c r="BG7" s="264" t="str">
        <f>IF(AND(COUNTIF(AY7,"&gt;&lt;0")=0,COUNTA(M7)=1),LEFT(D7,3),"")</f>
        <v/>
      </c>
      <c r="BH7" s="264" t="str">
        <f>IF(AND(COUNTIF(AY7,"&gt;&lt;0")=0,COUNTA(M7)=0),LEFT(D7,3),"")</f>
        <v/>
      </c>
    </row>
    <row r="8" spans="1:61" x14ac:dyDescent="0.3">
      <c r="B8" s="265">
        <v>1</v>
      </c>
      <c r="C8" s="265" t="s">
        <v>65</v>
      </c>
      <c r="D8" s="265" t="s">
        <v>2456</v>
      </c>
      <c r="E8" s="264" t="s">
        <v>130</v>
      </c>
      <c r="F8" s="265" t="s">
        <v>131</v>
      </c>
      <c r="G8" s="265"/>
      <c r="H8" s="264" t="s">
        <v>110</v>
      </c>
      <c r="I8" s="264" t="s">
        <v>110</v>
      </c>
      <c r="J8" s="212" t="s">
        <v>112</v>
      </c>
      <c r="K8" s="212"/>
      <c r="L8" s="272">
        <v>44579</v>
      </c>
      <c r="M8" s="272">
        <v>44579</v>
      </c>
      <c r="N8" s="272">
        <v>44461</v>
      </c>
      <c r="O8" s="272">
        <v>44461</v>
      </c>
      <c r="P8" s="272">
        <v>44489</v>
      </c>
      <c r="Q8" s="264" t="s">
        <v>4</v>
      </c>
      <c r="R8" s="264" t="s">
        <v>7</v>
      </c>
      <c r="S8" s="264" t="s">
        <v>7</v>
      </c>
      <c r="T8" s="265" t="s">
        <v>9</v>
      </c>
      <c r="X8" s="264"/>
      <c r="Z8" s="264"/>
      <c r="AA8" s="264"/>
      <c r="AB8" s="265" t="str">
        <f>VLOOKUP(功能_33[[#This Row],[User]],SKL放款!A:G,7,FALSE)</f>
        <v>放款推展課</v>
      </c>
      <c r="AC8" s="272">
        <v>44470</v>
      </c>
      <c r="AD8" s="272">
        <v>44463</v>
      </c>
      <c r="AE8" s="272">
        <v>44461</v>
      </c>
      <c r="AF8" s="272">
        <v>44461</v>
      </c>
      <c r="AG8" s="578" t="s">
        <v>2977</v>
      </c>
      <c r="AH8" s="237" t="s">
        <v>2</v>
      </c>
      <c r="AI8" s="322">
        <v>44483.717361111107</v>
      </c>
      <c r="AJ8" s="209">
        <v>44487.745833333327</v>
      </c>
      <c r="AK8" s="272">
        <f>IFERROR(IF(VLOOKUP(功能_33[[#This Row],[功能代號]],E:U,11,FALSE)=0,"",VLOOKUP(功能_33[[#This Row],[功能代號]],E:U,11,FALSE)),"")</f>
        <v>44461</v>
      </c>
      <c r="AL8" s="272"/>
      <c r="AM8" s="272"/>
      <c r="AN8" s="265"/>
      <c r="AO8" s="265"/>
      <c r="AP8" s="264" t="s">
        <v>132</v>
      </c>
      <c r="AQ8" s="265" t="s">
        <v>133</v>
      </c>
      <c r="AR8" s="593" t="s">
        <v>3207</v>
      </c>
      <c r="AS8" s="483" t="str">
        <f>IF(COUNTA(AG8)=1,LEFT(D8,3),"")</f>
        <v>1-1</v>
      </c>
      <c r="AT8" s="485" t="str">
        <f>IF(AND(COUNTA(O8)=1,COUNTA(P8)=1,COUNTA(AC8)=1,COUNTA(AF8)=1,COUNTA(AG8)=0),LEFT(D8,3),"")</f>
        <v/>
      </c>
      <c r="AU8" s="487" t="str">
        <f>IF(AND(COUNTA(O8)=1,COUNTA(P8)=1,COUNTA(AC8)=1,COUNTA(AF8)=0,COUNTA(AG8)=0),LEFT(D8,3),"")</f>
        <v/>
      </c>
      <c r="AV8" s="489" t="str">
        <f>IF(AND(COUNTA(P8)=0,COUNTA(AC8)=1),LEFT(D8,3),"")</f>
        <v/>
      </c>
      <c r="AW8" s="491" t="str">
        <f>IF(AND(COUNTA(P8)=1,COUNTA(AC8)=0),LEFT(D8,3),"")</f>
        <v/>
      </c>
      <c r="AX8" s="493" t="str">
        <f>IF(AND(COUNTA(P8)=0,COUNTA(AC8)=0),LEFT(D8,3),"")</f>
        <v/>
      </c>
      <c r="AY8" s="514" t="str">
        <f>IFERROR(VLOOKUP(功能_33[[#This Row],[功能代號]],SIT_FT_2021tmp!D:D,1,FALSE),"")</f>
        <v>L1111</v>
      </c>
      <c r="AZ8" s="587">
        <v>44516</v>
      </c>
      <c r="BA8" s="587">
        <v>44516</v>
      </c>
      <c r="BB8" s="514" t="s">
        <v>3073</v>
      </c>
      <c r="BC8" s="265" t="s">
        <v>3001</v>
      </c>
      <c r="BD8" s="593"/>
      <c r="BE8" s="264" t="str">
        <f>IF(AND(COUNTIF(AY8,"&gt;&lt;0")=1,COUNTA(M8)=1),LEFT(D8,3),"")</f>
        <v>1-1</v>
      </c>
      <c r="BF8" s="264" t="str">
        <f>IF(AND(COUNTIF(AY8,"&gt;&lt;")=1,COUNTA(M8)=0),LEFT(D8,3),"")</f>
        <v/>
      </c>
      <c r="BG8" s="264" t="str">
        <f>IF(AND(COUNTIF(AY8,"&gt;&lt;0")=0,COUNTA(M8)=1),LEFT(D8,3),"")</f>
        <v/>
      </c>
      <c r="BH8" s="264" t="str">
        <f>IF(AND(COUNTIF(AY8,"&gt;&lt;0")=0,COUNTA(M8)=0),LEFT(D8,3),"")</f>
        <v/>
      </c>
    </row>
    <row r="9" spans="1:61" x14ac:dyDescent="0.3">
      <c r="B9" s="265">
        <v>1</v>
      </c>
      <c r="C9" s="265" t="s">
        <v>65</v>
      </c>
      <c r="D9" s="265" t="s">
        <v>2456</v>
      </c>
      <c r="E9" s="264" t="s">
        <v>134</v>
      </c>
      <c r="F9" s="265" t="s">
        <v>135</v>
      </c>
      <c r="G9" s="265"/>
      <c r="H9" s="264" t="s">
        <v>110</v>
      </c>
      <c r="I9" s="264" t="s">
        <v>110</v>
      </c>
      <c r="J9" s="212" t="s">
        <v>3172</v>
      </c>
      <c r="K9" s="212" t="s">
        <v>26</v>
      </c>
      <c r="L9" s="272">
        <v>44579</v>
      </c>
      <c r="M9" s="272">
        <v>44579</v>
      </c>
      <c r="N9" s="272">
        <v>44399</v>
      </c>
      <c r="O9" s="272">
        <v>44399</v>
      </c>
      <c r="P9" s="272">
        <v>44399</v>
      </c>
      <c r="Q9" s="264" t="s">
        <v>4</v>
      </c>
      <c r="R9" s="264" t="s">
        <v>9</v>
      </c>
      <c r="S9" s="264" t="s">
        <v>9</v>
      </c>
      <c r="X9" s="264"/>
      <c r="Z9" s="264"/>
      <c r="AA9" s="264"/>
      <c r="AB9" s="265" t="str">
        <f>VLOOKUP(功能_33[[#This Row],[User]],SKL放款!A:G,7,FALSE)</f>
        <v>放款推展課</v>
      </c>
      <c r="AC9" s="272">
        <v>44470</v>
      </c>
      <c r="AD9" s="272">
        <v>44463</v>
      </c>
      <c r="AE9" s="272">
        <v>44468</v>
      </c>
      <c r="AF9" s="272">
        <v>44468</v>
      </c>
      <c r="AG9" s="578" t="s">
        <v>3175</v>
      </c>
      <c r="AH9" s="237" t="s">
        <v>6</v>
      </c>
      <c r="AI9" s="322">
        <v>44482.39166666667</v>
      </c>
      <c r="AJ9" s="209">
        <v>44487.745833333327</v>
      </c>
      <c r="AK9" s="272">
        <f>IFERROR(IF(VLOOKUP(功能_33[[#This Row],[功能代號]],E:U,11,FALSE)=0,"",VLOOKUP(功能_33[[#This Row],[功能代號]],E:U,11,FALSE)),"")</f>
        <v>44399</v>
      </c>
      <c r="AL9" s="272"/>
      <c r="AM9" s="272"/>
      <c r="AN9" s="265"/>
      <c r="AO9" s="325">
        <v>44491</v>
      </c>
      <c r="AQ9" s="265" t="s">
        <v>136</v>
      </c>
      <c r="AR9" s="593" t="s">
        <v>3207</v>
      </c>
      <c r="AS9" s="483" t="str">
        <f>IF(COUNTA(AG9)=1,LEFT(D9,3),"")</f>
        <v>1-1</v>
      </c>
      <c r="AT9" s="485" t="str">
        <f>IF(AND(COUNTA(O9)=1,COUNTA(P9)=1,COUNTA(AC9)=1,COUNTA(AF9)=1,COUNTA(AG9)=0),LEFT(D9,3),"")</f>
        <v/>
      </c>
      <c r="AU9" s="487" t="str">
        <f>IF(AND(COUNTA(O9)=1,COUNTA(P9)=1,COUNTA(AC9)=1,COUNTA(AF9)=0,COUNTA(AG9)=0),LEFT(D9,3),"")</f>
        <v/>
      </c>
      <c r="AV9" s="489" t="str">
        <f>IF(AND(COUNTA(P9)=0,COUNTA(AC9)=1),LEFT(D9,3),"")</f>
        <v/>
      </c>
      <c r="AW9" s="491" t="str">
        <f>IF(AND(COUNTA(P9)=1,COUNTA(AC9)=0),LEFT(D9,3),"")</f>
        <v/>
      </c>
      <c r="AX9" s="493" t="str">
        <f>IF(AND(COUNTA(P9)=0,COUNTA(AC9)=0),LEFT(D9,3),"")</f>
        <v/>
      </c>
      <c r="AY9" s="514" t="str">
        <f>IFERROR(VLOOKUP(功能_33[[#This Row],[功能代號]],SIT_FT_2021tmp!D:D,1,FALSE),"")</f>
        <v>L1905</v>
      </c>
      <c r="AZ9" s="587">
        <v>44516</v>
      </c>
      <c r="BA9" s="587">
        <v>44516</v>
      </c>
      <c r="BB9" s="514" t="s">
        <v>3073</v>
      </c>
      <c r="BC9" s="265" t="s">
        <v>3001</v>
      </c>
      <c r="BD9" s="593"/>
      <c r="BE9" s="264" t="str">
        <f>IF(AND(COUNTIF(AY9,"&gt;&lt;0")=1,COUNTA(M9)=1),LEFT(D9,3),"")</f>
        <v>1-1</v>
      </c>
      <c r="BF9" s="264" t="str">
        <f>IF(AND(COUNTIF(AY9,"&gt;&lt;")=1,COUNTA(M9)=0),LEFT(D9,3),"")</f>
        <v/>
      </c>
      <c r="BG9" s="264" t="str">
        <f>IF(AND(COUNTIF(AY9,"&gt;&lt;0")=0,COUNTA(M9)=1),LEFT(D9,3),"")</f>
        <v/>
      </c>
      <c r="BH9" s="264" t="str">
        <f>IF(AND(COUNTIF(AY9,"&gt;&lt;0")=0,COUNTA(M9)=0),LEFT(D9,3),"")</f>
        <v/>
      </c>
    </row>
    <row r="10" spans="1:61" x14ac:dyDescent="0.3">
      <c r="B10" s="265">
        <v>1</v>
      </c>
      <c r="C10" s="265" t="s">
        <v>65</v>
      </c>
      <c r="D10" s="265" t="s">
        <v>2456</v>
      </c>
      <c r="E10" s="264" t="s">
        <v>137</v>
      </c>
      <c r="F10" s="265" t="s">
        <v>138</v>
      </c>
      <c r="G10" s="265"/>
      <c r="H10" s="264" t="s">
        <v>110</v>
      </c>
      <c r="I10" s="264" t="s">
        <v>110</v>
      </c>
      <c r="J10" s="212" t="s">
        <v>3193</v>
      </c>
      <c r="K10" s="212" t="s">
        <v>3194</v>
      </c>
      <c r="L10" s="272">
        <v>44579</v>
      </c>
      <c r="M10" s="272">
        <v>44579</v>
      </c>
      <c r="N10" s="272">
        <v>44399</v>
      </c>
      <c r="O10" s="272">
        <v>44399</v>
      </c>
      <c r="P10" s="272">
        <f>IFERROR(IF(VLOOKUP(功能_33[[#This Row],[功能代號]],討論項目!A:H,8,FALSE)=0,"",VLOOKUP(功能_33[[#This Row],[功能代號]],討論項目!A:H,8,FALSE)),"")</f>
        <v>44431</v>
      </c>
      <c r="Q10" s="264" t="s">
        <v>4</v>
      </c>
      <c r="R10" s="264" t="s">
        <v>9</v>
      </c>
      <c r="S10" s="264" t="s">
        <v>9</v>
      </c>
      <c r="X10" s="264"/>
      <c r="Z10" s="264"/>
      <c r="AA10" s="264"/>
      <c r="AB10" s="265" t="str">
        <f>VLOOKUP(功能_33[[#This Row],[User]],SKL放款!A:G,7,FALSE)</f>
        <v>放款推展課</v>
      </c>
      <c r="AC10" s="272">
        <v>44470</v>
      </c>
      <c r="AD10" s="272">
        <v>44463</v>
      </c>
      <c r="AE10" s="272">
        <v>44468</v>
      </c>
      <c r="AF10" s="272">
        <v>44468</v>
      </c>
      <c r="AG10" s="578" t="s">
        <v>3188</v>
      </c>
      <c r="AH10" s="237" t="s">
        <v>6</v>
      </c>
      <c r="AI10" s="322">
        <v>44482.39166666667</v>
      </c>
      <c r="AJ10" s="209">
        <v>44487.745833333327</v>
      </c>
      <c r="AK10" s="272">
        <f>IFERROR(IF(VLOOKUP(功能_33[[#This Row],[功能代號]],E:U,11,FALSE)=0,"",VLOOKUP(功能_33[[#This Row],[功能代號]],E:U,11,FALSE)),"")</f>
        <v>44399</v>
      </c>
      <c r="AL10" s="272"/>
      <c r="AM10" s="272"/>
      <c r="AN10" s="265"/>
      <c r="AO10" s="265"/>
      <c r="AQ10" s="265" t="s">
        <v>136</v>
      </c>
      <c r="AR10" s="593" t="s">
        <v>3210</v>
      </c>
      <c r="AS10" s="483" t="str">
        <f>IF(COUNTA(AG10)=1,LEFT(D10,3),"")</f>
        <v>1-1</v>
      </c>
      <c r="AT10" s="485" t="str">
        <f>IF(AND(COUNTA(O10)=1,COUNTA(P10)=1,COUNTA(AC10)=1,COUNTA(AF10)=1,COUNTA(AG10)=0),LEFT(D10,3),"")</f>
        <v/>
      </c>
      <c r="AU10" s="487" t="str">
        <f>IF(AND(COUNTA(O10)=1,COUNTA(P10)=1,COUNTA(AC10)=1,COUNTA(AF10)=0,COUNTA(AG10)=0),LEFT(D10,3),"")</f>
        <v/>
      </c>
      <c r="AV10" s="489" t="str">
        <f>IF(AND(COUNTA(P10)=0,COUNTA(AC10)=1),LEFT(D10,3),"")</f>
        <v/>
      </c>
      <c r="AW10" s="491" t="str">
        <f>IF(AND(COUNTA(P10)=1,COUNTA(AC10)=0),LEFT(D10,3),"")</f>
        <v/>
      </c>
      <c r="AX10" s="493" t="str">
        <f>IF(AND(COUNTA(P10)=0,COUNTA(AC10)=0),LEFT(D10,3),"")</f>
        <v/>
      </c>
      <c r="AY10" s="514" t="str">
        <f>IFERROR(VLOOKUP(功能_33[[#This Row],[功能代號]],SIT_FT_2021tmp!D:D,1,FALSE),"")</f>
        <v>L1105</v>
      </c>
      <c r="AZ10" s="587">
        <v>44516</v>
      </c>
      <c r="BA10" s="587">
        <v>44516</v>
      </c>
      <c r="BB10" s="514" t="s">
        <v>3073</v>
      </c>
      <c r="BC10" s="265" t="s">
        <v>3001</v>
      </c>
      <c r="BD10" s="593"/>
      <c r="BE10" s="264" t="str">
        <f>IF(AND(COUNTIF(AY10,"&gt;&lt;0")=1,COUNTA(M10)=1),LEFT(D10,3),"")</f>
        <v>1-1</v>
      </c>
      <c r="BF10" s="264" t="str">
        <f>IF(AND(COUNTIF(AY10,"&gt;&lt;")=1,COUNTA(M10)=0),LEFT(D10,3),"")</f>
        <v/>
      </c>
      <c r="BG10" s="264" t="str">
        <f>IF(AND(COUNTIF(AY10,"&gt;&lt;0")=0,COUNTA(M10)=1),LEFT(D10,3),"")</f>
        <v/>
      </c>
      <c r="BH10" s="264" t="str">
        <f>IF(AND(COUNTIF(AY10,"&gt;&lt;0")=0,COUNTA(M10)=0),LEFT(D10,3),"")</f>
        <v/>
      </c>
    </row>
    <row r="11" spans="1:61" x14ac:dyDescent="0.3">
      <c r="B11" s="265">
        <v>1</v>
      </c>
      <c r="C11" s="265" t="s">
        <v>65</v>
      </c>
      <c r="D11" s="265" t="s">
        <v>2457</v>
      </c>
      <c r="E11" s="264" t="s">
        <v>143</v>
      </c>
      <c r="F11" s="265" t="s">
        <v>144</v>
      </c>
      <c r="G11" s="265"/>
      <c r="H11" s="264" t="s">
        <v>110</v>
      </c>
      <c r="I11" s="264" t="s">
        <v>110</v>
      </c>
      <c r="J11" s="212" t="s">
        <v>112</v>
      </c>
      <c r="K11" s="212"/>
      <c r="L11" s="272">
        <v>44580</v>
      </c>
      <c r="M11" s="272">
        <v>44579</v>
      </c>
      <c r="N11" s="272">
        <v>44399</v>
      </c>
      <c r="O11" s="272">
        <v>44400</v>
      </c>
      <c r="P11" s="272">
        <f>IFERROR(IF(VLOOKUP(功能_33[[#This Row],[功能代號]],討論項目!A:H,8,FALSE)=0,"",VLOOKUP(功能_33[[#This Row],[功能代號]],討論項目!A:H,8,FALSE)),"")</f>
        <v>44431</v>
      </c>
      <c r="Q11" s="264" t="s">
        <v>6</v>
      </c>
      <c r="R11" s="264" t="s">
        <v>145</v>
      </c>
      <c r="S11" s="264" t="s">
        <v>145</v>
      </c>
      <c r="X11" s="264"/>
      <c r="Z11" s="264"/>
      <c r="AA11" s="264"/>
      <c r="AB11" s="265" t="str">
        <f>VLOOKUP(功能_33[[#This Row],[User]],SKL放款!A:G,7,FALSE)</f>
        <v>放款服務課</v>
      </c>
      <c r="AC11" s="272">
        <v>44470</v>
      </c>
      <c r="AD11" s="272">
        <v>44463</v>
      </c>
      <c r="AE11" s="272">
        <v>44468</v>
      </c>
      <c r="AF11" s="272">
        <v>44468</v>
      </c>
      <c r="AG11" s="578" t="s">
        <v>2977</v>
      </c>
      <c r="AH11" s="237" t="s">
        <v>2</v>
      </c>
      <c r="AI11" s="322">
        <v>44483.717361111107</v>
      </c>
      <c r="AJ11" s="209">
        <v>44487.745833333327</v>
      </c>
      <c r="AK11" s="272">
        <f>IFERROR(IF(VLOOKUP(功能_33[[#This Row],[功能代號]],E:U,11,FALSE)=0,"",VLOOKUP(功能_33[[#This Row],[功能代號]],E:U,11,FALSE)),"")</f>
        <v>44400</v>
      </c>
      <c r="AL11" s="272"/>
      <c r="AM11" s="272"/>
      <c r="AN11" s="265"/>
      <c r="AO11" s="265"/>
      <c r="AP11" s="264" t="s">
        <v>146</v>
      </c>
      <c r="AQ11" s="265" t="s">
        <v>147</v>
      </c>
      <c r="AR11" s="593" t="s">
        <v>3207</v>
      </c>
      <c r="AS11" s="483" t="str">
        <f>IF(COUNTA(AG11)=1,LEFT(D11,3),"")</f>
        <v>1-3</v>
      </c>
      <c r="AT11" s="485" t="str">
        <f>IF(AND(COUNTA(O11)=1,COUNTA(P11)=1,COUNTA(AC11)=1,COUNTA(AF11)=1,COUNTA(AG11)=0),LEFT(D11,3),"")</f>
        <v/>
      </c>
      <c r="AU11" s="487" t="str">
        <f>IF(AND(COUNTA(O11)=1,COUNTA(P11)=1,COUNTA(AC11)=1,COUNTA(AF11)=0,COUNTA(AG11)=0),LEFT(D11,3),"")</f>
        <v/>
      </c>
      <c r="AV11" s="489" t="str">
        <f>IF(AND(COUNTA(P11)=0,COUNTA(AC11)=1),LEFT(D11,3),"")</f>
        <v/>
      </c>
      <c r="AW11" s="491" t="str">
        <f>IF(AND(COUNTA(P11)=1,COUNTA(AC11)=0),LEFT(D11,3),"")</f>
        <v/>
      </c>
      <c r="AX11" s="493" t="str">
        <f>IF(AND(COUNTA(P11)=0,COUNTA(AC11)=0),LEFT(D11,3),"")</f>
        <v/>
      </c>
      <c r="AY11" s="514" t="str">
        <f>IFERROR(VLOOKUP(功能_33[[#This Row],[功能代號]],SIT_FT_2021tmp!D:D,1,FALSE),"")</f>
        <v>L1908</v>
      </c>
      <c r="AZ11" s="587">
        <v>44516</v>
      </c>
      <c r="BA11" s="587">
        <v>44516</v>
      </c>
      <c r="BB11" s="514" t="s">
        <v>3073</v>
      </c>
      <c r="BC11" s="265" t="s">
        <v>3001</v>
      </c>
      <c r="BD11" s="593"/>
      <c r="BE11" s="264" t="str">
        <f>IF(AND(COUNTIF(AY11,"&gt;&lt;0")=1,COUNTA(M11)=1),LEFT(D11,3),"")</f>
        <v>1-3</v>
      </c>
      <c r="BF11" s="264" t="str">
        <f>IF(AND(COUNTIF(AY11,"&gt;&lt;")=1,COUNTA(M11)=0),LEFT(D11,3),"")</f>
        <v/>
      </c>
      <c r="BG11" s="264" t="str">
        <f>IF(AND(COUNTIF(AY11,"&gt;&lt;0")=0,COUNTA(M11)=1),LEFT(D11,3),"")</f>
        <v/>
      </c>
      <c r="BH11" s="264" t="str">
        <f>IF(AND(COUNTIF(AY11,"&gt;&lt;0")=0,COUNTA(M11)=0),LEFT(D11,3),"")</f>
        <v/>
      </c>
    </row>
    <row r="12" spans="1:61" x14ac:dyDescent="0.3">
      <c r="B12" s="265">
        <v>1</v>
      </c>
      <c r="C12" s="265" t="s">
        <v>65</v>
      </c>
      <c r="D12" s="265" t="s">
        <v>2457</v>
      </c>
      <c r="E12" s="264" t="s">
        <v>148</v>
      </c>
      <c r="F12" s="265" t="s">
        <v>149</v>
      </c>
      <c r="G12" s="265"/>
      <c r="H12" s="264" t="s">
        <v>110</v>
      </c>
      <c r="I12" s="264" t="s">
        <v>110</v>
      </c>
      <c r="J12" s="212" t="s">
        <v>112</v>
      </c>
      <c r="K12" s="212"/>
      <c r="L12" s="272">
        <v>44580</v>
      </c>
      <c r="M12" s="272">
        <v>44579</v>
      </c>
      <c r="N12" s="272">
        <v>44399</v>
      </c>
      <c r="O12" s="272">
        <v>44400</v>
      </c>
      <c r="P12" s="272">
        <f>IFERROR(IF(VLOOKUP(功能_33[[#This Row],[功能代號]],討論項目!A:H,8,FALSE)=0,"",VLOOKUP(功能_33[[#This Row],[功能代號]],討論項目!A:H,8,FALSE)),"")</f>
        <v>44424</v>
      </c>
      <c r="Q12" s="264" t="s">
        <v>6</v>
      </c>
      <c r="R12" s="264" t="s">
        <v>145</v>
      </c>
      <c r="S12" s="264" t="s">
        <v>145</v>
      </c>
      <c r="X12" s="264"/>
      <c r="Z12" s="264"/>
      <c r="AA12" s="264"/>
      <c r="AB12" s="265" t="str">
        <f>VLOOKUP(功能_33[[#This Row],[User]],SKL放款!A:G,7,FALSE)</f>
        <v>放款服務課</v>
      </c>
      <c r="AC12" s="272">
        <v>44470</v>
      </c>
      <c r="AD12" s="272">
        <v>44463</v>
      </c>
      <c r="AE12" s="272">
        <v>44468</v>
      </c>
      <c r="AF12" s="272">
        <v>44468</v>
      </c>
      <c r="AG12" s="578" t="s">
        <v>2977</v>
      </c>
      <c r="AH12" s="237" t="s">
        <v>2</v>
      </c>
      <c r="AI12" s="322">
        <v>44483.717361111107</v>
      </c>
      <c r="AJ12" s="209">
        <v>44487.745833333327</v>
      </c>
      <c r="AK12" s="272">
        <f>IFERROR(IF(VLOOKUP(功能_33[[#This Row],[功能代號]],E:U,11,FALSE)=0,"",VLOOKUP(功能_33[[#This Row],[功能代號]],E:U,11,FALSE)),"")</f>
        <v>44400</v>
      </c>
      <c r="AL12" s="272"/>
      <c r="AM12" s="272"/>
      <c r="AN12" s="265"/>
      <c r="AO12" s="265"/>
      <c r="AP12" s="264" t="s">
        <v>146</v>
      </c>
      <c r="AQ12" s="265" t="s">
        <v>147</v>
      </c>
      <c r="AR12" s="593" t="s">
        <v>3207</v>
      </c>
      <c r="AS12" s="483" t="str">
        <f>IF(COUNTA(AG12)=1,LEFT(D12,3),"")</f>
        <v>1-3</v>
      </c>
      <c r="AT12" s="485" t="str">
        <f>IF(AND(COUNTA(O12)=1,COUNTA(P12)=1,COUNTA(AC12)=1,COUNTA(AF12)=1,COUNTA(AG12)=0),LEFT(D12,3),"")</f>
        <v/>
      </c>
      <c r="AU12" s="487" t="str">
        <f>IF(AND(COUNTA(O12)=1,COUNTA(P12)=1,COUNTA(AC12)=1,COUNTA(AF12)=0,COUNTA(AG12)=0),LEFT(D12,3),"")</f>
        <v/>
      </c>
      <c r="AV12" s="489" t="str">
        <f>IF(AND(COUNTA(P12)=0,COUNTA(AC12)=1),LEFT(D12,3),"")</f>
        <v/>
      </c>
      <c r="AW12" s="491" t="str">
        <f>IF(AND(COUNTA(P12)=1,COUNTA(AC12)=0),LEFT(D12,3),"")</f>
        <v/>
      </c>
      <c r="AX12" s="493" t="str">
        <f>IF(AND(COUNTA(P12)=0,COUNTA(AC12)=0),LEFT(D12,3),"")</f>
        <v/>
      </c>
      <c r="AY12" s="514" t="str">
        <f>IFERROR(VLOOKUP(功能_33[[#This Row],[功能代號]],SIT_FT_2021tmp!D:D,1,FALSE),"")</f>
        <v>L1108</v>
      </c>
      <c r="AZ12" s="587">
        <v>44516</v>
      </c>
      <c r="BA12" s="587">
        <v>44516</v>
      </c>
      <c r="BB12" s="514" t="s">
        <v>3073</v>
      </c>
      <c r="BC12" s="265" t="s">
        <v>3001</v>
      </c>
      <c r="BD12" s="593"/>
      <c r="BE12" s="264" t="str">
        <f>IF(AND(COUNTIF(AY12,"&gt;&lt;0")=1,COUNTA(M12)=1),LEFT(D12,3),"")</f>
        <v>1-3</v>
      </c>
      <c r="BF12" s="264" t="str">
        <f>IF(AND(COUNTIF(AY12,"&gt;&lt;")=1,COUNTA(M12)=0),LEFT(D12,3),"")</f>
        <v/>
      </c>
      <c r="BG12" s="264" t="str">
        <f>IF(AND(COUNTIF(AY12,"&gt;&lt;0")=0,COUNTA(M12)=1),LEFT(D12,3),"")</f>
        <v/>
      </c>
      <c r="BH12" s="264" t="str">
        <f>IF(AND(COUNTIF(AY12,"&gt;&lt;0")=0,COUNTA(M12)=0),LEFT(D12,3),"")</f>
        <v/>
      </c>
    </row>
    <row r="13" spans="1:61" x14ac:dyDescent="0.3">
      <c r="B13" s="265">
        <v>1</v>
      </c>
      <c r="C13" s="265" t="s">
        <v>65</v>
      </c>
      <c r="D13" s="265" t="s">
        <v>2456</v>
      </c>
      <c r="E13" s="264" t="s">
        <v>150</v>
      </c>
      <c r="F13" s="265" t="s">
        <v>151</v>
      </c>
      <c r="G13" s="265"/>
      <c r="H13" s="264" t="s">
        <v>110</v>
      </c>
      <c r="I13" s="264" t="s">
        <v>110</v>
      </c>
      <c r="J13" s="212" t="s">
        <v>112</v>
      </c>
      <c r="K13" s="212"/>
      <c r="L13" s="272">
        <v>44581</v>
      </c>
      <c r="M13" s="272">
        <v>44580</v>
      </c>
      <c r="N13" s="272">
        <v>44399</v>
      </c>
      <c r="O13" s="272">
        <v>44400</v>
      </c>
      <c r="P13" s="272">
        <v>44469</v>
      </c>
      <c r="Q13" s="264" t="s">
        <v>4</v>
      </c>
      <c r="R13" s="264" t="s">
        <v>7</v>
      </c>
      <c r="S13" s="264" t="s">
        <v>7</v>
      </c>
      <c r="X13" s="264"/>
      <c r="Z13" s="264"/>
      <c r="AA13" s="264"/>
      <c r="AB13" s="265" t="str">
        <f>VLOOKUP(功能_33[[#This Row],[User]],SKL放款!A:G,7,FALSE)</f>
        <v>放款推展課</v>
      </c>
      <c r="AC13" s="272">
        <v>44470</v>
      </c>
      <c r="AD13" s="272">
        <v>44463</v>
      </c>
      <c r="AE13" s="272">
        <v>44468</v>
      </c>
      <c r="AF13" s="272">
        <v>44468</v>
      </c>
      <c r="AG13" s="578">
        <v>44470</v>
      </c>
      <c r="AH13" s="237" t="s">
        <v>4</v>
      </c>
      <c r="AI13" s="322">
        <v>44483.565972222219</v>
      </c>
      <c r="AJ13" s="209">
        <v>44487.745833333327</v>
      </c>
      <c r="AK13" s="272">
        <f>IFERROR(IF(VLOOKUP(功能_33[[#This Row],[功能代號]],E:U,11,FALSE)=0,"",VLOOKUP(功能_33[[#This Row],[功能代號]],E:U,11,FALSE)),"")</f>
        <v>44400</v>
      </c>
      <c r="AL13" s="272"/>
      <c r="AM13" s="272"/>
      <c r="AN13" s="265"/>
      <c r="AO13" s="272"/>
      <c r="AQ13" s="265" t="s">
        <v>136</v>
      </c>
      <c r="AR13" s="593" t="s">
        <v>3211</v>
      </c>
      <c r="AS13" s="483" t="str">
        <f>IF(COUNTA(AG13)=1,LEFT(D13,3),"")</f>
        <v>1-1</v>
      </c>
      <c r="AT13" s="485" t="str">
        <f>IF(AND(COUNTA(O13)=1,COUNTA(P13)=1,COUNTA(AC13)=1,COUNTA(AF13)=1,COUNTA(AG13)=0),LEFT(D13,3),"")</f>
        <v/>
      </c>
      <c r="AU13" s="487" t="str">
        <f>IF(AND(COUNTA(O13)=1,COUNTA(P13)=1,COUNTA(AC13)=1,COUNTA(AF13)=0,COUNTA(AG13)=0),LEFT(D13,3),"")</f>
        <v/>
      </c>
      <c r="AV13" s="489" t="str">
        <f>IF(AND(COUNTA(P13)=0,COUNTA(AC13)=1),LEFT(D13,3),"")</f>
        <v/>
      </c>
      <c r="AW13" s="491" t="str">
        <f>IF(AND(COUNTA(P13)=1,COUNTA(AC13)=0),LEFT(D13,3),"")</f>
        <v/>
      </c>
      <c r="AX13" s="493" t="str">
        <f>IF(AND(COUNTA(P13)=0,COUNTA(AC13)=0),LEFT(D13,3),"")</f>
        <v/>
      </c>
      <c r="AY13" s="514" t="str">
        <f>IFERROR(VLOOKUP(功能_33[[#This Row],[功能代號]],SIT_FT_2021tmp!D:D,1,FALSE),"")</f>
        <v>L1109</v>
      </c>
      <c r="AZ13" s="587">
        <v>44516</v>
      </c>
      <c r="BA13" s="587">
        <v>44516</v>
      </c>
      <c r="BB13" s="514" t="s">
        <v>3073</v>
      </c>
      <c r="BC13" s="265" t="s">
        <v>3001</v>
      </c>
      <c r="BD13" s="593"/>
      <c r="BE13" s="264" t="str">
        <f>IF(AND(COUNTIF(AY13,"&gt;&lt;0")=1,COUNTA(M13)=1),LEFT(D13,3),"")</f>
        <v>1-1</v>
      </c>
      <c r="BF13" s="264" t="str">
        <f>IF(AND(COUNTIF(AY13,"&gt;&lt;")=1,COUNTA(M13)=0),LEFT(D13,3),"")</f>
        <v/>
      </c>
      <c r="BG13" s="264" t="str">
        <f>IF(AND(COUNTIF(AY13,"&gt;&lt;0")=0,COUNTA(M13)=1),LEFT(D13,3),"")</f>
        <v/>
      </c>
      <c r="BH13" s="264" t="str">
        <f>IF(AND(COUNTIF(AY13,"&gt;&lt;0")=0,COUNTA(M13)=0),LEFT(D13,3),"")</f>
        <v/>
      </c>
    </row>
    <row r="14" spans="1:61" x14ac:dyDescent="0.3">
      <c r="B14" s="265">
        <v>1</v>
      </c>
      <c r="C14" s="265" t="s">
        <v>65</v>
      </c>
      <c r="D14" s="265" t="s">
        <v>2458</v>
      </c>
      <c r="E14" s="264" t="s">
        <v>152</v>
      </c>
      <c r="F14" s="265" t="s">
        <v>153</v>
      </c>
      <c r="G14" s="265"/>
      <c r="H14" s="264" t="s">
        <v>110</v>
      </c>
      <c r="I14" s="264" t="s">
        <v>110</v>
      </c>
      <c r="J14" s="212" t="s">
        <v>112</v>
      </c>
      <c r="K14" s="212"/>
      <c r="L14" s="272">
        <v>44581</v>
      </c>
      <c r="M14" s="272">
        <v>44581</v>
      </c>
      <c r="N14" s="272">
        <v>44403</v>
      </c>
      <c r="O14" s="272">
        <v>44400</v>
      </c>
      <c r="P14" s="272">
        <v>44400</v>
      </c>
      <c r="Q14" s="264" t="s">
        <v>4</v>
      </c>
      <c r="R14" s="264" t="s">
        <v>4</v>
      </c>
      <c r="S14" s="663" t="s">
        <v>19</v>
      </c>
      <c r="T14" s="265" t="s">
        <v>3280</v>
      </c>
      <c r="X14" s="264"/>
      <c r="Z14" s="264"/>
      <c r="AA14" s="264"/>
      <c r="AB14" s="265" t="str">
        <f>VLOOKUP(功能_33[[#This Row],[User]],SKL放款!A:G,7,FALSE)</f>
        <v>放款審查課</v>
      </c>
      <c r="AC14" s="272">
        <v>44470</v>
      </c>
      <c r="AD14" s="272">
        <v>44463</v>
      </c>
      <c r="AE14" s="272">
        <v>44468</v>
      </c>
      <c r="AF14" s="272">
        <v>44468</v>
      </c>
      <c r="AG14" s="578">
        <v>44470</v>
      </c>
      <c r="AH14" s="237" t="s">
        <v>4</v>
      </c>
      <c r="AI14" s="322">
        <v>44483.565972222219</v>
      </c>
      <c r="AJ14" s="209">
        <v>44487.745833333327</v>
      </c>
      <c r="AK14" s="272">
        <f>IFERROR(IF(VLOOKUP(功能_33[[#This Row],[功能代號]],E:U,11,FALSE)=0,"",VLOOKUP(功能_33[[#This Row],[功能代號]],E:U,11,FALSE)),"")</f>
        <v>44400</v>
      </c>
      <c r="AL14" s="272">
        <v>44481</v>
      </c>
      <c r="AM14" s="274" t="s">
        <v>154</v>
      </c>
      <c r="AN14" s="265"/>
      <c r="AO14" s="272"/>
      <c r="AP14" s="264" t="s">
        <v>155</v>
      </c>
      <c r="AQ14" s="265" t="s">
        <v>156</v>
      </c>
      <c r="AR14" s="593" t="s">
        <v>3207</v>
      </c>
      <c r="AS14" s="483" t="str">
        <f>IF(COUNTA(AG14)=1,LEFT(D14,3),"")</f>
        <v>1-2</v>
      </c>
      <c r="AT14" s="485" t="str">
        <f>IF(AND(COUNTA(O14)=1,COUNTA(P14)=1,COUNTA(AC14)=1,COUNTA(AF14)=1,COUNTA(AG14)=0),LEFT(D14,3),"")</f>
        <v/>
      </c>
      <c r="AU14" s="487" t="str">
        <f>IF(AND(COUNTA(O14)=1,COUNTA(P14)=1,COUNTA(AC14)=1,COUNTA(AF14)=0,COUNTA(AG14)=0),LEFT(D14,3),"")</f>
        <v/>
      </c>
      <c r="AV14" s="489" t="str">
        <f>IF(AND(COUNTA(P14)=0,COUNTA(AC14)=1),LEFT(D14,3),"")</f>
        <v/>
      </c>
      <c r="AW14" s="491" t="str">
        <f>IF(AND(COUNTA(P14)=1,COUNTA(AC14)=0),LEFT(D14,3),"")</f>
        <v/>
      </c>
      <c r="AX14" s="493" t="str">
        <f>IF(AND(COUNTA(P14)=0,COUNTA(AC14)=0),LEFT(D14,3),"")</f>
        <v/>
      </c>
      <c r="AY14" s="514" t="str">
        <f>IFERROR(VLOOKUP(功能_33[[#This Row],[功能代號]],SIT_FT_2021tmp!D:D,1,FALSE),"")</f>
        <v>L1907</v>
      </c>
      <c r="AZ14" s="587">
        <v>44516</v>
      </c>
      <c r="BA14" s="587">
        <v>44516</v>
      </c>
      <c r="BB14" s="514" t="s">
        <v>3073</v>
      </c>
      <c r="BC14" s="265" t="s">
        <v>3001</v>
      </c>
      <c r="BD14" s="593"/>
      <c r="BE14" s="264" t="str">
        <f>IF(AND(COUNTIF(AY14,"&gt;&lt;0")=1,COUNTA(M14)=1),LEFT(D14,3),"")</f>
        <v>1-2</v>
      </c>
      <c r="BF14" s="264" t="str">
        <f>IF(AND(COUNTIF(AY14,"&gt;&lt;")=1,COUNTA(M14)=0),LEFT(D14,3),"")</f>
        <v/>
      </c>
      <c r="BG14" s="264" t="str">
        <f>IF(AND(COUNTIF(AY14,"&gt;&lt;0")=0,COUNTA(M14)=1),LEFT(D14,3),"")</f>
        <v/>
      </c>
      <c r="BH14" s="264" t="str">
        <f>IF(AND(COUNTIF(AY14,"&gt;&lt;0")=0,COUNTA(M14)=0),LEFT(D14,3),"")</f>
        <v/>
      </c>
    </row>
    <row r="15" spans="1:61" x14ac:dyDescent="0.3">
      <c r="B15" s="265">
        <v>1</v>
      </c>
      <c r="C15" s="265" t="s">
        <v>65</v>
      </c>
      <c r="D15" s="265" t="s">
        <v>2458</v>
      </c>
      <c r="E15" s="264" t="s">
        <v>157</v>
      </c>
      <c r="F15" s="265" t="s">
        <v>158</v>
      </c>
      <c r="G15" s="265"/>
      <c r="H15" s="264" t="s">
        <v>110</v>
      </c>
      <c r="I15" s="264" t="s">
        <v>110</v>
      </c>
      <c r="J15" s="212" t="s">
        <v>112</v>
      </c>
      <c r="K15" s="212"/>
      <c r="L15" s="272">
        <v>44581</v>
      </c>
      <c r="M15" s="272">
        <v>44581</v>
      </c>
      <c r="N15" s="272">
        <v>44403</v>
      </c>
      <c r="O15" s="272">
        <v>44400</v>
      </c>
      <c r="P15" s="272">
        <v>44469</v>
      </c>
      <c r="Q15" s="264" t="s">
        <v>4</v>
      </c>
      <c r="R15" s="264" t="s">
        <v>4</v>
      </c>
      <c r="S15" s="663" t="s">
        <v>19</v>
      </c>
      <c r="T15" s="265" t="s">
        <v>3280</v>
      </c>
      <c r="X15" s="264"/>
      <c r="Z15" s="264"/>
      <c r="AA15" s="264"/>
      <c r="AB15" s="265" t="str">
        <f>VLOOKUP(功能_33[[#This Row],[User]],SKL放款!A:G,7,FALSE)</f>
        <v>放款審查課</v>
      </c>
      <c r="AC15" s="272">
        <v>44470</v>
      </c>
      <c r="AD15" s="272">
        <v>44463</v>
      </c>
      <c r="AE15" s="272">
        <v>44468</v>
      </c>
      <c r="AF15" s="272">
        <v>44468</v>
      </c>
      <c r="AG15" s="578" t="s">
        <v>2977</v>
      </c>
      <c r="AH15" s="237" t="s">
        <v>4</v>
      </c>
      <c r="AI15" s="322">
        <v>44483.565972222219</v>
      </c>
      <c r="AJ15" s="209">
        <v>44487.745833333327</v>
      </c>
      <c r="AK15" s="272">
        <f>IFERROR(IF(VLOOKUP(功能_33[[#This Row],[功能代號]],E:U,11,FALSE)=0,"",VLOOKUP(功能_33[[#This Row],[功能代號]],E:U,11,FALSE)),"")</f>
        <v>44400</v>
      </c>
      <c r="AL15" s="272">
        <v>44481</v>
      </c>
      <c r="AM15" s="274" t="s">
        <v>154</v>
      </c>
      <c r="AN15" s="265"/>
      <c r="AO15" s="272"/>
      <c r="AP15" s="264" t="s">
        <v>155</v>
      </c>
      <c r="AQ15" s="265" t="s">
        <v>159</v>
      </c>
      <c r="AR15" s="593" t="s">
        <v>3207</v>
      </c>
      <c r="AS15" s="483" t="str">
        <f>IF(COUNTA(AG15)=1,LEFT(D15,3),"")</f>
        <v>1-2</v>
      </c>
      <c r="AT15" s="485" t="str">
        <f>IF(AND(COUNTA(O15)=1,COUNTA(P15)=1,COUNTA(AC15)=1,COUNTA(AF15)=1,COUNTA(AG15)=0),LEFT(D15,3),"")</f>
        <v/>
      </c>
      <c r="AU15" s="487" t="str">
        <f>IF(AND(COUNTA(O15)=1,COUNTA(P15)=1,COUNTA(AC15)=1,COUNTA(AF15)=0,COUNTA(AG15)=0),LEFT(D15,3),"")</f>
        <v/>
      </c>
      <c r="AV15" s="489" t="str">
        <f>IF(AND(COUNTA(P15)=0,COUNTA(AC15)=1),LEFT(D15,3),"")</f>
        <v/>
      </c>
      <c r="AW15" s="491" t="str">
        <f>IF(AND(COUNTA(P15)=1,COUNTA(AC15)=0),LEFT(D15,3),"")</f>
        <v/>
      </c>
      <c r="AX15" s="493" t="str">
        <f>IF(AND(COUNTA(P15)=0,COUNTA(AC15)=0),LEFT(D15,3),"")</f>
        <v/>
      </c>
      <c r="AY15" s="514" t="str">
        <f>IFERROR(VLOOKUP(功能_33[[#This Row],[功能代號]],SIT_FT_2021tmp!D:D,1,FALSE),"")</f>
        <v>L1107</v>
      </c>
      <c r="AZ15" s="587">
        <v>44516</v>
      </c>
      <c r="BA15" s="587">
        <v>44516</v>
      </c>
      <c r="BB15" s="514" t="s">
        <v>3073</v>
      </c>
      <c r="BC15" s="265" t="s">
        <v>3001</v>
      </c>
      <c r="BD15" s="593"/>
      <c r="BE15" s="264" t="str">
        <f>IF(AND(COUNTIF(AY15,"&gt;&lt;0")=1,COUNTA(M15)=1),LEFT(D15,3),"")</f>
        <v>1-2</v>
      </c>
      <c r="BF15" s="264" t="str">
        <f>IF(AND(COUNTIF(AY15,"&gt;&lt;")=1,COUNTA(M15)=0),LEFT(D15,3),"")</f>
        <v/>
      </c>
      <c r="BG15" s="264" t="str">
        <f>IF(AND(COUNTIF(AY15,"&gt;&lt;0")=0,COUNTA(M15)=1),LEFT(D15,3),"")</f>
        <v/>
      </c>
      <c r="BH15" s="264" t="str">
        <f>IF(AND(COUNTIF(AY15,"&gt;&lt;0")=0,COUNTA(M15)=0),LEFT(D15,3),"")</f>
        <v/>
      </c>
    </row>
    <row r="16" spans="1:61" x14ac:dyDescent="0.3">
      <c r="B16" s="265">
        <v>1</v>
      </c>
      <c r="C16" s="265" t="s">
        <v>65</v>
      </c>
      <c r="D16" s="265" t="s">
        <v>2456</v>
      </c>
      <c r="E16" s="264" t="s">
        <v>160</v>
      </c>
      <c r="F16" s="265" t="s">
        <v>161</v>
      </c>
      <c r="G16" s="241" t="s">
        <v>162</v>
      </c>
      <c r="H16" s="264" t="s">
        <v>110</v>
      </c>
      <c r="I16" s="264" t="s">
        <v>110</v>
      </c>
      <c r="J16" s="212" t="s">
        <v>112</v>
      </c>
      <c r="K16" s="212"/>
      <c r="L16" s="272">
        <v>44581</v>
      </c>
      <c r="M16" s="272">
        <v>44581</v>
      </c>
      <c r="N16" s="272">
        <v>44461</v>
      </c>
      <c r="O16" s="272">
        <v>44461</v>
      </c>
      <c r="P16" s="272">
        <v>44515</v>
      </c>
      <c r="Q16" s="264" t="s">
        <v>4</v>
      </c>
      <c r="R16" s="264" t="s">
        <v>4</v>
      </c>
      <c r="S16" s="663" t="s">
        <v>19</v>
      </c>
      <c r="T16" s="265" t="s">
        <v>19</v>
      </c>
      <c r="X16" s="264"/>
      <c r="Z16" s="264"/>
      <c r="AA16" s="264"/>
      <c r="AB16" s="265" t="str">
        <f>VLOOKUP(功能_33[[#This Row],[User]],SKL放款!A:G,7,FALSE)</f>
        <v>放款審查課</v>
      </c>
      <c r="AC16" s="272">
        <v>44515</v>
      </c>
      <c r="AD16" s="272">
        <v>44463</v>
      </c>
      <c r="AE16" s="272">
        <v>44468</v>
      </c>
      <c r="AF16" s="272">
        <v>44468</v>
      </c>
      <c r="AG16" s="578">
        <v>44515</v>
      </c>
      <c r="AH16" s="237" t="s">
        <v>4</v>
      </c>
      <c r="AI16" s="272"/>
      <c r="AJ16" s="272"/>
      <c r="AK16" s="272">
        <f>IFERROR(IF(VLOOKUP(功能_33[[#This Row],[功能代號]],E:U,11,FALSE)=0,"",VLOOKUP(功能_33[[#This Row],[功能代號]],E:U,11,FALSE)),"")</f>
        <v>44461</v>
      </c>
      <c r="AL16" s="272"/>
      <c r="AM16" s="272"/>
      <c r="AN16" s="265"/>
      <c r="AP16" s="264" t="s">
        <v>163</v>
      </c>
      <c r="AQ16" s="264" t="s">
        <v>163</v>
      </c>
      <c r="AR16" s="593" t="s">
        <v>3207</v>
      </c>
      <c r="AS16" s="483" t="str">
        <f>IF(COUNTA(AG16)=1,LEFT(D16,3),"")</f>
        <v>1-1</v>
      </c>
      <c r="AT16" s="485" t="str">
        <f>IF(AND(COUNTA(O16)=1,COUNTA(P16)=1,COUNTA(AC16)=1,COUNTA(AF16)=1,COUNTA(AG16)=0),LEFT(D16,3),"")</f>
        <v/>
      </c>
      <c r="AU16" s="487" t="str">
        <f>IF(AND(COUNTA(O16)=1,COUNTA(P16)=1,COUNTA(AC16)=1,COUNTA(AF16)=0,COUNTA(AG16)=0),LEFT(D16,3),"")</f>
        <v/>
      </c>
      <c r="AV16" s="489" t="str">
        <f>IF(AND(COUNTA(P16)=0,COUNTA(AC16)=1),LEFT(D16,3),"")</f>
        <v/>
      </c>
      <c r="AW16" s="491" t="str">
        <f>IF(AND(COUNTA(P16)=1,COUNTA(AC16)=0),LEFT(D16,3),"")</f>
        <v/>
      </c>
      <c r="AX16" s="493" t="str">
        <f>IF(AND(COUNTA(P16)=0,COUNTA(AC16)=0),LEFT(D16,3),"")</f>
        <v/>
      </c>
      <c r="AY16" s="514" t="str">
        <f>IFERROR(VLOOKUP(功能_33[[#This Row],[功能代號]],SIT_FT_2021tmp!D:D,1,FALSE),"")</f>
        <v>L1909</v>
      </c>
      <c r="AZ16" s="587">
        <v>44516</v>
      </c>
      <c r="BA16" s="587">
        <v>44516</v>
      </c>
      <c r="BB16" s="514" t="s">
        <v>3073</v>
      </c>
      <c r="BC16" s="265" t="s">
        <v>3001</v>
      </c>
      <c r="BD16" s="593"/>
      <c r="BE16" s="264" t="str">
        <f>IF(AND(COUNTIF(AY16,"&gt;&lt;0")=1,COUNTA(M16)=1),LEFT(D16,3),"")</f>
        <v>1-1</v>
      </c>
      <c r="BF16" s="264" t="str">
        <f>IF(AND(COUNTIF(AY16,"&gt;&lt;")=1,COUNTA(M16)=0),LEFT(D16,3),"")</f>
        <v/>
      </c>
      <c r="BG16" s="264" t="str">
        <f>IF(AND(COUNTIF(AY16,"&gt;&lt;0")=0,COUNTA(M16)=1),LEFT(D16,3),"")</f>
        <v/>
      </c>
      <c r="BH16" s="264" t="str">
        <f>IF(AND(COUNTIF(AY16,"&gt;&lt;0")=0,COUNTA(M16)=0),LEFT(D16,3),"")</f>
        <v/>
      </c>
    </row>
    <row r="17" spans="3:60" ht="13.5" x14ac:dyDescent="0.3">
      <c r="C17" s="265" t="s">
        <v>66</v>
      </c>
      <c r="D17" s="265" t="s">
        <v>2454</v>
      </c>
      <c r="E17" s="264" t="s">
        <v>164</v>
      </c>
      <c r="F17" s="265" t="s">
        <v>165</v>
      </c>
      <c r="G17" s="265"/>
      <c r="H17" s="264" t="s">
        <v>166</v>
      </c>
      <c r="I17" s="264" t="s">
        <v>167</v>
      </c>
      <c r="J17" s="212" t="s">
        <v>2949</v>
      </c>
      <c r="K17" s="212" t="s">
        <v>2991</v>
      </c>
      <c r="L17" s="272">
        <v>44564</v>
      </c>
      <c r="M17" s="272">
        <v>44564</v>
      </c>
      <c r="N17" s="272">
        <v>44403</v>
      </c>
      <c r="O17" s="272">
        <v>44403</v>
      </c>
      <c r="P17" s="272">
        <v>44533</v>
      </c>
      <c r="Q17" s="264" t="s">
        <v>4</v>
      </c>
      <c r="R17" s="264" t="s">
        <v>2</v>
      </c>
      <c r="S17" s="663" t="s">
        <v>5</v>
      </c>
      <c r="T17" s="265" t="s">
        <v>5</v>
      </c>
      <c r="X17" s="264"/>
      <c r="Z17" s="264"/>
      <c r="AA17" s="264"/>
      <c r="AB17" s="265" t="str">
        <f>VLOOKUP(功能_33[[#This Row],[User]],SKL放款!A:G,7,FALSE)</f>
        <v>放款服務課</v>
      </c>
      <c r="AC17" s="272">
        <v>44533</v>
      </c>
      <c r="AD17" s="272" t="s">
        <v>168</v>
      </c>
      <c r="AE17" s="272">
        <v>44477</v>
      </c>
      <c r="AF17" s="272">
        <v>44477</v>
      </c>
      <c r="AG17" s="209" t="s">
        <v>2964</v>
      </c>
      <c r="AH17" s="272" t="s">
        <v>169</v>
      </c>
      <c r="AI17" s="272"/>
      <c r="AJ17" s="322"/>
      <c r="AK17" s="272">
        <f>IFERROR(IF(VLOOKUP(功能_33[[#This Row],[功能代號]],E:U,11,FALSE)=0,"",VLOOKUP(功能_33[[#This Row],[功能代號]],E:U,11,FALSE)),"")</f>
        <v>44403</v>
      </c>
      <c r="AL17" s="272"/>
      <c r="AM17" s="272"/>
      <c r="AN17" s="265"/>
      <c r="AP17" s="264" t="s">
        <v>170</v>
      </c>
      <c r="AQ17" s="265" t="s">
        <v>171</v>
      </c>
      <c r="AR17" s="593" t="s">
        <v>3207</v>
      </c>
      <c r="AS17" s="483" t="str">
        <f>IF(COUNTA(AG17)=1,LEFT(D17,3),"")</f>
        <v>2-1</v>
      </c>
      <c r="AT17" s="485" t="str">
        <f>IF(AND(COUNTA(O17)=1,COUNTA(P17)=1,COUNTA(AC17)=1,COUNTA(AF17)=1,COUNTA(AG17)=0),LEFT(D17,3),"")</f>
        <v/>
      </c>
      <c r="AU17" s="487" t="str">
        <f>IF(AND(COUNTA(O17)=1,COUNTA(P17)=1,COUNTA(AC17)=1,COUNTA(AF17)=0,COUNTA(AG17)=0),LEFT(D17,3),"")</f>
        <v/>
      </c>
      <c r="AV17" s="489" t="str">
        <f>IF(AND(COUNTA(P17)=0,COUNTA(AC17)=1),LEFT(D17,3),"")</f>
        <v/>
      </c>
      <c r="AW17" s="491" t="str">
        <f>IF(AND(COUNTA(P17)=1,COUNTA(AC17)=0),LEFT(D17,3),"")</f>
        <v/>
      </c>
      <c r="AX17" s="493" t="str">
        <f>IF(AND(COUNTA(P17)=0,COUNTA(AC17)=0),LEFT(D17,3),"")</f>
        <v/>
      </c>
      <c r="AY17" s="514" t="str">
        <f>IFERROR(VLOOKUP(功能_33[[#This Row],[功能代號]],SIT_FT_2021tmp!D:D,1,FALSE),"")</f>
        <v>L2001</v>
      </c>
      <c r="AZ17" s="587">
        <v>44512</v>
      </c>
      <c r="BA17" s="587">
        <v>44512</v>
      </c>
      <c r="BB17" s="514" t="s">
        <v>3073</v>
      </c>
      <c r="BC17" s="265" t="s">
        <v>3002</v>
      </c>
      <c r="BD17" s="593"/>
      <c r="BE17" s="264" t="str">
        <f>IF(AND(COUNTIF(AY17,"&gt;&lt;0")=1,COUNTA(M17)=1),LEFT(D17,3),"")</f>
        <v>2-1</v>
      </c>
      <c r="BF17" s="264" t="str">
        <f>IF(AND(COUNTIF(AY17,"&gt;&lt;")=1,COUNTA(M17)=0),LEFT(D17,3),"")</f>
        <v/>
      </c>
      <c r="BG17" s="264" t="str">
        <f>IF(AND(COUNTIF(AY17,"&gt;&lt;0")=0,COUNTA(M17)=1),LEFT(D17,3),"")</f>
        <v/>
      </c>
      <c r="BH17" s="264" t="str">
        <f>IF(AND(COUNTIF(AY17,"&gt;&lt;0")=0,COUNTA(M17)=0),LEFT(D17,3),"")</f>
        <v/>
      </c>
    </row>
    <row r="18" spans="3:60" ht="13.5" x14ac:dyDescent="0.3">
      <c r="C18" s="265" t="s">
        <v>66</v>
      </c>
      <c r="D18" s="265" t="s">
        <v>2454</v>
      </c>
      <c r="E18" s="264" t="s">
        <v>172</v>
      </c>
      <c r="F18" s="265" t="s">
        <v>173</v>
      </c>
      <c r="G18" s="265"/>
      <c r="H18" s="264" t="s">
        <v>166</v>
      </c>
      <c r="I18" s="264" t="s">
        <v>167</v>
      </c>
      <c r="J18" s="212" t="s">
        <v>3250</v>
      </c>
      <c r="K18" s="212" t="s">
        <v>3107</v>
      </c>
      <c r="L18" s="272">
        <v>44564</v>
      </c>
      <c r="M18" s="272">
        <v>44564</v>
      </c>
      <c r="N18" s="272">
        <v>44403</v>
      </c>
      <c r="O18" s="272">
        <v>44403</v>
      </c>
      <c r="P18" s="272">
        <f>IFERROR(IF(VLOOKUP(功能_33[[#This Row],[功能代號]],討論項目!A:H,8,FALSE)=0,"",VLOOKUP(功能_33[[#This Row],[功能代號]],討論項目!A:H,8,FALSE)),"")</f>
        <v>44432</v>
      </c>
      <c r="Q18" s="264" t="s">
        <v>4</v>
      </c>
      <c r="R18" s="264" t="s">
        <v>2</v>
      </c>
      <c r="S18" s="663" t="s">
        <v>5</v>
      </c>
      <c r="T18" s="265" t="s">
        <v>5</v>
      </c>
      <c r="X18" s="264"/>
      <c r="Z18" s="264"/>
      <c r="AA18" s="264"/>
      <c r="AB18" s="265" t="str">
        <f>VLOOKUP(功能_33[[#This Row],[User]],SKL放款!A:G,7,FALSE)</f>
        <v>放款服務課</v>
      </c>
      <c r="AC18" s="272">
        <v>44533</v>
      </c>
      <c r="AD18" s="272">
        <v>44470</v>
      </c>
      <c r="AE18" s="272">
        <f>IF(功能_33[[#This Row],[URS交二審]]=0,"",功能_33[[#This Row],[URS交二審]]+7)</f>
        <v>44477</v>
      </c>
      <c r="AF18" s="272">
        <f>IF(功能_33[[#This Row],[URS交二審]]=0,"",功能_33[[#This Row],[URS交二審]]+7)</f>
        <v>44477</v>
      </c>
      <c r="AG18" s="209" t="s">
        <v>3247</v>
      </c>
      <c r="AH18" s="272" t="s">
        <v>169</v>
      </c>
      <c r="AI18" s="272"/>
      <c r="AJ18" s="322"/>
      <c r="AK18" s="272">
        <f>IFERROR(IF(VLOOKUP(功能_33[[#This Row],[功能代號]],E:U,11,FALSE)=0,"",VLOOKUP(功能_33[[#This Row],[功能代號]],E:U,11,FALSE)),"")</f>
        <v>44403</v>
      </c>
      <c r="AL18" s="272"/>
      <c r="AM18" s="272"/>
      <c r="AN18" s="265"/>
      <c r="AP18" s="264" t="s">
        <v>170</v>
      </c>
      <c r="AQ18" s="265" t="s">
        <v>173</v>
      </c>
      <c r="AR18" s="593" t="s">
        <v>3208</v>
      </c>
      <c r="AS18" s="483" t="str">
        <f>IF(COUNTA(AG18)=1,LEFT(D18,3),"")</f>
        <v>2-1</v>
      </c>
      <c r="AT18" s="485" t="str">
        <f>IF(AND(COUNTA(O18)=1,COUNTA(P18)=1,COUNTA(AC18)=1,COUNTA(AF18)=1,COUNTA(AG18)=0),LEFT(D18,3),"")</f>
        <v/>
      </c>
      <c r="AU18" s="487" t="str">
        <f>IF(AND(COUNTA(O18)=1,COUNTA(P18)=1,COUNTA(AC18)=1,COUNTA(AF18)=0,COUNTA(AG18)=0),LEFT(D18,3),"")</f>
        <v/>
      </c>
      <c r="AV18" s="489" t="str">
        <f>IF(AND(COUNTA(P18)=0,COUNTA(AC18)=1),LEFT(D18,3),"")</f>
        <v/>
      </c>
      <c r="AW18" s="491" t="str">
        <f>IF(AND(COUNTA(P18)=1,COUNTA(AC18)=0),LEFT(D18,3),"")</f>
        <v/>
      </c>
      <c r="AX18" s="493" t="str">
        <f>IF(AND(COUNTA(P18)=0,COUNTA(AC18)=0),LEFT(D18,3),"")</f>
        <v/>
      </c>
      <c r="AY18" s="514" t="str">
        <f>IFERROR(VLOOKUP(功能_33[[#This Row],[功能代號]],SIT_FT_2021tmp!D:D,1,FALSE),"")</f>
        <v>L2101</v>
      </c>
      <c r="AZ18" s="587">
        <v>44512</v>
      </c>
      <c r="BA18" s="587">
        <v>44512</v>
      </c>
      <c r="BB18" s="514" t="s">
        <v>3073</v>
      </c>
      <c r="BC18" s="265" t="s">
        <v>3002</v>
      </c>
      <c r="BD18" s="593"/>
      <c r="BE18" s="264" t="str">
        <f>IF(AND(COUNTIF(AY18,"&gt;&lt;0")=1,COUNTA(M18)=1),LEFT(D18,3),"")</f>
        <v>2-1</v>
      </c>
      <c r="BF18" s="264" t="str">
        <f>IF(AND(COUNTIF(AY18,"&gt;&lt;")=1,COUNTA(M18)=0),LEFT(D18,3),"")</f>
        <v/>
      </c>
      <c r="BG18" s="264" t="str">
        <f>IF(AND(COUNTIF(AY18,"&gt;&lt;0")=0,COUNTA(M18)=1),LEFT(D18,3),"")</f>
        <v/>
      </c>
      <c r="BH18" s="264" t="str">
        <f>IF(AND(COUNTIF(AY18,"&gt;&lt;0")=0,COUNTA(M18)=0),LEFT(D18,3),"")</f>
        <v/>
      </c>
    </row>
    <row r="19" spans="3:60" ht="13.5" x14ac:dyDescent="0.3">
      <c r="C19" s="265" t="s">
        <v>66</v>
      </c>
      <c r="D19" s="265" t="s">
        <v>2493</v>
      </c>
      <c r="E19" s="264" t="s">
        <v>174</v>
      </c>
      <c r="F19" s="265" t="s">
        <v>175</v>
      </c>
      <c r="G19" s="265"/>
      <c r="H19" s="264" t="s">
        <v>166</v>
      </c>
      <c r="I19" s="264" t="s">
        <v>176</v>
      </c>
      <c r="J19" s="212" t="s">
        <v>2754</v>
      </c>
      <c r="K19" s="212"/>
      <c r="L19" s="272">
        <v>44566</v>
      </c>
      <c r="M19" s="272">
        <v>44567</v>
      </c>
      <c r="N19" s="272">
        <v>44403</v>
      </c>
      <c r="O19" s="272">
        <v>44403</v>
      </c>
      <c r="P19" s="272">
        <f>IFERROR(IF(VLOOKUP(功能_33[[#This Row],[功能代號]],討論項目!A:H,8,FALSE)=0,"",VLOOKUP(功能_33[[#This Row],[功能代號]],討論項目!A:H,8,FALSE)),"")</f>
        <v>44431</v>
      </c>
      <c r="Q19" s="264" t="s">
        <v>4</v>
      </c>
      <c r="R19" s="264" t="s">
        <v>4</v>
      </c>
      <c r="S19" s="663" t="s">
        <v>7</v>
      </c>
      <c r="T19" s="265" t="s">
        <v>7</v>
      </c>
      <c r="X19" s="264"/>
      <c r="Z19" s="264"/>
      <c r="AA19" s="264"/>
      <c r="AB19" s="265" t="str">
        <f>VLOOKUP(功能_33[[#This Row],[User]],SKL放款!A:G,7,FALSE)</f>
        <v>放款推展課</v>
      </c>
      <c r="AC19" s="272">
        <v>44533</v>
      </c>
      <c r="AD19" s="272">
        <v>44533</v>
      </c>
      <c r="AE19" s="272">
        <v>44533</v>
      </c>
      <c r="AF19" s="272">
        <v>44533</v>
      </c>
      <c r="AG19" s="209">
        <v>44544</v>
      </c>
      <c r="AH19" s="272"/>
      <c r="AI19" s="272"/>
      <c r="AJ19" s="322"/>
      <c r="AK19" s="272">
        <f>IFERROR(IF(VLOOKUP(功能_33[[#This Row],[功能代號]],E:U,11,FALSE)=0,"",VLOOKUP(功能_33[[#This Row],[功能代號]],E:U,11,FALSE)),"")</f>
        <v>44403</v>
      </c>
      <c r="AL19" s="272"/>
      <c r="AM19" s="272"/>
      <c r="AN19" s="265"/>
      <c r="AP19" s="264">
        <v>201</v>
      </c>
      <c r="AQ19" s="265" t="s">
        <v>177</v>
      </c>
      <c r="AR19" s="593" t="s">
        <v>3207</v>
      </c>
      <c r="AS19" s="483" t="str">
        <f>IF(COUNTA(AG19)=1,LEFT(D19,3),"")</f>
        <v>2-2</v>
      </c>
      <c r="AT19" s="485" t="str">
        <f>IF(AND(COUNTA(O19)=1,COUNTA(P19)=1,COUNTA(AC19)=1,COUNTA(AF19)=1,COUNTA(AG19)=0),LEFT(D19,3),"")</f>
        <v/>
      </c>
      <c r="AU19" s="487" t="str">
        <f>IF(AND(COUNTA(O19)=1,COUNTA(P19)=1,COUNTA(AC19)=1,COUNTA(AF19)=0,COUNTA(AG19)=0),LEFT(D19,3),"")</f>
        <v/>
      </c>
      <c r="AV19" s="489" t="str">
        <f>IF(AND(COUNTA(P19)=0,COUNTA(AC19)=1),LEFT(D19,3),"")</f>
        <v/>
      </c>
      <c r="AW19" s="491" t="str">
        <f>IF(AND(COUNTA(P19)=1,COUNTA(AC19)=0),LEFT(D19,3),"")</f>
        <v/>
      </c>
      <c r="AX19" s="493" t="str">
        <f>IF(AND(COUNTA(P19)=0,COUNTA(AC19)=0),LEFT(D19,3),"")</f>
        <v/>
      </c>
      <c r="AY19" s="514" t="str">
        <f>IFERROR(VLOOKUP(功能_33[[#This Row],[功能代號]],SIT_FT_2021tmp!D:D,1,FALSE),"")</f>
        <v>L2010</v>
      </c>
      <c r="AZ19" s="587">
        <v>44517</v>
      </c>
      <c r="BA19" s="587">
        <v>44517</v>
      </c>
      <c r="BB19" s="514" t="s">
        <v>3073</v>
      </c>
      <c r="BC19" s="265" t="s">
        <v>3003</v>
      </c>
      <c r="BD19" s="593"/>
      <c r="BE19" s="264" t="str">
        <f>IF(AND(COUNTIF(AY19,"&gt;&lt;0")=1,COUNTA(M19)=1),LEFT(D19,3),"")</f>
        <v>2-2</v>
      </c>
      <c r="BF19" s="264" t="str">
        <f>IF(AND(COUNTIF(AY19,"&gt;&lt;")=1,COUNTA(M19)=0),LEFT(D19,3),"")</f>
        <v/>
      </c>
      <c r="BG19" s="264" t="str">
        <f>IF(AND(COUNTIF(AY19,"&gt;&lt;0")=0,COUNTA(M19)=1),LEFT(D19,3),"")</f>
        <v/>
      </c>
      <c r="BH19" s="264" t="str">
        <f>IF(AND(COUNTIF(AY19,"&gt;&lt;0")=0,COUNTA(M19)=0),LEFT(D19,3),"")</f>
        <v/>
      </c>
    </row>
    <row r="20" spans="3:60" ht="13.5" x14ac:dyDescent="0.3">
      <c r="C20" s="265" t="s">
        <v>66</v>
      </c>
      <c r="D20" s="213" t="s">
        <v>2455</v>
      </c>
      <c r="E20" s="264" t="s">
        <v>178</v>
      </c>
      <c r="F20" s="265" t="s">
        <v>179</v>
      </c>
      <c r="G20" s="265"/>
      <c r="H20" s="264" t="s">
        <v>166</v>
      </c>
      <c r="I20" s="264" t="s">
        <v>167</v>
      </c>
      <c r="J20" s="212" t="s">
        <v>3192</v>
      </c>
      <c r="K20" s="212" t="s">
        <v>3107</v>
      </c>
      <c r="L20" s="272">
        <v>44567</v>
      </c>
      <c r="M20" s="272">
        <v>44567</v>
      </c>
      <c r="N20" s="272">
        <v>44403</v>
      </c>
      <c r="O20" s="272">
        <v>44403</v>
      </c>
      <c r="P20" s="272">
        <f>IFERROR(IF(VLOOKUP(功能_33[[#This Row],[功能代號]],討論項目!A:H,8,FALSE)=0,"",VLOOKUP(功能_33[[#This Row],[功能代號]],討論項目!A:H,8,FALSE)),"")</f>
        <v>44468</v>
      </c>
      <c r="Q20" s="264" t="s">
        <v>4</v>
      </c>
      <c r="R20" s="264" t="s">
        <v>7</v>
      </c>
      <c r="S20" s="264" t="s">
        <v>7</v>
      </c>
      <c r="X20" s="264"/>
      <c r="Z20" s="264"/>
      <c r="AA20" s="264"/>
      <c r="AB20" s="265" t="str">
        <f>VLOOKUP(功能_33[[#This Row],[User]],SKL放款!A:G,7,FALSE)</f>
        <v>放款推展課</v>
      </c>
      <c r="AC20" s="272">
        <v>44533</v>
      </c>
      <c r="AD20" s="272">
        <v>44470</v>
      </c>
      <c r="AE20" s="272">
        <f>IF(功能_33[[#This Row],[URS交二審]]=0,"",功能_33[[#This Row],[URS交二審]]+7)</f>
        <v>44477</v>
      </c>
      <c r="AF20" s="272">
        <f>IF(功能_33[[#This Row],[URS交二審]]=0,"",功能_33[[#This Row],[URS交二審]]+7)</f>
        <v>44477</v>
      </c>
      <c r="AG20" s="209" t="s">
        <v>3189</v>
      </c>
      <c r="AH20" s="272" t="s">
        <v>169</v>
      </c>
      <c r="AI20" s="272"/>
      <c r="AJ20" s="322"/>
      <c r="AK20" s="272">
        <f>IFERROR(IF(VLOOKUP(功能_33[[#This Row],[功能代號]],E:U,11,FALSE)=0,"",VLOOKUP(功能_33[[#This Row],[功能代號]],E:U,11,FALSE)),"")</f>
        <v>44403</v>
      </c>
      <c r="AL20" s="272"/>
      <c r="AM20" s="272"/>
      <c r="AN20" s="265"/>
      <c r="AP20" s="264">
        <v>201</v>
      </c>
      <c r="AQ20" s="265" t="s">
        <v>179</v>
      </c>
      <c r="AR20" s="593" t="s">
        <v>3212</v>
      </c>
      <c r="AS20" s="483" t="str">
        <f>IF(COUNTA(AG20)=1,LEFT(D20,3),"")</f>
        <v>2-2</v>
      </c>
      <c r="AT20" s="485" t="str">
        <f>IF(AND(COUNTA(O20)=1,COUNTA(P20)=1,COUNTA(AC20)=1,COUNTA(AF20)=1,COUNTA(AG20)=0),LEFT(D20,3),"")</f>
        <v/>
      </c>
      <c r="AU20" s="487" t="str">
        <f>IF(AND(COUNTA(O20)=1,COUNTA(P20)=1,COUNTA(AC20)=1,COUNTA(AF20)=0,COUNTA(AG20)=0),LEFT(D20,3),"")</f>
        <v/>
      </c>
      <c r="AV20" s="489" t="str">
        <f>IF(AND(COUNTA(P20)=0,COUNTA(AC20)=1),LEFT(D20,3),"")</f>
        <v/>
      </c>
      <c r="AW20" s="491" t="str">
        <f>IF(AND(COUNTA(P20)=1,COUNTA(AC20)=0),LEFT(D20,3),"")</f>
        <v/>
      </c>
      <c r="AX20" s="493" t="str">
        <f>IF(AND(COUNTA(P20)=0,COUNTA(AC20)=0),LEFT(D20,3),"")</f>
        <v/>
      </c>
      <c r="AY20" s="514" t="str">
        <f>IFERROR(VLOOKUP(功能_33[[#This Row],[功能代號]],SIT_FT_2021tmp!D:D,1,FALSE),"")</f>
        <v>L2111</v>
      </c>
      <c r="AZ20" s="587">
        <v>44517</v>
      </c>
      <c r="BA20" s="587">
        <v>44517</v>
      </c>
      <c r="BB20" s="514" t="s">
        <v>3073</v>
      </c>
      <c r="BC20" s="265" t="s">
        <v>3003</v>
      </c>
      <c r="BD20" s="593"/>
      <c r="BE20" s="264" t="str">
        <f>IF(AND(COUNTIF(AY20,"&gt;&lt;0")=1,COUNTA(M20)=1),LEFT(D20,3),"")</f>
        <v>2-2</v>
      </c>
      <c r="BF20" s="264" t="str">
        <f>IF(AND(COUNTIF(AY20,"&gt;&lt;")=1,COUNTA(M20)=0),LEFT(D20,3),"")</f>
        <v/>
      </c>
      <c r="BG20" s="264" t="str">
        <f>IF(AND(COUNTIF(AY20,"&gt;&lt;0")=0,COUNTA(M20)=1),LEFT(D20,3),"")</f>
        <v/>
      </c>
      <c r="BH20" s="264" t="str">
        <f>IF(AND(COUNTIF(AY20,"&gt;&lt;0")=0,COUNTA(M20)=0),LEFT(D20,3),"")</f>
        <v/>
      </c>
    </row>
    <row r="21" spans="3:60" ht="13.5" x14ac:dyDescent="0.3">
      <c r="C21" s="265" t="s">
        <v>66</v>
      </c>
      <c r="D21" s="213" t="s">
        <v>2455</v>
      </c>
      <c r="E21" s="264" t="s">
        <v>180</v>
      </c>
      <c r="F21" s="265" t="s">
        <v>181</v>
      </c>
      <c r="G21" s="265"/>
      <c r="H21" s="264" t="s">
        <v>166</v>
      </c>
      <c r="I21" s="264" t="s">
        <v>167</v>
      </c>
      <c r="J21" s="212" t="s">
        <v>3249</v>
      </c>
      <c r="K21" s="212" t="s">
        <v>3107</v>
      </c>
      <c r="L21" s="272">
        <v>44567</v>
      </c>
      <c r="M21" s="272">
        <v>44567</v>
      </c>
      <c r="N21" s="272">
        <v>44404</v>
      </c>
      <c r="O21" s="272">
        <v>44403</v>
      </c>
      <c r="P21" s="272">
        <f>IFERROR(IF(VLOOKUP(功能_33[[#This Row],[功能代號]],討論項目!A:H,8,FALSE)=0,"",VLOOKUP(功能_33[[#This Row],[功能代號]],討論項目!A:H,8,FALSE)),"")</f>
        <v>44468</v>
      </c>
      <c r="Q21" s="264" t="s">
        <v>4</v>
      </c>
      <c r="R21" s="264" t="s">
        <v>7</v>
      </c>
      <c r="S21" s="264" t="s">
        <v>7</v>
      </c>
      <c r="X21" s="264"/>
      <c r="Z21" s="264"/>
      <c r="AA21" s="264"/>
      <c r="AB21" s="265" t="str">
        <f>VLOOKUP(功能_33[[#This Row],[User]],SKL放款!A:G,7,FALSE)</f>
        <v>放款推展課</v>
      </c>
      <c r="AC21" s="272">
        <v>44533</v>
      </c>
      <c r="AD21" s="272">
        <v>44470</v>
      </c>
      <c r="AE21" s="272">
        <f>IF(功能_33[[#This Row],[URS交二審]]=0,"",功能_33[[#This Row],[URS交二審]]+7)</f>
        <v>44477</v>
      </c>
      <c r="AF21" s="272">
        <f>IF(功能_33[[#This Row],[URS交二審]]=0,"",功能_33[[#This Row],[URS交二審]]+7)</f>
        <v>44477</v>
      </c>
      <c r="AG21" s="209" t="s">
        <v>3248</v>
      </c>
      <c r="AH21" s="272" t="s">
        <v>169</v>
      </c>
      <c r="AI21" s="272"/>
      <c r="AJ21" s="322"/>
      <c r="AK21" s="272">
        <f>IFERROR(IF(VLOOKUP(功能_33[[#This Row],[功能代號]],E:U,11,FALSE)=0,"",VLOOKUP(功能_33[[#This Row],[功能代號]],E:U,11,FALSE)),"")</f>
        <v>44403</v>
      </c>
      <c r="AL21" s="272"/>
      <c r="AM21" s="272"/>
      <c r="AN21" s="265"/>
      <c r="AP21" s="264">
        <v>203</v>
      </c>
      <c r="AQ21" s="265" t="s">
        <v>181</v>
      </c>
      <c r="AR21" s="593" t="s">
        <v>3213</v>
      </c>
      <c r="AS21" s="483" t="str">
        <f>IF(COUNTA(AG21)=1,LEFT(D21,3),"")</f>
        <v>2-2</v>
      </c>
      <c r="AT21" s="485" t="str">
        <f>IF(AND(COUNTA(O21)=1,COUNTA(P21)=1,COUNTA(AC21)=1,COUNTA(AF21)=1,COUNTA(AG21)=0),LEFT(D21,3),"")</f>
        <v/>
      </c>
      <c r="AU21" s="487" t="str">
        <f>IF(AND(COUNTA(O21)=1,COUNTA(P21)=1,COUNTA(AC21)=1,COUNTA(AF21)=0,COUNTA(AG21)=0),LEFT(D21,3),"")</f>
        <v/>
      </c>
      <c r="AV21" s="489" t="str">
        <f>IF(AND(COUNTA(P21)=0,COUNTA(AC21)=1),LEFT(D21,3),"")</f>
        <v/>
      </c>
      <c r="AW21" s="491" t="str">
        <f>IF(AND(COUNTA(P21)=1,COUNTA(AC21)=0),LEFT(D21,3),"")</f>
        <v/>
      </c>
      <c r="AX21" s="493" t="str">
        <f>IF(AND(COUNTA(P21)=0,COUNTA(AC21)=0),LEFT(D21,3),"")</f>
        <v/>
      </c>
      <c r="AY21" s="514" t="str">
        <f>IFERROR(VLOOKUP(功能_33[[#This Row],[功能代號]],SIT_FT_2021tmp!D:D,1,FALSE),"")</f>
        <v>L2153</v>
      </c>
      <c r="AZ21" s="587">
        <v>44519</v>
      </c>
      <c r="BA21" s="587">
        <v>44519</v>
      </c>
      <c r="BB21" s="514" t="s">
        <v>3073</v>
      </c>
      <c r="BC21" s="265" t="s">
        <v>3004</v>
      </c>
      <c r="BD21" s="593"/>
      <c r="BE21" s="264" t="str">
        <f>IF(AND(COUNTIF(AY21,"&gt;&lt;0")=1,COUNTA(M21)=1),LEFT(D21,3),"")</f>
        <v>2-2</v>
      </c>
      <c r="BF21" s="264" t="str">
        <f>IF(AND(COUNTIF(AY21,"&gt;&lt;")=1,COUNTA(M21)=0),LEFT(D21,3),"")</f>
        <v/>
      </c>
      <c r="BG21" s="264" t="str">
        <f>IF(AND(COUNTIF(AY21,"&gt;&lt;0")=0,COUNTA(M21)=1),LEFT(D21,3),"")</f>
        <v/>
      </c>
      <c r="BH21" s="264" t="str">
        <f>IF(AND(COUNTIF(AY21,"&gt;&lt;0")=0,COUNTA(M21)=0),LEFT(D21,3),"")</f>
        <v/>
      </c>
    </row>
    <row r="22" spans="3:60" ht="13.5" x14ac:dyDescent="0.3">
      <c r="C22" s="265" t="s">
        <v>66</v>
      </c>
      <c r="D22" s="213" t="s">
        <v>2455</v>
      </c>
      <c r="E22" s="264" t="s">
        <v>182</v>
      </c>
      <c r="F22" s="265" t="s">
        <v>183</v>
      </c>
      <c r="G22" s="265"/>
      <c r="H22" s="264" t="s">
        <v>166</v>
      </c>
      <c r="I22" s="264" t="s">
        <v>176</v>
      </c>
      <c r="J22" s="212" t="s">
        <v>2754</v>
      </c>
      <c r="K22" s="212"/>
      <c r="L22" s="272">
        <v>44567</v>
      </c>
      <c r="M22" s="272">
        <v>44567</v>
      </c>
      <c r="N22" s="272">
        <v>44404</v>
      </c>
      <c r="O22" s="272">
        <v>44403</v>
      </c>
      <c r="P22" s="272">
        <v>44536</v>
      </c>
      <c r="Q22" s="264" t="s">
        <v>4</v>
      </c>
      <c r="R22" s="264" t="s">
        <v>7</v>
      </c>
      <c r="S22" s="264" t="s">
        <v>7</v>
      </c>
      <c r="X22" s="264"/>
      <c r="Z22" s="264"/>
      <c r="AA22" s="264"/>
      <c r="AB22" s="265" t="str">
        <f>VLOOKUP(功能_33[[#This Row],[User]],SKL放款!A:G,7,FALSE)</f>
        <v>放款推展課</v>
      </c>
      <c r="AC22" s="272">
        <v>44533</v>
      </c>
      <c r="AD22" s="272">
        <v>44477</v>
      </c>
      <c r="AE22" s="272">
        <v>44477</v>
      </c>
      <c r="AF22" s="272">
        <v>44477</v>
      </c>
      <c r="AG22" s="209">
        <v>44544</v>
      </c>
      <c r="AH22" s="272" t="s">
        <v>169</v>
      </c>
      <c r="AI22" s="272"/>
      <c r="AJ22" s="322"/>
      <c r="AK22" s="272">
        <f>IFERROR(IF(VLOOKUP(功能_33[[#This Row],[功能代號]],E:U,11,FALSE)=0,"",VLOOKUP(功能_33[[#This Row],[功能代號]],E:U,11,FALSE)),"")</f>
        <v>44403</v>
      </c>
      <c r="AL22" s="272"/>
      <c r="AM22" s="272"/>
      <c r="AN22" s="265"/>
      <c r="AP22" s="264">
        <v>203</v>
      </c>
      <c r="AQ22" s="265" t="s">
        <v>184</v>
      </c>
      <c r="AR22" s="593" t="s">
        <v>3207</v>
      </c>
      <c r="AS22" s="483" t="str">
        <f>IF(COUNTA(AG22)=1,LEFT(D22,3),"")</f>
        <v>2-2</v>
      </c>
      <c r="AT22" s="485" t="str">
        <f>IF(AND(COUNTA(O22)=1,COUNTA(P22)=1,COUNTA(AC22)=1,COUNTA(AF22)=1,COUNTA(AG22)=0),LEFT(D22,3),"")</f>
        <v/>
      </c>
      <c r="AU22" s="487" t="str">
        <f>IF(AND(COUNTA(O22)=1,COUNTA(P22)=1,COUNTA(AC22)=1,COUNTA(AF22)=0,COUNTA(AG22)=0),LEFT(D22,3),"")</f>
        <v/>
      </c>
      <c r="AV22" s="489" t="str">
        <f>IF(AND(COUNTA(P22)=0,COUNTA(AC22)=1),LEFT(D22,3),"")</f>
        <v/>
      </c>
      <c r="AW22" s="491" t="str">
        <f>IF(AND(COUNTA(P22)=1,COUNTA(AC22)=0),LEFT(D22,3),"")</f>
        <v/>
      </c>
      <c r="AX22" s="493" t="str">
        <f>IF(AND(COUNTA(P22)=0,COUNTA(AC22)=0),LEFT(D22,3),"")</f>
        <v/>
      </c>
      <c r="AY22" s="514" t="str">
        <f>IFERROR(VLOOKUP(功能_33[[#This Row],[功能代號]],SIT_FT_2021tmp!D:D,1,FALSE),"")</f>
        <v>L2151</v>
      </c>
      <c r="AZ22" s="587">
        <v>44517</v>
      </c>
      <c r="BA22" s="587">
        <v>44517</v>
      </c>
      <c r="BB22" s="514" t="s">
        <v>3073</v>
      </c>
      <c r="BC22" s="265" t="s">
        <v>3003</v>
      </c>
      <c r="BD22" s="593"/>
      <c r="BE22" s="264" t="str">
        <f>IF(AND(COUNTIF(AY22,"&gt;&lt;0")=1,COUNTA(M22)=1),LEFT(D22,3),"")</f>
        <v>2-2</v>
      </c>
      <c r="BF22" s="264" t="str">
        <f>IF(AND(COUNTIF(AY22,"&gt;&lt;")=1,COUNTA(M22)=0),LEFT(D22,3),"")</f>
        <v/>
      </c>
      <c r="BG22" s="264" t="str">
        <f>IF(AND(COUNTIF(AY22,"&gt;&lt;0")=0,COUNTA(M22)=1),LEFT(D22,3),"")</f>
        <v/>
      </c>
      <c r="BH22" s="264" t="str">
        <f>IF(AND(COUNTIF(AY22,"&gt;&lt;0")=0,COUNTA(M22)=0),LEFT(D22,3),"")</f>
        <v/>
      </c>
    </row>
    <row r="23" spans="3:60" ht="13.5" x14ac:dyDescent="0.3">
      <c r="C23" s="265" t="s">
        <v>66</v>
      </c>
      <c r="D23" s="213" t="s">
        <v>2455</v>
      </c>
      <c r="E23" s="264" t="s">
        <v>185</v>
      </c>
      <c r="F23" s="265" t="s">
        <v>186</v>
      </c>
      <c r="G23" s="265"/>
      <c r="H23" s="264" t="s">
        <v>166</v>
      </c>
      <c r="I23" s="264" t="s">
        <v>176</v>
      </c>
      <c r="J23" s="212" t="s">
        <v>2754</v>
      </c>
      <c r="K23" s="212"/>
      <c r="L23" s="272">
        <v>44567</v>
      </c>
      <c r="M23" s="272">
        <v>44567</v>
      </c>
      <c r="N23" s="272">
        <v>44403</v>
      </c>
      <c r="O23" s="272">
        <v>44403</v>
      </c>
      <c r="P23" s="272">
        <f>IFERROR(IF(VLOOKUP(功能_33[[#This Row],[功能代號]],討論項目!A:H,8,FALSE)=0,"",VLOOKUP(功能_33[[#This Row],[功能代號]],討論項目!A:H,8,FALSE)),"")</f>
        <v>44431</v>
      </c>
      <c r="Q23" s="264" t="s">
        <v>4</v>
      </c>
      <c r="R23" s="264" t="s">
        <v>7</v>
      </c>
      <c r="S23" s="264" t="s">
        <v>7</v>
      </c>
      <c r="X23" s="264"/>
      <c r="Z23" s="264"/>
      <c r="AA23" s="264"/>
      <c r="AB23" s="265" t="str">
        <f>VLOOKUP(功能_33[[#This Row],[User]],SKL放款!A:G,7,FALSE)</f>
        <v>放款推展課</v>
      </c>
      <c r="AC23" s="272">
        <v>44533</v>
      </c>
      <c r="AD23" s="272">
        <v>44533</v>
      </c>
      <c r="AE23" s="272">
        <v>44533</v>
      </c>
      <c r="AF23" s="272">
        <v>44533</v>
      </c>
      <c r="AG23" s="209">
        <v>44544</v>
      </c>
      <c r="AH23" s="272"/>
      <c r="AI23" s="272"/>
      <c r="AJ23" s="322"/>
      <c r="AK23" s="272">
        <f>IFERROR(IF(VLOOKUP(功能_33[[#This Row],[功能代號]],E:U,11,FALSE)=0,"",VLOOKUP(功能_33[[#This Row],[功能代號]],E:U,11,FALSE)),"")</f>
        <v>44403</v>
      </c>
      <c r="AL23" s="272"/>
      <c r="AM23" s="272"/>
      <c r="AN23" s="265"/>
      <c r="AP23" s="264">
        <v>202</v>
      </c>
      <c r="AQ23" s="265" t="s">
        <v>187</v>
      </c>
      <c r="AR23" s="593" t="s">
        <v>3207</v>
      </c>
      <c r="AS23" s="483" t="str">
        <f>IF(COUNTA(AG23)=1,LEFT(D23,3),"")</f>
        <v>2-2</v>
      </c>
      <c r="AT23" s="485" t="str">
        <f>IF(AND(COUNTA(O23)=1,COUNTA(P23)=1,COUNTA(AC23)=1,COUNTA(AF23)=1,COUNTA(AG23)=0),LEFT(D23,3),"")</f>
        <v/>
      </c>
      <c r="AU23" s="487" t="str">
        <f>IF(AND(COUNTA(O23)=1,COUNTA(P23)=1,COUNTA(AC23)=1,COUNTA(AF23)=0,COUNTA(AG23)=0),LEFT(D23,3),"")</f>
        <v/>
      </c>
      <c r="AV23" s="489" t="str">
        <f>IF(AND(COUNTA(P23)=0,COUNTA(AC23)=1),LEFT(D23,3),"")</f>
        <v/>
      </c>
      <c r="AW23" s="491" t="str">
        <f>IF(AND(COUNTA(P23)=1,COUNTA(AC23)=0),LEFT(D23,3),"")</f>
        <v/>
      </c>
      <c r="AX23" s="493" t="str">
        <f>IF(AND(COUNTA(P23)=0,COUNTA(AC23)=0),LEFT(D23,3),"")</f>
        <v/>
      </c>
      <c r="AY23" s="514" t="str">
        <f>IFERROR(VLOOKUP(功能_33[[#This Row],[功能代號]],SIT_FT_2021tmp!D:D,1,FALSE),"")</f>
        <v>L2112</v>
      </c>
      <c r="AZ23" s="587">
        <v>44517</v>
      </c>
      <c r="BA23" s="587">
        <v>44517</v>
      </c>
      <c r="BB23" s="514" t="s">
        <v>3073</v>
      </c>
      <c r="BC23" s="265" t="s">
        <v>3003</v>
      </c>
      <c r="BD23" s="593"/>
      <c r="BE23" s="264" t="str">
        <f>IF(AND(COUNTIF(AY23,"&gt;&lt;0")=1,COUNTA(M23)=1),LEFT(D23,3),"")</f>
        <v>2-2</v>
      </c>
      <c r="BF23" s="264" t="str">
        <f>IF(AND(COUNTIF(AY23,"&gt;&lt;")=1,COUNTA(M23)=0),LEFT(D23,3),"")</f>
        <v/>
      </c>
      <c r="BG23" s="264" t="str">
        <f>IF(AND(COUNTIF(AY23,"&gt;&lt;0")=0,COUNTA(M23)=1),LEFT(D23,3),"")</f>
        <v/>
      </c>
      <c r="BH23" s="264" t="str">
        <f>IF(AND(COUNTIF(AY23,"&gt;&lt;0")=0,COUNTA(M23)=0),LEFT(D23,3),"")</f>
        <v/>
      </c>
    </row>
    <row r="24" spans="3:60" ht="13.5" x14ac:dyDescent="0.3">
      <c r="C24" s="265" t="s">
        <v>66</v>
      </c>
      <c r="D24" s="213" t="s">
        <v>2455</v>
      </c>
      <c r="E24" s="264" t="s">
        <v>188</v>
      </c>
      <c r="F24" s="265" t="s">
        <v>189</v>
      </c>
      <c r="G24" s="265"/>
      <c r="H24" s="264" t="s">
        <v>166</v>
      </c>
      <c r="I24" s="264" t="s">
        <v>176</v>
      </c>
      <c r="J24" s="212" t="s">
        <v>2754</v>
      </c>
      <c r="K24" s="212"/>
      <c r="L24" s="272">
        <v>44567</v>
      </c>
      <c r="M24" s="272">
        <v>44567</v>
      </c>
      <c r="N24" s="272">
        <v>44404</v>
      </c>
      <c r="O24" s="272">
        <v>44404</v>
      </c>
      <c r="P24" s="272">
        <f>IFERROR(IF(VLOOKUP(功能_33[[#This Row],[功能代號]],討論項目!A:H,8,FALSE)=0,"",VLOOKUP(功能_33[[#This Row],[功能代號]],討論項目!A:H,8,FALSE)),"")</f>
        <v>44431</v>
      </c>
      <c r="Q24" s="264" t="s">
        <v>4</v>
      </c>
      <c r="R24" s="264" t="s">
        <v>7</v>
      </c>
      <c r="S24" s="264" t="s">
        <v>7</v>
      </c>
      <c r="X24" s="264"/>
      <c r="Z24" s="264"/>
      <c r="AA24" s="264"/>
      <c r="AB24" s="265" t="str">
        <f>VLOOKUP(功能_33[[#This Row],[User]],SKL放款!A:G,7,FALSE)</f>
        <v>放款推展課</v>
      </c>
      <c r="AC24" s="272">
        <v>44533</v>
      </c>
      <c r="AD24" s="272">
        <v>44533</v>
      </c>
      <c r="AE24" s="272">
        <v>44533</v>
      </c>
      <c r="AF24" s="272">
        <v>44533</v>
      </c>
      <c r="AG24" s="209">
        <v>44544</v>
      </c>
      <c r="AH24" s="272"/>
      <c r="AI24" s="272"/>
      <c r="AJ24" s="322"/>
      <c r="AK24" s="272">
        <f>IFERROR(IF(VLOOKUP(功能_33[[#This Row],[功能代號]],E:U,11,FALSE)=0,"",VLOOKUP(功能_33[[#This Row],[功能代號]],E:U,11,FALSE)),"")</f>
        <v>44404</v>
      </c>
      <c r="AL24" s="272"/>
      <c r="AM24" s="272"/>
      <c r="AN24" s="265"/>
      <c r="AP24" s="264">
        <v>204</v>
      </c>
      <c r="AQ24" s="265" t="s">
        <v>190</v>
      </c>
      <c r="AR24" s="593" t="s">
        <v>3207</v>
      </c>
      <c r="AS24" s="483" t="str">
        <f>IF(COUNTA(AG24)=1,LEFT(D24,3),"")</f>
        <v>2-2</v>
      </c>
      <c r="AT24" s="485" t="str">
        <f>IF(AND(COUNTA(O24)=1,COUNTA(P24)=1,COUNTA(AC24)=1,COUNTA(AF24)=1,COUNTA(AG24)=0),LEFT(D24,3),"")</f>
        <v/>
      </c>
      <c r="AU24" s="487" t="str">
        <f>IF(AND(COUNTA(O24)=1,COUNTA(P24)=1,COUNTA(AC24)=1,COUNTA(AF24)=0,COUNTA(AG24)=0),LEFT(D24,3),"")</f>
        <v/>
      </c>
      <c r="AV24" s="489" t="str">
        <f>IF(AND(COUNTA(P24)=0,COUNTA(AC24)=1),LEFT(D24,3),"")</f>
        <v/>
      </c>
      <c r="AW24" s="491" t="str">
        <f>IF(AND(COUNTA(P24)=1,COUNTA(AC24)=0),LEFT(D24,3),"")</f>
        <v/>
      </c>
      <c r="AX24" s="493" t="str">
        <f>IF(AND(COUNTA(P24)=0,COUNTA(AC24)=0),LEFT(D24,3),"")</f>
        <v/>
      </c>
      <c r="AY24" s="514" t="str">
        <f>IFERROR(VLOOKUP(功能_33[[#This Row],[功能代號]],SIT_FT_2021tmp!D:D,1,FALSE),"")</f>
        <v>L2015</v>
      </c>
      <c r="AZ24" s="587">
        <v>44518</v>
      </c>
      <c r="BA24" s="587">
        <v>44518</v>
      </c>
      <c r="BB24" s="514" t="s">
        <v>3073</v>
      </c>
      <c r="BC24" s="265" t="s">
        <v>3005</v>
      </c>
      <c r="BD24" s="593"/>
      <c r="BE24" s="264" t="str">
        <f>IF(AND(COUNTIF(AY24,"&gt;&lt;0")=1,COUNTA(M24)=1),LEFT(D24,3),"")</f>
        <v>2-2</v>
      </c>
      <c r="BF24" s="264" t="str">
        <f>IF(AND(COUNTIF(AY24,"&gt;&lt;")=1,COUNTA(M24)=0),LEFT(D24,3),"")</f>
        <v/>
      </c>
      <c r="BG24" s="264" t="str">
        <f>IF(AND(COUNTIF(AY24,"&gt;&lt;0")=0,COUNTA(M24)=1),LEFT(D24,3),"")</f>
        <v/>
      </c>
      <c r="BH24" s="264" t="str">
        <f>IF(AND(COUNTIF(AY24,"&gt;&lt;0")=0,COUNTA(M24)=0),LEFT(D24,3),"")</f>
        <v/>
      </c>
    </row>
    <row r="25" spans="3:60" ht="13.5" x14ac:dyDescent="0.3">
      <c r="C25" s="265" t="s">
        <v>66</v>
      </c>
      <c r="D25" s="213" t="s">
        <v>2455</v>
      </c>
      <c r="E25" s="264" t="s">
        <v>191</v>
      </c>
      <c r="F25" s="265" t="s">
        <v>192</v>
      </c>
      <c r="G25" s="265"/>
      <c r="H25" s="264" t="s">
        <v>166</v>
      </c>
      <c r="I25" s="264" t="s">
        <v>167</v>
      </c>
      <c r="J25" s="212" t="s">
        <v>2754</v>
      </c>
      <c r="K25" s="212"/>
      <c r="L25" s="272">
        <v>44567</v>
      </c>
      <c r="M25" s="272">
        <v>44567</v>
      </c>
      <c r="N25" s="272">
        <v>44404</v>
      </c>
      <c r="O25" s="272">
        <v>44404</v>
      </c>
      <c r="P25" s="272">
        <f>IFERROR(IF(VLOOKUP(功能_33[[#This Row],[功能代號]],討論項目!A:H,8,FALSE)=0,"",VLOOKUP(功能_33[[#This Row],[功能代號]],討論項目!A:H,8,FALSE)),"")</f>
        <v>44469</v>
      </c>
      <c r="Q25" s="264" t="s">
        <v>4</v>
      </c>
      <c r="R25" s="264" t="s">
        <v>7</v>
      </c>
      <c r="S25" s="264" t="s">
        <v>7</v>
      </c>
      <c r="X25" s="264"/>
      <c r="Z25" s="264"/>
      <c r="AA25" s="264"/>
      <c r="AB25" s="265" t="str">
        <f>VLOOKUP(功能_33[[#This Row],[User]],SKL放款!A:G,7,FALSE)</f>
        <v>放款推展課</v>
      </c>
      <c r="AC25" s="272">
        <v>44533</v>
      </c>
      <c r="AD25" s="272">
        <v>44470</v>
      </c>
      <c r="AE25" s="272">
        <f>IF(功能_33[[#This Row],[URS交二審]]=0,"",功能_33[[#This Row],[URS交二審]]+7)</f>
        <v>44477</v>
      </c>
      <c r="AF25" s="272">
        <f>IF(功能_33[[#This Row],[URS交二審]]=0,"",功能_33[[#This Row],[URS交二審]]+7)</f>
        <v>44477</v>
      </c>
      <c r="AG25" s="209">
        <v>44544</v>
      </c>
      <c r="AH25" s="272" t="s">
        <v>169</v>
      </c>
      <c r="AI25" s="272"/>
      <c r="AJ25" s="322"/>
      <c r="AK25" s="272">
        <f>IFERROR(IF(VLOOKUP(功能_33[[#This Row],[功能代號]],E:U,11,FALSE)=0,"",VLOOKUP(功能_33[[#This Row],[功能代號]],E:U,11,FALSE)),"")</f>
        <v>44404</v>
      </c>
      <c r="AL25" s="272"/>
      <c r="AM25" s="272"/>
      <c r="AN25" s="265"/>
      <c r="AP25" s="264">
        <v>204</v>
      </c>
      <c r="AQ25" s="265" t="s">
        <v>193</v>
      </c>
      <c r="AR25" s="593" t="s">
        <v>3207</v>
      </c>
      <c r="AS25" s="483" t="str">
        <f>IF(COUNTA(AG25)=1,LEFT(D25,3),"")</f>
        <v>2-2</v>
      </c>
      <c r="AT25" s="485" t="str">
        <f>IF(AND(COUNTA(O25)=1,COUNTA(P25)=1,COUNTA(AC25)=1,COUNTA(AF25)=1,COUNTA(AG25)=0),LEFT(D25,3),"")</f>
        <v/>
      </c>
      <c r="AU25" s="487" t="str">
        <f>IF(AND(COUNTA(O25)=1,COUNTA(P25)=1,COUNTA(AC25)=1,COUNTA(AF25)=0,COUNTA(AG25)=0),LEFT(D25,3),"")</f>
        <v/>
      </c>
      <c r="AV25" s="489" t="str">
        <f>IF(AND(COUNTA(P25)=0,COUNTA(AC25)=1),LEFT(D25,3),"")</f>
        <v/>
      </c>
      <c r="AW25" s="491" t="str">
        <f>IF(AND(COUNTA(P25)=1,COUNTA(AC25)=0),LEFT(D25,3),"")</f>
        <v/>
      </c>
      <c r="AX25" s="493" t="str">
        <f>IF(AND(COUNTA(P25)=0,COUNTA(AC25)=0),LEFT(D25,3),"")</f>
        <v/>
      </c>
      <c r="AY25" s="514" t="str">
        <f>IFERROR(VLOOKUP(功能_33[[#This Row],[功能代號]],SIT_FT_2021tmp!D:D,1,FALSE),"")</f>
        <v>L2154</v>
      </c>
      <c r="AZ25" s="587">
        <v>44518</v>
      </c>
      <c r="BA25" s="587">
        <v>44518</v>
      </c>
      <c r="BB25" s="514" t="s">
        <v>3073</v>
      </c>
      <c r="BC25" s="265" t="s">
        <v>3005</v>
      </c>
      <c r="BD25" s="593"/>
      <c r="BE25" s="264" t="str">
        <f>IF(AND(COUNTIF(AY25,"&gt;&lt;0")=1,COUNTA(M25)=1),LEFT(D25,3),"")</f>
        <v>2-2</v>
      </c>
      <c r="BF25" s="264" t="str">
        <f>IF(AND(COUNTIF(AY25,"&gt;&lt;")=1,COUNTA(M25)=0),LEFT(D25,3),"")</f>
        <v/>
      </c>
      <c r="BG25" s="264" t="str">
        <f>IF(AND(COUNTIF(AY25,"&gt;&lt;0")=0,COUNTA(M25)=1),LEFT(D25,3),"")</f>
        <v/>
      </c>
      <c r="BH25" s="264" t="str">
        <f>IF(AND(COUNTIF(AY25,"&gt;&lt;0")=0,COUNTA(M25)=0),LEFT(D25,3),"")</f>
        <v/>
      </c>
    </row>
    <row r="26" spans="3:60" ht="13.5" x14ac:dyDescent="0.3">
      <c r="C26" s="265" t="s">
        <v>66</v>
      </c>
      <c r="D26" s="213" t="s">
        <v>2455</v>
      </c>
      <c r="E26" s="264" t="s">
        <v>194</v>
      </c>
      <c r="F26" s="265" t="s">
        <v>195</v>
      </c>
      <c r="G26" s="265"/>
      <c r="H26" s="264" t="s">
        <v>166</v>
      </c>
      <c r="I26" s="264" t="s">
        <v>167</v>
      </c>
      <c r="J26" s="212" t="s">
        <v>2754</v>
      </c>
      <c r="K26" s="212"/>
      <c r="L26" s="272">
        <v>44567</v>
      </c>
      <c r="M26" s="272">
        <v>44567</v>
      </c>
      <c r="N26" s="272">
        <v>44404</v>
      </c>
      <c r="O26" s="272">
        <v>44404</v>
      </c>
      <c r="P26" s="272">
        <v>44404</v>
      </c>
      <c r="Q26" s="264" t="s">
        <v>4</v>
      </c>
      <c r="R26" s="264" t="s">
        <v>7</v>
      </c>
      <c r="S26" s="264" t="s">
        <v>7</v>
      </c>
      <c r="X26" s="264"/>
      <c r="Z26" s="264"/>
      <c r="AA26" s="264"/>
      <c r="AB26" s="265" t="str">
        <f>VLOOKUP(功能_33[[#This Row],[User]],SKL放款!A:G,7,FALSE)</f>
        <v>放款推展課</v>
      </c>
      <c r="AC26" s="272">
        <v>44404</v>
      </c>
      <c r="AD26" s="272">
        <v>44533</v>
      </c>
      <c r="AE26" s="272">
        <v>44533</v>
      </c>
      <c r="AF26" s="272">
        <v>44404</v>
      </c>
      <c r="AG26" s="209">
        <v>44544</v>
      </c>
      <c r="AH26" s="272"/>
      <c r="AI26" s="272"/>
      <c r="AJ26" s="322"/>
      <c r="AK26" s="272">
        <f>IFERROR(IF(VLOOKUP(功能_33[[#This Row],[功能代號]],E:U,11,FALSE)=0,"",VLOOKUP(功能_33[[#This Row],[功能代號]],E:U,11,FALSE)),"")</f>
        <v>44404</v>
      </c>
      <c r="AL26" s="272"/>
      <c r="AM26" s="272"/>
      <c r="AN26" s="265"/>
      <c r="AP26" s="264">
        <v>204</v>
      </c>
      <c r="AQ26" s="265" t="s">
        <v>196</v>
      </c>
      <c r="AR26" s="593" t="s">
        <v>3207</v>
      </c>
      <c r="AS26" s="483" t="str">
        <f>IF(COUNTA(AG26)=1,LEFT(D26,3),"")</f>
        <v>2-2</v>
      </c>
      <c r="AT26" s="485" t="str">
        <f>IF(AND(COUNTA(O26)=1,COUNTA(P26)=1,COUNTA(AC26)=1,COUNTA(AF26)=1,COUNTA(AG26)=0),LEFT(D26,3),"")</f>
        <v/>
      </c>
      <c r="AU26" s="487" t="str">
        <f>IF(AND(COUNTA(O26)=1,COUNTA(P26)=1,COUNTA(AC26)=1,COUNTA(AF26)=0,COUNTA(AG26)=0),LEFT(D26,3),"")</f>
        <v/>
      </c>
      <c r="AV26" s="489" t="str">
        <f>IF(AND(COUNTA(P26)=0,COUNTA(AC26)=1),LEFT(D26,3),"")</f>
        <v/>
      </c>
      <c r="AW26" s="491" t="str">
        <f>IF(AND(COUNTA(P26)=1,COUNTA(AC26)=0),LEFT(D26,3),"")</f>
        <v/>
      </c>
      <c r="AX26" s="493" t="str">
        <f>IF(AND(COUNTA(P26)=0,COUNTA(AC26)=0),LEFT(D26,3),"")</f>
        <v/>
      </c>
      <c r="AY26" s="514" t="str">
        <f>IFERROR(VLOOKUP(功能_33[[#This Row],[功能代號]],SIT_FT_2021tmp!D:D,1,FALSE),"")</f>
        <v>L2016</v>
      </c>
      <c r="AZ26" s="587">
        <v>44524</v>
      </c>
      <c r="BA26" s="587">
        <v>44524</v>
      </c>
      <c r="BB26" s="514" t="s">
        <v>3073</v>
      </c>
      <c r="BC26" s="265" t="s">
        <v>3006</v>
      </c>
      <c r="BD26" s="593"/>
      <c r="BE26" s="264" t="str">
        <f>IF(AND(COUNTIF(AY26,"&gt;&lt;0")=1,COUNTA(M26)=1),LEFT(D26,3),"")</f>
        <v>2-2</v>
      </c>
      <c r="BF26" s="264" t="str">
        <f>IF(AND(COUNTIF(AY26,"&gt;&lt;")=1,COUNTA(M26)=0),LEFT(D26,3),"")</f>
        <v/>
      </c>
      <c r="BG26" s="264" t="str">
        <f>IF(AND(COUNTIF(AY26,"&gt;&lt;0")=0,COUNTA(M26)=1),LEFT(D26,3),"")</f>
        <v/>
      </c>
      <c r="BH26" s="264" t="str">
        <f>IF(AND(COUNTIF(AY26,"&gt;&lt;0")=0,COUNTA(M26)=0),LEFT(D26,3),"")</f>
        <v/>
      </c>
    </row>
    <row r="27" spans="3:60" ht="13.5" x14ac:dyDescent="0.3">
      <c r="C27" s="265" t="s">
        <v>66</v>
      </c>
      <c r="D27" s="265" t="s">
        <v>2489</v>
      </c>
      <c r="E27" s="264" t="s">
        <v>197</v>
      </c>
      <c r="F27" s="265" t="s">
        <v>198</v>
      </c>
      <c r="G27" s="265"/>
      <c r="H27" s="264" t="s">
        <v>166</v>
      </c>
      <c r="I27" s="264" t="s">
        <v>176</v>
      </c>
      <c r="J27" s="212" t="s">
        <v>2583</v>
      </c>
      <c r="K27" s="212"/>
      <c r="L27" s="272">
        <v>44565</v>
      </c>
      <c r="M27" s="272">
        <v>44565</v>
      </c>
      <c r="N27" s="272">
        <v>44404</v>
      </c>
      <c r="O27" s="272">
        <v>44405</v>
      </c>
      <c r="P27" s="272">
        <f>IFERROR(IF(VLOOKUP(功能_33[[#This Row],[功能代號]],討論項目!A:H,8,FALSE)=0,"",VLOOKUP(功能_33[[#This Row],[功能代號]],討論項目!A:H,8,FALSE)),"")</f>
        <v>44428</v>
      </c>
      <c r="Q27" s="264" t="s">
        <v>4</v>
      </c>
      <c r="R27" s="264" t="s">
        <v>7</v>
      </c>
      <c r="S27" s="264" t="s">
        <v>7</v>
      </c>
      <c r="T27" s="265" t="s">
        <v>199</v>
      </c>
      <c r="X27" s="264"/>
      <c r="Z27" s="264"/>
      <c r="AA27" s="264"/>
      <c r="AB27" s="265" t="str">
        <f>VLOOKUP(功能_33[[#This Row],[User]],SKL放款!A:G,7,FALSE)</f>
        <v>放款推展課</v>
      </c>
      <c r="AC27" s="272">
        <v>44533</v>
      </c>
      <c r="AD27" s="272">
        <v>44470</v>
      </c>
      <c r="AE27" s="272">
        <f>IF(功能_33[[#This Row],[URS交二審]]=0,"",功能_33[[#This Row],[URS交二審]]+7)</f>
        <v>44477</v>
      </c>
      <c r="AF27" s="272">
        <f>IF(功能_33[[#This Row],[URS交二審]]=0,"",功能_33[[#This Row],[URS交二審]]+7)</f>
        <v>44477</v>
      </c>
      <c r="AG27" s="209">
        <v>44539</v>
      </c>
      <c r="AH27" s="272" t="s">
        <v>169</v>
      </c>
      <c r="AI27" s="272"/>
      <c r="AJ27" s="322"/>
      <c r="AK27" s="272">
        <f>IFERROR(IF(VLOOKUP(功能_33[[#This Row],[功能代號]],E:U,11,FALSE)=0,"",VLOOKUP(功能_33[[#This Row],[功能代號]],E:U,11,FALSE)),"")</f>
        <v>44405</v>
      </c>
      <c r="AL27" s="272"/>
      <c r="AM27" s="272"/>
      <c r="AN27" s="265"/>
      <c r="AP27" s="264">
        <v>206</v>
      </c>
      <c r="AQ27" s="265" t="s">
        <v>200</v>
      </c>
      <c r="AR27" s="593" t="s">
        <v>3207</v>
      </c>
      <c r="AS27" s="483" t="str">
        <f>IF(COUNTA(AG27)=1,LEFT(D27,3),"")</f>
        <v>2-3</v>
      </c>
      <c r="AT27" s="485" t="str">
        <f>IF(AND(COUNTA(O27)=1,COUNTA(P27)=1,COUNTA(AC27)=1,COUNTA(AF27)=1,COUNTA(AG27)=0),LEFT(D27,3),"")</f>
        <v/>
      </c>
      <c r="AU27" s="487" t="str">
        <f>IF(AND(COUNTA(O27)=1,COUNTA(P27)=1,COUNTA(AC27)=1,COUNTA(AF27)=0,COUNTA(AG27)=0),LEFT(D27,3),"")</f>
        <v/>
      </c>
      <c r="AV27" s="489" t="str">
        <f>IF(AND(COUNTA(P27)=0,COUNTA(AC27)=1),LEFT(D27,3),"")</f>
        <v/>
      </c>
      <c r="AW27" s="491" t="str">
        <f>IF(AND(COUNTA(P27)=1,COUNTA(AC27)=0),LEFT(D27,3),"")</f>
        <v/>
      </c>
      <c r="AX27" s="493" t="str">
        <f>IF(AND(COUNTA(P27)=0,COUNTA(AC27)=0),LEFT(D27,3),"")</f>
        <v/>
      </c>
      <c r="AY27" s="514" t="str">
        <f>IFERROR(VLOOKUP(功能_33[[#This Row],[功能代號]],SIT_FT_2021tmp!D:D,1,FALSE),"")</f>
        <v>L2020</v>
      </c>
      <c r="AZ27" s="587">
        <v>44554</v>
      </c>
      <c r="BA27" s="587">
        <v>44554</v>
      </c>
      <c r="BB27" s="514" t="s">
        <v>3073</v>
      </c>
      <c r="BC27" s="265" t="s">
        <v>3007</v>
      </c>
      <c r="BD27" s="593"/>
      <c r="BE27" s="264" t="str">
        <f>IF(AND(COUNTIF(AY27,"&gt;&lt;0")=1,COUNTA(M27)=1),LEFT(D27,3),"")</f>
        <v>2-3</v>
      </c>
      <c r="BF27" s="264" t="str">
        <f>IF(AND(COUNTIF(AY27,"&gt;&lt;")=1,COUNTA(M27)=0),LEFT(D27,3),"")</f>
        <v/>
      </c>
      <c r="BG27" s="264" t="str">
        <f>IF(AND(COUNTIF(AY27,"&gt;&lt;0")=0,COUNTA(M27)=1),LEFT(D27,3),"")</f>
        <v/>
      </c>
      <c r="BH27" s="264" t="str">
        <f>IF(AND(COUNTIF(AY27,"&gt;&lt;0")=0,COUNTA(M27)=0),LEFT(D27,3),"")</f>
        <v/>
      </c>
    </row>
    <row r="28" spans="3:60" ht="13.5" x14ac:dyDescent="0.3">
      <c r="C28" s="265" t="s">
        <v>66</v>
      </c>
      <c r="D28" s="265" t="s">
        <v>2489</v>
      </c>
      <c r="E28" s="264" t="s">
        <v>201</v>
      </c>
      <c r="F28" s="265" t="s">
        <v>202</v>
      </c>
      <c r="G28" s="265"/>
      <c r="H28" s="264" t="s">
        <v>166</v>
      </c>
      <c r="I28" s="264" t="s">
        <v>176</v>
      </c>
      <c r="J28" s="212" t="s">
        <v>2583</v>
      </c>
      <c r="K28" s="212"/>
      <c r="L28" s="272">
        <v>44565</v>
      </c>
      <c r="M28" s="272">
        <v>44565</v>
      </c>
      <c r="N28" s="272">
        <v>44404</v>
      </c>
      <c r="O28" s="272">
        <v>44405</v>
      </c>
      <c r="P28" s="272">
        <f>IFERROR(IF(VLOOKUP(功能_33[[#This Row],[功能代號]],討論項目!A:H,8,FALSE)=0,"",VLOOKUP(功能_33[[#This Row],[功能代號]],討論項目!A:H,8,FALSE)),"")</f>
        <v>44428</v>
      </c>
      <c r="Q28" s="264" t="s">
        <v>4</v>
      </c>
      <c r="R28" s="264" t="s">
        <v>7</v>
      </c>
      <c r="S28" s="264" t="s">
        <v>7</v>
      </c>
      <c r="T28" s="265" t="s">
        <v>199</v>
      </c>
      <c r="X28" s="264"/>
      <c r="Z28" s="264"/>
      <c r="AA28" s="264"/>
      <c r="AB28" s="265" t="str">
        <f>VLOOKUP(功能_33[[#This Row],[User]],SKL放款!A:G,7,FALSE)</f>
        <v>放款推展課</v>
      </c>
      <c r="AC28" s="272">
        <v>44533</v>
      </c>
      <c r="AD28" s="272">
        <v>44470</v>
      </c>
      <c r="AE28" s="272">
        <f>IF(功能_33[[#This Row],[URS交二審]]=0,"",功能_33[[#This Row],[URS交二審]]+7)</f>
        <v>44477</v>
      </c>
      <c r="AF28" s="272">
        <f>IF(功能_33[[#This Row],[URS交二審]]=0,"",功能_33[[#This Row],[URS交二審]]+7)</f>
        <v>44477</v>
      </c>
      <c r="AG28" s="209">
        <v>44539</v>
      </c>
      <c r="AH28" s="272" t="s">
        <v>169</v>
      </c>
      <c r="AI28" s="272"/>
      <c r="AJ28" s="322"/>
      <c r="AK28" s="272">
        <f>IFERROR(IF(VLOOKUP(功能_33[[#This Row],[功能代號]],E:U,11,FALSE)=0,"",VLOOKUP(功能_33[[#This Row],[功能代號]],E:U,11,FALSE)),"")</f>
        <v>44405</v>
      </c>
      <c r="AL28" s="272"/>
      <c r="AM28" s="272"/>
      <c r="AN28" s="265"/>
      <c r="AP28" s="264">
        <v>206</v>
      </c>
      <c r="AQ28" s="265" t="s">
        <v>202</v>
      </c>
      <c r="AR28" s="593" t="s">
        <v>3214</v>
      </c>
      <c r="AS28" s="483" t="str">
        <f>IF(COUNTA(AG28)=1,LEFT(D28,3),"")</f>
        <v>2-3</v>
      </c>
      <c r="AT28" s="485" t="str">
        <f>IF(AND(COUNTA(O28)=1,COUNTA(P28)=1,COUNTA(AC28)=1,COUNTA(AF28)=1,COUNTA(AG28)=0),LEFT(D28,3),"")</f>
        <v/>
      </c>
      <c r="AU28" s="487" t="str">
        <f>IF(AND(COUNTA(O28)=1,COUNTA(P28)=1,COUNTA(AC28)=1,COUNTA(AF28)=0,COUNTA(AG28)=0),LEFT(D28,3),"")</f>
        <v/>
      </c>
      <c r="AV28" s="489" t="str">
        <f>IF(AND(COUNTA(P28)=0,COUNTA(AC28)=1),LEFT(D28,3),"")</f>
        <v/>
      </c>
      <c r="AW28" s="491" t="str">
        <f>IF(AND(COUNTA(P28)=1,COUNTA(AC28)=0),LEFT(D28,3),"")</f>
        <v/>
      </c>
      <c r="AX28" s="493" t="str">
        <f>IF(AND(COUNTA(P28)=0,COUNTA(AC28)=0),LEFT(D28,3),"")</f>
        <v/>
      </c>
      <c r="AY28" s="514" t="str">
        <f>IFERROR(VLOOKUP(功能_33[[#This Row],[功能代號]],SIT_FT_2021tmp!D:D,1,FALSE),"")</f>
        <v>L2250</v>
      </c>
      <c r="AZ28" s="587">
        <v>44554</v>
      </c>
      <c r="BA28" s="587">
        <v>44554</v>
      </c>
      <c r="BB28" s="514" t="s">
        <v>3073</v>
      </c>
      <c r="BC28" s="265" t="s">
        <v>3007</v>
      </c>
      <c r="BD28" s="593"/>
      <c r="BE28" s="264" t="str">
        <f>IF(AND(COUNTIF(AY28,"&gt;&lt;0")=1,COUNTA(M28)=1),LEFT(D28,3),"")</f>
        <v>2-3</v>
      </c>
      <c r="BF28" s="264" t="str">
        <f>IF(AND(COUNTIF(AY28,"&gt;&lt;")=1,COUNTA(M28)=0),LEFT(D28,3),"")</f>
        <v/>
      </c>
      <c r="BG28" s="264" t="str">
        <f>IF(AND(COUNTIF(AY28,"&gt;&lt;0")=0,COUNTA(M28)=1),LEFT(D28,3),"")</f>
        <v/>
      </c>
      <c r="BH28" s="264" t="str">
        <f>IF(AND(COUNTIF(AY28,"&gt;&lt;0")=0,COUNTA(M28)=0),LEFT(D28,3),"")</f>
        <v/>
      </c>
    </row>
    <row r="29" spans="3:60" ht="13.5" x14ac:dyDescent="0.3">
      <c r="C29" s="265" t="s">
        <v>66</v>
      </c>
      <c r="D29" s="265" t="s">
        <v>2489</v>
      </c>
      <c r="E29" s="264" t="s">
        <v>203</v>
      </c>
      <c r="F29" s="265" t="s">
        <v>204</v>
      </c>
      <c r="G29" s="265"/>
      <c r="H29" s="264" t="s">
        <v>166</v>
      </c>
      <c r="I29" s="264" t="s">
        <v>176</v>
      </c>
      <c r="J29" s="212" t="s">
        <v>2583</v>
      </c>
      <c r="K29" s="212"/>
      <c r="L29" s="272">
        <v>44565</v>
      </c>
      <c r="M29" s="272">
        <v>44565</v>
      </c>
      <c r="N29" s="272">
        <v>44404</v>
      </c>
      <c r="O29" s="272">
        <v>44405</v>
      </c>
      <c r="P29" s="272">
        <f>IFERROR(IF(VLOOKUP(功能_33[[#This Row],[功能代號]],討論項目!A:H,8,FALSE)=0,"",VLOOKUP(功能_33[[#This Row],[功能代號]],討論項目!A:H,8,FALSE)),"")</f>
        <v>44428</v>
      </c>
      <c r="Q29" s="264" t="s">
        <v>4</v>
      </c>
      <c r="R29" s="264" t="s">
        <v>145</v>
      </c>
      <c r="S29" s="264" t="s">
        <v>145</v>
      </c>
      <c r="X29" s="264"/>
      <c r="Z29" s="264"/>
      <c r="AA29" s="264"/>
      <c r="AB29" s="265" t="str">
        <f>VLOOKUP(功能_33[[#This Row],[User]],SKL放款!A:G,7,FALSE)</f>
        <v>放款服務課</v>
      </c>
      <c r="AC29" s="272">
        <v>44533</v>
      </c>
      <c r="AD29" s="272">
        <v>44470</v>
      </c>
      <c r="AE29" s="272">
        <f>IF(功能_33[[#This Row],[URS交二審]]=0,"",功能_33[[#This Row],[URS交二審]]+7)</f>
        <v>44477</v>
      </c>
      <c r="AF29" s="272">
        <f>IF(功能_33[[#This Row],[URS交二審]]=0,"",功能_33[[#This Row],[URS交二審]]+7)</f>
        <v>44477</v>
      </c>
      <c r="AG29" s="209">
        <v>44539</v>
      </c>
      <c r="AH29" s="272" t="s">
        <v>169</v>
      </c>
      <c r="AI29" s="272"/>
      <c r="AJ29" s="322"/>
      <c r="AK29" s="272">
        <f>IFERROR(IF(VLOOKUP(功能_33[[#This Row],[功能代號]],E:U,11,FALSE)=0,"",VLOOKUP(功能_33[[#This Row],[功能代號]],E:U,11,FALSE)),"")</f>
        <v>44405</v>
      </c>
      <c r="AL29" s="272"/>
      <c r="AM29" s="272"/>
      <c r="AN29" s="265"/>
      <c r="AP29" s="264">
        <v>214</v>
      </c>
      <c r="AQ29" s="265" t="s">
        <v>205</v>
      </c>
      <c r="AR29" s="593" t="s">
        <v>3207</v>
      </c>
      <c r="AS29" s="483" t="str">
        <f>IF(COUNTA(AG29)=1,LEFT(D29,3),"")</f>
        <v>2-3</v>
      </c>
      <c r="AT29" s="485" t="str">
        <f>IF(AND(COUNTA(O29)=1,COUNTA(P29)=1,COUNTA(AC29)=1,COUNTA(AF29)=1,COUNTA(AG29)=0),LEFT(D29,3),"")</f>
        <v/>
      </c>
      <c r="AU29" s="487" t="str">
        <f>IF(AND(COUNTA(O29)=1,COUNTA(P29)=1,COUNTA(AC29)=1,COUNTA(AF29)=0,COUNTA(AG29)=0),LEFT(D29,3),"")</f>
        <v/>
      </c>
      <c r="AV29" s="489" t="str">
        <f>IF(AND(COUNTA(P29)=0,COUNTA(AC29)=1),LEFT(D29,3),"")</f>
        <v/>
      </c>
      <c r="AW29" s="491" t="str">
        <f>IF(AND(COUNTA(P29)=1,COUNTA(AC29)=0),LEFT(D29,3),"")</f>
        <v/>
      </c>
      <c r="AX29" s="493" t="str">
        <f>IF(AND(COUNTA(P29)=0,COUNTA(AC29)=0),LEFT(D29,3),"")</f>
        <v/>
      </c>
      <c r="AY29" s="514" t="str">
        <f>IFERROR(VLOOKUP(功能_33[[#This Row],[功能代號]],SIT_FT_2021tmp!D:D,1,FALSE),"")</f>
        <v>L2902</v>
      </c>
      <c r="AZ29" s="587">
        <v>44525</v>
      </c>
      <c r="BA29" s="587">
        <v>44525</v>
      </c>
      <c r="BB29" s="514" t="s">
        <v>3073</v>
      </c>
      <c r="BC29" s="265" t="s">
        <v>3008</v>
      </c>
      <c r="BD29" s="593"/>
      <c r="BE29" s="264" t="str">
        <f>IF(AND(COUNTIF(AY29,"&gt;&lt;0")=1,COUNTA(M29)=1),LEFT(D29,3),"")</f>
        <v>2-3</v>
      </c>
      <c r="BF29" s="264" t="str">
        <f>IF(AND(COUNTIF(AY29,"&gt;&lt;")=1,COUNTA(M29)=0),LEFT(D29,3),"")</f>
        <v/>
      </c>
      <c r="BG29" s="264" t="str">
        <f>IF(AND(COUNTIF(AY29,"&gt;&lt;0")=0,COUNTA(M29)=1),LEFT(D29,3),"")</f>
        <v/>
      </c>
      <c r="BH29" s="264" t="str">
        <f>IF(AND(COUNTIF(AY29,"&gt;&lt;0")=0,COUNTA(M29)=0),LEFT(D29,3),"")</f>
        <v/>
      </c>
    </row>
    <row r="30" spans="3:60" ht="13.5" x14ac:dyDescent="0.3">
      <c r="C30" s="265" t="s">
        <v>70</v>
      </c>
      <c r="D30" s="265" t="s">
        <v>2490</v>
      </c>
      <c r="E30" s="264" t="s">
        <v>206</v>
      </c>
      <c r="F30" s="265" t="s">
        <v>207</v>
      </c>
      <c r="G30" s="265"/>
      <c r="H30" s="264" t="s">
        <v>166</v>
      </c>
      <c r="I30" s="264" t="s">
        <v>176</v>
      </c>
      <c r="J30" s="212" t="s">
        <v>2853</v>
      </c>
      <c r="K30" s="212"/>
      <c r="L30" s="272">
        <v>44571</v>
      </c>
      <c r="M30" s="272">
        <v>44571</v>
      </c>
      <c r="N30" s="272">
        <v>44404</v>
      </c>
      <c r="O30" s="272">
        <v>44404</v>
      </c>
      <c r="P30" s="272">
        <v>44428</v>
      </c>
      <c r="Q30" s="264" t="s">
        <v>6</v>
      </c>
      <c r="R30" s="264" t="s">
        <v>208</v>
      </c>
      <c r="S30" s="264" t="s">
        <v>208</v>
      </c>
      <c r="T30" s="265" t="s">
        <v>17</v>
      </c>
      <c r="X30" s="264"/>
      <c r="Z30" s="264"/>
      <c r="AA30" s="264"/>
      <c r="AB30" s="265" t="str">
        <f>VLOOKUP(功能_33[[#This Row],[User]],SKL放款!A:G,7,FALSE)</f>
        <v>放款審查課</v>
      </c>
      <c r="AC30" s="272">
        <v>44533</v>
      </c>
      <c r="AD30" s="272" t="s">
        <v>168</v>
      </c>
      <c r="AE30" s="272">
        <v>44544</v>
      </c>
      <c r="AF30" s="272">
        <v>44544</v>
      </c>
      <c r="AG30" s="209">
        <v>44550</v>
      </c>
      <c r="AH30" s="272"/>
      <c r="AI30" s="272"/>
      <c r="AJ30" s="322"/>
      <c r="AK30" s="272">
        <f>IFERROR(IF(VLOOKUP(功能_33[[#This Row],[功能代號]],E:U,11,FALSE)=0,"",VLOOKUP(功能_33[[#This Row],[功能代號]],E:U,11,FALSE)),"")</f>
        <v>44404</v>
      </c>
      <c r="AL30" s="272"/>
      <c r="AM30" s="272"/>
      <c r="AN30" s="265"/>
      <c r="AO30" s="265"/>
      <c r="AP30" s="264" t="s">
        <v>163</v>
      </c>
      <c r="AQ30" s="264" t="s">
        <v>163</v>
      </c>
      <c r="AR30" s="593" t="s">
        <v>3207</v>
      </c>
      <c r="AS30" s="483" t="str">
        <f>IF(COUNTA(AG30)=1,LEFT(D30,3),"")</f>
        <v>6-6</v>
      </c>
      <c r="AT30" s="485" t="str">
        <f>IF(AND(COUNTA(O30)=1,COUNTA(P30)=1,COUNTA(AC30)=1,COUNTA(AF30)=1,COUNTA(AG30)=0),LEFT(D30,3),"")</f>
        <v/>
      </c>
      <c r="AU30" s="487" t="str">
        <f>IF(AND(COUNTA(O30)=1,COUNTA(P30)=1,COUNTA(AC30)=1,COUNTA(AF30)=0,COUNTA(AG30)=0),LEFT(D30,3),"")</f>
        <v/>
      </c>
      <c r="AV30" s="489" t="str">
        <f>IF(AND(COUNTA(P30)=0,COUNTA(AC30)=1),LEFT(D30,3),"")</f>
        <v/>
      </c>
      <c r="AW30" s="491" t="str">
        <f>IF(AND(COUNTA(P30)=1,COUNTA(AC30)=0),LEFT(D30,3),"")</f>
        <v/>
      </c>
      <c r="AX30" s="493" t="str">
        <f>IF(AND(COUNTA(P30)=0,COUNTA(AC30)=0),LEFT(D30,3),"")</f>
        <v/>
      </c>
      <c r="AY30" s="514" t="str">
        <f>IFERROR(VLOOKUP(功能_33[[#This Row],[功能代號]],SIT_FT_2021tmp!D:D,1,FALSE),"")</f>
        <v>L6070</v>
      </c>
      <c r="AZ30" s="587">
        <v>44547</v>
      </c>
      <c r="BA30" s="587">
        <v>44547</v>
      </c>
      <c r="BB30" s="514" t="s">
        <v>3073</v>
      </c>
      <c r="BC30" s="265" t="s">
        <v>3009</v>
      </c>
      <c r="BD30" s="593"/>
      <c r="BE30" s="264" t="str">
        <f>IF(AND(COUNTIF(AY30,"&gt;&lt;0")=1,COUNTA(M30)=1),LEFT(D30,3),"")</f>
        <v>6-6</v>
      </c>
      <c r="BF30" s="264" t="str">
        <f>IF(AND(COUNTIF(AY30,"&gt;&lt;")=1,COUNTA(M30)=0),LEFT(D30,3),"")</f>
        <v/>
      </c>
      <c r="BG30" s="264" t="str">
        <f>IF(AND(COUNTIF(AY30,"&gt;&lt;0")=0,COUNTA(M30)=1),LEFT(D30,3),"")</f>
        <v/>
      </c>
      <c r="BH30" s="264" t="str">
        <f>IF(AND(COUNTIF(AY30,"&gt;&lt;0")=0,COUNTA(M30)=0),LEFT(D30,3),"")</f>
        <v/>
      </c>
    </row>
    <row r="31" spans="3:60" ht="13.5" x14ac:dyDescent="0.3">
      <c r="C31" s="265" t="s">
        <v>70</v>
      </c>
      <c r="D31" s="265" t="s">
        <v>2490</v>
      </c>
      <c r="E31" s="264" t="s">
        <v>209</v>
      </c>
      <c r="F31" s="265" t="s">
        <v>210</v>
      </c>
      <c r="G31" s="265"/>
      <c r="H31" s="264" t="s">
        <v>166</v>
      </c>
      <c r="I31" s="264" t="s">
        <v>176</v>
      </c>
      <c r="J31" s="212" t="s">
        <v>2853</v>
      </c>
      <c r="K31" s="212"/>
      <c r="L31" s="272">
        <v>44571</v>
      </c>
      <c r="M31" s="272">
        <v>44571</v>
      </c>
      <c r="N31" s="272">
        <v>44404</v>
      </c>
      <c r="O31" s="272">
        <v>44404</v>
      </c>
      <c r="P31" s="272">
        <f>IFERROR(IF(VLOOKUP(功能_33[[#This Row],[功能代號]],討論項目!A:H,8,FALSE)=0,"",VLOOKUP(功能_33[[#This Row],[功能代號]],討論項目!A:H,8,FALSE)),"")</f>
        <v>44428</v>
      </c>
      <c r="Q31" s="264" t="s">
        <v>6</v>
      </c>
      <c r="R31" s="264" t="s">
        <v>208</v>
      </c>
      <c r="S31" s="264" t="s">
        <v>208</v>
      </c>
      <c r="T31" s="265" t="s">
        <v>17</v>
      </c>
      <c r="X31" s="264"/>
      <c r="Z31" s="264"/>
      <c r="AA31" s="264"/>
      <c r="AB31" s="265" t="str">
        <f>VLOOKUP(功能_33[[#This Row],[User]],SKL放款!A:G,7,FALSE)</f>
        <v>放款審查課</v>
      </c>
      <c r="AC31" s="272">
        <v>44533</v>
      </c>
      <c r="AD31" s="272" t="s">
        <v>107</v>
      </c>
      <c r="AE31" s="272">
        <v>44544</v>
      </c>
      <c r="AF31" s="272">
        <v>44544</v>
      </c>
      <c r="AG31" s="209">
        <v>44550</v>
      </c>
      <c r="AH31" s="272"/>
      <c r="AI31" s="272"/>
      <c r="AJ31" s="322"/>
      <c r="AK31" s="272">
        <f>IFERROR(IF(VLOOKUP(功能_33[[#This Row],[功能代號]],E:U,11,FALSE)=0,"",VLOOKUP(功能_33[[#This Row],[功能代號]],E:U,11,FALSE)),"")</f>
        <v>44404</v>
      </c>
      <c r="AL31" s="272"/>
      <c r="AM31" s="272"/>
      <c r="AN31" s="265"/>
      <c r="AO31" s="265"/>
      <c r="AP31" s="264" t="s">
        <v>163</v>
      </c>
      <c r="AQ31" s="264" t="s">
        <v>163</v>
      </c>
      <c r="AR31" s="593" t="s">
        <v>3208</v>
      </c>
      <c r="AS31" s="483" t="str">
        <f>IF(COUNTA(AG31)=1,LEFT(D31,3),"")</f>
        <v>6-6</v>
      </c>
      <c r="AT31" s="485" t="str">
        <f>IF(AND(COUNTA(O31)=1,COUNTA(P31)=1,COUNTA(AC31)=1,COUNTA(AF31)=1,COUNTA(AG31)=0),LEFT(D31,3),"")</f>
        <v/>
      </c>
      <c r="AU31" s="487" t="str">
        <f>IF(AND(COUNTA(O31)=1,COUNTA(P31)=1,COUNTA(AC31)=1,COUNTA(AF31)=0,COUNTA(AG31)=0),LEFT(D31,3),"")</f>
        <v/>
      </c>
      <c r="AV31" s="489" t="str">
        <f>IF(AND(COUNTA(P31)=0,COUNTA(AC31)=1),LEFT(D31,3),"")</f>
        <v/>
      </c>
      <c r="AW31" s="491" t="str">
        <f>IF(AND(COUNTA(P31)=1,COUNTA(AC31)=0),LEFT(D31,3),"")</f>
        <v/>
      </c>
      <c r="AX31" s="493" t="str">
        <f>IF(AND(COUNTA(P31)=0,COUNTA(AC31)=0),LEFT(D31,3),"")</f>
        <v/>
      </c>
      <c r="AY31" s="514" t="str">
        <f>IFERROR(VLOOKUP(功能_33[[#This Row],[功能代號]],SIT_FT_2021tmp!D:D,1,FALSE),"")</f>
        <v>L6700</v>
      </c>
      <c r="AZ31" s="587">
        <v>44547</v>
      </c>
      <c r="BA31" s="587">
        <v>44547</v>
      </c>
      <c r="BB31" s="514" t="s">
        <v>3073</v>
      </c>
      <c r="BC31" s="265" t="s">
        <v>3009</v>
      </c>
      <c r="BD31" s="593"/>
      <c r="BE31" s="264" t="str">
        <f>IF(AND(COUNTIF(AY31,"&gt;&lt;0")=1,COUNTA(M31)=1),LEFT(D31,3),"")</f>
        <v>6-6</v>
      </c>
      <c r="BF31" s="264" t="str">
        <f>IF(AND(COUNTIF(AY31,"&gt;&lt;")=1,COUNTA(M31)=0),LEFT(D31,3),"")</f>
        <v/>
      </c>
      <c r="BG31" s="264" t="str">
        <f>IF(AND(COUNTIF(AY31,"&gt;&lt;0")=0,COUNTA(M31)=1),LEFT(D31,3),"")</f>
        <v/>
      </c>
      <c r="BH31" s="264" t="str">
        <f>IF(AND(COUNTIF(AY31,"&gt;&lt;0")=0,COUNTA(M31)=0),LEFT(D31,3),"")</f>
        <v/>
      </c>
    </row>
    <row r="32" spans="3:60" ht="13.5" x14ac:dyDescent="0.3">
      <c r="C32" s="265" t="s">
        <v>66</v>
      </c>
      <c r="D32" s="213" t="s">
        <v>2455</v>
      </c>
      <c r="E32" s="264" t="s">
        <v>211</v>
      </c>
      <c r="F32" s="265" t="s">
        <v>212</v>
      </c>
      <c r="G32" s="265"/>
      <c r="H32" s="264" t="s">
        <v>166</v>
      </c>
      <c r="I32" s="264" t="s">
        <v>176</v>
      </c>
      <c r="J32" s="212" t="s">
        <v>2754</v>
      </c>
      <c r="K32" s="212"/>
      <c r="L32" s="272">
        <v>44568</v>
      </c>
      <c r="M32" s="272">
        <v>44568</v>
      </c>
      <c r="N32" s="272">
        <v>44404</v>
      </c>
      <c r="O32" s="272">
        <v>44405</v>
      </c>
      <c r="P32" s="272">
        <f>IFERROR(IF(VLOOKUP(功能_33[[#This Row],[功能代號]],討論項目!A:H,8,FALSE)=0,"",VLOOKUP(功能_33[[#This Row],[功能代號]],討論項目!A:H,8,FALSE)),"")</f>
        <v>44428</v>
      </c>
      <c r="Q32" s="264" t="s">
        <v>6</v>
      </c>
      <c r="R32" s="264" t="s">
        <v>208</v>
      </c>
      <c r="S32" s="264" t="s">
        <v>208</v>
      </c>
      <c r="T32" s="265" t="s">
        <v>17</v>
      </c>
      <c r="X32" s="264"/>
      <c r="Z32" s="264"/>
      <c r="AA32" s="264"/>
      <c r="AB32" s="265" t="str">
        <f>VLOOKUP(功能_33[[#This Row],[User]],SKL放款!A:G,7,FALSE)</f>
        <v>放款審查課</v>
      </c>
      <c r="AC32" s="272">
        <v>44533</v>
      </c>
      <c r="AD32" s="272">
        <v>44470</v>
      </c>
      <c r="AE32" s="272">
        <f>IF(功能_33[[#This Row],[URS交二審]]=0,"",功能_33[[#This Row],[URS交二審]]+7)</f>
        <v>44477</v>
      </c>
      <c r="AF32" s="272">
        <f>IF(功能_33[[#This Row],[URS交二審]]=0,"",功能_33[[#This Row],[URS交二審]]+7)</f>
        <v>44477</v>
      </c>
      <c r="AG32" s="209">
        <v>44544</v>
      </c>
      <c r="AH32" s="272" t="s">
        <v>169</v>
      </c>
      <c r="AI32" s="272"/>
      <c r="AJ32" s="322"/>
      <c r="AK32" s="272">
        <f>IFERROR(IF(VLOOKUP(功能_33[[#This Row],[功能代號]],E:U,11,FALSE)=0,"",VLOOKUP(功能_33[[#This Row],[功能代號]],E:U,11,FALSE)),"")</f>
        <v>44405</v>
      </c>
      <c r="AL32" s="272"/>
      <c r="AM32" s="272"/>
      <c r="AN32" s="265"/>
      <c r="AP32" s="264">
        <v>213</v>
      </c>
      <c r="AQ32" s="265" t="s">
        <v>213</v>
      </c>
      <c r="AR32" s="593" t="s">
        <v>3207</v>
      </c>
      <c r="AS32" s="483" t="str">
        <f>IF(COUNTA(AG32)=1,LEFT(D32,3),"")</f>
        <v>2-2</v>
      </c>
      <c r="AT32" s="485" t="str">
        <f>IF(AND(COUNTA(O32)=1,COUNTA(P32)=1,COUNTA(AC32)=1,COUNTA(AF32)=1,COUNTA(AG32)=0),LEFT(D32,3),"")</f>
        <v/>
      </c>
      <c r="AU32" s="487" t="str">
        <f>IF(AND(COUNTA(O32)=1,COUNTA(P32)=1,COUNTA(AC32)=1,COUNTA(AF32)=0,COUNTA(AG32)=0),LEFT(D32,3),"")</f>
        <v/>
      </c>
      <c r="AV32" s="489" t="str">
        <f>IF(AND(COUNTA(P32)=0,COUNTA(AC32)=1),LEFT(D32,3),"")</f>
        <v/>
      </c>
      <c r="AW32" s="491" t="str">
        <f>IF(AND(COUNTA(P32)=1,COUNTA(AC32)=0),LEFT(D32,3),"")</f>
        <v/>
      </c>
      <c r="AX32" s="493" t="str">
        <f>IF(AND(COUNTA(P32)=0,COUNTA(AC32)=0),LEFT(D32,3),"")</f>
        <v/>
      </c>
      <c r="AY32" s="514" t="str">
        <f>IFERROR(VLOOKUP(功能_33[[#This Row],[功能代號]],SIT_FT_2021tmp!D:D,1,FALSE),"")</f>
        <v>L2921</v>
      </c>
      <c r="AZ32" s="587">
        <v>44547</v>
      </c>
      <c r="BA32" s="587">
        <v>44547</v>
      </c>
      <c r="BB32" s="514" t="s">
        <v>3073</v>
      </c>
      <c r="BC32" s="265" t="s">
        <v>3009</v>
      </c>
      <c r="BD32" s="593"/>
      <c r="BE32" s="264" t="str">
        <f>IF(AND(COUNTIF(AY32,"&gt;&lt;0")=1,COUNTA(M32)=1),LEFT(D32,3),"")</f>
        <v>2-2</v>
      </c>
      <c r="BF32" s="264" t="str">
        <f>IF(AND(COUNTIF(AY32,"&gt;&lt;")=1,COUNTA(M32)=0),LEFT(D32,3),"")</f>
        <v/>
      </c>
      <c r="BG32" s="264" t="str">
        <f>IF(AND(COUNTIF(AY32,"&gt;&lt;0")=0,COUNTA(M32)=1),LEFT(D32,3),"")</f>
        <v/>
      </c>
      <c r="BH32" s="264" t="str">
        <f>IF(AND(COUNTIF(AY32,"&gt;&lt;0")=0,COUNTA(M32)=0),LEFT(D32,3),"")</f>
        <v/>
      </c>
    </row>
    <row r="33" spans="3:60" ht="13.5" x14ac:dyDescent="0.3">
      <c r="C33" s="265" t="s">
        <v>66</v>
      </c>
      <c r="D33" s="213" t="s">
        <v>2455</v>
      </c>
      <c r="E33" s="264" t="s">
        <v>214</v>
      </c>
      <c r="F33" s="265" t="s">
        <v>215</v>
      </c>
      <c r="G33" s="265"/>
      <c r="H33" s="264" t="s">
        <v>166</v>
      </c>
      <c r="I33" s="264" t="s">
        <v>176</v>
      </c>
      <c r="J33" s="212" t="s">
        <v>3108</v>
      </c>
      <c r="K33" s="212" t="s">
        <v>3107</v>
      </c>
      <c r="L33" s="272">
        <v>44568</v>
      </c>
      <c r="M33" s="272">
        <v>44568</v>
      </c>
      <c r="N33" s="272">
        <v>44404</v>
      </c>
      <c r="O33" s="272">
        <v>44405</v>
      </c>
      <c r="P33" s="272">
        <f>IFERROR(IF(VLOOKUP(功能_33[[#This Row],[功能代號]],討論項目!A:H,8,FALSE)=0,"",VLOOKUP(功能_33[[#This Row],[功能代號]],討論項目!A:H,8,FALSE)),"")</f>
        <v>44428</v>
      </c>
      <c r="Q33" s="264" t="s">
        <v>6</v>
      </c>
      <c r="R33" s="264" t="s">
        <v>208</v>
      </c>
      <c r="S33" s="264" t="s">
        <v>208</v>
      </c>
      <c r="T33" s="265" t="s">
        <v>17</v>
      </c>
      <c r="X33" s="264"/>
      <c r="Z33" s="264"/>
      <c r="AA33" s="264"/>
      <c r="AB33" s="265" t="str">
        <f>VLOOKUP(功能_33[[#This Row],[User]],SKL放款!A:G,7,FALSE)</f>
        <v>放款審查課</v>
      </c>
      <c r="AC33" s="272">
        <v>44533</v>
      </c>
      <c r="AD33" s="272">
        <v>44470</v>
      </c>
      <c r="AE33" s="272">
        <f>IF(功能_33[[#This Row],[URS交二審]]=0,"",功能_33[[#This Row],[URS交二審]]+7)</f>
        <v>44477</v>
      </c>
      <c r="AF33" s="272">
        <f>IF(功能_33[[#This Row],[URS交二審]]=0,"",功能_33[[#This Row],[URS交二審]]+7)</f>
        <v>44477</v>
      </c>
      <c r="AG33" s="209" t="s">
        <v>3106</v>
      </c>
      <c r="AH33" s="272" t="s">
        <v>169</v>
      </c>
      <c r="AI33" s="272"/>
      <c r="AJ33" s="322"/>
      <c r="AK33" s="272">
        <f>IFERROR(IF(VLOOKUP(功能_33[[#This Row],[功能代號]],E:U,11,FALSE)=0,"",VLOOKUP(功能_33[[#This Row],[功能代號]],E:U,11,FALSE)),"")</f>
        <v>44405</v>
      </c>
      <c r="AL33" s="272"/>
      <c r="AM33" s="272"/>
      <c r="AN33" s="265"/>
      <c r="AP33" s="264">
        <v>355</v>
      </c>
      <c r="AQ33" s="265" t="s">
        <v>216</v>
      </c>
      <c r="AR33" s="593" t="s">
        <v>3215</v>
      </c>
      <c r="AS33" s="483" t="str">
        <f>IF(COUNTA(AG33)=1,LEFT(D33,3),"")</f>
        <v>2-2</v>
      </c>
      <c r="AT33" s="485" t="str">
        <f>IF(AND(COUNTA(O33)=1,COUNTA(P33)=1,COUNTA(AC33)=1,COUNTA(AF33)=1,COUNTA(AG33)=0),LEFT(D33,3),"")</f>
        <v/>
      </c>
      <c r="AU33" s="487" t="str">
        <f>IF(AND(COUNTA(O33)=1,COUNTA(P33)=1,COUNTA(AC33)=1,COUNTA(AF33)=0,COUNTA(AG33)=0),LEFT(D33,3),"")</f>
        <v/>
      </c>
      <c r="AV33" s="489" t="str">
        <f>IF(AND(COUNTA(P33)=0,COUNTA(AC33)=1),LEFT(D33,3),"")</f>
        <v/>
      </c>
      <c r="AW33" s="491" t="str">
        <f>IF(AND(COUNTA(P33)=1,COUNTA(AC33)=0),LEFT(D33,3),"")</f>
        <v/>
      </c>
      <c r="AX33" s="493" t="str">
        <f>IF(AND(COUNTA(P33)=0,COUNTA(AC33)=0),LEFT(D33,3),"")</f>
        <v/>
      </c>
      <c r="AY33" s="514" t="str">
        <f>IFERROR(VLOOKUP(功能_33[[#This Row],[功能代號]],SIT_FT_2021tmp!D:D,1,FALSE),"")</f>
        <v>L2801</v>
      </c>
      <c r="AZ33" s="587">
        <v>44547</v>
      </c>
      <c r="BA33" s="587">
        <v>44547</v>
      </c>
      <c r="BB33" s="514" t="s">
        <v>3073</v>
      </c>
      <c r="BC33" s="265" t="s">
        <v>3009</v>
      </c>
      <c r="BD33" s="593"/>
      <c r="BE33" s="264" t="str">
        <f>IF(AND(COUNTIF(AY33,"&gt;&lt;0")=1,COUNTA(M33)=1),LEFT(D33,3),"")</f>
        <v>2-2</v>
      </c>
      <c r="BF33" s="264" t="str">
        <f>IF(AND(COUNTIF(AY33,"&gt;&lt;")=1,COUNTA(M33)=0),LEFT(D33,3),"")</f>
        <v/>
      </c>
      <c r="BG33" s="264" t="str">
        <f>IF(AND(COUNTIF(AY33,"&gt;&lt;0")=0,COUNTA(M33)=1),LEFT(D33,3),"")</f>
        <v/>
      </c>
      <c r="BH33" s="264" t="str">
        <f>IF(AND(COUNTIF(AY33,"&gt;&lt;0")=0,COUNTA(M33)=0),LEFT(D33,3),"")</f>
        <v/>
      </c>
    </row>
    <row r="34" spans="3:60" ht="13.5" x14ac:dyDescent="0.3">
      <c r="C34" s="265" t="s">
        <v>66</v>
      </c>
      <c r="D34" s="213" t="s">
        <v>2455</v>
      </c>
      <c r="E34" s="264" t="s">
        <v>217</v>
      </c>
      <c r="F34" s="265" t="s">
        <v>218</v>
      </c>
      <c r="G34" s="265"/>
      <c r="H34" s="264" t="s">
        <v>166</v>
      </c>
      <c r="I34" s="264" t="s">
        <v>167</v>
      </c>
      <c r="J34" s="212" t="s">
        <v>2754</v>
      </c>
      <c r="K34" s="212"/>
      <c r="L34" s="272">
        <v>44568</v>
      </c>
      <c r="M34" s="272">
        <v>44568</v>
      </c>
      <c r="N34" s="272">
        <v>44431</v>
      </c>
      <c r="O34" s="272">
        <v>44431</v>
      </c>
      <c r="P34" s="272">
        <v>44533</v>
      </c>
      <c r="Q34" s="264" t="s">
        <v>1</v>
      </c>
      <c r="R34" s="264" t="s">
        <v>7</v>
      </c>
      <c r="S34" s="264" t="s">
        <v>7</v>
      </c>
      <c r="T34" s="265" t="s">
        <v>199</v>
      </c>
      <c r="X34" s="264"/>
      <c r="Z34" s="264"/>
      <c r="AA34" s="264"/>
      <c r="AB34" s="265" t="str">
        <f>VLOOKUP(功能_33[[#This Row],[User]],SKL放款!A:G,7,FALSE)</f>
        <v>放款推展課</v>
      </c>
      <c r="AC34" s="272">
        <v>44533</v>
      </c>
      <c r="AD34" s="272">
        <v>44477</v>
      </c>
      <c r="AE34" s="272">
        <v>44477</v>
      </c>
      <c r="AF34" s="272">
        <v>44477</v>
      </c>
      <c r="AG34" s="209">
        <v>44544</v>
      </c>
      <c r="AH34" s="272" t="s">
        <v>169</v>
      </c>
      <c r="AI34" s="272"/>
      <c r="AJ34" s="322"/>
      <c r="AK34" s="272">
        <f>IFERROR(IF(VLOOKUP(功能_33[[#This Row],[功能代號]],E:U,11,FALSE)=0,"",VLOOKUP(功能_33[[#This Row],[功能代號]],E:U,11,FALSE)),"")</f>
        <v>44431</v>
      </c>
      <c r="AL34" s="272"/>
      <c r="AM34" s="272"/>
      <c r="AN34" s="265"/>
      <c r="AP34" s="264" t="s">
        <v>163</v>
      </c>
      <c r="AQ34" s="264" t="s">
        <v>163</v>
      </c>
      <c r="AR34" s="593" t="s">
        <v>3207</v>
      </c>
      <c r="AS34" s="483" t="str">
        <f>IF(COUNTA(AG34)=1,LEFT(D34,3),"")</f>
        <v>2-2</v>
      </c>
      <c r="AT34" s="485" t="str">
        <f>IF(AND(COUNTA(O34)=1,COUNTA(P34)=1,COUNTA(AC34)=1,COUNTA(AF34)=1,COUNTA(AG34)=0),LEFT(D34,3),"")</f>
        <v/>
      </c>
      <c r="AU34" s="487" t="str">
        <f>IF(AND(COUNTA(O34)=1,COUNTA(P34)=1,COUNTA(AC34)=1,COUNTA(AF34)=0,COUNTA(AG34)=0),LEFT(D34,3),"")</f>
        <v/>
      </c>
      <c r="AV34" s="489" t="str">
        <f>IF(AND(COUNTA(P34)=0,COUNTA(AC34)=1),LEFT(D34,3),"")</f>
        <v/>
      </c>
      <c r="AW34" s="491" t="str">
        <f>IF(AND(COUNTA(P34)=1,COUNTA(AC34)=0),LEFT(D34,3),"")</f>
        <v/>
      </c>
      <c r="AX34" s="493" t="str">
        <f>IF(AND(COUNTA(P34)=0,COUNTA(AC34)=0),LEFT(D34,3),"")</f>
        <v/>
      </c>
      <c r="AY34" s="514" t="str">
        <f>IFERROR(VLOOKUP(功能_33[[#This Row],[功能代號]],SIT_FT_2021tmp!D:D,1,FALSE),"")</f>
        <v>L2018</v>
      </c>
      <c r="AZ34" s="587">
        <v>44554</v>
      </c>
      <c r="BA34" s="587">
        <v>44554</v>
      </c>
      <c r="BB34" s="514" t="s">
        <v>3073</v>
      </c>
      <c r="BC34" s="265" t="s">
        <v>3007</v>
      </c>
      <c r="BD34" s="593"/>
      <c r="BE34" s="264" t="str">
        <f>IF(AND(COUNTIF(AY34,"&gt;&lt;0")=1,COUNTA(M34)=1),LEFT(D34,3),"")</f>
        <v>2-2</v>
      </c>
      <c r="BF34" s="264" t="str">
        <f>IF(AND(COUNTIF(AY34,"&gt;&lt;")=1,COUNTA(M34)=0),LEFT(D34,3),"")</f>
        <v/>
      </c>
      <c r="BG34" s="264" t="str">
        <f>IF(AND(COUNTIF(AY34,"&gt;&lt;0")=0,COUNTA(M34)=1),LEFT(D34,3),"")</f>
        <v/>
      </c>
      <c r="BH34" s="264" t="str">
        <f>IF(AND(COUNTIF(AY34,"&gt;&lt;0")=0,COUNTA(M34)=0),LEFT(D34,3),"")</f>
        <v/>
      </c>
    </row>
    <row r="35" spans="3:60" ht="13.5" x14ac:dyDescent="0.3">
      <c r="C35" s="265" t="s">
        <v>66</v>
      </c>
      <c r="D35" s="213" t="s">
        <v>2455</v>
      </c>
      <c r="E35" s="264" t="s">
        <v>219</v>
      </c>
      <c r="F35" s="265" t="s">
        <v>220</v>
      </c>
      <c r="G35" s="265"/>
      <c r="H35" s="264" t="s">
        <v>166</v>
      </c>
      <c r="I35" s="264" t="s">
        <v>167</v>
      </c>
      <c r="J35" s="212" t="s">
        <v>2949</v>
      </c>
      <c r="K35" s="212" t="s">
        <v>2990</v>
      </c>
      <c r="L35" s="272">
        <v>44568</v>
      </c>
      <c r="M35" s="272">
        <v>44568</v>
      </c>
      <c r="N35" s="272">
        <v>44431</v>
      </c>
      <c r="O35" s="272">
        <v>44431</v>
      </c>
      <c r="P35" s="272">
        <v>44533</v>
      </c>
      <c r="Q35" s="264" t="s">
        <v>1</v>
      </c>
      <c r="R35" s="264" t="s">
        <v>7</v>
      </c>
      <c r="S35" s="264" t="s">
        <v>7</v>
      </c>
      <c r="T35" s="265" t="s">
        <v>199</v>
      </c>
      <c r="X35" s="264"/>
      <c r="Z35" s="264"/>
      <c r="AA35" s="264"/>
      <c r="AB35" s="265" t="str">
        <f>VLOOKUP(功能_33[[#This Row],[User]],SKL放款!A:G,7,FALSE)</f>
        <v>放款推展課</v>
      </c>
      <c r="AC35" s="272">
        <v>44533</v>
      </c>
      <c r="AD35" s="272">
        <v>44477</v>
      </c>
      <c r="AE35" s="272">
        <v>44477</v>
      </c>
      <c r="AF35" s="272">
        <v>44477</v>
      </c>
      <c r="AG35" s="209" t="s">
        <v>2965</v>
      </c>
      <c r="AH35" s="272" t="s">
        <v>169</v>
      </c>
      <c r="AI35" s="272"/>
      <c r="AJ35" s="322"/>
      <c r="AK35" s="272">
        <f>IFERROR(IF(VLOOKUP(功能_33[[#This Row],[功能代號]],E:U,11,FALSE)=0,"",VLOOKUP(功能_33[[#This Row],[功能代號]],E:U,11,FALSE)),"")</f>
        <v>44431</v>
      </c>
      <c r="AL35" s="272"/>
      <c r="AM35" s="272"/>
      <c r="AN35" s="265"/>
      <c r="AP35" s="264" t="s">
        <v>163</v>
      </c>
      <c r="AQ35" s="264" t="s">
        <v>163</v>
      </c>
      <c r="AR35" s="593" t="s">
        <v>3207</v>
      </c>
      <c r="AS35" s="483" t="str">
        <f>IF(COUNTA(AG35)=1,LEFT(D35,3),"")</f>
        <v>2-2</v>
      </c>
      <c r="AT35" s="485" t="str">
        <f>IF(AND(COUNTA(O35)=1,COUNTA(P35)=1,COUNTA(AC35)=1,COUNTA(AF35)=1,COUNTA(AG35)=0),LEFT(D35,3),"")</f>
        <v/>
      </c>
      <c r="AU35" s="487" t="str">
        <f>IF(AND(COUNTA(O35)=1,COUNTA(P35)=1,COUNTA(AC35)=1,COUNTA(AF35)=0,COUNTA(AG35)=0),LEFT(D35,3),"")</f>
        <v/>
      </c>
      <c r="AV35" s="489" t="str">
        <f>IF(AND(COUNTA(P35)=0,COUNTA(AC35)=1),LEFT(D35,3),"")</f>
        <v/>
      </c>
      <c r="AW35" s="491" t="str">
        <f>IF(AND(COUNTA(P35)=1,COUNTA(AC35)=0),LEFT(D35,3),"")</f>
        <v/>
      </c>
      <c r="AX35" s="493" t="str">
        <f>IF(AND(COUNTA(P35)=0,COUNTA(AC35)=0),LEFT(D35,3),"")</f>
        <v/>
      </c>
      <c r="AY35" s="514" t="str">
        <f>IFERROR(VLOOKUP(功能_33[[#This Row],[功能代號]],SIT_FT_2021tmp!D:D,1,FALSE),"")</f>
        <v>L2118</v>
      </c>
      <c r="AZ35" s="587">
        <v>44554</v>
      </c>
      <c r="BA35" s="587">
        <v>44554</v>
      </c>
      <c r="BB35" s="514" t="s">
        <v>3073</v>
      </c>
      <c r="BC35" s="265" t="s">
        <v>3007</v>
      </c>
      <c r="BD35" s="593"/>
      <c r="BE35" s="264" t="str">
        <f>IF(AND(COUNTIF(AY35,"&gt;&lt;0")=1,COUNTA(M35)=1),LEFT(D35,3),"")</f>
        <v>2-2</v>
      </c>
      <c r="BF35" s="264" t="str">
        <f>IF(AND(COUNTIF(AY35,"&gt;&lt;")=1,COUNTA(M35)=0),LEFT(D35,3),"")</f>
        <v/>
      </c>
      <c r="BG35" s="264" t="str">
        <f>IF(AND(COUNTIF(AY35,"&gt;&lt;0")=0,COUNTA(M35)=1),LEFT(D35,3),"")</f>
        <v/>
      </c>
      <c r="BH35" s="264" t="str">
        <f>IF(AND(COUNTIF(AY35,"&gt;&lt;0")=0,COUNTA(M35)=0),LEFT(D35,3),"")</f>
        <v/>
      </c>
    </row>
    <row r="36" spans="3:60" ht="13.5" x14ac:dyDescent="0.3">
      <c r="C36" s="265" t="s">
        <v>66</v>
      </c>
      <c r="D36" s="213" t="s">
        <v>2455</v>
      </c>
      <c r="E36" s="264" t="s">
        <v>221</v>
      </c>
      <c r="F36" s="265" t="s">
        <v>222</v>
      </c>
      <c r="G36" s="265"/>
      <c r="H36" s="264" t="s">
        <v>166</v>
      </c>
      <c r="I36" s="264" t="s">
        <v>167</v>
      </c>
      <c r="J36" s="212" t="s">
        <v>2754</v>
      </c>
      <c r="K36" s="212"/>
      <c r="L36" s="272">
        <v>44568</v>
      </c>
      <c r="M36" s="272">
        <v>44568</v>
      </c>
      <c r="N36" s="272">
        <v>44431</v>
      </c>
      <c r="O36" s="272">
        <v>44431</v>
      </c>
      <c r="P36" s="272">
        <v>44533</v>
      </c>
      <c r="Q36" s="264" t="s">
        <v>1</v>
      </c>
      <c r="R36" s="264" t="s">
        <v>7</v>
      </c>
      <c r="S36" s="264" t="s">
        <v>7</v>
      </c>
      <c r="T36" s="265" t="s">
        <v>199</v>
      </c>
      <c r="X36" s="264"/>
      <c r="Z36" s="264"/>
      <c r="AA36" s="264"/>
      <c r="AB36" s="265" t="str">
        <f>VLOOKUP(功能_33[[#This Row],[User]],SKL放款!A:G,7,FALSE)</f>
        <v>放款推展課</v>
      </c>
      <c r="AC36" s="272">
        <v>44533</v>
      </c>
      <c r="AD36" s="272">
        <v>44477</v>
      </c>
      <c r="AE36" s="272">
        <v>44477</v>
      </c>
      <c r="AF36" s="272">
        <v>44477</v>
      </c>
      <c r="AG36" s="209">
        <v>44544</v>
      </c>
      <c r="AH36" s="272" t="s">
        <v>169</v>
      </c>
      <c r="AI36" s="272"/>
      <c r="AJ36" s="322"/>
      <c r="AK36" s="272">
        <f>IFERROR(IF(VLOOKUP(功能_33[[#This Row],[功能代號]],E:U,11,FALSE)=0,"",VLOOKUP(功能_33[[#This Row],[功能代號]],E:U,11,FALSE)),"")</f>
        <v>44431</v>
      </c>
      <c r="AL36" s="272"/>
      <c r="AM36" s="272"/>
      <c r="AN36" s="265"/>
      <c r="AP36" s="264" t="s">
        <v>163</v>
      </c>
      <c r="AQ36" s="264" t="s">
        <v>163</v>
      </c>
      <c r="AR36" s="593" t="s">
        <v>3207</v>
      </c>
      <c r="AS36" s="483" t="str">
        <f>IF(COUNTA(AG36)=1,LEFT(D36,3),"")</f>
        <v>2-2</v>
      </c>
      <c r="AT36" s="485" t="str">
        <f>IF(AND(COUNTA(O36)=1,COUNTA(P36)=1,COUNTA(AC36)=1,COUNTA(AF36)=1,COUNTA(AG36)=0),LEFT(D36,3),"")</f>
        <v/>
      </c>
      <c r="AU36" s="487" t="str">
        <f>IF(AND(COUNTA(O36)=1,COUNTA(P36)=1,COUNTA(AC36)=1,COUNTA(AF36)=0,COUNTA(AG36)=0),LEFT(D36,3),"")</f>
        <v/>
      </c>
      <c r="AV36" s="489" t="str">
        <f>IF(AND(COUNTA(P36)=0,COUNTA(AC36)=1),LEFT(D36,3),"")</f>
        <v/>
      </c>
      <c r="AW36" s="491" t="str">
        <f>IF(AND(COUNTA(P36)=1,COUNTA(AC36)=0),LEFT(D36,3),"")</f>
        <v/>
      </c>
      <c r="AX36" s="493" t="str">
        <f>IF(AND(COUNTA(P36)=0,COUNTA(AC36)=0),LEFT(D36,3),"")</f>
        <v/>
      </c>
      <c r="AY36" s="514" t="str">
        <f>IFERROR(VLOOKUP(功能_33[[#This Row],[功能代號]],SIT_FT_2021tmp!D:D,1,FALSE),"")</f>
        <v>L291A</v>
      </c>
      <c r="AZ36" s="587">
        <v>44554</v>
      </c>
      <c r="BA36" s="587">
        <v>44554</v>
      </c>
      <c r="BB36" s="514" t="s">
        <v>3073</v>
      </c>
      <c r="BC36" s="265" t="s">
        <v>3007</v>
      </c>
      <c r="BD36" s="593"/>
      <c r="BE36" s="264" t="str">
        <f>IF(AND(COUNTIF(AY36,"&gt;&lt;0")=1,COUNTA(M36)=1),LEFT(D36,3),"")</f>
        <v>2-2</v>
      </c>
      <c r="BF36" s="264" t="str">
        <f>IF(AND(COUNTIF(AY36,"&gt;&lt;")=1,COUNTA(M36)=0),LEFT(D36,3),"")</f>
        <v/>
      </c>
      <c r="BG36" s="264" t="str">
        <f>IF(AND(COUNTIF(AY36,"&gt;&lt;0")=0,COUNTA(M36)=1),LEFT(D36,3),"")</f>
        <v/>
      </c>
      <c r="BH36" s="264" t="str">
        <f>IF(AND(COUNTIF(AY36,"&gt;&lt;0")=0,COUNTA(M36)=0),LEFT(D36,3),"")</f>
        <v/>
      </c>
    </row>
    <row r="37" spans="3:60" ht="13.5" x14ac:dyDescent="0.3">
      <c r="C37" s="265" t="s">
        <v>66</v>
      </c>
      <c r="D37" s="213" t="s">
        <v>2455</v>
      </c>
      <c r="E37" s="264" t="s">
        <v>223</v>
      </c>
      <c r="F37" s="265" t="s">
        <v>224</v>
      </c>
      <c r="G37" s="265"/>
      <c r="H37" s="264" t="s">
        <v>166</v>
      </c>
      <c r="I37" s="264" t="s">
        <v>167</v>
      </c>
      <c r="J37" s="212" t="s">
        <v>2754</v>
      </c>
      <c r="K37" s="212"/>
      <c r="L37" s="272">
        <v>44568</v>
      </c>
      <c r="M37" s="272">
        <v>44568</v>
      </c>
      <c r="N37" s="272">
        <v>44431</v>
      </c>
      <c r="O37" s="272">
        <v>44431</v>
      </c>
      <c r="P37" s="272">
        <v>44533</v>
      </c>
      <c r="Q37" s="264" t="s">
        <v>1</v>
      </c>
      <c r="R37" s="264" t="s">
        <v>7</v>
      </c>
      <c r="S37" s="264" t="s">
        <v>7</v>
      </c>
      <c r="T37" s="265" t="s">
        <v>199</v>
      </c>
      <c r="X37" s="264"/>
      <c r="Z37" s="264"/>
      <c r="AA37" s="264"/>
      <c r="AB37" s="265" t="str">
        <f>VLOOKUP(功能_33[[#This Row],[User]],SKL放款!A:G,7,FALSE)</f>
        <v>放款推展課</v>
      </c>
      <c r="AC37" s="272">
        <v>44533</v>
      </c>
      <c r="AD37" s="272">
        <v>44477</v>
      </c>
      <c r="AE37" s="272">
        <v>44477</v>
      </c>
      <c r="AF37" s="272">
        <v>44477</v>
      </c>
      <c r="AG37" s="209">
        <v>44544</v>
      </c>
      <c r="AH37" s="272" t="s">
        <v>169</v>
      </c>
      <c r="AI37" s="272"/>
      <c r="AJ37" s="322"/>
      <c r="AK37" s="272">
        <f>IFERROR(IF(VLOOKUP(功能_33[[#This Row],[功能代號]],E:U,11,FALSE)=0,"",VLOOKUP(功能_33[[#This Row],[功能代號]],E:U,11,FALSE)),"")</f>
        <v>44431</v>
      </c>
      <c r="AL37" s="272"/>
      <c r="AM37" s="272"/>
      <c r="AN37" s="265"/>
      <c r="AP37" s="264" t="s">
        <v>163</v>
      </c>
      <c r="AQ37" s="264" t="s">
        <v>163</v>
      </c>
      <c r="AR37" s="593" t="s">
        <v>3207</v>
      </c>
      <c r="AS37" s="483" t="str">
        <f>IF(COUNTA(AG37)=1,LEFT(D37,3),"")</f>
        <v>2-2</v>
      </c>
      <c r="AT37" s="485" t="str">
        <f>IF(AND(COUNTA(O37)=1,COUNTA(P37)=1,COUNTA(AC37)=1,COUNTA(AF37)=1,COUNTA(AG37)=0),LEFT(D37,3),"")</f>
        <v/>
      </c>
      <c r="AU37" s="487" t="str">
        <f>IF(AND(COUNTA(O37)=1,COUNTA(P37)=1,COUNTA(AC37)=1,COUNTA(AF37)=0,COUNTA(AG37)=0),LEFT(D37,3),"")</f>
        <v/>
      </c>
      <c r="AV37" s="489" t="str">
        <f>IF(AND(COUNTA(P37)=0,COUNTA(AC37)=1),LEFT(D37,3),"")</f>
        <v/>
      </c>
      <c r="AW37" s="491" t="str">
        <f>IF(AND(COUNTA(P37)=1,COUNTA(AC37)=0),LEFT(D37,3),"")</f>
        <v/>
      </c>
      <c r="AX37" s="493" t="str">
        <f>IF(AND(COUNTA(P37)=0,COUNTA(AC37)=0),LEFT(D37,3),"")</f>
        <v/>
      </c>
      <c r="AY37" s="514" t="str">
        <f>IFERROR(VLOOKUP(功能_33[[#This Row],[功能代號]],SIT_FT_2021tmp!D:D,1,FALSE),"")</f>
        <v>L2019</v>
      </c>
      <c r="AZ37" s="587">
        <v>44560</v>
      </c>
      <c r="BA37" s="587">
        <v>44560</v>
      </c>
      <c r="BB37" s="514" t="s">
        <v>3073</v>
      </c>
      <c r="BC37" s="265" t="s">
        <v>3010</v>
      </c>
      <c r="BD37" s="593"/>
      <c r="BE37" s="264" t="str">
        <f>IF(AND(COUNTIF(AY37,"&gt;&lt;0")=1,COUNTA(M37)=1),LEFT(D37,3),"")</f>
        <v>2-2</v>
      </c>
      <c r="BF37" s="264" t="str">
        <f>IF(AND(COUNTIF(AY37,"&gt;&lt;")=1,COUNTA(M37)=0),LEFT(D37,3),"")</f>
        <v/>
      </c>
      <c r="BG37" s="264" t="str">
        <f>IF(AND(COUNTIF(AY37,"&gt;&lt;0")=0,COUNTA(M37)=1),LEFT(D37,3),"")</f>
        <v/>
      </c>
      <c r="BH37" s="264" t="str">
        <f>IF(AND(COUNTIF(AY37,"&gt;&lt;0")=0,COUNTA(M37)=0),LEFT(D37,3),"")</f>
        <v/>
      </c>
    </row>
    <row r="38" spans="3:60" ht="13.5" x14ac:dyDescent="0.3">
      <c r="C38" s="265" t="s">
        <v>66</v>
      </c>
      <c r="D38" s="213" t="s">
        <v>2455</v>
      </c>
      <c r="E38" s="264" t="s">
        <v>225</v>
      </c>
      <c r="F38" s="265" t="s">
        <v>226</v>
      </c>
      <c r="G38" s="265"/>
      <c r="H38" s="264" t="s">
        <v>166</v>
      </c>
      <c r="I38" s="264" t="s">
        <v>167</v>
      </c>
      <c r="J38" s="212" t="s">
        <v>2754</v>
      </c>
      <c r="K38" s="212"/>
      <c r="L38" s="272">
        <v>44568</v>
      </c>
      <c r="M38" s="272">
        <v>44568</v>
      </c>
      <c r="N38" s="272">
        <v>44431</v>
      </c>
      <c r="O38" s="272">
        <v>44431</v>
      </c>
      <c r="P38" s="272">
        <v>44533</v>
      </c>
      <c r="Q38" s="264" t="s">
        <v>1</v>
      </c>
      <c r="R38" s="264" t="s">
        <v>7</v>
      </c>
      <c r="S38" s="264" t="s">
        <v>7</v>
      </c>
      <c r="T38" s="265" t="s">
        <v>199</v>
      </c>
      <c r="X38" s="264"/>
      <c r="Z38" s="264"/>
      <c r="AA38" s="264"/>
      <c r="AB38" s="265" t="str">
        <f>VLOOKUP(功能_33[[#This Row],[User]],SKL放款!A:G,7,FALSE)</f>
        <v>放款推展課</v>
      </c>
      <c r="AC38" s="272">
        <v>44533</v>
      </c>
      <c r="AD38" s="272">
        <v>44477</v>
      </c>
      <c r="AE38" s="272">
        <v>44477</v>
      </c>
      <c r="AF38" s="272">
        <v>44477</v>
      </c>
      <c r="AG38" s="209">
        <v>44544</v>
      </c>
      <c r="AH38" s="272" t="s">
        <v>169</v>
      </c>
      <c r="AI38" s="272"/>
      <c r="AJ38" s="322"/>
      <c r="AK38" s="272">
        <f>IFERROR(IF(VLOOKUP(功能_33[[#This Row],[功能代號]],E:U,11,FALSE)=0,"",VLOOKUP(功能_33[[#This Row],[功能代號]],E:U,11,FALSE)),"")</f>
        <v>44431</v>
      </c>
      <c r="AL38" s="272"/>
      <c r="AM38" s="272"/>
      <c r="AN38" s="265"/>
      <c r="AP38" s="264" t="s">
        <v>163</v>
      </c>
      <c r="AQ38" s="264" t="s">
        <v>163</v>
      </c>
      <c r="AR38" s="593" t="s">
        <v>3207</v>
      </c>
      <c r="AS38" s="483" t="str">
        <f>IF(COUNTA(AG38)=1,LEFT(D38,3),"")</f>
        <v>2-2</v>
      </c>
      <c r="AT38" s="485" t="str">
        <f>IF(AND(COUNTA(O38)=1,COUNTA(P38)=1,COUNTA(AC38)=1,COUNTA(AF38)=1,COUNTA(AG38)=0),LEFT(D38,3),"")</f>
        <v/>
      </c>
      <c r="AU38" s="487" t="str">
        <f>IF(AND(COUNTA(O38)=1,COUNTA(P38)=1,COUNTA(AC38)=1,COUNTA(AF38)=0,COUNTA(AG38)=0),LEFT(D38,3),"")</f>
        <v/>
      </c>
      <c r="AV38" s="489" t="str">
        <f>IF(AND(COUNTA(P38)=0,COUNTA(AC38)=1),LEFT(D38,3),"")</f>
        <v/>
      </c>
      <c r="AW38" s="491" t="str">
        <f>IF(AND(COUNTA(P38)=1,COUNTA(AC38)=0),LEFT(D38,3),"")</f>
        <v/>
      </c>
      <c r="AX38" s="493" t="str">
        <f>IF(AND(COUNTA(P38)=0,COUNTA(AC38)=0),LEFT(D38,3),"")</f>
        <v/>
      </c>
      <c r="AY38" s="514" t="str">
        <f>IFERROR(VLOOKUP(功能_33[[#This Row],[功能代號]],SIT_FT_2021tmp!D:D,1,FALSE),"")</f>
        <v>L2119</v>
      </c>
      <c r="AZ38" s="587">
        <v>44560</v>
      </c>
      <c r="BA38" s="587">
        <v>44560</v>
      </c>
      <c r="BB38" s="514" t="s">
        <v>3073</v>
      </c>
      <c r="BC38" s="265" t="s">
        <v>3010</v>
      </c>
      <c r="BD38" s="593"/>
      <c r="BE38" s="264" t="str">
        <f>IF(AND(COUNTIF(AY38,"&gt;&lt;0")=1,COUNTA(M38)=1),LEFT(D38,3),"")</f>
        <v>2-2</v>
      </c>
      <c r="BF38" s="264" t="str">
        <f>IF(AND(COUNTIF(AY38,"&gt;&lt;")=1,COUNTA(M38)=0),LEFT(D38,3),"")</f>
        <v/>
      </c>
      <c r="BG38" s="264" t="str">
        <f>IF(AND(COUNTIF(AY38,"&gt;&lt;0")=0,COUNTA(M38)=1),LEFT(D38,3),"")</f>
        <v/>
      </c>
      <c r="BH38" s="264" t="str">
        <f>IF(AND(COUNTIF(AY38,"&gt;&lt;0")=0,COUNTA(M38)=0),LEFT(D38,3),"")</f>
        <v/>
      </c>
    </row>
    <row r="39" spans="3:60" ht="13.5" x14ac:dyDescent="0.3">
      <c r="C39" s="265" t="s">
        <v>66</v>
      </c>
      <c r="D39" s="213" t="s">
        <v>2455</v>
      </c>
      <c r="E39" s="264" t="s">
        <v>227</v>
      </c>
      <c r="F39" s="265" t="s">
        <v>228</v>
      </c>
      <c r="G39" s="265"/>
      <c r="H39" s="264" t="s">
        <v>166</v>
      </c>
      <c r="I39" s="264" t="s">
        <v>167</v>
      </c>
      <c r="J39" s="212" t="s">
        <v>2754</v>
      </c>
      <c r="K39" s="212"/>
      <c r="L39" s="272">
        <v>44568</v>
      </c>
      <c r="M39" s="272">
        <v>44568</v>
      </c>
      <c r="N39" s="272">
        <v>44431</v>
      </c>
      <c r="O39" s="272">
        <v>44431</v>
      </c>
      <c r="P39" s="272">
        <v>44533</v>
      </c>
      <c r="Q39" s="264" t="s">
        <v>1</v>
      </c>
      <c r="R39" s="264" t="s">
        <v>7</v>
      </c>
      <c r="S39" s="264" t="s">
        <v>7</v>
      </c>
      <c r="T39" s="265" t="s">
        <v>199</v>
      </c>
      <c r="X39" s="264"/>
      <c r="Z39" s="264"/>
      <c r="AA39" s="264"/>
      <c r="AB39" s="265" t="str">
        <f>VLOOKUP(功能_33[[#This Row],[User]],SKL放款!A:G,7,FALSE)</f>
        <v>放款推展課</v>
      </c>
      <c r="AC39" s="272">
        <v>44533</v>
      </c>
      <c r="AD39" s="272">
        <v>44477</v>
      </c>
      <c r="AE39" s="272">
        <v>44477</v>
      </c>
      <c r="AF39" s="272">
        <v>44477</v>
      </c>
      <c r="AG39" s="209">
        <v>44544</v>
      </c>
      <c r="AH39" s="272" t="s">
        <v>169</v>
      </c>
      <c r="AI39" s="272"/>
      <c r="AJ39" s="322"/>
      <c r="AK39" s="272">
        <f>IFERROR(IF(VLOOKUP(功能_33[[#This Row],[功能代號]],E:U,11,FALSE)=0,"",VLOOKUP(功能_33[[#This Row],[功能代號]],E:U,11,FALSE)),"")</f>
        <v>44431</v>
      </c>
      <c r="AL39" s="272"/>
      <c r="AM39" s="272"/>
      <c r="AN39" s="265"/>
      <c r="AP39" s="264" t="s">
        <v>163</v>
      </c>
      <c r="AQ39" s="264" t="s">
        <v>163</v>
      </c>
      <c r="AR39" s="593" t="s">
        <v>3207</v>
      </c>
      <c r="AS39" s="483" t="str">
        <f>IF(COUNTA(AG39)=1,LEFT(D39,3),"")</f>
        <v>2-2</v>
      </c>
      <c r="AT39" s="485" t="str">
        <f>IF(AND(COUNTA(O39)=1,COUNTA(P39)=1,COUNTA(AC39)=1,COUNTA(AF39)=1,COUNTA(AG39)=0),LEFT(D39,3),"")</f>
        <v/>
      </c>
      <c r="AU39" s="487" t="str">
        <f>IF(AND(COUNTA(O39)=1,COUNTA(P39)=1,COUNTA(AC39)=1,COUNTA(AF39)=0,COUNTA(AG39)=0),LEFT(D39,3),"")</f>
        <v/>
      </c>
      <c r="AV39" s="489" t="str">
        <f>IF(AND(COUNTA(P39)=0,COUNTA(AC39)=1),LEFT(D39,3),"")</f>
        <v/>
      </c>
      <c r="AW39" s="491" t="str">
        <f>IF(AND(COUNTA(P39)=1,COUNTA(AC39)=0),LEFT(D39,3),"")</f>
        <v/>
      </c>
      <c r="AX39" s="493" t="str">
        <f>IF(AND(COUNTA(P39)=0,COUNTA(AC39)=0),LEFT(D39,3),"")</f>
        <v/>
      </c>
      <c r="AY39" s="514" t="str">
        <f>IFERROR(VLOOKUP(功能_33[[#This Row],[功能代號]],SIT_FT_2021tmp!D:D,1,FALSE),"")</f>
        <v>L291B</v>
      </c>
      <c r="AZ39" s="587">
        <v>44560</v>
      </c>
      <c r="BA39" s="587">
        <v>44560</v>
      </c>
      <c r="BB39" s="514" t="s">
        <v>3073</v>
      </c>
      <c r="BC39" s="265" t="s">
        <v>3010</v>
      </c>
      <c r="BD39" s="593"/>
      <c r="BE39" s="264" t="str">
        <f>IF(AND(COUNTIF(AY39,"&gt;&lt;0")=1,COUNTA(M39)=1),LEFT(D39,3),"")</f>
        <v>2-2</v>
      </c>
      <c r="BF39" s="264" t="str">
        <f>IF(AND(COUNTIF(AY39,"&gt;&lt;")=1,COUNTA(M39)=0),LEFT(D39,3),"")</f>
        <v/>
      </c>
      <c r="BG39" s="264" t="str">
        <f>IF(AND(COUNTIF(AY39,"&gt;&lt;0")=0,COUNTA(M39)=1),LEFT(D39,3),"")</f>
        <v/>
      </c>
      <c r="BH39" s="264" t="str">
        <f>IF(AND(COUNTIF(AY39,"&gt;&lt;0")=0,COUNTA(M39)=0),LEFT(D39,3),"")</f>
        <v/>
      </c>
    </row>
    <row r="40" spans="3:60" ht="13.5" x14ac:dyDescent="0.3">
      <c r="C40" s="265" t="s">
        <v>66</v>
      </c>
      <c r="D40" s="265" t="s">
        <v>2489</v>
      </c>
      <c r="E40" s="264" t="s">
        <v>229</v>
      </c>
      <c r="F40" s="265" t="s">
        <v>230</v>
      </c>
      <c r="G40" s="265"/>
      <c r="H40" s="264" t="s">
        <v>166</v>
      </c>
      <c r="I40" s="264" t="s">
        <v>176</v>
      </c>
      <c r="J40" s="212" t="s">
        <v>2583</v>
      </c>
      <c r="K40" s="212"/>
      <c r="L40" s="272">
        <v>44565</v>
      </c>
      <c r="M40" s="272">
        <v>44565</v>
      </c>
      <c r="N40" s="272">
        <v>44431</v>
      </c>
      <c r="O40" s="272">
        <v>44431</v>
      </c>
      <c r="P40" s="272">
        <v>44536</v>
      </c>
      <c r="Q40" s="264" t="s">
        <v>4</v>
      </c>
      <c r="R40" s="264" t="s">
        <v>7</v>
      </c>
      <c r="S40" s="264" t="s">
        <v>7</v>
      </c>
      <c r="T40" s="265" t="s">
        <v>199</v>
      </c>
      <c r="X40" s="264"/>
      <c r="Z40" s="264"/>
      <c r="AA40" s="264"/>
      <c r="AB40" s="265" t="str">
        <f>VLOOKUP(功能_33[[#This Row],[User]],SKL放款!A:G,7,FALSE)</f>
        <v>放款推展課</v>
      </c>
      <c r="AC40" s="272">
        <v>44533</v>
      </c>
      <c r="AD40" s="272">
        <v>44470</v>
      </c>
      <c r="AE40" s="272">
        <f>IF(功能_33[[#This Row],[URS交二審]]=0,"",功能_33[[#This Row],[URS交二審]]+7)</f>
        <v>44477</v>
      </c>
      <c r="AF40" s="272">
        <f>IF(功能_33[[#This Row],[URS交二審]]=0,"",功能_33[[#This Row],[URS交二審]]+7)</f>
        <v>44477</v>
      </c>
      <c r="AG40" s="209">
        <v>44539</v>
      </c>
      <c r="AH40" s="272" t="s">
        <v>169</v>
      </c>
      <c r="AI40" s="272"/>
      <c r="AJ40" s="322"/>
      <c r="AK40" s="272">
        <f>IFERROR(IF(VLOOKUP(功能_33[[#This Row],[功能代號]],E:U,11,FALSE)=0,"",VLOOKUP(功能_33[[#This Row],[功能代號]],E:U,11,FALSE)),"")</f>
        <v>44431</v>
      </c>
      <c r="AL40" s="272"/>
      <c r="AM40" s="272"/>
      <c r="AN40" s="265"/>
      <c r="AP40" s="264" t="s">
        <v>163</v>
      </c>
      <c r="AQ40" s="264" t="s">
        <v>163</v>
      </c>
      <c r="AR40" s="593" t="s">
        <v>3207</v>
      </c>
      <c r="AS40" s="483" t="str">
        <f>IF(COUNTA(AG40)=1,LEFT(D40,3),"")</f>
        <v>2-3</v>
      </c>
      <c r="AT40" s="485" t="str">
        <f>IF(AND(COUNTA(O40)=1,COUNTA(P40)=1,COUNTA(AC40)=1,COUNTA(AF40)=1,COUNTA(AG40)=0),LEFT(D40,3),"")</f>
        <v/>
      </c>
      <c r="AU40" s="487" t="str">
        <f>IF(AND(COUNTA(O40)=1,COUNTA(P40)=1,COUNTA(AC40)=1,COUNTA(AF40)=0,COUNTA(AG40)=0),LEFT(D40,3),"")</f>
        <v/>
      </c>
      <c r="AV40" s="489" t="str">
        <f>IF(AND(COUNTA(P40)=0,COUNTA(AC40)=1),LEFT(D40,3),"")</f>
        <v/>
      </c>
      <c r="AW40" s="491" t="str">
        <f>IF(AND(COUNTA(P40)=1,COUNTA(AC40)=0),LEFT(D40,3),"")</f>
        <v/>
      </c>
      <c r="AX40" s="493" t="str">
        <f>IF(AND(COUNTA(P40)=0,COUNTA(AC40)=0),LEFT(D40,3),"")</f>
        <v/>
      </c>
      <c r="AY40" s="514" t="str">
        <f>IFERROR(VLOOKUP(功能_33[[#This Row],[功能代號]],SIT_FT_2021tmp!D:D,1,FALSE),"")</f>
        <v>L2021</v>
      </c>
      <c r="AZ40" s="587">
        <v>44529</v>
      </c>
      <c r="BA40" s="587">
        <v>44529</v>
      </c>
      <c r="BB40" s="514" t="s">
        <v>3073</v>
      </c>
      <c r="BC40" s="265" t="s">
        <v>3011</v>
      </c>
      <c r="BD40" s="593"/>
      <c r="BE40" s="264" t="str">
        <f>IF(AND(COUNTIF(AY40,"&gt;&lt;0")=1,COUNTA(M40)=1),LEFT(D40,3),"")</f>
        <v>2-3</v>
      </c>
      <c r="BF40" s="264" t="str">
        <f>IF(AND(COUNTIF(AY40,"&gt;&lt;")=1,COUNTA(M40)=0),LEFT(D40,3),"")</f>
        <v/>
      </c>
      <c r="BG40" s="264" t="str">
        <f>IF(AND(COUNTIF(AY40,"&gt;&lt;0")=0,COUNTA(M40)=1),LEFT(D40,3),"")</f>
        <v/>
      </c>
      <c r="BH40" s="264" t="str">
        <f>IF(AND(COUNTIF(AY40,"&gt;&lt;0")=0,COUNTA(M40)=0),LEFT(D40,3),"")</f>
        <v/>
      </c>
    </row>
    <row r="41" spans="3:60" ht="13.5" x14ac:dyDescent="0.3">
      <c r="C41" s="265" t="s">
        <v>66</v>
      </c>
      <c r="D41" s="265" t="s">
        <v>2489</v>
      </c>
      <c r="E41" s="264" t="s">
        <v>231</v>
      </c>
      <c r="F41" s="265" t="s">
        <v>232</v>
      </c>
      <c r="G41" s="265"/>
      <c r="H41" s="264" t="s">
        <v>166</v>
      </c>
      <c r="I41" s="264" t="s">
        <v>176</v>
      </c>
      <c r="J41" s="212" t="s">
        <v>2583</v>
      </c>
      <c r="K41" s="212"/>
      <c r="L41" s="272">
        <v>44565</v>
      </c>
      <c r="M41" s="272">
        <v>44565</v>
      </c>
      <c r="N41" s="272">
        <v>44431</v>
      </c>
      <c r="O41" s="272">
        <v>44431</v>
      </c>
      <c r="P41" s="272">
        <f>IFERROR(IF(VLOOKUP(功能_33[[#This Row],[功能代號]],討論項目!A:H,8,FALSE)=0,"",VLOOKUP(功能_33[[#This Row],[功能代號]],討論項目!A:H,8,FALSE)),"")</f>
        <v>44456</v>
      </c>
      <c r="Q41" s="264" t="s">
        <v>4</v>
      </c>
      <c r="R41" s="264" t="s">
        <v>7</v>
      </c>
      <c r="S41" s="264" t="s">
        <v>7</v>
      </c>
      <c r="T41" s="265" t="s">
        <v>199</v>
      </c>
      <c r="X41" s="264"/>
      <c r="Z41" s="264"/>
      <c r="AA41" s="264"/>
      <c r="AB41" s="265" t="str">
        <f>VLOOKUP(功能_33[[#This Row],[User]],SKL放款!A:G,7,FALSE)</f>
        <v>放款推展課</v>
      </c>
      <c r="AC41" s="272">
        <v>44533</v>
      </c>
      <c r="AD41" s="272">
        <v>44470</v>
      </c>
      <c r="AE41" s="272">
        <f>IF(功能_33[[#This Row],[URS交二審]]=0,"",功能_33[[#This Row],[URS交二審]]+7)</f>
        <v>44477</v>
      </c>
      <c r="AF41" s="272">
        <f>IF(功能_33[[#This Row],[URS交二審]]=0,"",功能_33[[#This Row],[URS交二審]]+7)</f>
        <v>44477</v>
      </c>
      <c r="AG41" s="209">
        <v>44539</v>
      </c>
      <c r="AH41" s="272" t="s">
        <v>169</v>
      </c>
      <c r="AI41" s="272"/>
      <c r="AJ41" s="322"/>
      <c r="AK41" s="272">
        <f>IFERROR(IF(VLOOKUP(功能_33[[#This Row],[功能代號]],E:U,11,FALSE)=0,"",VLOOKUP(功能_33[[#This Row],[功能代號]],E:U,11,FALSE)),"")</f>
        <v>44431</v>
      </c>
      <c r="AL41" s="272"/>
      <c r="AM41" s="272"/>
      <c r="AN41" s="265"/>
      <c r="AP41" s="264" t="s">
        <v>163</v>
      </c>
      <c r="AQ41" s="264" t="s">
        <v>163</v>
      </c>
      <c r="AR41" s="593" t="s">
        <v>3216</v>
      </c>
      <c r="AS41" s="483" t="str">
        <f>IF(COUNTA(AG41)=1,LEFT(D41,3),"")</f>
        <v>2-3</v>
      </c>
      <c r="AT41" s="485" t="str">
        <f>IF(AND(COUNTA(O41)=1,COUNTA(P41)=1,COUNTA(AC41)=1,COUNTA(AF41)=1,COUNTA(AG41)=0),LEFT(D41,3),"")</f>
        <v/>
      </c>
      <c r="AU41" s="487" t="str">
        <f>IF(AND(COUNTA(O41)=1,COUNTA(P41)=1,COUNTA(AC41)=1,COUNTA(AF41)=0,COUNTA(AG41)=0),LEFT(D41,3),"")</f>
        <v/>
      </c>
      <c r="AV41" s="489" t="str">
        <f>IF(AND(COUNTA(P41)=0,COUNTA(AC41)=1),LEFT(D41,3),"")</f>
        <v/>
      </c>
      <c r="AW41" s="491" t="str">
        <f>IF(AND(COUNTA(P41)=1,COUNTA(AC41)=0),LEFT(D41,3),"")</f>
        <v/>
      </c>
      <c r="AX41" s="493" t="str">
        <f>IF(AND(COUNTA(P41)=0,COUNTA(AC41)=0),LEFT(D41,3),"")</f>
        <v/>
      </c>
      <c r="AY41" s="514" t="str">
        <f>IFERROR(VLOOKUP(功能_33[[#This Row],[功能代號]],SIT_FT_2021tmp!D:D,1,FALSE),"")</f>
        <v>L2221</v>
      </c>
      <c r="AZ41" s="587">
        <v>44529</v>
      </c>
      <c r="BA41" s="587">
        <v>44529</v>
      </c>
      <c r="BB41" s="514" t="s">
        <v>3073</v>
      </c>
      <c r="BC41" s="265" t="s">
        <v>3011</v>
      </c>
      <c r="BD41" s="593"/>
      <c r="BE41" s="264" t="str">
        <f>IF(AND(COUNTIF(AY41,"&gt;&lt;0")=1,COUNTA(M41)=1),LEFT(D41,3),"")</f>
        <v>2-3</v>
      </c>
      <c r="BF41" s="264" t="str">
        <f>IF(AND(COUNTIF(AY41,"&gt;&lt;")=1,COUNTA(M41)=0),LEFT(D41,3),"")</f>
        <v/>
      </c>
      <c r="BG41" s="264" t="str">
        <f>IF(AND(COUNTIF(AY41,"&gt;&lt;0")=0,COUNTA(M41)=1),LEFT(D41,3),"")</f>
        <v/>
      </c>
      <c r="BH41" s="264" t="str">
        <f>IF(AND(COUNTIF(AY41,"&gt;&lt;0")=0,COUNTA(M41)=0),LEFT(D41,3),"")</f>
        <v/>
      </c>
    </row>
    <row r="42" spans="3:60" ht="13.5" x14ac:dyDescent="0.3">
      <c r="C42" s="265" t="s">
        <v>66</v>
      </c>
      <c r="D42" s="265" t="s">
        <v>2479</v>
      </c>
      <c r="E42" s="264" t="s">
        <v>234</v>
      </c>
      <c r="F42" s="265" t="s">
        <v>235</v>
      </c>
      <c r="G42" s="265"/>
      <c r="H42" s="264" t="s">
        <v>166</v>
      </c>
      <c r="I42" s="264" t="s">
        <v>176</v>
      </c>
      <c r="J42" s="212" t="s">
        <v>2754</v>
      </c>
      <c r="K42" s="212"/>
      <c r="L42" s="272">
        <v>44558</v>
      </c>
      <c r="M42" s="272">
        <v>44558</v>
      </c>
      <c r="N42" s="272">
        <v>44431</v>
      </c>
      <c r="O42" s="272">
        <v>44432</v>
      </c>
      <c r="P42" s="272">
        <f>IFERROR(IF(VLOOKUP(功能_33[[#This Row],[功能代號]],討論項目!A:H,8,FALSE)=0,"",VLOOKUP(功能_33[[#This Row],[功能代號]],討論項目!A:H,8,FALSE)),"")</f>
        <v>44434</v>
      </c>
      <c r="Q42" s="264" t="s">
        <v>4</v>
      </c>
      <c r="R42" s="264" t="s">
        <v>7</v>
      </c>
      <c r="S42" s="264" t="s">
        <v>7</v>
      </c>
      <c r="T42" s="265" t="s">
        <v>199</v>
      </c>
      <c r="X42" s="264"/>
      <c r="Z42" s="264"/>
      <c r="AA42" s="264"/>
      <c r="AB42" s="265" t="str">
        <f>VLOOKUP(功能_33[[#This Row],[User]],SKL放款!A:G,7,FALSE)</f>
        <v>放款推展課</v>
      </c>
      <c r="AC42" s="272">
        <v>44533</v>
      </c>
      <c r="AD42" s="272">
        <v>44533</v>
      </c>
      <c r="AE42" s="272">
        <v>44543</v>
      </c>
      <c r="AF42" s="272">
        <v>44543</v>
      </c>
      <c r="AG42" s="209">
        <v>44544</v>
      </c>
      <c r="AH42" s="272"/>
      <c r="AI42" s="272"/>
      <c r="AJ42" s="322"/>
      <c r="AK42" s="272">
        <f>IFERROR(IF(VLOOKUP(功能_33[[#This Row],[功能代號]],E:U,11,FALSE)=0,"",VLOOKUP(功能_33[[#This Row],[功能代號]],E:U,11,FALSE)),"")</f>
        <v>44432</v>
      </c>
      <c r="AL42" s="272"/>
      <c r="AM42" s="272"/>
      <c r="AN42" s="265"/>
      <c r="AP42" s="264" t="s">
        <v>163</v>
      </c>
      <c r="AQ42" s="264" t="s">
        <v>163</v>
      </c>
      <c r="AR42" s="593" t="s">
        <v>3207</v>
      </c>
      <c r="AS42" s="483" t="str">
        <f>IF(COUNTA(AG42)=1,LEFT(D42,3),"")</f>
        <v>2-4</v>
      </c>
      <c r="AT42" s="485" t="str">
        <f>IF(AND(COUNTA(O42)=1,COUNTA(P42)=1,COUNTA(AC42)=1,COUNTA(AF42)=1,COUNTA(AG42)=0),LEFT(D42,3),"")</f>
        <v/>
      </c>
      <c r="AU42" s="487" t="str">
        <f>IF(AND(COUNTA(O42)=1,COUNTA(P42)=1,COUNTA(AC42)=1,COUNTA(AF42)=0,COUNTA(AG42)=0),LEFT(D42,3),"")</f>
        <v/>
      </c>
      <c r="AV42" s="489" t="str">
        <f>IF(AND(COUNTA(P42)=0,COUNTA(AC42)=1),LEFT(D42,3),"")</f>
        <v/>
      </c>
      <c r="AW42" s="491" t="str">
        <f>IF(AND(COUNTA(P42)=1,COUNTA(AC42)=0),LEFT(D42,3),"")</f>
        <v/>
      </c>
      <c r="AX42" s="493" t="str">
        <f>IF(AND(COUNTA(P42)=0,COUNTA(AC42)=0),LEFT(D42,3),"")</f>
        <v/>
      </c>
      <c r="AY42" s="514" t="str">
        <f>IFERROR(VLOOKUP(功能_33[[#This Row],[功能代號]],SIT_FT_2021tmp!D:D,1,FALSE),"")</f>
        <v>L2038</v>
      </c>
      <c r="AZ42" s="587">
        <v>44524</v>
      </c>
      <c r="BA42" s="587">
        <v>44524</v>
      </c>
      <c r="BB42" s="514" t="s">
        <v>3073</v>
      </c>
      <c r="BC42" s="265" t="s">
        <v>3006</v>
      </c>
      <c r="BD42" s="593"/>
      <c r="BE42" s="264" t="str">
        <f>IF(AND(COUNTIF(AY42,"&gt;&lt;0")=1,COUNTA(M42)=1),LEFT(D42,3),"")</f>
        <v>2-4</v>
      </c>
      <c r="BF42" s="264" t="str">
        <f>IF(AND(COUNTIF(AY42,"&gt;&lt;")=1,COUNTA(M42)=0),LEFT(D42,3),"")</f>
        <v/>
      </c>
      <c r="BG42" s="264" t="str">
        <f>IF(AND(COUNTIF(AY42,"&gt;&lt;0")=0,COUNTA(M42)=1),LEFT(D42,3),"")</f>
        <v/>
      </c>
      <c r="BH42" s="264" t="str">
        <f>IF(AND(COUNTIF(AY42,"&gt;&lt;0")=0,COUNTA(M42)=0),LEFT(D42,3),"")</f>
        <v/>
      </c>
    </row>
    <row r="43" spans="3:60" ht="13.5" x14ac:dyDescent="0.3">
      <c r="C43" s="265" t="s">
        <v>66</v>
      </c>
      <c r="D43" s="265" t="s">
        <v>2479</v>
      </c>
      <c r="E43" s="264" t="s">
        <v>236</v>
      </c>
      <c r="F43" s="265" t="s">
        <v>237</v>
      </c>
      <c r="G43" s="265"/>
      <c r="H43" s="264" t="s">
        <v>166</v>
      </c>
      <c r="I43" s="264" t="s">
        <v>176</v>
      </c>
      <c r="J43" s="212" t="s">
        <v>3192</v>
      </c>
      <c r="K43" s="212" t="s">
        <v>3107</v>
      </c>
      <c r="L43" s="272">
        <v>44558</v>
      </c>
      <c r="M43" s="272">
        <v>44558</v>
      </c>
      <c r="N43" s="272">
        <v>44432</v>
      </c>
      <c r="O43" s="272">
        <v>44432</v>
      </c>
      <c r="P43" s="272">
        <f>IFERROR(IF(VLOOKUP(功能_33[[#This Row],[功能代號]],討論項目!A:H,8,FALSE)=0,"",VLOOKUP(功能_33[[#This Row],[功能代號]],討論項目!A:H,8,FALSE)),"")</f>
        <v>44447</v>
      </c>
      <c r="Q43" s="264" t="s">
        <v>4</v>
      </c>
      <c r="R43" s="264" t="s">
        <v>7</v>
      </c>
      <c r="S43" s="264" t="s">
        <v>7</v>
      </c>
      <c r="T43" s="265" t="s">
        <v>238</v>
      </c>
      <c r="X43" s="264"/>
      <c r="Z43" s="264"/>
      <c r="AA43" s="264"/>
      <c r="AB43" s="265" t="str">
        <f>VLOOKUP(功能_33[[#This Row],[User]],SKL放款!A:G,7,FALSE)</f>
        <v>放款推展課</v>
      </c>
      <c r="AC43" s="272">
        <v>44533</v>
      </c>
      <c r="AD43" s="272">
        <v>44533</v>
      </c>
      <c r="AE43" s="272">
        <v>44543</v>
      </c>
      <c r="AF43" s="272">
        <v>44543</v>
      </c>
      <c r="AG43" s="209" t="s">
        <v>3189</v>
      </c>
      <c r="AH43" s="272"/>
      <c r="AI43" s="272"/>
      <c r="AJ43" s="322"/>
      <c r="AK43" s="272">
        <f>IFERROR(IF(VLOOKUP(功能_33[[#This Row],[功能代號]],E:U,11,FALSE)=0,"",VLOOKUP(功能_33[[#This Row],[功能代號]],E:U,11,FALSE)),"")</f>
        <v>44432</v>
      </c>
      <c r="AL43" s="272"/>
      <c r="AM43" s="272"/>
      <c r="AN43" s="265"/>
      <c r="AP43" s="264" t="s">
        <v>239</v>
      </c>
      <c r="AQ43" s="275" t="s">
        <v>240</v>
      </c>
      <c r="AR43" s="593" t="s">
        <v>3217</v>
      </c>
      <c r="AS43" s="483" t="str">
        <f>IF(COUNTA(AG43)=1,LEFT(D43,3),"")</f>
        <v>2-4</v>
      </c>
      <c r="AT43" s="485" t="str">
        <f>IF(AND(COUNTA(O43)=1,COUNTA(P43)=1,COUNTA(AC43)=1,COUNTA(AF43)=1,COUNTA(AG43)=0),LEFT(D43,3),"")</f>
        <v/>
      </c>
      <c r="AU43" s="487" t="str">
        <f>IF(AND(COUNTA(O43)=1,COUNTA(P43)=1,COUNTA(AC43)=1,COUNTA(AF43)=0,COUNTA(AG43)=0),LEFT(D43,3),"")</f>
        <v/>
      </c>
      <c r="AV43" s="489" t="str">
        <f>IF(AND(COUNTA(P43)=0,COUNTA(AC43)=1),LEFT(D43,3),"")</f>
        <v/>
      </c>
      <c r="AW43" s="491" t="str">
        <f>IF(AND(COUNTA(P43)=1,COUNTA(AC43)=0),LEFT(D43,3),"")</f>
        <v/>
      </c>
      <c r="AX43" s="493" t="str">
        <f>IF(AND(COUNTA(P43)=0,COUNTA(AC43)=0),LEFT(D43,3),"")</f>
        <v/>
      </c>
      <c r="AY43" s="514" t="str">
        <f>IFERROR(VLOOKUP(功能_33[[#This Row],[功能代號]],SIT_FT_2021tmp!D:D,1,FALSE),"")</f>
        <v>L2411</v>
      </c>
      <c r="AZ43" s="587">
        <v>44524</v>
      </c>
      <c r="BA43" s="587">
        <v>44524</v>
      </c>
      <c r="BB43" s="514" t="s">
        <v>3073</v>
      </c>
      <c r="BC43" s="265" t="s">
        <v>3006</v>
      </c>
      <c r="BD43" s="593"/>
      <c r="BE43" s="264" t="str">
        <f>IF(AND(COUNTIF(AY43,"&gt;&lt;0")=1,COUNTA(M43)=1),LEFT(D43,3),"")</f>
        <v>2-4</v>
      </c>
      <c r="BF43" s="264" t="str">
        <f>IF(AND(COUNTIF(AY43,"&gt;&lt;")=1,COUNTA(M43)=0),LEFT(D43,3),"")</f>
        <v/>
      </c>
      <c r="BG43" s="264" t="str">
        <f>IF(AND(COUNTIF(AY43,"&gt;&lt;0")=0,COUNTA(M43)=1),LEFT(D43,3),"")</f>
        <v/>
      </c>
      <c r="BH43" s="264" t="str">
        <f>IF(AND(COUNTIF(AY43,"&gt;&lt;0")=0,COUNTA(M43)=0),LEFT(D43,3),"")</f>
        <v/>
      </c>
    </row>
    <row r="44" spans="3:60" ht="13.5" x14ac:dyDescent="0.3">
      <c r="C44" s="265" t="s">
        <v>66</v>
      </c>
      <c r="D44" s="265" t="s">
        <v>2479</v>
      </c>
      <c r="E44" s="264" t="s">
        <v>241</v>
      </c>
      <c r="F44" s="265" t="s">
        <v>242</v>
      </c>
      <c r="G44" s="265"/>
      <c r="H44" s="264" t="s">
        <v>166</v>
      </c>
      <c r="I44" s="264" t="s">
        <v>176</v>
      </c>
      <c r="J44" s="212" t="s">
        <v>2754</v>
      </c>
      <c r="K44" s="212"/>
      <c r="L44" s="272">
        <v>44558</v>
      </c>
      <c r="M44" s="272">
        <v>44558</v>
      </c>
      <c r="N44" s="272">
        <v>44432</v>
      </c>
      <c r="O44" s="272">
        <v>44432</v>
      </c>
      <c r="P44" s="272">
        <f>IFERROR(IF(VLOOKUP(功能_33[[#This Row],[功能代號]],討論項目!A:H,8,FALSE)=0,"",VLOOKUP(功能_33[[#This Row],[功能代號]],討論項目!A:H,8,FALSE)),"")</f>
        <v>44445</v>
      </c>
      <c r="Q44" s="264" t="s">
        <v>4</v>
      </c>
      <c r="R44" s="264" t="s">
        <v>7</v>
      </c>
      <c r="S44" s="264" t="s">
        <v>7</v>
      </c>
      <c r="T44" s="265" t="s">
        <v>199</v>
      </c>
      <c r="X44" s="264"/>
      <c r="Z44" s="264"/>
      <c r="AA44" s="264"/>
      <c r="AB44" s="265" t="str">
        <f>VLOOKUP(功能_33[[#This Row],[User]],SKL放款!A:G,7,FALSE)</f>
        <v>放款推展課</v>
      </c>
      <c r="AC44" s="272">
        <v>44533</v>
      </c>
      <c r="AD44" s="272">
        <v>44533</v>
      </c>
      <c r="AE44" s="272">
        <v>44543</v>
      </c>
      <c r="AF44" s="272">
        <v>44543</v>
      </c>
      <c r="AG44" s="209">
        <v>44544</v>
      </c>
      <c r="AH44" s="272"/>
      <c r="AI44" s="272"/>
      <c r="AJ44" s="322"/>
      <c r="AK44" s="272">
        <f>IFERROR(IF(VLOOKUP(功能_33[[#This Row],[功能代號]],E:U,11,FALSE)=0,"",VLOOKUP(功能_33[[#This Row],[功能代號]],E:U,11,FALSE)),"")</f>
        <v>44432</v>
      </c>
      <c r="AL44" s="272"/>
      <c r="AM44" s="272"/>
      <c r="AN44" s="265"/>
      <c r="AO44" s="211">
        <v>44494</v>
      </c>
      <c r="AP44" s="264" t="s">
        <v>239</v>
      </c>
      <c r="AQ44" s="265" t="s">
        <v>243</v>
      </c>
      <c r="AR44" s="593" t="s">
        <v>3207</v>
      </c>
      <c r="AS44" s="483" t="str">
        <f>IF(COUNTA(AG44)=1,LEFT(D44,3),"")</f>
        <v>2-4</v>
      </c>
      <c r="AT44" s="485" t="str">
        <f>IF(AND(COUNTA(O44)=1,COUNTA(P44)=1,COUNTA(AC44)=1,COUNTA(AF44)=1,COUNTA(AG44)=0),LEFT(D44,3),"")</f>
        <v/>
      </c>
      <c r="AU44" s="487" t="str">
        <f>IF(AND(COUNTA(O44)=1,COUNTA(P44)=1,COUNTA(AC44)=1,COUNTA(AF44)=0,COUNTA(AG44)=0),LEFT(D44,3),"")</f>
        <v/>
      </c>
      <c r="AV44" s="489" t="str">
        <f>IF(AND(COUNTA(P44)=0,COUNTA(AC44)=1),LEFT(D44,3),"")</f>
        <v/>
      </c>
      <c r="AW44" s="491" t="str">
        <f>IF(AND(COUNTA(P44)=1,COUNTA(AC44)=0),LEFT(D44,3),"")</f>
        <v/>
      </c>
      <c r="AX44" s="493" t="str">
        <f>IF(AND(COUNTA(P44)=0,COUNTA(AC44)=0),LEFT(D44,3),"")</f>
        <v/>
      </c>
      <c r="AY44" s="514" t="str">
        <f>IFERROR(VLOOKUP(功能_33[[#This Row],[功能代號]],SIT_FT_2021tmp!D:D,1,FALSE),"")</f>
        <v>L2911</v>
      </c>
      <c r="AZ44" s="587">
        <v>44524</v>
      </c>
      <c r="BA44" s="587">
        <v>44524</v>
      </c>
      <c r="BB44" s="514" t="s">
        <v>3073</v>
      </c>
      <c r="BC44" s="265" t="s">
        <v>3006</v>
      </c>
      <c r="BD44" s="593"/>
      <c r="BE44" s="264" t="str">
        <f>IF(AND(COUNTIF(AY44,"&gt;&lt;0")=1,COUNTA(M44)=1),LEFT(D44,3),"")</f>
        <v>2-4</v>
      </c>
      <c r="BF44" s="264" t="str">
        <f>IF(AND(COUNTIF(AY44,"&gt;&lt;")=1,COUNTA(M44)=0),LEFT(D44,3),"")</f>
        <v/>
      </c>
      <c r="BG44" s="264" t="str">
        <f>IF(AND(COUNTIF(AY44,"&gt;&lt;0")=0,COUNTA(M44)=1),LEFT(D44,3),"")</f>
        <v/>
      </c>
      <c r="BH44" s="264" t="str">
        <f>IF(AND(COUNTIF(AY44,"&gt;&lt;0")=0,COUNTA(M44)=0),LEFT(D44,3),"")</f>
        <v/>
      </c>
    </row>
    <row r="45" spans="3:60" ht="13.5" x14ac:dyDescent="0.3">
      <c r="C45" s="265" t="s">
        <v>66</v>
      </c>
      <c r="D45" s="265" t="s">
        <v>2479</v>
      </c>
      <c r="E45" s="264" t="s">
        <v>244</v>
      </c>
      <c r="F45" s="265" t="s">
        <v>245</v>
      </c>
      <c r="G45" s="265"/>
      <c r="H45" s="264" t="s">
        <v>166</v>
      </c>
      <c r="I45" s="264" t="s">
        <v>176</v>
      </c>
      <c r="J45" s="212" t="s">
        <v>3192</v>
      </c>
      <c r="K45" s="212" t="s">
        <v>3107</v>
      </c>
      <c r="L45" s="272">
        <v>44558</v>
      </c>
      <c r="M45" s="272">
        <v>44558</v>
      </c>
      <c r="N45" s="272">
        <v>44432</v>
      </c>
      <c r="O45" s="272">
        <v>44432</v>
      </c>
      <c r="P45" s="272">
        <f>IFERROR(IF(VLOOKUP(功能_33[[#This Row],[功能代號]],討論項目!A:H,8,FALSE)=0,"",VLOOKUP(功能_33[[#This Row],[功能代號]],討論項目!A:H,8,FALSE)),"")</f>
        <v>44445</v>
      </c>
      <c r="Q45" s="264" t="s">
        <v>4</v>
      </c>
      <c r="R45" s="264" t="s">
        <v>7</v>
      </c>
      <c r="S45" s="264" t="s">
        <v>7</v>
      </c>
      <c r="T45" s="265" t="s">
        <v>199</v>
      </c>
      <c r="X45" s="264"/>
      <c r="Z45" s="264"/>
      <c r="AA45" s="264"/>
      <c r="AB45" s="265" t="str">
        <f>VLOOKUP(功能_33[[#This Row],[User]],SKL放款!A:G,7,FALSE)</f>
        <v>放款推展課</v>
      </c>
      <c r="AC45" s="272">
        <v>44533</v>
      </c>
      <c r="AD45" s="272">
        <v>44533</v>
      </c>
      <c r="AE45" s="272">
        <v>44543</v>
      </c>
      <c r="AF45" s="272">
        <v>44543</v>
      </c>
      <c r="AG45" s="209" t="s">
        <v>3189</v>
      </c>
      <c r="AH45" s="272"/>
      <c r="AI45" s="272"/>
      <c r="AJ45" s="322"/>
      <c r="AK45" s="272">
        <f>IFERROR(IF(VLOOKUP(功能_33[[#This Row],[功能代號]],E:U,11,FALSE)=0,"",VLOOKUP(功能_33[[#This Row],[功能代號]],E:U,11,FALSE)),"")</f>
        <v>44432</v>
      </c>
      <c r="AL45" s="272"/>
      <c r="AM45" s="272"/>
      <c r="AN45" s="265"/>
      <c r="AP45" s="264" t="s">
        <v>163</v>
      </c>
      <c r="AQ45" s="264" t="s">
        <v>163</v>
      </c>
      <c r="AR45" s="593" t="s">
        <v>3218</v>
      </c>
      <c r="AS45" s="483" t="str">
        <f>IF(COUNTA(AG45)=1,LEFT(D45,3),"")</f>
        <v>2-4</v>
      </c>
      <c r="AT45" s="485" t="str">
        <f>IF(AND(COUNTA(O45)=1,COUNTA(P45)=1,COUNTA(AC45)=1,COUNTA(AF45)=1,COUNTA(AG45)=0),LEFT(D45,3),"")</f>
        <v/>
      </c>
      <c r="AU45" s="487" t="str">
        <f>IF(AND(COUNTA(O45)=1,COUNTA(P45)=1,COUNTA(AC45)=1,COUNTA(AF45)=0,COUNTA(AG45)=0),LEFT(D45,3),"")</f>
        <v/>
      </c>
      <c r="AV45" s="489" t="str">
        <f>IF(AND(COUNTA(P45)=0,COUNTA(AC45)=1),LEFT(D45,3),"")</f>
        <v/>
      </c>
      <c r="AW45" s="491" t="str">
        <f>IF(AND(COUNTA(P45)=1,COUNTA(AC45)=0),LEFT(D45,3),"")</f>
        <v/>
      </c>
      <c r="AX45" s="493" t="str">
        <f>IF(AND(COUNTA(P45)=0,COUNTA(AC45)=0),LEFT(D45,3),"")</f>
        <v/>
      </c>
      <c r="AY45" s="514" t="str">
        <f>IFERROR(VLOOKUP(功能_33[[#This Row],[功能代號]],SIT_FT_2021tmp!D:D,1,FALSE),"")</f>
        <v>L2415</v>
      </c>
      <c r="AZ45" s="587">
        <v>44524</v>
      </c>
      <c r="BA45" s="587">
        <v>44524</v>
      </c>
      <c r="BB45" s="514" t="s">
        <v>3073</v>
      </c>
      <c r="BC45" s="265" t="s">
        <v>3006</v>
      </c>
      <c r="BD45" s="593"/>
      <c r="BE45" s="264" t="str">
        <f>IF(AND(COUNTIF(AY45,"&gt;&lt;0")=1,COUNTA(M45)=1),LEFT(D45,3),"")</f>
        <v>2-4</v>
      </c>
      <c r="BF45" s="264" t="str">
        <f>IF(AND(COUNTIF(AY45,"&gt;&lt;")=1,COUNTA(M45)=0),LEFT(D45,3),"")</f>
        <v/>
      </c>
      <c r="BG45" s="264" t="str">
        <f>IF(AND(COUNTIF(AY45,"&gt;&lt;0")=0,COUNTA(M45)=1),LEFT(D45,3),"")</f>
        <v/>
      </c>
      <c r="BH45" s="264" t="str">
        <f>IF(AND(COUNTIF(AY45,"&gt;&lt;0")=0,COUNTA(M45)=0),LEFT(D45,3),"")</f>
        <v/>
      </c>
    </row>
    <row r="46" spans="3:60" ht="13.5" x14ac:dyDescent="0.3">
      <c r="C46" s="265" t="s">
        <v>66</v>
      </c>
      <c r="D46" s="265" t="s">
        <v>2479</v>
      </c>
      <c r="E46" s="264" t="s">
        <v>246</v>
      </c>
      <c r="F46" s="265" t="s">
        <v>247</v>
      </c>
      <c r="G46" s="265"/>
      <c r="H46" s="264" t="s">
        <v>166</v>
      </c>
      <c r="I46" s="264" t="s">
        <v>176</v>
      </c>
      <c r="J46" s="212" t="s">
        <v>3192</v>
      </c>
      <c r="K46" s="212" t="s">
        <v>3107</v>
      </c>
      <c r="L46" s="272">
        <v>44558</v>
      </c>
      <c r="M46" s="272">
        <v>44558</v>
      </c>
      <c r="N46" s="272">
        <v>44432</v>
      </c>
      <c r="O46" s="272">
        <v>44432</v>
      </c>
      <c r="P46" s="272">
        <v>44536</v>
      </c>
      <c r="Q46" s="264" t="s">
        <v>4</v>
      </c>
      <c r="R46" s="264" t="s">
        <v>7</v>
      </c>
      <c r="S46" s="264" t="s">
        <v>7</v>
      </c>
      <c r="T46" s="265" t="s">
        <v>199</v>
      </c>
      <c r="X46" s="264"/>
      <c r="Z46" s="264"/>
      <c r="AA46" s="264"/>
      <c r="AB46" s="265" t="str">
        <f>VLOOKUP(功能_33[[#This Row],[User]],SKL放款!A:G,7,FALSE)</f>
        <v>放款推展課</v>
      </c>
      <c r="AC46" s="272">
        <v>44533</v>
      </c>
      <c r="AD46" s="272">
        <v>44477</v>
      </c>
      <c r="AE46" s="272">
        <v>44477</v>
      </c>
      <c r="AF46" s="272">
        <v>44477</v>
      </c>
      <c r="AG46" s="209" t="s">
        <v>3189</v>
      </c>
      <c r="AH46" s="272" t="s">
        <v>169</v>
      </c>
      <c r="AI46" s="272"/>
      <c r="AJ46" s="322"/>
      <c r="AK46" s="272">
        <f>IFERROR(IF(VLOOKUP(功能_33[[#This Row],[功能代號]],E:U,11,FALSE)=0,"",VLOOKUP(功能_33[[#This Row],[功能代號]],E:U,11,FALSE)),"")</f>
        <v>44432</v>
      </c>
      <c r="AL46" s="272"/>
      <c r="AM46" s="272"/>
      <c r="AN46" s="265"/>
      <c r="AP46" s="264" t="s">
        <v>239</v>
      </c>
      <c r="AQ46" s="265" t="s">
        <v>243</v>
      </c>
      <c r="AR46" s="593" t="s">
        <v>3219</v>
      </c>
      <c r="AS46" s="483" t="str">
        <f>IF(COUNTA(AG46)=1,LEFT(D46,3),"")</f>
        <v>2-4</v>
      </c>
      <c r="AT46" s="485" t="str">
        <f>IF(AND(COUNTA(O46)=1,COUNTA(P46)=1,COUNTA(AC46)=1,COUNTA(AF46)=1,COUNTA(AG46)=0),LEFT(D46,3),"")</f>
        <v/>
      </c>
      <c r="AU46" s="487" t="str">
        <f>IF(AND(COUNTA(O46)=1,COUNTA(P46)=1,COUNTA(AC46)=1,COUNTA(AF46)=0,COUNTA(AG46)=0),LEFT(D46,3),"")</f>
        <v/>
      </c>
      <c r="AV46" s="489" t="str">
        <f>IF(AND(COUNTA(P46)=0,COUNTA(AC46)=1),LEFT(D46,3),"")</f>
        <v/>
      </c>
      <c r="AW46" s="491" t="str">
        <f>IF(AND(COUNTA(P46)=1,COUNTA(AC46)=0),LEFT(D46,3),"")</f>
        <v/>
      </c>
      <c r="AX46" s="493" t="str">
        <f>IF(AND(COUNTA(P46)=0,COUNTA(AC46)=0),LEFT(D46,3),"")</f>
        <v/>
      </c>
      <c r="AY46" s="514" t="str">
        <f>IFERROR(VLOOKUP(功能_33[[#This Row],[功能代號]],SIT_FT_2021tmp!D:D,1,FALSE),"")</f>
        <v>L2416</v>
      </c>
      <c r="AZ46" s="587">
        <v>44524</v>
      </c>
      <c r="BA46" s="587">
        <v>44524</v>
      </c>
      <c r="BB46" s="514" t="s">
        <v>3073</v>
      </c>
      <c r="BC46" s="265" t="s">
        <v>3006</v>
      </c>
      <c r="BD46" s="593"/>
      <c r="BE46" s="264" t="str">
        <f>IF(AND(COUNTIF(AY46,"&gt;&lt;0")=1,COUNTA(M46)=1),LEFT(D46,3),"")</f>
        <v>2-4</v>
      </c>
      <c r="BF46" s="264" t="str">
        <f>IF(AND(COUNTIF(AY46,"&gt;&lt;")=1,COUNTA(M46)=0),LEFT(D46,3),"")</f>
        <v/>
      </c>
      <c r="BG46" s="264" t="str">
        <f>IF(AND(COUNTIF(AY46,"&gt;&lt;0")=0,COUNTA(M46)=1),LEFT(D46,3),"")</f>
        <v/>
      </c>
      <c r="BH46" s="264" t="str">
        <f>IF(AND(COUNTIF(AY46,"&gt;&lt;0")=0,COUNTA(M46)=0),LEFT(D46,3),"")</f>
        <v/>
      </c>
    </row>
    <row r="47" spans="3:60" ht="13.5" x14ac:dyDescent="0.3">
      <c r="C47" s="265" t="s">
        <v>66</v>
      </c>
      <c r="D47" s="265" t="s">
        <v>2479</v>
      </c>
      <c r="E47" s="264" t="s">
        <v>248</v>
      </c>
      <c r="F47" s="265" t="s">
        <v>249</v>
      </c>
      <c r="G47" s="265"/>
      <c r="H47" s="264" t="s">
        <v>166</v>
      </c>
      <c r="I47" s="264" t="s">
        <v>176</v>
      </c>
      <c r="J47" s="212" t="s">
        <v>2754</v>
      </c>
      <c r="K47" s="212"/>
      <c r="L47" s="272">
        <v>44558</v>
      </c>
      <c r="M47" s="272">
        <v>44558</v>
      </c>
      <c r="N47" s="272">
        <v>44432</v>
      </c>
      <c r="O47" s="272">
        <v>44432</v>
      </c>
      <c r="P47" s="272">
        <v>44536</v>
      </c>
      <c r="Q47" s="264" t="s">
        <v>4</v>
      </c>
      <c r="R47" s="264" t="s">
        <v>145</v>
      </c>
      <c r="S47" s="264" t="s">
        <v>145</v>
      </c>
      <c r="T47" s="265" t="s">
        <v>199</v>
      </c>
      <c r="X47" s="264"/>
      <c r="Z47" s="264"/>
      <c r="AA47" s="264"/>
      <c r="AB47" s="265" t="str">
        <f>VLOOKUP(功能_33[[#This Row],[User]],SKL放款!A:G,7,FALSE)</f>
        <v>放款服務課</v>
      </c>
      <c r="AC47" s="272">
        <v>44533</v>
      </c>
      <c r="AD47" s="272" t="s">
        <v>168</v>
      </c>
      <c r="AE47" s="272">
        <v>44477</v>
      </c>
      <c r="AF47" s="272">
        <v>44477</v>
      </c>
      <c r="AG47" s="209">
        <v>44544</v>
      </c>
      <c r="AH47" s="272" t="s">
        <v>169</v>
      </c>
      <c r="AI47" s="272"/>
      <c r="AJ47" s="322"/>
      <c r="AK47" s="272">
        <f>IFERROR(IF(VLOOKUP(功能_33[[#This Row],[功能代號]],E:U,11,FALSE)=0,"",VLOOKUP(功能_33[[#This Row],[功能代號]],E:U,11,FALSE)),"")</f>
        <v>44432</v>
      </c>
      <c r="AL47" s="272"/>
      <c r="AM47" s="272"/>
      <c r="AN47" s="265"/>
      <c r="AP47" s="264" t="s">
        <v>239</v>
      </c>
      <c r="AQ47" s="275" t="s">
        <v>250</v>
      </c>
      <c r="AR47" s="593" t="s">
        <v>3207</v>
      </c>
      <c r="AS47" s="483" t="str">
        <f>IF(COUNTA(AG47)=1,LEFT(D47,3),"")</f>
        <v>2-4</v>
      </c>
      <c r="AT47" s="485" t="str">
        <f>IF(AND(COUNTA(O47)=1,COUNTA(P47)=1,COUNTA(AC47)=1,COUNTA(AF47)=1,COUNTA(AG47)=0),LEFT(D47,3),"")</f>
        <v/>
      </c>
      <c r="AU47" s="487" t="str">
        <f>IF(AND(COUNTA(O47)=1,COUNTA(P47)=1,COUNTA(AC47)=1,COUNTA(AF47)=0,COUNTA(AG47)=0),LEFT(D47,3),"")</f>
        <v/>
      </c>
      <c r="AV47" s="489" t="str">
        <f>IF(AND(COUNTA(P47)=0,COUNTA(AC47)=1),LEFT(D47,3),"")</f>
        <v/>
      </c>
      <c r="AW47" s="491" t="str">
        <f>IF(AND(COUNTA(P47)=1,COUNTA(AC47)=0),LEFT(D47,3),"")</f>
        <v/>
      </c>
      <c r="AX47" s="493" t="str">
        <f>IF(AND(COUNTA(P47)=0,COUNTA(AC47)=0),LEFT(D47,3),"")</f>
        <v/>
      </c>
      <c r="AY47" s="514" t="str">
        <f>IFERROR(VLOOKUP(功能_33[[#This Row],[功能代號]],SIT_FT_2021tmp!D:D,1,FALSE),"")</f>
        <v>L2915</v>
      </c>
      <c r="AZ47" s="587">
        <v>44524</v>
      </c>
      <c r="BA47" s="587">
        <v>44524</v>
      </c>
      <c r="BB47" s="514" t="s">
        <v>3073</v>
      </c>
      <c r="BC47" s="265" t="s">
        <v>3006</v>
      </c>
      <c r="BD47" s="593"/>
      <c r="BE47" s="264" t="str">
        <f>IF(AND(COUNTIF(AY47,"&gt;&lt;0")=1,COUNTA(M47)=1),LEFT(D47,3),"")</f>
        <v>2-4</v>
      </c>
      <c r="BF47" s="264" t="str">
        <f>IF(AND(COUNTIF(AY47,"&gt;&lt;")=1,COUNTA(M47)=0),LEFT(D47,3),"")</f>
        <v/>
      </c>
      <c r="BG47" s="264" t="str">
        <f>IF(AND(COUNTIF(AY47,"&gt;&lt;0")=0,COUNTA(M47)=1),LEFT(D47,3),"")</f>
        <v/>
      </c>
      <c r="BH47" s="264" t="str">
        <f>IF(AND(COUNTIF(AY47,"&gt;&lt;0")=0,COUNTA(M47)=0),LEFT(D47,3),"")</f>
        <v/>
      </c>
    </row>
    <row r="48" spans="3:60" ht="13.5" x14ac:dyDescent="0.3">
      <c r="C48" s="265" t="s">
        <v>66</v>
      </c>
      <c r="D48" s="265" t="s">
        <v>2479</v>
      </c>
      <c r="E48" s="264" t="s">
        <v>251</v>
      </c>
      <c r="F48" s="265" t="s">
        <v>252</v>
      </c>
      <c r="G48" s="265"/>
      <c r="H48" s="264" t="s">
        <v>166</v>
      </c>
      <c r="I48" s="264" t="s">
        <v>176</v>
      </c>
      <c r="J48" s="212" t="s">
        <v>2754</v>
      </c>
      <c r="K48" s="212"/>
      <c r="L48" s="272">
        <v>44558</v>
      </c>
      <c r="M48" s="272">
        <v>44558</v>
      </c>
      <c r="N48" s="272">
        <v>44432</v>
      </c>
      <c r="O48" s="272">
        <v>44432</v>
      </c>
      <c r="P48" s="272">
        <v>44536</v>
      </c>
      <c r="Q48" s="264" t="s">
        <v>4</v>
      </c>
      <c r="R48" s="264" t="s">
        <v>145</v>
      </c>
      <c r="S48" s="264" t="s">
        <v>145</v>
      </c>
      <c r="T48" s="265" t="s">
        <v>199</v>
      </c>
      <c r="X48" s="264"/>
      <c r="Z48" s="264"/>
      <c r="AA48" s="264"/>
      <c r="AB48" s="265" t="str">
        <f>VLOOKUP(功能_33[[#This Row],[User]],SKL放款!A:G,7,FALSE)</f>
        <v>放款服務課</v>
      </c>
      <c r="AC48" s="272">
        <v>44533</v>
      </c>
      <c r="AD48" s="272" t="s">
        <v>168</v>
      </c>
      <c r="AE48" s="272">
        <v>44477</v>
      </c>
      <c r="AF48" s="272">
        <v>44477</v>
      </c>
      <c r="AG48" s="209">
        <v>44544</v>
      </c>
      <c r="AH48" s="272" t="s">
        <v>169</v>
      </c>
      <c r="AI48" s="272"/>
      <c r="AJ48" s="322"/>
      <c r="AK48" s="272">
        <f>IFERROR(IF(VLOOKUP(功能_33[[#This Row],[功能代號]],E:U,11,FALSE)=0,"",VLOOKUP(功能_33[[#This Row],[功能代號]],E:U,11,FALSE)),"")</f>
        <v>44432</v>
      </c>
      <c r="AL48" s="272"/>
      <c r="AM48" s="272"/>
      <c r="AN48" s="265"/>
      <c r="AP48" s="264" t="s">
        <v>163</v>
      </c>
      <c r="AQ48" s="264" t="s">
        <v>163</v>
      </c>
      <c r="AR48" s="593" t="s">
        <v>3207</v>
      </c>
      <c r="AS48" s="483" t="str">
        <f>IF(COUNTA(AG48)=1,LEFT(D48,3),"")</f>
        <v>2-4</v>
      </c>
      <c r="AT48" s="485" t="str">
        <f>IF(AND(COUNTA(O48)=1,COUNTA(P48)=1,COUNTA(AC48)=1,COUNTA(AF48)=1,COUNTA(AG48)=0),LEFT(D48,3),"")</f>
        <v/>
      </c>
      <c r="AU48" s="487" t="str">
        <f>IF(AND(COUNTA(O48)=1,COUNTA(P48)=1,COUNTA(AC48)=1,COUNTA(AF48)=0,COUNTA(AG48)=0),LEFT(D48,3),"")</f>
        <v/>
      </c>
      <c r="AV48" s="489" t="str">
        <f>IF(AND(COUNTA(P48)=0,COUNTA(AC48)=1),LEFT(D48,3),"")</f>
        <v/>
      </c>
      <c r="AW48" s="491" t="str">
        <f>IF(AND(COUNTA(P48)=1,COUNTA(AC48)=0),LEFT(D48,3),"")</f>
        <v/>
      </c>
      <c r="AX48" s="493" t="str">
        <f>IF(AND(COUNTA(P48)=0,COUNTA(AC48)=0),LEFT(D48,3),"")</f>
        <v/>
      </c>
      <c r="AY48" s="514" t="str">
        <f>IFERROR(VLOOKUP(功能_33[[#This Row],[功能代號]],SIT_FT_2021tmp!D:D,1,FALSE),"")</f>
        <v>L2916</v>
      </c>
      <c r="AZ48" s="587">
        <v>44524</v>
      </c>
      <c r="BA48" s="587">
        <v>44524</v>
      </c>
      <c r="BB48" s="514" t="s">
        <v>3073</v>
      </c>
      <c r="BC48" s="265" t="s">
        <v>3006</v>
      </c>
      <c r="BD48" s="593"/>
      <c r="BE48" s="264" t="str">
        <f>IF(AND(COUNTIF(AY48,"&gt;&lt;0")=1,COUNTA(M48)=1),LEFT(D48,3),"")</f>
        <v>2-4</v>
      </c>
      <c r="BF48" s="264" t="str">
        <f>IF(AND(COUNTIF(AY48,"&gt;&lt;")=1,COUNTA(M48)=0),LEFT(D48,3),"")</f>
        <v/>
      </c>
      <c r="BG48" s="264" t="str">
        <f>IF(AND(COUNTIF(AY48,"&gt;&lt;0")=0,COUNTA(M48)=1),LEFT(D48,3),"")</f>
        <v/>
      </c>
      <c r="BH48" s="264" t="str">
        <f>IF(AND(COUNTIF(AY48,"&gt;&lt;0")=0,COUNTA(M48)=0),LEFT(D48,3),"")</f>
        <v/>
      </c>
    </row>
    <row r="49" spans="2:60" ht="13.5" x14ac:dyDescent="0.3">
      <c r="C49" s="265" t="s">
        <v>66</v>
      </c>
      <c r="D49" s="265" t="s">
        <v>2479</v>
      </c>
      <c r="E49" s="264" t="s">
        <v>253</v>
      </c>
      <c r="F49" s="265" t="s">
        <v>254</v>
      </c>
      <c r="G49" s="265"/>
      <c r="H49" s="264" t="s">
        <v>166</v>
      </c>
      <c r="I49" s="264" t="s">
        <v>167</v>
      </c>
      <c r="J49" s="212" t="s">
        <v>2754</v>
      </c>
      <c r="K49" s="212"/>
      <c r="L49" s="272">
        <v>44558</v>
      </c>
      <c r="M49" s="272">
        <v>44558</v>
      </c>
      <c r="N49" s="272">
        <v>44433</v>
      </c>
      <c r="O49" s="272">
        <v>44433</v>
      </c>
      <c r="P49" s="272">
        <v>44533</v>
      </c>
      <c r="Q49" s="264" t="s">
        <v>4</v>
      </c>
      <c r="R49" s="264" t="s">
        <v>10</v>
      </c>
      <c r="S49" s="264" t="s">
        <v>10</v>
      </c>
      <c r="T49" s="265" t="s">
        <v>199</v>
      </c>
      <c r="X49" s="264"/>
      <c r="Z49" s="264"/>
      <c r="AA49" s="264"/>
      <c r="AB49" s="265" t="str">
        <f>VLOOKUP(功能_33[[#This Row],[User]],SKL放款!A:G,7,FALSE)</f>
        <v>放款服務課</v>
      </c>
      <c r="AC49" s="272">
        <v>44533</v>
      </c>
      <c r="AD49" s="272">
        <v>44470</v>
      </c>
      <c r="AE49" s="272">
        <f>IF(功能_33[[#This Row],[URS交二審]]=0,"",功能_33[[#This Row],[URS交二審]]+7)</f>
        <v>44477</v>
      </c>
      <c r="AF49" s="272">
        <f>IF(功能_33[[#This Row],[URS交二審]]=0,"",功能_33[[#This Row],[URS交二審]]+7)</f>
        <v>44477</v>
      </c>
      <c r="AG49" s="209">
        <v>44544</v>
      </c>
      <c r="AH49" s="272" t="s">
        <v>169</v>
      </c>
      <c r="AI49" s="272"/>
      <c r="AJ49" s="322"/>
      <c r="AK49" s="272">
        <f>IFERROR(IF(VLOOKUP(功能_33[[#This Row],[功能代號]],E:U,11,FALSE)=0,"",VLOOKUP(功能_33[[#This Row],[功能代號]],E:U,11,FALSE)),"")</f>
        <v>44433</v>
      </c>
      <c r="AL49" s="272"/>
      <c r="AM49" s="272"/>
      <c r="AN49" s="265"/>
      <c r="AP49" s="264" t="s">
        <v>163</v>
      </c>
      <c r="AQ49" s="264" t="s">
        <v>163</v>
      </c>
      <c r="AR49" s="593" t="s">
        <v>3207</v>
      </c>
      <c r="AS49" s="483" t="str">
        <f>IF(COUNTA(AG49)=1,LEFT(D49,3),"")</f>
        <v>2-4</v>
      </c>
      <c r="AT49" s="485" t="str">
        <f>IF(AND(COUNTA(O49)=1,COUNTA(P49)=1,COUNTA(AC49)=1,COUNTA(AF49)=1,COUNTA(AG49)=0),LEFT(D49,3),"")</f>
        <v/>
      </c>
      <c r="AU49" s="487" t="str">
        <f>IF(AND(COUNTA(O49)=1,COUNTA(P49)=1,COUNTA(AC49)=1,COUNTA(AF49)=0,COUNTA(AG49)=0),LEFT(D49,3),"")</f>
        <v/>
      </c>
      <c r="AV49" s="489" t="str">
        <f>IF(AND(COUNTA(P49)=0,COUNTA(AC49)=1),LEFT(D49,3),"")</f>
        <v/>
      </c>
      <c r="AW49" s="491" t="str">
        <f>IF(AND(COUNTA(P49)=1,COUNTA(AC49)=0),LEFT(D49,3),"")</f>
        <v/>
      </c>
      <c r="AX49" s="493" t="str">
        <f>IF(AND(COUNTA(P49)=0,COUNTA(AC49)=0),LEFT(D49,3),"")</f>
        <v/>
      </c>
      <c r="AY49" s="514" t="str">
        <f>IFERROR(VLOOKUP(功能_33[[#This Row],[功能代號]],SIT_FT_2021tmp!D:D,1,FALSE),"")</f>
        <v>L2918</v>
      </c>
      <c r="AZ49" s="587">
        <v>44524</v>
      </c>
      <c r="BA49" s="587">
        <v>44524</v>
      </c>
      <c r="BB49" s="514" t="s">
        <v>3073</v>
      </c>
      <c r="BC49" s="265" t="s">
        <v>3006</v>
      </c>
      <c r="BD49" s="593"/>
      <c r="BE49" s="264" t="str">
        <f>IF(AND(COUNTIF(AY49,"&gt;&lt;0")=1,COUNTA(M49)=1),LEFT(D49,3),"")</f>
        <v>2-4</v>
      </c>
      <c r="BF49" s="264" t="str">
        <f>IF(AND(COUNTIF(AY49,"&gt;&lt;")=1,COUNTA(M49)=0),LEFT(D49,3),"")</f>
        <v/>
      </c>
      <c r="BG49" s="264" t="str">
        <f>IF(AND(COUNTIF(AY49,"&gt;&lt;0")=0,COUNTA(M49)=1),LEFT(D49,3),"")</f>
        <v/>
      </c>
      <c r="BH49" s="264" t="str">
        <f>IF(AND(COUNTIF(AY49,"&gt;&lt;0")=0,COUNTA(M49)=0),LEFT(D49,3),"")</f>
        <v/>
      </c>
    </row>
    <row r="50" spans="2:60" ht="13.5" x14ac:dyDescent="0.3">
      <c r="C50" s="265" t="s">
        <v>66</v>
      </c>
      <c r="D50" s="265" t="s">
        <v>2479</v>
      </c>
      <c r="E50" s="264" t="s">
        <v>255</v>
      </c>
      <c r="F50" s="265" t="s">
        <v>256</v>
      </c>
      <c r="G50" s="265"/>
      <c r="H50" s="264" t="s">
        <v>166</v>
      </c>
      <c r="I50" s="264" t="s">
        <v>167</v>
      </c>
      <c r="J50" s="212" t="s">
        <v>3192</v>
      </c>
      <c r="K50" s="212" t="s">
        <v>3107</v>
      </c>
      <c r="L50" s="272">
        <v>44558</v>
      </c>
      <c r="M50" s="272">
        <v>44558</v>
      </c>
      <c r="N50" s="272">
        <v>44433</v>
      </c>
      <c r="O50" s="272">
        <v>44433</v>
      </c>
      <c r="P50" s="272">
        <v>44537</v>
      </c>
      <c r="Q50" s="264" t="s">
        <v>4</v>
      </c>
      <c r="R50" s="264" t="s">
        <v>7</v>
      </c>
      <c r="S50" s="264" t="s">
        <v>7</v>
      </c>
      <c r="T50" s="265" t="s">
        <v>199</v>
      </c>
      <c r="X50" s="264"/>
      <c r="Z50" s="264"/>
      <c r="AA50" s="264"/>
      <c r="AB50" s="265" t="str">
        <f>VLOOKUP(功能_33[[#This Row],[User]],SKL放款!A:G,7,FALSE)</f>
        <v>放款推展課</v>
      </c>
      <c r="AC50" s="272">
        <v>44533</v>
      </c>
      <c r="AD50" s="272">
        <v>44477</v>
      </c>
      <c r="AE50" s="272">
        <v>44477</v>
      </c>
      <c r="AF50" s="272">
        <v>44477</v>
      </c>
      <c r="AG50" s="209" t="s">
        <v>3189</v>
      </c>
      <c r="AH50" s="272" t="s">
        <v>169</v>
      </c>
      <c r="AI50" s="272"/>
      <c r="AJ50" s="322"/>
      <c r="AK50" s="272">
        <f>IFERROR(IF(VLOOKUP(功能_33[[#This Row],[功能代號]],E:U,11,FALSE)=0,"",VLOOKUP(功能_33[[#This Row],[功能代號]],E:U,11,FALSE)),"")</f>
        <v>44433</v>
      </c>
      <c r="AL50" s="272"/>
      <c r="AM50" s="272"/>
      <c r="AN50" s="265"/>
      <c r="AO50" s="211">
        <v>44498</v>
      </c>
      <c r="AP50" s="264" t="s">
        <v>163</v>
      </c>
      <c r="AQ50" s="264" t="s">
        <v>163</v>
      </c>
      <c r="AR50" s="593" t="s">
        <v>3208</v>
      </c>
      <c r="AS50" s="483" t="str">
        <f>IF(COUNTA(AG50)=1,LEFT(D50,3),"")</f>
        <v>2-4</v>
      </c>
      <c r="AT50" s="485" t="str">
        <f>IF(AND(COUNTA(O50)=1,COUNTA(P50)=1,COUNTA(AC50)=1,COUNTA(AF50)=1,COUNTA(AG50)=0),LEFT(D50,3),"")</f>
        <v/>
      </c>
      <c r="AU50" s="487" t="str">
        <f>IF(AND(COUNTA(O50)=1,COUNTA(P50)=1,COUNTA(AC50)=1,COUNTA(AF50)=0,COUNTA(AG50)=0),LEFT(D50,3),"")</f>
        <v/>
      </c>
      <c r="AV50" s="489" t="str">
        <f>IF(AND(COUNTA(P50)=0,COUNTA(AC50)=1),LEFT(D50,3),"")</f>
        <v/>
      </c>
      <c r="AW50" s="491" t="str">
        <f>IF(AND(COUNTA(P50)=1,COUNTA(AC50)=0),LEFT(D50,3),"")</f>
        <v/>
      </c>
      <c r="AX50" s="493" t="str">
        <f>IF(AND(COUNTA(P50)=0,COUNTA(AC50)=0),LEFT(D50,3),"")</f>
        <v/>
      </c>
      <c r="AY50" s="514" t="str">
        <f>IFERROR(VLOOKUP(功能_33[[#This Row],[功能代號]],SIT_FT_2021tmp!D:D,1,FALSE),"")</f>
        <v>L2418</v>
      </c>
      <c r="AZ50" s="587">
        <v>44524</v>
      </c>
      <c r="BA50" s="587">
        <v>44524</v>
      </c>
      <c r="BB50" s="514" t="s">
        <v>3073</v>
      </c>
      <c r="BC50" s="265" t="s">
        <v>3006</v>
      </c>
      <c r="BD50" s="593"/>
      <c r="BE50" s="264" t="str">
        <f>IF(AND(COUNTIF(AY50,"&gt;&lt;0")=1,COUNTA(M50)=1),LEFT(D50,3),"")</f>
        <v>2-4</v>
      </c>
      <c r="BF50" s="264" t="str">
        <f>IF(AND(COUNTIF(AY50,"&gt;&lt;")=1,COUNTA(M50)=0),LEFT(D50,3),"")</f>
        <v/>
      </c>
      <c r="BG50" s="264" t="str">
        <f>IF(AND(COUNTIF(AY50,"&gt;&lt;0")=0,COUNTA(M50)=1),LEFT(D50,3),"")</f>
        <v/>
      </c>
      <c r="BH50" s="264" t="str">
        <f>IF(AND(COUNTIF(AY50,"&gt;&lt;0")=0,COUNTA(M50)=0),LEFT(D50,3),"")</f>
        <v/>
      </c>
    </row>
    <row r="51" spans="2:60" ht="13.5" x14ac:dyDescent="0.3">
      <c r="C51" s="265" t="s">
        <v>70</v>
      </c>
      <c r="D51" s="265" t="s">
        <v>2465</v>
      </c>
      <c r="E51" s="264" t="s">
        <v>2685</v>
      </c>
      <c r="F51" s="265" t="s">
        <v>2688</v>
      </c>
      <c r="G51" s="265" t="s">
        <v>2689</v>
      </c>
      <c r="H51" s="264" t="s">
        <v>166</v>
      </c>
      <c r="I51" s="264" t="s">
        <v>167</v>
      </c>
      <c r="J51" s="212" t="s">
        <v>2853</v>
      </c>
      <c r="K51" s="212"/>
      <c r="L51" s="272">
        <v>44571</v>
      </c>
      <c r="M51" s="272">
        <v>44572</v>
      </c>
      <c r="N51" s="272">
        <v>44433</v>
      </c>
      <c r="O51" s="272">
        <v>44433</v>
      </c>
      <c r="P51" s="272">
        <v>44539</v>
      </c>
      <c r="Q51" s="264" t="s">
        <v>4</v>
      </c>
      <c r="R51" s="264" t="s">
        <v>5</v>
      </c>
      <c r="S51" s="264" t="s">
        <v>5</v>
      </c>
      <c r="X51" s="264"/>
      <c r="Z51" s="264"/>
      <c r="AA51" s="264"/>
      <c r="AB51" s="265" t="str">
        <f>VLOOKUP(功能_33[[#This Row],[User]],SKL放款!A:G,7,FALSE)</f>
        <v>放款服務課</v>
      </c>
      <c r="AC51" s="272">
        <v>44539</v>
      </c>
      <c r="AD51" s="272" t="s">
        <v>318</v>
      </c>
      <c r="AE51" s="258">
        <v>44544</v>
      </c>
      <c r="AF51" s="259">
        <v>44544</v>
      </c>
      <c r="AG51" s="209">
        <v>44550</v>
      </c>
      <c r="AH51" s="259"/>
      <c r="AI51" s="259"/>
      <c r="AJ51" s="259"/>
      <c r="AK51" s="259">
        <f>IFERROR(IF(VLOOKUP(功能_33[[#This Row],[功能代號]],E:U,11,FALSE)=0,"",VLOOKUP(功能_33[[#This Row],[功能代號]],E:U,11,FALSE)),"")</f>
        <v>44433</v>
      </c>
      <c r="AL51" s="259"/>
      <c r="AM51" s="259"/>
      <c r="AN51" s="265"/>
      <c r="AP51" s="264" t="s">
        <v>163</v>
      </c>
      <c r="AQ51" s="264" t="s">
        <v>163</v>
      </c>
      <c r="AR51" s="593" t="s">
        <v>3207</v>
      </c>
      <c r="AS51" s="483" t="str">
        <f>IF(COUNTA(AG51)=1,LEFT(D51,3),"")</f>
        <v>6-6</v>
      </c>
      <c r="AT51" s="485" t="str">
        <f>IF(AND(COUNTA(O51)=1,COUNTA(P51)=1,COUNTA(AC51)=1,COUNTA(AF51)=1,COUNTA(AG51)=0),LEFT(D51,3),"")</f>
        <v/>
      </c>
      <c r="AU51" s="487" t="str">
        <f>IF(AND(COUNTA(O51)=1,COUNTA(P51)=1,COUNTA(AC51)=1,COUNTA(AF51)=0,COUNTA(AG51)=0),LEFT(D51,3),"")</f>
        <v/>
      </c>
      <c r="AV51" s="489" t="str">
        <f>IF(AND(COUNTA(P51)=0,COUNTA(AC51)=1),LEFT(D51,3),"")</f>
        <v/>
      </c>
      <c r="AW51" s="491" t="str">
        <f>IF(AND(COUNTA(P51)=1,COUNTA(AC51)=0),LEFT(D51,3),"")</f>
        <v/>
      </c>
      <c r="AX51" s="493" t="str">
        <f>IF(AND(COUNTA(P51)=0,COUNTA(AC51)=0),LEFT(D51,3),"")</f>
        <v/>
      </c>
      <c r="AY51" s="514" t="str">
        <f>IFERROR(VLOOKUP(功能_33[[#This Row],[功能代號]],SIT_FT_2021tmp!D:D,1,FALSE),"")</f>
        <v>L6023</v>
      </c>
      <c r="AZ51" s="587">
        <v>44552</v>
      </c>
      <c r="BA51" s="587">
        <v>44552</v>
      </c>
      <c r="BB51" s="514" t="s">
        <v>3000</v>
      </c>
      <c r="BC51" s="265" t="s">
        <v>3012</v>
      </c>
      <c r="BD51" s="593"/>
      <c r="BE51" s="264" t="str">
        <f>IF(AND(COUNTIF(AY51,"&gt;&lt;0")=1,COUNTA(M51)=1),LEFT(D51,3),"")</f>
        <v>6-6</v>
      </c>
      <c r="BF51" s="264" t="str">
        <f>IF(AND(COUNTIF(AY51,"&gt;&lt;")=1,COUNTA(M51)=0),LEFT(D51,3),"")</f>
        <v/>
      </c>
      <c r="BG51" s="264" t="str">
        <f>IF(AND(COUNTIF(AY51,"&gt;&lt;0")=0,COUNTA(M51)=1),LEFT(D51,3),"")</f>
        <v/>
      </c>
      <c r="BH51" s="264" t="str">
        <f>IF(AND(COUNTIF(AY51,"&gt;&lt;0")=0,COUNTA(M51)=0),LEFT(D51,3),"")</f>
        <v/>
      </c>
    </row>
    <row r="52" spans="2:60" ht="13.5" x14ac:dyDescent="0.3">
      <c r="C52" s="265" t="s">
        <v>70</v>
      </c>
      <c r="D52" s="265" t="s">
        <v>2465</v>
      </c>
      <c r="E52" s="264" t="s">
        <v>2686</v>
      </c>
      <c r="F52" s="265" t="s">
        <v>2687</v>
      </c>
      <c r="G52" s="265" t="s">
        <v>2689</v>
      </c>
      <c r="H52" s="264" t="s">
        <v>166</v>
      </c>
      <c r="I52" s="264" t="s">
        <v>167</v>
      </c>
      <c r="J52" s="212" t="s">
        <v>2853</v>
      </c>
      <c r="K52" s="212"/>
      <c r="L52" s="272">
        <v>44571</v>
      </c>
      <c r="M52" s="272">
        <v>44572</v>
      </c>
      <c r="N52" s="272">
        <v>44433</v>
      </c>
      <c r="O52" s="272">
        <v>44433</v>
      </c>
      <c r="P52" s="272">
        <v>44539</v>
      </c>
      <c r="Q52" s="264" t="s">
        <v>4</v>
      </c>
      <c r="R52" s="264" t="s">
        <v>5</v>
      </c>
      <c r="S52" s="264" t="s">
        <v>5</v>
      </c>
      <c r="X52" s="264"/>
      <c r="Z52" s="264"/>
      <c r="AA52" s="264"/>
      <c r="AB52" s="265" t="str">
        <f>VLOOKUP(功能_33[[#This Row],[User]],SKL放款!A:G,7,FALSE)</f>
        <v>放款服務課</v>
      </c>
      <c r="AC52" s="272">
        <v>44539</v>
      </c>
      <c r="AD52" s="272" t="s">
        <v>318</v>
      </c>
      <c r="AE52" s="258">
        <v>44544</v>
      </c>
      <c r="AF52" s="259">
        <v>44544</v>
      </c>
      <c r="AG52" s="209">
        <v>44550</v>
      </c>
      <c r="AH52" s="259"/>
      <c r="AI52" s="259"/>
      <c r="AJ52" s="259"/>
      <c r="AK52" s="259">
        <f>IFERROR(IF(VLOOKUP(功能_33[[#This Row],[功能代號]],E:U,11,FALSE)=0,"",VLOOKUP(功能_33[[#This Row],[功能代號]],E:U,11,FALSE)),"")</f>
        <v>44433</v>
      </c>
      <c r="AL52" s="259"/>
      <c r="AM52" s="259"/>
      <c r="AN52" s="265"/>
      <c r="AP52" s="264" t="s">
        <v>163</v>
      </c>
      <c r="AQ52" s="264" t="s">
        <v>163</v>
      </c>
      <c r="AR52" s="593" t="s">
        <v>3207</v>
      </c>
      <c r="AS52" s="483" t="str">
        <f>IF(COUNTA(AG52)=1,LEFT(D52,3),"")</f>
        <v>6-6</v>
      </c>
      <c r="AT52" s="485" t="str">
        <f>IF(AND(COUNTA(O52)=1,COUNTA(P52)=1,COUNTA(AC52)=1,COUNTA(AF52)=1,COUNTA(AG52)=0),LEFT(D52,3),"")</f>
        <v/>
      </c>
      <c r="AU52" s="487" t="str">
        <f>IF(AND(COUNTA(O52)=1,COUNTA(P52)=1,COUNTA(AC52)=1,COUNTA(AF52)=0,COUNTA(AG52)=0),LEFT(D52,3),"")</f>
        <v/>
      </c>
      <c r="AV52" s="489" t="str">
        <f>IF(AND(COUNTA(P52)=0,COUNTA(AC52)=1),LEFT(D52,3),"")</f>
        <v/>
      </c>
      <c r="AW52" s="491" t="str">
        <f>IF(AND(COUNTA(P52)=1,COUNTA(AC52)=0),LEFT(D52,3),"")</f>
        <v/>
      </c>
      <c r="AX52" s="493" t="str">
        <f>IF(AND(COUNTA(P52)=0,COUNTA(AC52)=0),LEFT(D52,3),"")</f>
        <v/>
      </c>
      <c r="AY52" s="514" t="str">
        <f>IFERROR(VLOOKUP(功能_33[[#This Row],[功能代號]],SIT_FT_2021tmp!D:D,1,FALSE),"")</f>
        <v>L6203</v>
      </c>
      <c r="AZ52" s="587">
        <v>44552</v>
      </c>
      <c r="BA52" s="587">
        <v>44552</v>
      </c>
      <c r="BB52" s="514" t="s">
        <v>3000</v>
      </c>
      <c r="BC52" s="265" t="s">
        <v>3012</v>
      </c>
      <c r="BD52" s="593"/>
      <c r="BE52" s="264" t="str">
        <f>IF(AND(COUNTIF(AY52,"&gt;&lt;0")=1,COUNTA(M52)=1),LEFT(D52,3),"")</f>
        <v>6-6</v>
      </c>
      <c r="BF52" s="264" t="str">
        <f>IF(AND(COUNTIF(AY52,"&gt;&lt;")=1,COUNTA(M52)=0),LEFT(D52,3),"")</f>
        <v/>
      </c>
      <c r="BG52" s="264" t="str">
        <f>IF(AND(COUNTIF(AY52,"&gt;&lt;0")=0,COUNTA(M52)=1),LEFT(D52,3),"")</f>
        <v/>
      </c>
      <c r="BH52" s="264" t="str">
        <f>IF(AND(COUNTIF(AY52,"&gt;&lt;0")=0,COUNTA(M52)=0),LEFT(D52,3),"")</f>
        <v/>
      </c>
    </row>
    <row r="53" spans="2:60" ht="13.5" x14ac:dyDescent="0.3">
      <c r="C53" s="265" t="s">
        <v>66</v>
      </c>
      <c r="D53" s="265" t="s">
        <v>2479</v>
      </c>
      <c r="E53" s="264" t="s">
        <v>257</v>
      </c>
      <c r="F53" s="265" t="s">
        <v>258</v>
      </c>
      <c r="G53" s="265"/>
      <c r="H53" s="264" t="s">
        <v>166</v>
      </c>
      <c r="I53" s="264" t="s">
        <v>176</v>
      </c>
      <c r="J53" s="212" t="s">
        <v>2754</v>
      </c>
      <c r="K53" s="212"/>
      <c r="L53" s="272">
        <v>44558</v>
      </c>
      <c r="M53" s="272">
        <v>44558</v>
      </c>
      <c r="N53" s="272">
        <v>44433</v>
      </c>
      <c r="O53" s="272">
        <v>44432</v>
      </c>
      <c r="P53" s="272">
        <v>44536</v>
      </c>
      <c r="Q53" s="264" t="s">
        <v>4</v>
      </c>
      <c r="R53" s="264" t="s">
        <v>7</v>
      </c>
      <c r="S53" s="264" t="s">
        <v>7</v>
      </c>
      <c r="T53" s="265" t="s">
        <v>199</v>
      </c>
      <c r="X53" s="264"/>
      <c r="Z53" s="264"/>
      <c r="AA53" s="264"/>
      <c r="AB53" s="265" t="e">
        <f>VLOOKUP([2]!功能_33[[#This Row],[User]],[2]SKL放款!A:G,7,FALSE)</f>
        <v>#REF!</v>
      </c>
      <c r="AC53" s="272">
        <v>44533</v>
      </c>
      <c r="AD53" s="272">
        <v>44533</v>
      </c>
      <c r="AE53" s="272">
        <v>44543</v>
      </c>
      <c r="AF53" s="272">
        <v>44543</v>
      </c>
      <c r="AG53" s="209">
        <v>44544</v>
      </c>
      <c r="AH53" s="272"/>
      <c r="AI53" s="272"/>
      <c r="AJ53" s="322"/>
      <c r="AK53" s="272" t="str">
        <f>IFERROR(IF(VLOOKUP([2]!功能_33[[#This Row],[功能代號]],E:U,11,FALSE)=0,"",VLOOKUP([2]!功能_33[[#This Row],[功能代號]],E:U,11,FALSE)),"")</f>
        <v/>
      </c>
      <c r="AL53" s="272"/>
      <c r="AM53" s="272"/>
      <c r="AN53" s="265"/>
      <c r="AO53" s="211">
        <v>44494</v>
      </c>
      <c r="AP53" s="264" t="s">
        <v>163</v>
      </c>
      <c r="AQ53" s="264" t="s">
        <v>163</v>
      </c>
      <c r="AR53" s="593" t="s">
        <v>3207</v>
      </c>
      <c r="AS53" s="483" t="str">
        <f>IF(COUNTA(AG53)=1,LEFT(D53,3),"")</f>
        <v>2-4</v>
      </c>
      <c r="AT53" s="484" t="str">
        <f>IF(AND(COUNTA(O53)=1,COUNTA(P53)=1,COUNTA(AC53)=1,COUNTA(AF53)=1,COUNTA(AG53)=0),LEFT(D53,3),"")</f>
        <v/>
      </c>
      <c r="AU53" s="486" t="str">
        <f>IF(AND(COUNTA(O53)=1,COUNTA(P53)=1,COUNTA(AC53)=1,COUNTA(AF53)=0,COUNTA(AG53)=0),LEFT(D53,3),"")</f>
        <v/>
      </c>
      <c r="AV53" s="516" t="str">
        <f>IF(AND(COUNTA(P53)=0,COUNTA(AC53)=1),LEFT(D53,3),"")</f>
        <v/>
      </c>
      <c r="AW53" s="517" t="str">
        <f>IF(AND(COUNTA(P53)=1,COUNTA(AC53)=0),LEFT(D53,3),"")</f>
        <v/>
      </c>
      <c r="AX53" s="247" t="str">
        <f>IF(AND(COUNTA(P53)=0,COUNTA(AC53)=0),LEFT(D53,3),"")</f>
        <v/>
      </c>
      <c r="AY53" s="514" t="str">
        <f>IFERROR(VLOOKUP(功能_33[[#This Row],[功能代號]],SIT_FT_2021tmp!D:D,1,FALSE),"")</f>
        <v>L2017</v>
      </c>
      <c r="AZ53" s="587">
        <v>44554</v>
      </c>
      <c r="BA53" s="587">
        <v>44554</v>
      </c>
      <c r="BB53" s="514" t="s">
        <v>3073</v>
      </c>
      <c r="BC53" s="265" t="s">
        <v>3007</v>
      </c>
      <c r="BD53" s="593"/>
      <c r="BE53" s="264" t="str">
        <f>IF(AND(COUNTIF(AY53,"&gt;&lt;0")=1,COUNTA(M53)=1),LEFT(D53,3),"")</f>
        <v>2-4</v>
      </c>
      <c r="BF53" s="264" t="str">
        <f>IF(AND(COUNTIF(AY53,"&gt;&lt;")=1,COUNTA(M53)=0),LEFT(D53,3),"")</f>
        <v/>
      </c>
      <c r="BG53" s="264" t="str">
        <f>IF(AND(COUNTIF(AY53,"&gt;&lt;0")=0,COUNTA(M53)=1),LEFT(D53,3),"")</f>
        <v/>
      </c>
      <c r="BH53" s="264" t="str">
        <f>IF(AND(COUNTIF(AY53,"&gt;&lt;0")=0,COUNTA(M53)=0),LEFT(D53,3),"")</f>
        <v/>
      </c>
    </row>
    <row r="54" spans="2:60" ht="13.5" x14ac:dyDescent="0.3">
      <c r="C54" s="265" t="s">
        <v>66</v>
      </c>
      <c r="D54" s="265" t="s">
        <v>2479</v>
      </c>
      <c r="E54" s="264" t="s">
        <v>259</v>
      </c>
      <c r="F54" s="265" t="s">
        <v>260</v>
      </c>
      <c r="G54" s="265"/>
      <c r="H54" s="264" t="s">
        <v>166</v>
      </c>
      <c r="I54" s="264" t="s">
        <v>176</v>
      </c>
      <c r="J54" s="212" t="s">
        <v>2754</v>
      </c>
      <c r="K54" s="212"/>
      <c r="L54" s="272">
        <v>44558</v>
      </c>
      <c r="M54" s="272">
        <v>44558</v>
      </c>
      <c r="N54" s="272">
        <v>44433</v>
      </c>
      <c r="O54" s="272">
        <v>44432</v>
      </c>
      <c r="P54" s="272">
        <v>44536</v>
      </c>
      <c r="Q54" s="264" t="s">
        <v>4</v>
      </c>
      <c r="R54" s="264" t="s">
        <v>7</v>
      </c>
      <c r="S54" s="264" t="s">
        <v>7</v>
      </c>
      <c r="T54" s="265" t="s">
        <v>199</v>
      </c>
      <c r="X54" s="264"/>
      <c r="Z54" s="264"/>
      <c r="AA54" s="264"/>
      <c r="AB54" s="265" t="e">
        <f>VLOOKUP([2]!功能_33[[#This Row],[User]],[2]SKL放款!A:G,7,FALSE)</f>
        <v>#REF!</v>
      </c>
      <c r="AC54" s="272">
        <v>44533</v>
      </c>
      <c r="AD54" s="272">
        <v>44477</v>
      </c>
      <c r="AE54" s="272">
        <v>44477</v>
      </c>
      <c r="AF54" s="272">
        <v>44477</v>
      </c>
      <c r="AG54" s="209">
        <v>44544</v>
      </c>
      <c r="AH54" s="272" t="s">
        <v>169</v>
      </c>
      <c r="AI54" s="272"/>
      <c r="AJ54" s="322"/>
      <c r="AK54" s="272" t="str">
        <f>IFERROR(IF(VLOOKUP([2]!功能_33[[#This Row],[功能代號]],E:U,11,FALSE)=0,"",VLOOKUP([2]!功能_33[[#This Row],[功能代號]],E:U,11,FALSE)),"")</f>
        <v/>
      </c>
      <c r="AL54" s="272"/>
      <c r="AM54" s="272"/>
      <c r="AN54" s="265"/>
      <c r="AP54" s="264" t="s">
        <v>163</v>
      </c>
      <c r="AQ54" s="264" t="s">
        <v>163</v>
      </c>
      <c r="AR54" s="593" t="s">
        <v>3220</v>
      </c>
      <c r="AS54" s="483" t="str">
        <f>IF(COUNTA(AG54)=1,LEFT(D54,3),"")</f>
        <v>2-4</v>
      </c>
      <c r="AT54" s="484" t="str">
        <f>IF(AND(COUNTA(O54)=1,COUNTA(P54)=1,COUNTA(AC54)=1,COUNTA(AF54)=1,COUNTA(AG54)=0),LEFT(D54,3),"")</f>
        <v/>
      </c>
      <c r="AU54" s="486" t="str">
        <f>IF(AND(COUNTA(O54)=1,COUNTA(P54)=1,COUNTA(AC54)=1,COUNTA(AF54)=0,COUNTA(AG54)=0),LEFT(D54,3),"")</f>
        <v/>
      </c>
      <c r="AV54" s="516" t="str">
        <f>IF(AND(COUNTA(P54)=0,COUNTA(AC54)=1),LEFT(D54,3),"")</f>
        <v/>
      </c>
      <c r="AW54" s="517" t="str">
        <f>IF(AND(COUNTA(P54)=1,COUNTA(AC54)=0),LEFT(D54,3),"")</f>
        <v/>
      </c>
      <c r="AX54" s="247" t="str">
        <f>IF(AND(COUNTA(P54)=0,COUNTA(AC54)=0),LEFT(D54,3),"")</f>
        <v/>
      </c>
      <c r="AY54" s="514" t="str">
        <f>IFERROR(VLOOKUP(功能_33[[#This Row],[功能代號]],SIT_FT_2021tmp!D:D,1,FALSE),"")</f>
        <v>L2417</v>
      </c>
      <c r="AZ54" s="587">
        <v>44554</v>
      </c>
      <c r="BA54" s="587">
        <v>44554</v>
      </c>
      <c r="BB54" s="514" t="s">
        <v>3073</v>
      </c>
      <c r="BC54" s="265" t="s">
        <v>3007</v>
      </c>
      <c r="BD54" s="593"/>
      <c r="BE54" s="264" t="str">
        <f>IF(AND(COUNTIF(AY54,"&gt;&lt;0")=1,COUNTA(M54)=1),LEFT(D54,3),"")</f>
        <v>2-4</v>
      </c>
      <c r="BF54" s="264" t="str">
        <f>IF(AND(COUNTIF(AY54,"&gt;&lt;")=1,COUNTA(M54)=0),LEFT(D54,3),"")</f>
        <v/>
      </c>
      <c r="BG54" s="264" t="str">
        <f>IF(AND(COUNTIF(AY54,"&gt;&lt;0")=0,COUNTA(M54)=1),LEFT(D54,3),"")</f>
        <v/>
      </c>
      <c r="BH54" s="264" t="str">
        <f>IF(AND(COUNTIF(AY54,"&gt;&lt;0")=0,COUNTA(M54)=0),LEFT(D54,3),"")</f>
        <v/>
      </c>
    </row>
    <row r="55" spans="2:60" ht="13.5" x14ac:dyDescent="0.3">
      <c r="C55" s="265" t="s">
        <v>66</v>
      </c>
      <c r="D55" s="265" t="s">
        <v>2479</v>
      </c>
      <c r="E55" s="264" t="s">
        <v>261</v>
      </c>
      <c r="F55" s="265" t="s">
        <v>262</v>
      </c>
      <c r="G55" s="265"/>
      <c r="H55" s="264" t="s">
        <v>166</v>
      </c>
      <c r="I55" s="264" t="s">
        <v>176</v>
      </c>
      <c r="J55" s="212" t="s">
        <v>2754</v>
      </c>
      <c r="K55" s="212"/>
      <c r="L55" s="272">
        <v>44558</v>
      </c>
      <c r="M55" s="272">
        <v>44558</v>
      </c>
      <c r="N55" s="272">
        <v>44434</v>
      </c>
      <c r="O55" s="272">
        <v>44433</v>
      </c>
      <c r="P55" s="272">
        <f>IFERROR(IF(VLOOKUP(功能_33[[#This Row],[功能代號]],討論項目!A:H,8,FALSE)=0,"",VLOOKUP(功能_33[[#This Row],[功能代號]],討論項目!A:H,8,FALSE)),"")</f>
        <v>44445</v>
      </c>
      <c r="Q55" s="264" t="s">
        <v>4</v>
      </c>
      <c r="R55" s="264" t="s">
        <v>7</v>
      </c>
      <c r="S55" s="264" t="s">
        <v>7</v>
      </c>
      <c r="T55" s="265" t="s">
        <v>199</v>
      </c>
      <c r="X55" s="264"/>
      <c r="Z55" s="264"/>
      <c r="AA55" s="264"/>
      <c r="AB55" s="265" t="str">
        <f>VLOOKUP(功能_33[[#This Row],[User]],SKL放款!A:G,7,FALSE)</f>
        <v>放款推展課</v>
      </c>
      <c r="AC55" s="272">
        <v>44533</v>
      </c>
      <c r="AD55" s="272">
        <v>44533</v>
      </c>
      <c r="AE55" s="272">
        <v>44543</v>
      </c>
      <c r="AF55" s="272">
        <v>44543</v>
      </c>
      <c r="AG55" s="209">
        <v>44544</v>
      </c>
      <c r="AH55" s="272"/>
      <c r="AI55" s="272"/>
      <c r="AJ55" s="322"/>
      <c r="AK55" s="272">
        <f>IFERROR(IF(VLOOKUP(功能_33[[#This Row],[功能代號]],E:U,11,FALSE)=0,"",VLOOKUP(功能_33[[#This Row],[功能代號]],E:U,11,FALSE)),"")</f>
        <v>44433</v>
      </c>
      <c r="AL55" s="272"/>
      <c r="AM55" s="272"/>
      <c r="AN55" s="265"/>
      <c r="AP55" s="264" t="s">
        <v>239</v>
      </c>
      <c r="AQ55" s="265" t="s">
        <v>250</v>
      </c>
      <c r="AR55" s="593" t="s">
        <v>3221</v>
      </c>
      <c r="AS55" s="483" t="str">
        <f>IF(COUNTA(AG55)=1,LEFT(D55,3),"")</f>
        <v>2-4</v>
      </c>
      <c r="AT55" s="485" t="str">
        <f>IF(AND(COUNTA(O55)=1,COUNTA(P55)=1,COUNTA(AC55)=1,COUNTA(AF55)=1,COUNTA(AG55)=0),LEFT(D55,3),"")</f>
        <v/>
      </c>
      <c r="AU55" s="487" t="str">
        <f>IF(AND(COUNTA(O55)=1,COUNTA(P55)=1,COUNTA(AC55)=1,COUNTA(AF55)=0,COUNTA(AG55)=0),LEFT(D55,3),"")</f>
        <v/>
      </c>
      <c r="AV55" s="489" t="str">
        <f>IF(AND(COUNTA(P55)=0,COUNTA(AC55)=1),LEFT(D55,3),"")</f>
        <v/>
      </c>
      <c r="AW55" s="491" t="str">
        <f>IF(AND(COUNTA(P55)=1,COUNTA(AC55)=0),LEFT(D55,3),"")</f>
        <v/>
      </c>
      <c r="AX55" s="493" t="str">
        <f>IF(AND(COUNTA(P55)=0,COUNTA(AC55)=0),LEFT(D55,3),"")</f>
        <v/>
      </c>
      <c r="AY55" s="514" t="str">
        <f>IFERROR(VLOOKUP(功能_33[[#This Row],[功能代號]],SIT_FT_2021tmp!D:D,1,FALSE),"")</f>
        <v>L2412</v>
      </c>
      <c r="AZ55" s="587">
        <v>44524</v>
      </c>
      <c r="BA55" s="587">
        <v>44524</v>
      </c>
      <c r="BB55" s="514" t="s">
        <v>3073</v>
      </c>
      <c r="BC55" s="265" t="s">
        <v>3006</v>
      </c>
      <c r="BD55" s="593"/>
      <c r="BE55" s="264" t="str">
        <f>IF(AND(COUNTIF(AY55,"&gt;&lt;0")=1,COUNTA(M55)=1),LEFT(D55,3),"")</f>
        <v>2-4</v>
      </c>
      <c r="BF55" s="264" t="str">
        <f>IF(AND(COUNTIF(AY55,"&gt;&lt;")=1,COUNTA(M55)=0),LEFT(D55,3),"")</f>
        <v/>
      </c>
      <c r="BG55" s="264" t="str">
        <f>IF(AND(COUNTIF(AY55,"&gt;&lt;0")=0,COUNTA(M55)=1),LEFT(D55,3),"")</f>
        <v/>
      </c>
      <c r="BH55" s="264" t="str">
        <f>IF(AND(COUNTIF(AY55,"&gt;&lt;0")=0,COUNTA(M55)=0),LEFT(D55,3),"")</f>
        <v/>
      </c>
    </row>
    <row r="56" spans="2:60" ht="13.5" x14ac:dyDescent="0.3">
      <c r="C56" s="265" t="s">
        <v>66</v>
      </c>
      <c r="D56" s="265" t="s">
        <v>2479</v>
      </c>
      <c r="E56" s="264" t="s">
        <v>263</v>
      </c>
      <c r="F56" s="265" t="s">
        <v>264</v>
      </c>
      <c r="G56" s="265"/>
      <c r="H56" s="264" t="s">
        <v>166</v>
      </c>
      <c r="I56" s="264" t="s">
        <v>176</v>
      </c>
      <c r="J56" s="212" t="s">
        <v>2754</v>
      </c>
      <c r="K56" s="212"/>
      <c r="L56" s="272">
        <v>44558</v>
      </c>
      <c r="M56" s="272">
        <v>44558</v>
      </c>
      <c r="N56" s="272">
        <v>44434</v>
      </c>
      <c r="O56" s="272">
        <v>44433</v>
      </c>
      <c r="P56" s="272">
        <v>44536</v>
      </c>
      <c r="Q56" s="264" t="s">
        <v>4</v>
      </c>
      <c r="R56" s="264" t="s">
        <v>7</v>
      </c>
      <c r="S56" s="264" t="s">
        <v>7</v>
      </c>
      <c r="T56" s="265" t="s">
        <v>199</v>
      </c>
      <c r="X56" s="264"/>
      <c r="Z56" s="264"/>
      <c r="AA56" s="264"/>
      <c r="AB56" s="265" t="str">
        <f>VLOOKUP(功能_33[[#This Row],[User]],SKL放款!A:G,7,FALSE)</f>
        <v>放款推展課</v>
      </c>
      <c r="AC56" s="272">
        <v>44533</v>
      </c>
      <c r="AD56" s="272">
        <v>44477</v>
      </c>
      <c r="AE56" s="272">
        <v>44477</v>
      </c>
      <c r="AF56" s="272">
        <v>44477</v>
      </c>
      <c r="AG56" s="209">
        <v>44544</v>
      </c>
      <c r="AH56" s="272" t="s">
        <v>169</v>
      </c>
      <c r="AI56" s="272"/>
      <c r="AJ56" s="322"/>
      <c r="AK56" s="272">
        <f>IFERROR(IF(VLOOKUP(功能_33[[#This Row],[功能代號]],E:U,11,FALSE)=0,"",VLOOKUP(功能_33[[#This Row],[功能代號]],E:U,11,FALSE)),"")</f>
        <v>44433</v>
      </c>
      <c r="AL56" s="272"/>
      <c r="AM56" s="272"/>
      <c r="AN56" s="265"/>
      <c r="AP56" s="264" t="s">
        <v>163</v>
      </c>
      <c r="AQ56" s="264" t="s">
        <v>163</v>
      </c>
      <c r="AR56" s="593" t="s">
        <v>3207</v>
      </c>
      <c r="AS56" s="483" t="str">
        <f>IF(COUNTA(AG56)=1,LEFT(D56,3),"")</f>
        <v>2-4</v>
      </c>
      <c r="AT56" s="485" t="str">
        <f>IF(AND(COUNTA(O56)=1,COUNTA(P56)=1,COUNTA(AC56)=1,COUNTA(AF56)=1,COUNTA(AG56)=0),LEFT(D56,3),"")</f>
        <v/>
      </c>
      <c r="AU56" s="487" t="str">
        <f>IF(AND(COUNTA(O56)=1,COUNTA(P56)=1,COUNTA(AC56)=1,COUNTA(AF56)=0,COUNTA(AG56)=0),LEFT(D56,3),"")</f>
        <v/>
      </c>
      <c r="AV56" s="489" t="str">
        <f>IF(AND(COUNTA(P56)=0,COUNTA(AC56)=1),LEFT(D56,3),"")</f>
        <v/>
      </c>
      <c r="AW56" s="491" t="str">
        <f>IF(AND(COUNTA(P56)=1,COUNTA(AC56)=0),LEFT(D56,3),"")</f>
        <v/>
      </c>
      <c r="AX56" s="493" t="str">
        <f>IF(AND(COUNTA(P56)=0,COUNTA(AC56)=0),LEFT(D56,3),"")</f>
        <v/>
      </c>
      <c r="AY56" s="514" t="str">
        <f>IFERROR(VLOOKUP(功能_33[[#This Row],[功能代號]],SIT_FT_2021tmp!D:D,1,FALSE),"")</f>
        <v>L2912</v>
      </c>
      <c r="AZ56" s="587">
        <v>44524</v>
      </c>
      <c r="BA56" s="587">
        <v>44524</v>
      </c>
      <c r="BB56" s="514" t="s">
        <v>3073</v>
      </c>
      <c r="BC56" s="265" t="s">
        <v>3006</v>
      </c>
      <c r="BD56" s="593"/>
      <c r="BE56" s="264" t="str">
        <f>IF(AND(COUNTIF(AY56,"&gt;&lt;0")=1,COUNTA(M56)=1),LEFT(D56,3),"")</f>
        <v>2-4</v>
      </c>
      <c r="BF56" s="264" t="str">
        <f>IF(AND(COUNTIF(AY56,"&gt;&lt;")=1,COUNTA(M56)=0),LEFT(D56,3),"")</f>
        <v/>
      </c>
      <c r="BG56" s="264" t="str">
        <f>IF(AND(COUNTIF(AY56,"&gt;&lt;0")=0,COUNTA(M56)=1),LEFT(D56,3),"")</f>
        <v/>
      </c>
      <c r="BH56" s="264" t="str">
        <f>IF(AND(COUNTIF(AY56,"&gt;&lt;0")=0,COUNTA(M56)=0),LEFT(D56,3),"")</f>
        <v/>
      </c>
    </row>
    <row r="57" spans="2:60" ht="13.5" x14ac:dyDescent="0.3">
      <c r="C57" s="265" t="s">
        <v>66</v>
      </c>
      <c r="D57" s="265" t="s">
        <v>2479</v>
      </c>
      <c r="E57" s="264" t="s">
        <v>265</v>
      </c>
      <c r="F57" s="265" t="s">
        <v>266</v>
      </c>
      <c r="G57" s="265"/>
      <c r="H57" s="264" t="s">
        <v>166</v>
      </c>
      <c r="I57" s="264" t="s">
        <v>176</v>
      </c>
      <c r="J57" s="212" t="s">
        <v>2754</v>
      </c>
      <c r="K57" s="212"/>
      <c r="L57" s="272">
        <v>44558</v>
      </c>
      <c r="M57" s="272">
        <v>44558</v>
      </c>
      <c r="N57" s="272">
        <v>44435</v>
      </c>
      <c r="O57" s="272">
        <v>44434</v>
      </c>
      <c r="P57" s="272">
        <f>IFERROR(IF(VLOOKUP(功能_33[[#This Row],[功能代號]],討論項目!A:H,8,FALSE)=0,"",VLOOKUP(功能_33[[#This Row],[功能代號]],討論項目!A:H,8,FALSE)),"")</f>
        <v>44435</v>
      </c>
      <c r="Q57" s="264" t="s">
        <v>4</v>
      </c>
      <c r="R57" s="264" t="s">
        <v>18</v>
      </c>
      <c r="S57" s="264" t="s">
        <v>18</v>
      </c>
      <c r="T57" s="265" t="s">
        <v>199</v>
      </c>
      <c r="X57" s="264"/>
      <c r="Z57" s="264"/>
      <c r="AA57" s="264"/>
      <c r="AB57" s="265" t="str">
        <f>VLOOKUP(功能_33[[#This Row],[User]],SKL放款!A:G,7,FALSE)</f>
        <v>放款推展課</v>
      </c>
      <c r="AC57" s="272">
        <v>44533</v>
      </c>
      <c r="AD57" s="272" t="s">
        <v>107</v>
      </c>
      <c r="AE57" s="272">
        <v>44543</v>
      </c>
      <c r="AF57" s="272">
        <v>44543</v>
      </c>
      <c r="AG57" s="209">
        <v>44544</v>
      </c>
      <c r="AH57" s="272"/>
      <c r="AI57" s="272"/>
      <c r="AJ57" s="322"/>
      <c r="AK57" s="272">
        <f>IFERROR(IF(VLOOKUP(功能_33[[#This Row],[功能代號]],E:U,11,FALSE)=0,"",VLOOKUP(功能_33[[#This Row],[功能代號]],E:U,11,FALSE)),"")</f>
        <v>44434</v>
      </c>
      <c r="AL57" s="272"/>
      <c r="AM57" s="272"/>
      <c r="AN57" s="265"/>
      <c r="AP57" s="264" t="s">
        <v>239</v>
      </c>
      <c r="AQ57" s="265" t="s">
        <v>267</v>
      </c>
      <c r="AR57" s="593" t="s">
        <v>3222</v>
      </c>
      <c r="AS57" s="483" t="str">
        <f>IF(COUNTA(AG57)=1,LEFT(D57,3),"")</f>
        <v>2-4</v>
      </c>
      <c r="AT57" s="485" t="str">
        <f>IF(AND(COUNTA(O57)=1,COUNTA(P57)=1,COUNTA(AC57)=1,COUNTA(AF57)=1,COUNTA(AG57)=0),LEFT(D57,3),"")</f>
        <v/>
      </c>
      <c r="AU57" s="487" t="str">
        <f>IF(AND(COUNTA(O57)=1,COUNTA(P57)=1,COUNTA(AC57)=1,COUNTA(AF57)=0,COUNTA(AG57)=0),LEFT(D57,3),"")</f>
        <v/>
      </c>
      <c r="AV57" s="489" t="str">
        <f>IF(AND(COUNTA(P57)=0,COUNTA(AC57)=1),LEFT(D57,3),"")</f>
        <v/>
      </c>
      <c r="AW57" s="491" t="str">
        <f>IF(AND(COUNTA(P57)=1,COUNTA(AC57)=0),LEFT(D57,3),"")</f>
        <v/>
      </c>
      <c r="AX57" s="493" t="str">
        <f>IF(AND(COUNTA(P57)=0,COUNTA(AC57)=0),LEFT(D57,3),"")</f>
        <v/>
      </c>
      <c r="AY57" s="514" t="str">
        <f>IFERROR(VLOOKUP(功能_33[[#This Row],[功能代號]],SIT_FT_2021tmp!D:D,1,FALSE),"")</f>
        <v>L2413</v>
      </c>
      <c r="AZ57" s="587">
        <v>44524</v>
      </c>
      <c r="BA57" s="587">
        <v>44524</v>
      </c>
      <c r="BB57" s="514" t="s">
        <v>3073</v>
      </c>
      <c r="BC57" s="265" t="s">
        <v>3006</v>
      </c>
      <c r="BD57" s="593"/>
      <c r="BE57" s="264" t="str">
        <f>IF(AND(COUNTIF(AY57,"&gt;&lt;0")=1,COUNTA(M57)=1),LEFT(D57,3),"")</f>
        <v>2-4</v>
      </c>
      <c r="BF57" s="264" t="str">
        <f>IF(AND(COUNTIF(AY57,"&gt;&lt;")=1,COUNTA(M57)=0),LEFT(D57,3),"")</f>
        <v/>
      </c>
      <c r="BG57" s="264" t="str">
        <f>IF(AND(COUNTIF(AY57,"&gt;&lt;0")=0,COUNTA(M57)=1),LEFT(D57,3),"")</f>
        <v/>
      </c>
      <c r="BH57" s="264" t="str">
        <f>IF(AND(COUNTIF(AY57,"&gt;&lt;0")=0,COUNTA(M57)=0),LEFT(D57,3),"")</f>
        <v/>
      </c>
    </row>
    <row r="58" spans="2:60" ht="13.5" x14ac:dyDescent="0.3">
      <c r="C58" s="265" t="s">
        <v>66</v>
      </c>
      <c r="D58" s="265" t="s">
        <v>2479</v>
      </c>
      <c r="E58" s="264" t="s">
        <v>268</v>
      </c>
      <c r="F58" s="265" t="s">
        <v>269</v>
      </c>
      <c r="G58" s="265"/>
      <c r="H58" s="264" t="s">
        <v>166</v>
      </c>
      <c r="I58" s="264" t="s">
        <v>176</v>
      </c>
      <c r="J58" s="212" t="s">
        <v>2754</v>
      </c>
      <c r="K58" s="212"/>
      <c r="L58" s="272">
        <v>44558</v>
      </c>
      <c r="M58" s="272">
        <v>44558</v>
      </c>
      <c r="N58" s="272">
        <v>44435</v>
      </c>
      <c r="O58" s="272">
        <v>44434</v>
      </c>
      <c r="P58" s="272">
        <f>IFERROR(IF(VLOOKUP(功能_33[[#This Row],[功能代號]],討論項目!A:H,8,FALSE)=0,"",VLOOKUP(功能_33[[#This Row],[功能代號]],討論項目!A:H,8,FALSE)),"")</f>
        <v>44441</v>
      </c>
      <c r="Q58" s="264" t="s">
        <v>4</v>
      </c>
      <c r="R58" s="264" t="s">
        <v>18</v>
      </c>
      <c r="S58" s="264" t="s">
        <v>18</v>
      </c>
      <c r="T58" s="265" t="s">
        <v>199</v>
      </c>
      <c r="X58" s="264"/>
      <c r="Z58" s="264"/>
      <c r="AA58" s="264"/>
      <c r="AB58" s="265" t="str">
        <f>VLOOKUP(功能_33[[#This Row],[User]],SKL放款!A:G,7,FALSE)</f>
        <v>放款推展課</v>
      </c>
      <c r="AC58" s="272">
        <v>44533</v>
      </c>
      <c r="AD58" s="272" t="s">
        <v>107</v>
      </c>
      <c r="AE58" s="272">
        <v>44543</v>
      </c>
      <c r="AF58" s="272">
        <v>44543</v>
      </c>
      <c r="AG58" s="209">
        <v>44544</v>
      </c>
      <c r="AH58" s="272"/>
      <c r="AI58" s="272"/>
      <c r="AJ58" s="322"/>
      <c r="AK58" s="272">
        <f>IFERROR(IF(VLOOKUP(功能_33[[#This Row],[功能代號]],E:U,11,FALSE)=0,"",VLOOKUP(功能_33[[#This Row],[功能代號]],E:U,11,FALSE)),"")</f>
        <v>44434</v>
      </c>
      <c r="AL58" s="272"/>
      <c r="AM58" s="272"/>
      <c r="AN58" s="265"/>
      <c r="AP58" s="264" t="s">
        <v>163</v>
      </c>
      <c r="AQ58" s="264" t="s">
        <v>163</v>
      </c>
      <c r="AR58" s="593" t="s">
        <v>3207</v>
      </c>
      <c r="AS58" s="483" t="str">
        <f>IF(COUNTA(AG58)=1,LEFT(D58,3),"")</f>
        <v>2-4</v>
      </c>
      <c r="AT58" s="485" t="str">
        <f>IF(AND(COUNTA(O58)=1,COUNTA(P58)=1,COUNTA(AC58)=1,COUNTA(AF58)=1,COUNTA(AG58)=0),LEFT(D58,3),"")</f>
        <v/>
      </c>
      <c r="AU58" s="487" t="str">
        <f>IF(AND(COUNTA(O58)=1,COUNTA(P58)=1,COUNTA(AC58)=1,COUNTA(AF58)=0,COUNTA(AG58)=0),LEFT(D58,3),"")</f>
        <v/>
      </c>
      <c r="AV58" s="489" t="str">
        <f>IF(AND(COUNTA(P58)=0,COUNTA(AC58)=1),LEFT(D58,3),"")</f>
        <v/>
      </c>
      <c r="AW58" s="491" t="str">
        <f>IF(AND(COUNTA(P58)=1,COUNTA(AC58)=0),LEFT(D58,3),"")</f>
        <v/>
      </c>
      <c r="AX58" s="493" t="str">
        <f>IF(AND(COUNTA(P58)=0,COUNTA(AC58)=0),LEFT(D58,3),"")</f>
        <v/>
      </c>
      <c r="AY58" s="514" t="str">
        <f>IFERROR(VLOOKUP(功能_33[[#This Row],[功能代號]],SIT_FT_2021tmp!D:D,1,FALSE),"")</f>
        <v>L2913</v>
      </c>
      <c r="AZ58" s="587">
        <v>44524</v>
      </c>
      <c r="BA58" s="587">
        <v>44524</v>
      </c>
      <c r="BB58" s="514" t="s">
        <v>3073</v>
      </c>
      <c r="BC58" s="265" t="s">
        <v>3006</v>
      </c>
      <c r="BD58" s="593"/>
      <c r="BE58" s="264" t="str">
        <f>IF(AND(COUNTIF(AY58,"&gt;&lt;0")=1,COUNTA(M58)=1),LEFT(D58,3),"")</f>
        <v>2-4</v>
      </c>
      <c r="BF58" s="264" t="str">
        <f>IF(AND(COUNTIF(AY58,"&gt;&lt;")=1,COUNTA(M58)=0),LEFT(D58,3),"")</f>
        <v/>
      </c>
      <c r="BG58" s="264" t="str">
        <f>IF(AND(COUNTIF(AY58,"&gt;&lt;0")=0,COUNTA(M58)=1),LEFT(D58,3),"")</f>
        <v/>
      </c>
      <c r="BH58" s="264" t="str">
        <f>IF(AND(COUNTIF(AY58,"&gt;&lt;0")=0,COUNTA(M58)=0),LEFT(D58,3),"")</f>
        <v/>
      </c>
    </row>
    <row r="59" spans="2:60" ht="13.5" x14ac:dyDescent="0.3">
      <c r="C59" s="265" t="s">
        <v>66</v>
      </c>
      <c r="D59" s="265" t="s">
        <v>2479</v>
      </c>
      <c r="E59" s="264" t="s">
        <v>270</v>
      </c>
      <c r="F59" s="265" t="s">
        <v>271</v>
      </c>
      <c r="G59" s="265"/>
      <c r="H59" s="264" t="s">
        <v>166</v>
      </c>
      <c r="I59" s="264" t="s">
        <v>176</v>
      </c>
      <c r="J59" s="212" t="s">
        <v>2754</v>
      </c>
      <c r="K59" s="212"/>
      <c r="L59" s="272">
        <v>44558</v>
      </c>
      <c r="M59" s="272">
        <v>44558</v>
      </c>
      <c r="N59" s="272">
        <v>44435</v>
      </c>
      <c r="O59" s="272">
        <v>44434</v>
      </c>
      <c r="P59" s="272">
        <f>IFERROR(IF(VLOOKUP(功能_33[[#This Row],[功能代號]],討論項目!A:H,8,FALSE)=0,"",VLOOKUP(功能_33[[#This Row],[功能代號]],討論項目!A:H,8,FALSE)),"")</f>
        <v>44445</v>
      </c>
      <c r="Q59" s="264" t="s">
        <v>4</v>
      </c>
      <c r="R59" s="264" t="s">
        <v>18</v>
      </c>
      <c r="S59" s="264" t="s">
        <v>18</v>
      </c>
      <c r="T59" s="265" t="s">
        <v>199</v>
      </c>
      <c r="X59" s="264"/>
      <c r="Z59" s="264"/>
      <c r="AA59" s="264"/>
      <c r="AB59" s="265" t="str">
        <f>VLOOKUP(功能_33[[#This Row],[User]],SKL放款!A:G,7,FALSE)</f>
        <v>放款推展課</v>
      </c>
      <c r="AC59" s="272">
        <v>44533</v>
      </c>
      <c r="AD59" s="272" t="s">
        <v>107</v>
      </c>
      <c r="AE59" s="272">
        <v>44543</v>
      </c>
      <c r="AF59" s="272">
        <v>44543</v>
      </c>
      <c r="AG59" s="209">
        <v>44544</v>
      </c>
      <c r="AH59" s="272"/>
      <c r="AI59" s="272"/>
      <c r="AJ59" s="322"/>
      <c r="AK59" s="272">
        <f>IFERROR(IF(VLOOKUP(功能_33[[#This Row],[功能代號]],E:U,11,FALSE)=0,"",VLOOKUP(功能_33[[#This Row],[功能代號]],E:U,11,FALSE)),"")</f>
        <v>44434</v>
      </c>
      <c r="AL59" s="272"/>
      <c r="AM59" s="272"/>
      <c r="AN59" s="265"/>
      <c r="AP59" s="264" t="s">
        <v>163</v>
      </c>
      <c r="AQ59" s="264" t="s">
        <v>163</v>
      </c>
      <c r="AR59" s="593" t="s">
        <v>3223</v>
      </c>
      <c r="AS59" s="483" t="str">
        <f>IF(COUNTA(AG59)=1,LEFT(D59,3),"")</f>
        <v>2-4</v>
      </c>
      <c r="AT59" s="485" t="str">
        <f>IF(AND(COUNTA(O59)=1,COUNTA(P59)=1,COUNTA(AC59)=1,COUNTA(AF59)=1,COUNTA(AG59)=0),LEFT(D59,3),"")</f>
        <v/>
      </c>
      <c r="AU59" s="487" t="str">
        <f>IF(AND(COUNTA(O59)=1,COUNTA(P59)=1,COUNTA(AC59)=1,COUNTA(AF59)=0,COUNTA(AG59)=0),LEFT(D59,3),"")</f>
        <v/>
      </c>
      <c r="AV59" s="489" t="str">
        <f>IF(AND(COUNTA(P59)=0,COUNTA(AC59)=1),LEFT(D59,3),"")</f>
        <v/>
      </c>
      <c r="AW59" s="491" t="str">
        <f>IF(AND(COUNTA(P59)=1,COUNTA(AC59)=0),LEFT(D59,3),"")</f>
        <v/>
      </c>
      <c r="AX59" s="493" t="str">
        <f>IF(AND(COUNTA(P59)=0,COUNTA(AC59)=0),LEFT(D59,3),"")</f>
        <v/>
      </c>
      <c r="AY59" s="514" t="str">
        <f>IFERROR(VLOOKUP(功能_33[[#This Row],[功能代號]],SIT_FT_2021tmp!D:D,1,FALSE),"")</f>
        <v>L2414</v>
      </c>
      <c r="AZ59" s="587">
        <v>44524</v>
      </c>
      <c r="BA59" s="587">
        <v>44524</v>
      </c>
      <c r="BB59" s="514" t="s">
        <v>3073</v>
      </c>
      <c r="BC59" s="265" t="s">
        <v>3006</v>
      </c>
      <c r="BD59" s="593"/>
      <c r="BE59" s="264" t="str">
        <f>IF(AND(COUNTIF(AY59,"&gt;&lt;0")=1,COUNTA(M59)=1),LEFT(D59,3),"")</f>
        <v>2-4</v>
      </c>
      <c r="BF59" s="264" t="str">
        <f>IF(AND(COUNTIF(AY59,"&gt;&lt;")=1,COUNTA(M59)=0),LEFT(D59,3),"")</f>
        <v/>
      </c>
      <c r="BG59" s="264" t="str">
        <f>IF(AND(COUNTIF(AY59,"&gt;&lt;0")=0,COUNTA(M59)=1),LEFT(D59,3),"")</f>
        <v/>
      </c>
      <c r="BH59" s="264" t="str">
        <f>IF(AND(COUNTIF(AY59,"&gt;&lt;0")=0,COUNTA(M59)=0),LEFT(D59,3),"")</f>
        <v/>
      </c>
    </row>
    <row r="60" spans="2:60" ht="13.5" x14ac:dyDescent="0.3">
      <c r="C60" s="265" t="s">
        <v>66</v>
      </c>
      <c r="D60" s="265" t="s">
        <v>2479</v>
      </c>
      <c r="E60" s="264" t="s">
        <v>272</v>
      </c>
      <c r="F60" s="265" t="s">
        <v>273</v>
      </c>
      <c r="G60" s="265"/>
      <c r="H60" s="264" t="s">
        <v>166</v>
      </c>
      <c r="I60" s="264" t="s">
        <v>176</v>
      </c>
      <c r="J60" s="212" t="s">
        <v>2754</v>
      </c>
      <c r="K60" s="212"/>
      <c r="L60" s="272">
        <v>44558</v>
      </c>
      <c r="M60" s="272">
        <v>44558</v>
      </c>
      <c r="N60" s="272">
        <v>44435</v>
      </c>
      <c r="O60" s="272">
        <v>44434</v>
      </c>
      <c r="P60" s="272">
        <v>44536</v>
      </c>
      <c r="Q60" s="264" t="s">
        <v>4</v>
      </c>
      <c r="R60" s="264" t="s">
        <v>18</v>
      </c>
      <c r="S60" s="264" t="s">
        <v>18</v>
      </c>
      <c r="T60" s="265" t="s">
        <v>199</v>
      </c>
      <c r="X60" s="264"/>
      <c r="Z60" s="264"/>
      <c r="AA60" s="264"/>
      <c r="AB60" s="265" t="str">
        <f>VLOOKUP(功能_33[[#This Row],[User]],SKL放款!A:G,7,FALSE)</f>
        <v>放款推展課</v>
      </c>
      <c r="AC60" s="272">
        <v>44533</v>
      </c>
      <c r="AD60" s="272" t="s">
        <v>168</v>
      </c>
      <c r="AE60" s="272">
        <v>44477</v>
      </c>
      <c r="AF60" s="272">
        <v>44477</v>
      </c>
      <c r="AG60" s="209">
        <v>44544</v>
      </c>
      <c r="AH60" s="272" t="s">
        <v>169</v>
      </c>
      <c r="AI60" s="272"/>
      <c r="AJ60" s="322"/>
      <c r="AK60" s="272">
        <f>IFERROR(IF(VLOOKUP(功能_33[[#This Row],[功能代號]],E:U,11,FALSE)=0,"",VLOOKUP(功能_33[[#This Row],[功能代號]],E:U,11,FALSE)),"")</f>
        <v>44434</v>
      </c>
      <c r="AL60" s="272"/>
      <c r="AM60" s="272"/>
      <c r="AN60" s="265"/>
      <c r="AP60" s="264" t="s">
        <v>163</v>
      </c>
      <c r="AQ60" s="264" t="s">
        <v>163</v>
      </c>
      <c r="AR60" s="593" t="s">
        <v>3207</v>
      </c>
      <c r="AS60" s="483" t="str">
        <f>IF(COUNTA(AG60)=1,LEFT(D60,3),"")</f>
        <v>2-4</v>
      </c>
      <c r="AT60" s="485" t="str">
        <f>IF(AND(COUNTA(O60)=1,COUNTA(P60)=1,COUNTA(AC60)=1,COUNTA(AF60)=1,COUNTA(AG60)=0),LEFT(D60,3),"")</f>
        <v/>
      </c>
      <c r="AU60" s="487" t="str">
        <f>IF(AND(COUNTA(O60)=1,COUNTA(P60)=1,COUNTA(AC60)=1,COUNTA(AF60)=0,COUNTA(AG60)=0),LEFT(D60,3),"")</f>
        <v/>
      </c>
      <c r="AV60" s="489" t="str">
        <f>IF(AND(COUNTA(P60)=0,COUNTA(AC60)=1),LEFT(D60,3),"")</f>
        <v/>
      </c>
      <c r="AW60" s="491" t="str">
        <f>IF(AND(COUNTA(P60)=1,COUNTA(AC60)=0),LEFT(D60,3),"")</f>
        <v/>
      </c>
      <c r="AX60" s="493" t="str">
        <f>IF(AND(COUNTA(P60)=0,COUNTA(AC60)=0),LEFT(D60,3),"")</f>
        <v/>
      </c>
      <c r="AY60" s="514" t="str">
        <f>IFERROR(VLOOKUP(功能_33[[#This Row],[功能代號]],SIT_FT_2021tmp!D:D,1,FALSE),"")</f>
        <v>L2914</v>
      </c>
      <c r="AZ60" s="587">
        <v>44524</v>
      </c>
      <c r="BA60" s="587">
        <v>44524</v>
      </c>
      <c r="BB60" s="514" t="s">
        <v>3073</v>
      </c>
      <c r="BC60" s="265" t="s">
        <v>3006</v>
      </c>
      <c r="BD60" s="593"/>
      <c r="BE60" s="264" t="str">
        <f>IF(AND(COUNTIF(AY60,"&gt;&lt;0")=1,COUNTA(M60)=1),LEFT(D60,3),"")</f>
        <v>2-4</v>
      </c>
      <c r="BF60" s="264" t="str">
        <f>IF(AND(COUNTIF(AY60,"&gt;&lt;")=1,COUNTA(M60)=0),LEFT(D60,3),"")</f>
        <v/>
      </c>
      <c r="BG60" s="264" t="str">
        <f>IF(AND(COUNTIF(AY60,"&gt;&lt;0")=0,COUNTA(M60)=1),LEFT(D60,3),"")</f>
        <v/>
      </c>
      <c r="BH60" s="264" t="str">
        <f>IF(AND(COUNTIF(AY60,"&gt;&lt;0")=0,COUNTA(M60)=0),LEFT(D60,3),"")</f>
        <v/>
      </c>
    </row>
    <row r="61" spans="2:60" ht="13.5" x14ac:dyDescent="0.3">
      <c r="C61" s="265" t="s">
        <v>66</v>
      </c>
      <c r="D61" s="265" t="s">
        <v>2491</v>
      </c>
      <c r="E61" s="264" t="s">
        <v>274</v>
      </c>
      <c r="F61" s="265" t="s">
        <v>275</v>
      </c>
      <c r="G61" s="265"/>
      <c r="H61" s="264" t="s">
        <v>166</v>
      </c>
      <c r="I61" s="264" t="s">
        <v>176</v>
      </c>
      <c r="J61" s="212" t="s">
        <v>2842</v>
      </c>
      <c r="K61" s="212"/>
      <c r="L61" s="272">
        <v>44558</v>
      </c>
      <c r="M61" s="272">
        <v>44558</v>
      </c>
      <c r="N61" s="272">
        <v>44434</v>
      </c>
      <c r="O61" s="272">
        <v>44434</v>
      </c>
      <c r="P61" s="272">
        <f>IFERROR(IF(VLOOKUP(功能_33[[#This Row],[功能代號]],討論項目!A:H,8,FALSE)=0,"",VLOOKUP(功能_33[[#This Row],[功能代號]],討論項目!A:H,8,FALSE)),"")</f>
        <v>44499</v>
      </c>
      <c r="Q61" s="264" t="s">
        <v>6</v>
      </c>
      <c r="R61" s="264" t="s">
        <v>145</v>
      </c>
      <c r="S61" s="264" t="s">
        <v>145</v>
      </c>
      <c r="T61" s="265" t="s">
        <v>276</v>
      </c>
      <c r="X61" s="264"/>
      <c r="Z61" s="264"/>
      <c r="AA61" s="264"/>
      <c r="AB61" s="265" t="str">
        <f>VLOOKUP(功能_33[[#This Row],[User]],SKL放款!A:G,7,FALSE)</f>
        <v>放款服務課</v>
      </c>
      <c r="AC61" s="272">
        <v>44533</v>
      </c>
      <c r="AD61" s="272">
        <v>44470</v>
      </c>
      <c r="AE61" s="272">
        <f>IF(功能_33[[#This Row],[URS交二審]]=0,"",功能_33[[#This Row],[URS交二審]]+7)</f>
        <v>44477</v>
      </c>
      <c r="AF61" s="272">
        <f>IF(功能_33[[#This Row],[URS交二審]]=0,"",功能_33[[#This Row],[URS交二審]]+7)</f>
        <v>44477</v>
      </c>
      <c r="AG61" s="209">
        <v>44546</v>
      </c>
      <c r="AH61" s="272" t="s">
        <v>169</v>
      </c>
      <c r="AI61" s="272"/>
      <c r="AJ61" s="322"/>
      <c r="AK61" s="272">
        <f>IFERROR(IF(VLOOKUP(功能_33[[#This Row],[功能代號]],E:U,11,FALSE)=0,"",VLOOKUP(功能_33[[#This Row],[功能代號]],E:U,11,FALSE)),"")</f>
        <v>44434</v>
      </c>
      <c r="AL61" s="272"/>
      <c r="AM61" s="272"/>
      <c r="AN61" s="265"/>
      <c r="AP61" s="264">
        <v>231</v>
      </c>
      <c r="AQ61" s="265" t="s">
        <v>277</v>
      </c>
      <c r="AR61" s="593" t="s">
        <v>3207</v>
      </c>
      <c r="AS61" s="483" t="str">
        <f>IF(COUNTA(AG61)=1,LEFT(D61,3),"")</f>
        <v>2-9</v>
      </c>
      <c r="AT61" s="485" t="str">
        <f>IF(AND(COUNTA(O61)=1,COUNTA(P61)=1,COUNTA(AC61)=1,COUNTA(AF61)=1,COUNTA(AG61)=0),LEFT(D61,3),"")</f>
        <v/>
      </c>
      <c r="AU61" s="487" t="str">
        <f>IF(AND(COUNTA(O61)=1,COUNTA(P61)=1,COUNTA(AC61)=1,COUNTA(AF61)=0,COUNTA(AG61)=0),LEFT(D61,3),"")</f>
        <v/>
      </c>
      <c r="AV61" s="489" t="str">
        <f>IF(AND(COUNTA(P61)=0,COUNTA(AC61)=1),LEFT(D61,3),"")</f>
        <v/>
      </c>
      <c r="AW61" s="491" t="str">
        <f>IF(AND(COUNTA(P61)=1,COUNTA(AC61)=0),LEFT(D61,3),"")</f>
        <v/>
      </c>
      <c r="AX61" s="493" t="str">
        <f>IF(AND(COUNTA(P61)=0,COUNTA(AC61)=0),LEFT(D61,3),"")</f>
        <v/>
      </c>
      <c r="AY61" s="514" t="str">
        <f>IFERROR(VLOOKUP(功能_33[[#This Row],[功能代號]],SIT_FT_2021tmp!D:D,1,FALSE),"")</f>
        <v>L2702</v>
      </c>
      <c r="AZ61" s="587">
        <v>44516</v>
      </c>
      <c r="BA61" s="587">
        <v>44516</v>
      </c>
      <c r="BB61" s="514" t="s">
        <v>3073</v>
      </c>
      <c r="BC61" s="265" t="s">
        <v>3013</v>
      </c>
      <c r="BD61" s="593"/>
      <c r="BE61" s="264" t="str">
        <f>IF(AND(COUNTIF(AY61,"&gt;&lt;0")=1,COUNTA(M61)=1),LEFT(D61,3),"")</f>
        <v>2-9</v>
      </c>
      <c r="BF61" s="264" t="str">
        <f>IF(AND(COUNTIF(AY61,"&gt;&lt;")=1,COUNTA(M61)=0),LEFT(D61,3),"")</f>
        <v/>
      </c>
      <c r="BG61" s="264" t="str">
        <f>IF(AND(COUNTIF(AY61,"&gt;&lt;0")=0,COUNTA(M61)=1),LEFT(D61,3),"")</f>
        <v/>
      </c>
      <c r="BH61" s="264" t="str">
        <f>IF(AND(COUNTIF(AY61,"&gt;&lt;0")=0,COUNTA(M61)=0),LEFT(D61,3),"")</f>
        <v/>
      </c>
    </row>
    <row r="62" spans="2:60" ht="13.5" x14ac:dyDescent="0.3">
      <c r="C62" s="265" t="s">
        <v>66</v>
      </c>
      <c r="D62" s="265" t="s">
        <v>2491</v>
      </c>
      <c r="E62" s="264" t="s">
        <v>278</v>
      </c>
      <c r="F62" s="265" t="s">
        <v>279</v>
      </c>
      <c r="G62" s="265"/>
      <c r="H62" s="264" t="s">
        <v>166</v>
      </c>
      <c r="I62" s="264" t="s">
        <v>176</v>
      </c>
      <c r="J62" s="212" t="s">
        <v>2842</v>
      </c>
      <c r="K62" s="212"/>
      <c r="L62" s="272">
        <v>44558</v>
      </c>
      <c r="M62" s="272">
        <v>44558</v>
      </c>
      <c r="N62" s="272">
        <v>44434</v>
      </c>
      <c r="O62" s="272">
        <v>44434</v>
      </c>
      <c r="P62" s="272">
        <f>IFERROR(IF(VLOOKUP(功能_33[[#This Row],[功能代號]],討論項目!A:H,8,FALSE)=0,"",VLOOKUP(功能_33[[#This Row],[功能代號]],討論項目!A:H,8,FALSE)),"")</f>
        <v>44441</v>
      </c>
      <c r="Q62" s="264" t="s">
        <v>6</v>
      </c>
      <c r="R62" s="264" t="s">
        <v>145</v>
      </c>
      <c r="S62" s="264" t="s">
        <v>145</v>
      </c>
      <c r="T62" s="265" t="s">
        <v>276</v>
      </c>
      <c r="X62" s="264"/>
      <c r="Z62" s="264"/>
      <c r="AA62" s="264"/>
      <c r="AB62" s="265" t="str">
        <f>VLOOKUP(功能_33[[#This Row],[User]],SKL放款!A:G,7,FALSE)</f>
        <v>放款服務課</v>
      </c>
      <c r="AC62" s="272">
        <v>44533</v>
      </c>
      <c r="AD62" s="272">
        <v>44470</v>
      </c>
      <c r="AE62" s="272">
        <f>IF(功能_33[[#This Row],[URS交二審]]=0,"",功能_33[[#This Row],[URS交二審]]+7)</f>
        <v>44477</v>
      </c>
      <c r="AF62" s="272">
        <f>IF(功能_33[[#This Row],[URS交二審]]=0,"",功能_33[[#This Row],[URS交二審]]+7)</f>
        <v>44477</v>
      </c>
      <c r="AG62" s="209">
        <v>44546</v>
      </c>
      <c r="AH62" s="272" t="s">
        <v>169</v>
      </c>
      <c r="AI62" s="272"/>
      <c r="AJ62" s="322"/>
      <c r="AK62" s="272">
        <f>IFERROR(IF(VLOOKUP(功能_33[[#This Row],[功能代號]],E:U,11,FALSE)=0,"",VLOOKUP(功能_33[[#This Row],[功能代號]],E:U,11,FALSE)),"")</f>
        <v>44434</v>
      </c>
      <c r="AL62" s="272"/>
      <c r="AM62" s="272"/>
      <c r="AN62" s="265"/>
      <c r="AP62" s="264">
        <v>209</v>
      </c>
      <c r="AQ62" s="265" t="s">
        <v>280</v>
      </c>
      <c r="AR62" s="593" t="s">
        <v>3207</v>
      </c>
      <c r="AS62" s="483" t="str">
        <f>IF(COUNTA(AG62)=1,LEFT(D62,3),"")</f>
        <v>2-9</v>
      </c>
      <c r="AT62" s="485" t="str">
        <f>IF(AND(COUNTA(O62)=1,COUNTA(P62)=1,COUNTA(AC62)=1,COUNTA(AF62)=1,COUNTA(AG62)=0),LEFT(D62,3),"")</f>
        <v/>
      </c>
      <c r="AU62" s="487" t="str">
        <f>IF(AND(COUNTA(O62)=1,COUNTA(P62)=1,COUNTA(AC62)=1,COUNTA(AF62)=0,COUNTA(AG62)=0),LEFT(D62,3),"")</f>
        <v/>
      </c>
      <c r="AV62" s="489" t="str">
        <f>IF(AND(COUNTA(P62)=0,COUNTA(AC62)=1),LEFT(D62,3),"")</f>
        <v/>
      </c>
      <c r="AW62" s="491" t="str">
        <f>IF(AND(COUNTA(P62)=1,COUNTA(AC62)=0),LEFT(D62,3),"")</f>
        <v/>
      </c>
      <c r="AX62" s="493" t="str">
        <f>IF(AND(COUNTA(P62)=0,COUNTA(AC62)=0),LEFT(D62,3),"")</f>
        <v/>
      </c>
      <c r="AY62" s="514" t="str">
        <f>IFERROR(VLOOKUP(功能_33[[#This Row],[功能代號]],SIT_FT_2021tmp!D:D,1,FALSE),"")</f>
        <v>L2072</v>
      </c>
      <c r="AZ62" s="587">
        <v>44516</v>
      </c>
      <c r="BA62" s="587">
        <v>44516</v>
      </c>
      <c r="BB62" s="514" t="s">
        <v>3073</v>
      </c>
      <c r="BC62" s="265" t="s">
        <v>3013</v>
      </c>
      <c r="BD62" s="593"/>
      <c r="BE62" s="264" t="str">
        <f>IF(AND(COUNTIF(AY62,"&gt;&lt;0")=1,COUNTA(M62)=1),LEFT(D62,3),"")</f>
        <v>2-9</v>
      </c>
      <c r="BF62" s="264" t="str">
        <f>IF(AND(COUNTIF(AY62,"&gt;&lt;")=1,COUNTA(M62)=0),LEFT(D62,3),"")</f>
        <v/>
      </c>
      <c r="BG62" s="264" t="str">
        <f>IF(AND(COUNTIF(AY62,"&gt;&lt;0")=0,COUNTA(M62)=1),LEFT(D62,3),"")</f>
        <v/>
      </c>
      <c r="BH62" s="264" t="str">
        <f>IF(AND(COUNTIF(AY62,"&gt;&lt;0")=0,COUNTA(M62)=0),LEFT(D62,3),"")</f>
        <v/>
      </c>
    </row>
    <row r="63" spans="2:60" ht="13.5" x14ac:dyDescent="0.3">
      <c r="B63" s="265">
        <v>1</v>
      </c>
      <c r="C63" s="265" t="s">
        <v>67</v>
      </c>
      <c r="D63" s="265" t="s">
        <v>2482</v>
      </c>
      <c r="E63" s="264" t="s">
        <v>281</v>
      </c>
      <c r="F63" s="265" t="s">
        <v>282</v>
      </c>
      <c r="G63" s="265"/>
      <c r="H63" s="264" t="s">
        <v>166</v>
      </c>
      <c r="I63" s="264" t="s">
        <v>167</v>
      </c>
      <c r="J63" s="212" t="s">
        <v>2973</v>
      </c>
      <c r="K63" s="251" t="s">
        <v>2989</v>
      </c>
      <c r="L63" s="272">
        <v>44572</v>
      </c>
      <c r="M63" s="272">
        <v>44573</v>
      </c>
      <c r="N63" s="272">
        <v>44438</v>
      </c>
      <c r="O63" s="272">
        <v>44435</v>
      </c>
      <c r="P63" s="272">
        <v>44435</v>
      </c>
      <c r="Q63" s="264" t="s">
        <v>2</v>
      </c>
      <c r="R63" s="264" t="s">
        <v>145</v>
      </c>
      <c r="S63" s="264" t="s">
        <v>145</v>
      </c>
      <c r="T63" s="265" t="s">
        <v>7</v>
      </c>
      <c r="X63" s="264"/>
      <c r="Z63" s="264"/>
      <c r="AA63" s="264"/>
      <c r="AB63" s="265" t="str">
        <f>VLOOKUP(功能_33[[#This Row],[User]],SKL放款!A:G,7,FALSE)</f>
        <v>放款服務課</v>
      </c>
      <c r="AC63" s="272">
        <v>44496</v>
      </c>
      <c r="AD63" s="272">
        <v>44488</v>
      </c>
      <c r="AE63" s="272">
        <v>44496</v>
      </c>
      <c r="AF63" s="272">
        <v>44496</v>
      </c>
      <c r="AG63" s="209" t="s">
        <v>2974</v>
      </c>
      <c r="AH63" s="272" t="s">
        <v>169</v>
      </c>
      <c r="AI63" s="272"/>
      <c r="AJ63" s="322"/>
      <c r="AK63" s="272">
        <f>IFERROR(IF(VLOOKUP(功能_33[[#This Row],[功能代號]],E:U,11,FALSE)=0,"",VLOOKUP(功能_33[[#This Row],[功能代號]],E:U,11,FALSE)),"")</f>
        <v>44435</v>
      </c>
      <c r="AL63" s="272"/>
      <c r="AM63" s="272"/>
      <c r="AN63" s="265"/>
      <c r="AO63" s="265"/>
      <c r="AP63" s="264">
        <v>305</v>
      </c>
      <c r="AQ63" s="265" t="s">
        <v>284</v>
      </c>
      <c r="AR63" s="593" t="s">
        <v>3207</v>
      </c>
      <c r="AS63" s="483" t="str">
        <f>IF(COUNTA(AG63)=1,LEFT(D63,3),"")</f>
        <v>3-1</v>
      </c>
      <c r="AT63" s="485" t="str">
        <f>IF(AND(COUNTA(O63)=1,COUNTA(P63)=1,COUNTA(AC63)=1,COUNTA(AF63)=1,COUNTA(AG63)=0),LEFT(D63,3),"")</f>
        <v/>
      </c>
      <c r="AU63" s="487" t="str">
        <f>IF(AND(COUNTA(O63)=1,COUNTA(P63)=1,COUNTA(AC63)=1,COUNTA(AF63)=0,COUNTA(AG63)=0),LEFT(D63,3),"")</f>
        <v/>
      </c>
      <c r="AV63" s="489" t="str">
        <f>IF(AND(COUNTA(P63)=0,COUNTA(AC63)=1),LEFT(D63,3),"")</f>
        <v/>
      </c>
      <c r="AW63" s="491" t="str">
        <f>IF(AND(COUNTA(P63)=1,COUNTA(AC63)=0),LEFT(D63,3),"")</f>
        <v/>
      </c>
      <c r="AX63" s="493" t="str">
        <f>IF(AND(COUNTA(P63)=0,COUNTA(AC63)=0),LEFT(D63,3),"")</f>
        <v/>
      </c>
      <c r="AY63" s="514" t="str">
        <f>IFERROR(VLOOKUP(功能_33[[#This Row],[功能代號]],SIT_FT_2021tmp!D:D,1,FALSE),"")</f>
        <v>L3901</v>
      </c>
      <c r="AZ63" s="587">
        <v>44547</v>
      </c>
      <c r="BA63" s="587">
        <v>44547</v>
      </c>
      <c r="BB63" s="514" t="s">
        <v>3073</v>
      </c>
      <c r="BC63" s="265" t="s">
        <v>3009</v>
      </c>
      <c r="BD63" s="593"/>
      <c r="BE63" s="264" t="str">
        <f>IF(AND(COUNTIF(AY63,"&gt;&lt;0")=1,COUNTA(M63)=1),LEFT(D63,3),"")</f>
        <v>3-1</v>
      </c>
      <c r="BF63" s="264" t="str">
        <f>IF(AND(COUNTIF(AY63,"&gt;&lt;")=1,COUNTA(M63)=0),LEFT(D63,3),"")</f>
        <v/>
      </c>
      <c r="BG63" s="264" t="str">
        <f>IF(AND(COUNTIF(AY63,"&gt;&lt;0")=0,COUNTA(M63)=1),LEFT(D63,3),"")</f>
        <v/>
      </c>
      <c r="BH63" s="264" t="str">
        <f>IF(AND(COUNTIF(AY63,"&gt;&lt;0")=0,COUNTA(M63)=0),LEFT(D63,3),"")</f>
        <v/>
      </c>
    </row>
    <row r="64" spans="2:60" ht="13.5" x14ac:dyDescent="0.3">
      <c r="C64" s="265" t="s">
        <v>69</v>
      </c>
      <c r="D64" s="265" t="s">
        <v>2468</v>
      </c>
      <c r="E64" s="264" t="s">
        <v>941</v>
      </c>
      <c r="F64" s="265" t="s">
        <v>942</v>
      </c>
      <c r="G64" s="265"/>
      <c r="H64" s="264" t="s">
        <v>166</v>
      </c>
      <c r="I64" s="264" t="s">
        <v>287</v>
      </c>
      <c r="J64" s="271" t="s">
        <v>2753</v>
      </c>
      <c r="K64" s="271"/>
      <c r="L64" s="272">
        <v>44575</v>
      </c>
      <c r="M64" s="272">
        <v>44572</v>
      </c>
      <c r="N64" s="272">
        <v>44504</v>
      </c>
      <c r="O64" s="272">
        <v>44505</v>
      </c>
      <c r="P64" s="272">
        <v>44505</v>
      </c>
      <c r="Q64" s="264" t="s">
        <v>2</v>
      </c>
      <c r="R64" s="264" t="s">
        <v>5</v>
      </c>
      <c r="S64" s="264" t="s">
        <v>5</v>
      </c>
      <c r="X64" s="264"/>
      <c r="Z64" s="264"/>
      <c r="AA64" s="264"/>
      <c r="AB64" s="265" t="str">
        <f>VLOOKUP(功能_33[[#This Row],[User]],SKL放款!A:G,7,FALSE)</f>
        <v>放款服務課</v>
      </c>
      <c r="AC64" s="272">
        <v>44533</v>
      </c>
      <c r="AD64" s="272" t="s">
        <v>168</v>
      </c>
      <c r="AE64" s="272">
        <v>44505</v>
      </c>
      <c r="AF64" s="272">
        <v>44505</v>
      </c>
      <c r="AG64" s="209">
        <v>44544</v>
      </c>
      <c r="AH64" s="272"/>
      <c r="AI64" s="272"/>
      <c r="AJ64" s="322"/>
      <c r="AK64" s="272">
        <f>IFERROR(IF(VLOOKUP(功能_33[[#This Row],[功能代號]],E:U,11,FALSE)=0,"",VLOOKUP(功能_33[[#This Row],[功能代號]],E:U,11,FALSE)),"")</f>
        <v>44505</v>
      </c>
      <c r="AL64" s="272"/>
      <c r="AM64" s="272"/>
      <c r="AN64" s="265"/>
      <c r="AO64" s="272"/>
      <c r="AP64" s="276" t="s">
        <v>943</v>
      </c>
      <c r="AQ64" s="277" t="s">
        <v>944</v>
      </c>
      <c r="AR64" s="593" t="s">
        <v>3207</v>
      </c>
      <c r="AS64" s="483" t="str">
        <f>IF(COUNTA(AG64)=1,LEFT(D64,3),"")</f>
        <v>5-1</v>
      </c>
      <c r="AT64" s="485" t="str">
        <f>IF(AND(COUNTA(O64)=1,COUNTA(P64)=1,COUNTA(AC64)=1,COUNTA(AF64)=1,COUNTA(AG64)=0),LEFT(D64,3),"")</f>
        <v/>
      </c>
      <c r="AU64" s="487" t="str">
        <f>IF(AND(COUNTA(O64)=1,COUNTA(P64)=1,COUNTA(AC64)=1,COUNTA(AF64)=0,COUNTA(AG64)=0),LEFT(D64,3),"")</f>
        <v/>
      </c>
      <c r="AV64" s="489" t="str">
        <f>IF(AND(COUNTA(P64)=0,COUNTA(AC64)=1),LEFT(D64,3),"")</f>
        <v/>
      </c>
      <c r="AW64" s="491" t="str">
        <f>IF(AND(COUNTA(P64)=1,COUNTA(AC64)=0),LEFT(D64,3),"")</f>
        <v/>
      </c>
      <c r="AX64" s="493" t="str">
        <f>IF(AND(COUNTA(P64)=0,COUNTA(AC64)=0),LEFT(D64,3),"")</f>
        <v/>
      </c>
      <c r="AY64" s="514" t="str">
        <f>IFERROR(VLOOKUP(功能_33[[#This Row],[功能代號]],SIT_FT_2021tmp!D:D,1,FALSE),"")</f>
        <v>L5901</v>
      </c>
      <c r="AZ64" s="587">
        <v>44512</v>
      </c>
      <c r="BA64" s="587">
        <v>44512</v>
      </c>
      <c r="BB64" s="514" t="s">
        <v>3073</v>
      </c>
      <c r="BC64" s="265" t="s">
        <v>3014</v>
      </c>
      <c r="BD64" s="593"/>
      <c r="BE64" s="264" t="str">
        <f>IF(AND(COUNTIF(AY64,"&gt;&lt;0")=1,COUNTA(M64)=1),LEFT(D64,3),"")</f>
        <v>5-1</v>
      </c>
      <c r="BF64" s="264" t="str">
        <f>IF(AND(COUNTIF(AY64,"&gt;&lt;")=1,COUNTA(M64)=0),LEFT(D64,3),"")</f>
        <v/>
      </c>
      <c r="BG64" s="264" t="str">
        <f>IF(AND(COUNTIF(AY64,"&gt;&lt;0")=0,COUNTA(M64)=1),LEFT(D64,3),"")</f>
        <v/>
      </c>
      <c r="BH64" s="264" t="str">
        <f>IF(AND(COUNTIF(AY64,"&gt;&lt;0")=0,COUNTA(M64)=0),LEFT(D64,3),"")</f>
        <v/>
      </c>
    </row>
    <row r="65" spans="2:60" ht="13.5" x14ac:dyDescent="0.3">
      <c r="B65" s="265">
        <v>1</v>
      </c>
      <c r="C65" s="265" t="s">
        <v>67</v>
      </c>
      <c r="D65" s="265" t="s">
        <v>2483</v>
      </c>
      <c r="E65" s="264" t="s">
        <v>291</v>
      </c>
      <c r="F65" s="265" t="s">
        <v>292</v>
      </c>
      <c r="G65" s="265"/>
      <c r="H65" s="264" t="s">
        <v>166</v>
      </c>
      <c r="I65" s="264" t="s">
        <v>167</v>
      </c>
      <c r="J65" s="212" t="s">
        <v>2973</v>
      </c>
      <c r="K65" s="251" t="s">
        <v>2989</v>
      </c>
      <c r="L65" s="272">
        <v>44581</v>
      </c>
      <c r="M65" s="272">
        <v>44574</v>
      </c>
      <c r="N65" s="272">
        <v>44439</v>
      </c>
      <c r="O65" s="272">
        <v>44439</v>
      </c>
      <c r="P65" s="272">
        <v>44439</v>
      </c>
      <c r="Q65" s="264" t="s">
        <v>6</v>
      </c>
      <c r="R65" s="264" t="s">
        <v>10</v>
      </c>
      <c r="S65" s="264" t="s">
        <v>10</v>
      </c>
      <c r="X65" s="264"/>
      <c r="Z65" s="264"/>
      <c r="AA65" s="264"/>
      <c r="AB65" s="265" t="str">
        <f>VLOOKUP(功能_33[[#This Row],[User]],SKL放款!A:G,7,FALSE)</f>
        <v>放款服務課</v>
      </c>
      <c r="AC65" s="272">
        <v>44496</v>
      </c>
      <c r="AD65" s="272" t="s">
        <v>168</v>
      </c>
      <c r="AE65" s="272">
        <v>44496</v>
      </c>
      <c r="AF65" s="272">
        <v>44496</v>
      </c>
      <c r="AG65" s="209" t="s">
        <v>2974</v>
      </c>
      <c r="AH65" s="272" t="s">
        <v>169</v>
      </c>
      <c r="AI65" s="272"/>
      <c r="AJ65" s="322"/>
      <c r="AK65" s="272">
        <f>IFERROR(IF(VLOOKUP(功能_33[[#This Row],[功能代號]],E:U,11,FALSE)=0,"",VLOOKUP(功能_33[[#This Row],[功能代號]],E:U,11,FALSE)),"")</f>
        <v>44439</v>
      </c>
      <c r="AL65" s="272"/>
      <c r="AM65" s="272"/>
      <c r="AN65" s="265"/>
      <c r="AO65" s="265"/>
      <c r="AP65" s="264" t="s">
        <v>163</v>
      </c>
      <c r="AQ65" s="264" t="s">
        <v>163</v>
      </c>
      <c r="AR65" s="593" t="s">
        <v>3207</v>
      </c>
      <c r="AS65" s="483" t="str">
        <f>IF(COUNTA(AG65)=1,LEFT(D65,3),"")</f>
        <v>3-2</v>
      </c>
      <c r="AT65" s="485" t="str">
        <f>IF(AND(COUNTA(O65)=1,COUNTA(P65)=1,COUNTA(AC65)=1,COUNTA(AF65)=1,COUNTA(AG65)=0),LEFT(D65,3),"")</f>
        <v/>
      </c>
      <c r="AU65" s="487" t="str">
        <f>IF(AND(COUNTA(O65)=1,COUNTA(P65)=1,COUNTA(AC65)=1,COUNTA(AF65)=0,COUNTA(AG65)=0),LEFT(D65,3),"")</f>
        <v/>
      </c>
      <c r="AV65" s="489" t="str">
        <f>IF(AND(COUNTA(P65)=0,COUNTA(AC65)=1),LEFT(D65,3),"")</f>
        <v/>
      </c>
      <c r="AW65" s="491" t="str">
        <f>IF(AND(COUNTA(P65)=1,COUNTA(AC65)=0),LEFT(D65,3),"")</f>
        <v/>
      </c>
      <c r="AX65" s="493" t="str">
        <f>IF(AND(COUNTA(P65)=0,COUNTA(AC65)=0),LEFT(D65,3),"")</f>
        <v/>
      </c>
      <c r="AY65" s="514" t="str">
        <f>IFERROR(VLOOKUP(功能_33[[#This Row],[功能代號]],SIT_FT_2021tmp!D:D,1,FALSE),"")</f>
        <v>L3003</v>
      </c>
      <c r="AZ65" s="587">
        <v>44560</v>
      </c>
      <c r="BA65" s="587">
        <v>44560</v>
      </c>
      <c r="BB65" s="514" t="s">
        <v>3073</v>
      </c>
      <c r="BC65" s="265" t="s">
        <v>3010</v>
      </c>
      <c r="BD65" s="593"/>
      <c r="BE65" s="264" t="str">
        <f>IF(AND(COUNTIF(AY65,"&gt;&lt;0")=1,COUNTA(M65)=1),LEFT(D65,3),"")</f>
        <v>3-2</v>
      </c>
      <c r="BF65" s="264" t="str">
        <f>IF(AND(COUNTIF(AY65,"&gt;&lt;")=1,COUNTA(M65)=0),LEFT(D65,3),"")</f>
        <v/>
      </c>
      <c r="BG65" s="264" t="str">
        <f>IF(AND(COUNTIF(AY65,"&gt;&lt;0")=0,COUNTA(M65)=1),LEFT(D65,3),"")</f>
        <v/>
      </c>
      <c r="BH65" s="264" t="str">
        <f>IF(AND(COUNTIF(AY65,"&gt;&lt;0")=0,COUNTA(M65)=0),LEFT(D65,3),"")</f>
        <v/>
      </c>
    </row>
    <row r="66" spans="2:60" ht="13.5" x14ac:dyDescent="0.3">
      <c r="B66" s="265">
        <v>1</v>
      </c>
      <c r="C66" s="265" t="s">
        <v>67</v>
      </c>
      <c r="D66" s="265" t="s">
        <v>2483</v>
      </c>
      <c r="E66" s="264" t="s">
        <v>293</v>
      </c>
      <c r="F66" s="265" t="s">
        <v>294</v>
      </c>
      <c r="G66" s="265"/>
      <c r="H66" s="264" t="s">
        <v>166</v>
      </c>
      <c r="I66" s="264" t="s">
        <v>167</v>
      </c>
      <c r="J66" s="212" t="s">
        <v>2973</v>
      </c>
      <c r="K66" s="251" t="s">
        <v>2989</v>
      </c>
      <c r="L66" s="272">
        <v>44574</v>
      </c>
      <c r="M66" s="272">
        <v>44574</v>
      </c>
      <c r="N66" s="272">
        <v>44439</v>
      </c>
      <c r="O66" s="272">
        <v>44439</v>
      </c>
      <c r="P66" s="272">
        <f>IFERROR(IF(VLOOKUP(功能_33[[#This Row],[功能代號]],討論項目!A:H,8,FALSE)=0,"",VLOOKUP(功能_33[[#This Row],[功能代號]],討論項目!A:H,8,FALSE)),"")</f>
        <v>44490</v>
      </c>
      <c r="Q66" s="264" t="s">
        <v>6</v>
      </c>
      <c r="R66" s="264" t="s">
        <v>10</v>
      </c>
      <c r="S66" s="264" t="s">
        <v>10</v>
      </c>
      <c r="X66" s="264"/>
      <c r="Z66" s="264"/>
      <c r="AA66" s="264"/>
      <c r="AB66" s="265" t="str">
        <f>VLOOKUP(功能_33[[#This Row],[User]],SKL放款!A:G,7,FALSE)</f>
        <v>放款服務課</v>
      </c>
      <c r="AC66" s="272">
        <v>44496</v>
      </c>
      <c r="AD66" s="272">
        <v>44512</v>
      </c>
      <c r="AE66" s="272">
        <v>44496</v>
      </c>
      <c r="AF66" s="272">
        <v>44496</v>
      </c>
      <c r="AG66" s="209" t="s">
        <v>2974</v>
      </c>
      <c r="AH66" s="272" t="s">
        <v>169</v>
      </c>
      <c r="AI66" s="272"/>
      <c r="AJ66" s="322"/>
      <c r="AK66" s="272">
        <f>IFERROR(IF(VLOOKUP(功能_33[[#This Row],[功能代號]],E:U,11,FALSE)=0,"",VLOOKUP(功能_33[[#This Row],[功能代號]],E:U,11,FALSE)),"")</f>
        <v>44439</v>
      </c>
      <c r="AL66" s="272"/>
      <c r="AM66" s="272"/>
      <c r="AN66" s="265"/>
      <c r="AO66" s="265"/>
      <c r="AP66" s="264" t="s">
        <v>163</v>
      </c>
      <c r="AQ66" s="264" t="s">
        <v>163</v>
      </c>
      <c r="AR66" s="593" t="s">
        <v>3207</v>
      </c>
      <c r="AS66" s="483" t="str">
        <f>IF(COUNTA(AG66)=1,LEFT(D66,3),"")</f>
        <v>3-2</v>
      </c>
      <c r="AT66" s="485" t="str">
        <f>IF(AND(COUNTA(O66)=1,COUNTA(P66)=1,COUNTA(AC66)=1,COUNTA(AF66)=1,COUNTA(AG66)=0),LEFT(D66,3),"")</f>
        <v/>
      </c>
      <c r="AU66" s="487" t="str">
        <f>IF(AND(COUNTA(O66)=1,COUNTA(P66)=1,COUNTA(AC66)=1,COUNTA(AF66)=0,COUNTA(AG66)=0),LEFT(D66,3),"")</f>
        <v/>
      </c>
      <c r="AV66" s="489" t="str">
        <f>IF(AND(COUNTA(P66)=0,COUNTA(AC66)=1),LEFT(D66,3),"")</f>
        <v/>
      </c>
      <c r="AW66" s="491" t="str">
        <f>IF(AND(COUNTA(P66)=1,COUNTA(AC66)=0),LEFT(D66,3),"")</f>
        <v/>
      </c>
      <c r="AX66" s="493" t="str">
        <f>IF(AND(COUNTA(P66)=0,COUNTA(AC66)=0),LEFT(D66,3),"")</f>
        <v/>
      </c>
      <c r="AY66" s="514" t="str">
        <f>IFERROR(VLOOKUP(功能_33[[#This Row],[功能代號]],SIT_FT_2021tmp!D:D,1,FALSE),"")</f>
        <v>L3110</v>
      </c>
      <c r="AZ66" s="587">
        <v>44560</v>
      </c>
      <c r="BA66" s="587">
        <v>44560</v>
      </c>
      <c r="BB66" s="514" t="s">
        <v>3073</v>
      </c>
      <c r="BC66" s="265" t="s">
        <v>3010</v>
      </c>
      <c r="BD66" s="593"/>
      <c r="BE66" s="264" t="str">
        <f>IF(AND(COUNTIF(AY66,"&gt;&lt;0")=1,COUNTA(M66)=1),LEFT(D66,3),"")</f>
        <v>3-2</v>
      </c>
      <c r="BF66" s="264" t="str">
        <f>IF(AND(COUNTIF(AY66,"&gt;&lt;")=1,COUNTA(M66)=0),LEFT(D66,3),"")</f>
        <v/>
      </c>
      <c r="BG66" s="264" t="str">
        <f>IF(AND(COUNTIF(AY66,"&gt;&lt;0")=0,COUNTA(M66)=1),LEFT(D66,3),"")</f>
        <v/>
      </c>
      <c r="BH66" s="264" t="str">
        <f>IF(AND(COUNTIF(AY66,"&gt;&lt;0")=0,COUNTA(M66)=0),LEFT(D66,3),"")</f>
        <v/>
      </c>
    </row>
    <row r="67" spans="2:60" ht="13.5" x14ac:dyDescent="0.3">
      <c r="B67" s="265">
        <v>1</v>
      </c>
      <c r="C67" s="265" t="s">
        <v>67</v>
      </c>
      <c r="D67" s="265" t="s">
        <v>2483</v>
      </c>
      <c r="E67" s="264" t="s">
        <v>295</v>
      </c>
      <c r="F67" s="265" t="s">
        <v>2978</v>
      </c>
      <c r="G67" s="265" t="s">
        <v>2979</v>
      </c>
      <c r="H67" s="264" t="s">
        <v>166</v>
      </c>
      <c r="I67" s="264" t="s">
        <v>167</v>
      </c>
      <c r="J67" s="212" t="s">
        <v>2973</v>
      </c>
      <c r="K67" s="251" t="s">
        <v>2989</v>
      </c>
      <c r="L67" s="272">
        <v>44574</v>
      </c>
      <c r="M67" s="272">
        <v>44574</v>
      </c>
      <c r="N67" s="272">
        <v>44439</v>
      </c>
      <c r="O67" s="272">
        <v>44439</v>
      </c>
      <c r="P67" s="272">
        <v>44439</v>
      </c>
      <c r="Q67" s="264" t="s">
        <v>6</v>
      </c>
      <c r="R67" s="264" t="s">
        <v>10</v>
      </c>
      <c r="S67" s="264" t="s">
        <v>10</v>
      </c>
      <c r="X67" s="264"/>
      <c r="Z67" s="264"/>
      <c r="AA67" s="264"/>
      <c r="AB67" s="265" t="str">
        <f>VLOOKUP(功能_33[[#This Row],[User]],SKL放款!A:G,7,FALSE)</f>
        <v>放款服務課</v>
      </c>
      <c r="AC67" s="272">
        <v>44496</v>
      </c>
      <c r="AD67" s="272" t="s">
        <v>168</v>
      </c>
      <c r="AE67" s="272">
        <v>44496</v>
      </c>
      <c r="AF67" s="272">
        <v>44496</v>
      </c>
      <c r="AG67" s="209" t="s">
        <v>2974</v>
      </c>
      <c r="AH67" s="272" t="s">
        <v>169</v>
      </c>
      <c r="AI67" s="272"/>
      <c r="AJ67" s="322"/>
      <c r="AK67" s="272">
        <f>IFERROR(IF(VLOOKUP(功能_33[[#This Row],[功能代號]],E:U,11,FALSE)=0,"",VLOOKUP(功能_33[[#This Row],[功能代號]],E:U,11,FALSE)),"")</f>
        <v>44439</v>
      </c>
      <c r="AL67" s="272"/>
      <c r="AM67" s="272"/>
      <c r="AN67" s="265"/>
      <c r="AO67" s="265"/>
      <c r="AP67" s="264" t="s">
        <v>163</v>
      </c>
      <c r="AQ67" s="264" t="s">
        <v>163</v>
      </c>
      <c r="AR67" s="593" t="s">
        <v>3207</v>
      </c>
      <c r="AS67" s="483" t="str">
        <f>IF(COUNTA(AG67)=1,LEFT(D67,3),"")</f>
        <v>3-2</v>
      </c>
      <c r="AT67" s="485" t="str">
        <f>IF(AND(COUNTA(O67)=1,COUNTA(P67)=1,COUNTA(AC67)=1,COUNTA(AF67)=1,COUNTA(AG67)=0),LEFT(D67,3),"")</f>
        <v/>
      </c>
      <c r="AU67" s="487" t="str">
        <f>IF(AND(COUNTA(O67)=1,COUNTA(P67)=1,COUNTA(AC67)=1,COUNTA(AF67)=0,COUNTA(AG67)=0),LEFT(D67,3),"")</f>
        <v/>
      </c>
      <c r="AV67" s="489" t="str">
        <f>IF(AND(COUNTA(P67)=0,COUNTA(AC67)=1),LEFT(D67,3),"")</f>
        <v/>
      </c>
      <c r="AW67" s="491" t="str">
        <f>IF(AND(COUNTA(P67)=1,COUNTA(AC67)=0),LEFT(D67,3),"")</f>
        <v/>
      </c>
      <c r="AX67" s="493" t="str">
        <f>IF(AND(COUNTA(P67)=0,COUNTA(AC67)=0),LEFT(D67,3),"")</f>
        <v/>
      </c>
      <c r="AY67" s="514" t="str">
        <f>IFERROR(VLOOKUP(功能_33[[#This Row],[功能代號]],SIT_FT_2021tmp!D:D,1,FALSE),"")</f>
        <v>L3120</v>
      </c>
      <c r="AZ67" s="587">
        <v>44519</v>
      </c>
      <c r="BA67" s="587">
        <v>44519</v>
      </c>
      <c r="BB67" s="514" t="s">
        <v>3073</v>
      </c>
      <c r="BC67" s="265" t="s">
        <v>3015</v>
      </c>
      <c r="BD67" s="593"/>
      <c r="BE67" s="264" t="str">
        <f>IF(AND(COUNTIF(AY67,"&gt;&lt;0")=1,COUNTA(M67)=1),LEFT(D67,3),"")</f>
        <v>3-2</v>
      </c>
      <c r="BF67" s="264" t="str">
        <f>IF(AND(COUNTIF(AY67,"&gt;&lt;")=1,COUNTA(M67)=0),LEFT(D67,3),"")</f>
        <v/>
      </c>
      <c r="BG67" s="264" t="str">
        <f>IF(AND(COUNTIF(AY67,"&gt;&lt;0")=0,COUNTA(M67)=1),LEFT(D67,3),"")</f>
        <v/>
      </c>
      <c r="BH67" s="264" t="str">
        <f>IF(AND(COUNTIF(AY67,"&gt;&lt;0")=0,COUNTA(M67)=0),LEFT(D67,3),"")</f>
        <v/>
      </c>
    </row>
    <row r="68" spans="2:60" ht="13.5" x14ac:dyDescent="0.3">
      <c r="C68" s="265" t="s">
        <v>70</v>
      </c>
      <c r="D68" s="265" t="s">
        <v>2487</v>
      </c>
      <c r="E68" s="264" t="s">
        <v>296</v>
      </c>
      <c r="F68" s="265" t="s">
        <v>297</v>
      </c>
      <c r="G68" s="265"/>
      <c r="H68" s="264" t="s">
        <v>166</v>
      </c>
      <c r="I68" s="264" t="s">
        <v>167</v>
      </c>
      <c r="J68" s="212" t="s">
        <v>2853</v>
      </c>
      <c r="K68" s="212"/>
      <c r="L68" s="272">
        <v>44571</v>
      </c>
      <c r="M68" s="272">
        <v>44575</v>
      </c>
      <c r="N68" s="272">
        <v>44439</v>
      </c>
      <c r="O68" s="272">
        <v>44439</v>
      </c>
      <c r="P68" s="272">
        <v>44533</v>
      </c>
      <c r="Q68" s="264" t="s">
        <v>6</v>
      </c>
      <c r="R68" s="264" t="s">
        <v>10</v>
      </c>
      <c r="S68" s="264" t="s">
        <v>10</v>
      </c>
      <c r="X68" s="264"/>
      <c r="Z68" s="264"/>
      <c r="AA68" s="264"/>
      <c r="AB68" s="265" t="str">
        <f>VLOOKUP(功能_33[[#This Row],[User]],SKL放款!A:G,7,FALSE)</f>
        <v>放款服務課</v>
      </c>
      <c r="AC68" s="272">
        <v>44533</v>
      </c>
      <c r="AD68" s="272">
        <v>44493</v>
      </c>
      <c r="AE68" s="272">
        <v>44523</v>
      </c>
      <c r="AF68" s="272">
        <v>44524</v>
      </c>
      <c r="AG68" s="209">
        <v>44550</v>
      </c>
      <c r="AH68" s="272"/>
      <c r="AI68" s="272"/>
      <c r="AJ68" s="322"/>
      <c r="AK68" s="272">
        <f>IFERROR(IF(VLOOKUP(功能_33[[#This Row],[功能代號]],E:U,11,FALSE)=0,"",VLOOKUP(功能_33[[#This Row],[功能代號]],E:U,11,FALSE)),"")</f>
        <v>44439</v>
      </c>
      <c r="AL68" s="272"/>
      <c r="AM68" s="272"/>
      <c r="AN68" s="265"/>
      <c r="AO68" s="265"/>
      <c r="AP68" s="264" t="s">
        <v>163</v>
      </c>
      <c r="AQ68" s="264" t="s">
        <v>163</v>
      </c>
      <c r="AR68" s="593" t="s">
        <v>3207</v>
      </c>
      <c r="AS68" s="483" t="str">
        <f>IF(COUNTA(AG68)=1,LEFT(D68,3),"")</f>
        <v>6-8</v>
      </c>
      <c r="AT68" s="485" t="str">
        <f>IF(AND(COUNTA(O68)=1,COUNTA(P68)=1,COUNTA(AC68)=1,COUNTA(AF68)=1,COUNTA(AG68)=0),LEFT(D68,3),"")</f>
        <v/>
      </c>
      <c r="AU68" s="487" t="str">
        <f>IF(AND(COUNTA(O68)=1,COUNTA(P68)=1,COUNTA(AC68)=1,COUNTA(AF68)=0,COUNTA(AG68)=0),LEFT(D68,3),"")</f>
        <v/>
      </c>
      <c r="AV68" s="489" t="str">
        <f>IF(AND(COUNTA(P68)=0,COUNTA(AC68)=1),LEFT(D68,3),"")</f>
        <v/>
      </c>
      <c r="AW68" s="491" t="str">
        <f>IF(AND(COUNTA(P68)=1,COUNTA(AC68)=0),LEFT(D68,3),"")</f>
        <v/>
      </c>
      <c r="AX68" s="493" t="str">
        <f>IF(AND(COUNTA(P68)=0,COUNTA(AC68)=0),LEFT(D68,3),"")</f>
        <v/>
      </c>
      <c r="AY68" s="514" t="str">
        <f>IFERROR(VLOOKUP(功能_33[[#This Row],[功能代號]],SIT_FT_2021tmp!D:D,1,FALSE),"")</f>
        <v>L6984</v>
      </c>
      <c r="AZ68" s="587">
        <v>44560</v>
      </c>
      <c r="BA68" s="587">
        <v>44560</v>
      </c>
      <c r="BB68" s="514" t="s">
        <v>3073</v>
      </c>
      <c r="BC68" s="265" t="s">
        <v>3010</v>
      </c>
      <c r="BD68" s="593"/>
      <c r="BE68" s="264" t="str">
        <f>IF(AND(COUNTIF(AY68,"&gt;&lt;0")=1,COUNTA(M68)=1),LEFT(D68,3),"")</f>
        <v>6-8</v>
      </c>
      <c r="BF68" s="264" t="str">
        <f>IF(AND(COUNTIF(AY68,"&gt;&lt;")=1,COUNTA(M68)=0),LEFT(D68,3),"")</f>
        <v/>
      </c>
      <c r="BG68" s="264" t="str">
        <f>IF(AND(COUNTIF(AY68,"&gt;&lt;0")=0,COUNTA(M68)=1),LEFT(D68,3),"")</f>
        <v/>
      </c>
      <c r="BH68" s="264" t="str">
        <f>IF(AND(COUNTIF(AY68,"&gt;&lt;0")=0,COUNTA(M68)=0),LEFT(D68,3),"")</f>
        <v/>
      </c>
    </row>
    <row r="69" spans="2:60" ht="13.5" x14ac:dyDescent="0.3">
      <c r="B69" s="265">
        <v>1</v>
      </c>
      <c r="C69" s="265" t="s">
        <v>67</v>
      </c>
      <c r="D69" s="265" t="s">
        <v>2483</v>
      </c>
      <c r="E69" s="264" t="s">
        <v>298</v>
      </c>
      <c r="F69" s="265" t="s">
        <v>299</v>
      </c>
      <c r="G69" s="265"/>
      <c r="H69" s="264" t="s">
        <v>166</v>
      </c>
      <c r="I69" s="264" t="s">
        <v>167</v>
      </c>
      <c r="J69" s="212" t="s">
        <v>2973</v>
      </c>
      <c r="K69" s="251" t="s">
        <v>2989</v>
      </c>
      <c r="L69" s="272">
        <v>44574</v>
      </c>
      <c r="M69" s="272">
        <v>44574</v>
      </c>
      <c r="N69" s="272">
        <v>44440</v>
      </c>
      <c r="O69" s="272">
        <v>44438</v>
      </c>
      <c r="P69" s="272">
        <f>IFERROR(IF(VLOOKUP(功能_33[[#This Row],[功能代號]],討論項目!A:H,8,FALSE)=0,"",VLOOKUP(功能_33[[#This Row],[功能代號]],討論項目!A:H,8,FALSE)),"")</f>
        <v>44428</v>
      </c>
      <c r="Q69" s="264" t="s">
        <v>6</v>
      </c>
      <c r="R69" s="264" t="s">
        <v>10</v>
      </c>
      <c r="S69" s="264" t="s">
        <v>10</v>
      </c>
      <c r="X69" s="264"/>
      <c r="Z69" s="264"/>
      <c r="AA69" s="264"/>
      <c r="AB69" s="265" t="str">
        <f>VLOOKUP(功能_33[[#This Row],[User]],SKL放款!A:G,7,FALSE)</f>
        <v>放款服務課</v>
      </c>
      <c r="AC69" s="272">
        <v>44496</v>
      </c>
      <c r="AD69" s="272">
        <v>44488</v>
      </c>
      <c r="AE69" s="272">
        <v>44496</v>
      </c>
      <c r="AF69" s="272">
        <v>44496</v>
      </c>
      <c r="AG69" s="209" t="s">
        <v>2974</v>
      </c>
      <c r="AH69" s="272" t="s">
        <v>169</v>
      </c>
      <c r="AI69" s="272"/>
      <c r="AJ69" s="322"/>
      <c r="AK69" s="272">
        <f>IFERROR(IF(VLOOKUP(功能_33[[#This Row],[功能代號]],E:U,11,FALSE)=0,"",VLOOKUP(功能_33[[#This Row],[功能代號]],E:U,11,FALSE)),"")</f>
        <v>44438</v>
      </c>
      <c r="AL69" s="272"/>
      <c r="AM69" s="272"/>
      <c r="AN69" s="265"/>
      <c r="AO69" s="211" t="s">
        <v>300</v>
      </c>
      <c r="AP69" s="264">
        <v>325</v>
      </c>
      <c r="AQ69" s="265" t="s">
        <v>301</v>
      </c>
      <c r="AR69" s="593" t="s">
        <v>3207</v>
      </c>
      <c r="AS69" s="483" t="str">
        <f>IF(COUNTA(AG69)=1,LEFT(D69,3),"")</f>
        <v>3-2</v>
      </c>
      <c r="AT69" s="485" t="str">
        <f>IF(AND(COUNTA(O69)=1,COUNTA(P69)=1,COUNTA(AC69)=1,COUNTA(AF69)=1,COUNTA(AG69)=0),LEFT(D69,3),"")</f>
        <v/>
      </c>
      <c r="AU69" s="487" t="str">
        <f>IF(AND(COUNTA(O69)=1,COUNTA(P69)=1,COUNTA(AC69)=1,COUNTA(AF69)=0,COUNTA(AG69)=0),LEFT(D69,3),"")</f>
        <v/>
      </c>
      <c r="AV69" s="489" t="str">
        <f>IF(AND(COUNTA(P69)=0,COUNTA(AC69)=1),LEFT(D69,3),"")</f>
        <v/>
      </c>
      <c r="AW69" s="491" t="str">
        <f>IF(AND(COUNTA(P69)=1,COUNTA(AC69)=0),LEFT(D69,3),"")</f>
        <v/>
      </c>
      <c r="AX69" s="493" t="str">
        <f>IF(AND(COUNTA(P69)=0,COUNTA(AC69)=0),LEFT(D69,3),"")</f>
        <v/>
      </c>
      <c r="AY69" s="514" t="str">
        <f>IFERROR(VLOOKUP(功能_33[[#This Row],[功能代號]],SIT_FT_2021tmp!D:D,1,FALSE),"")</f>
        <v>L3100</v>
      </c>
      <c r="AZ69" s="587">
        <v>44560</v>
      </c>
      <c r="BA69" s="587">
        <v>44560</v>
      </c>
      <c r="BB69" s="514" t="s">
        <v>3073</v>
      </c>
      <c r="BC69" s="265" t="s">
        <v>3010</v>
      </c>
      <c r="BD69" s="593"/>
      <c r="BE69" s="264" t="str">
        <f>IF(AND(COUNTIF(AY69,"&gt;&lt;0")=1,COUNTA(M69)=1),LEFT(D69,3),"")</f>
        <v>3-2</v>
      </c>
      <c r="BF69" s="264" t="str">
        <f>IF(AND(COUNTIF(AY69,"&gt;&lt;")=1,COUNTA(M69)=0),LEFT(D69,3),"")</f>
        <v/>
      </c>
      <c r="BG69" s="264" t="str">
        <f>IF(AND(COUNTIF(AY69,"&gt;&lt;0")=0,COUNTA(M69)=1),LEFT(D69,3),"")</f>
        <v/>
      </c>
      <c r="BH69" s="264" t="str">
        <f>IF(AND(COUNTIF(AY69,"&gt;&lt;0")=0,COUNTA(M69)=0),LEFT(D69,3),"")</f>
        <v/>
      </c>
    </row>
    <row r="70" spans="2:60" ht="13.5" x14ac:dyDescent="0.3">
      <c r="B70" s="265">
        <v>1</v>
      </c>
      <c r="C70" s="265" t="s">
        <v>67</v>
      </c>
      <c r="D70" s="265" t="s">
        <v>2483</v>
      </c>
      <c r="E70" s="264" t="s">
        <v>302</v>
      </c>
      <c r="F70" s="265" t="s">
        <v>303</v>
      </c>
      <c r="G70" s="265"/>
      <c r="H70" s="264" t="s">
        <v>166</v>
      </c>
      <c r="I70" s="264" t="s">
        <v>167</v>
      </c>
      <c r="J70" s="212" t="s">
        <v>2973</v>
      </c>
      <c r="K70" s="251" t="s">
        <v>2989</v>
      </c>
      <c r="L70" s="272">
        <v>44581</v>
      </c>
      <c r="M70" s="272">
        <v>44581</v>
      </c>
      <c r="N70" s="272">
        <v>44440</v>
      </c>
      <c r="O70" s="272">
        <v>44438</v>
      </c>
      <c r="P70" s="272">
        <f>IFERROR(IF(VLOOKUP(功能_33[[#This Row],[功能代號]],討論項目!A:H,8,FALSE)=0,"",VLOOKUP(功能_33[[#This Row],[功能代號]],討論項目!A:H,8,FALSE)),"")</f>
        <v>44487</v>
      </c>
      <c r="Q70" s="264" t="s">
        <v>6</v>
      </c>
      <c r="R70" s="264" t="s">
        <v>5</v>
      </c>
      <c r="S70" s="264" t="s">
        <v>5</v>
      </c>
      <c r="X70" s="264"/>
      <c r="Z70" s="264"/>
      <c r="AA70" s="264"/>
      <c r="AB70" s="265" t="str">
        <f>VLOOKUP(功能_33[[#This Row],[User]],SKL放款!A:G,7,FALSE)</f>
        <v>放款服務課</v>
      </c>
      <c r="AC70" s="272">
        <v>44496</v>
      </c>
      <c r="AD70" s="272">
        <v>44488</v>
      </c>
      <c r="AE70" s="272">
        <v>44496</v>
      </c>
      <c r="AF70" s="272">
        <v>44496</v>
      </c>
      <c r="AG70" s="209" t="s">
        <v>2974</v>
      </c>
      <c r="AH70" s="272" t="s">
        <v>169</v>
      </c>
      <c r="AI70" s="272"/>
      <c r="AJ70" s="322"/>
      <c r="AK70" s="272">
        <f>IFERROR(IF(VLOOKUP(功能_33[[#This Row],[功能代號]],E:U,11,FALSE)=0,"",VLOOKUP(功能_33[[#This Row],[功能代號]],E:U,11,FALSE)),"")</f>
        <v>44438</v>
      </c>
      <c r="AL70" s="272"/>
      <c r="AM70" s="272"/>
      <c r="AN70" s="265"/>
      <c r="AO70" s="265"/>
      <c r="AP70" s="264">
        <v>320</v>
      </c>
      <c r="AQ70" s="265" t="s">
        <v>304</v>
      </c>
      <c r="AR70" s="593" t="s">
        <v>3207</v>
      </c>
      <c r="AS70" s="483" t="str">
        <f>IF(COUNTA(AG70)=1,LEFT(D70,3),"")</f>
        <v>3-2</v>
      </c>
      <c r="AT70" s="485" t="str">
        <f>IF(AND(COUNTA(O70)=1,COUNTA(P70)=1,COUNTA(AC70)=1,COUNTA(AF70)=1,COUNTA(AG70)=0),LEFT(D70,3),"")</f>
        <v/>
      </c>
      <c r="AU70" s="487" t="str">
        <f>IF(AND(COUNTA(O70)=1,COUNTA(P70)=1,COUNTA(AC70)=1,COUNTA(AF70)=0,COUNTA(AG70)=0),LEFT(D70,3),"")</f>
        <v/>
      </c>
      <c r="AV70" s="489" t="str">
        <f>IF(AND(COUNTA(P70)=0,COUNTA(AC70)=1),LEFT(D70,3),"")</f>
        <v/>
      </c>
      <c r="AW70" s="491" t="str">
        <f>IF(AND(COUNTA(P70)=1,COUNTA(AC70)=0),LEFT(D70,3),"")</f>
        <v/>
      </c>
      <c r="AX70" s="493" t="str">
        <f>IF(AND(COUNTA(P70)=0,COUNTA(AC70)=0),LEFT(D70,3),"")</f>
        <v/>
      </c>
      <c r="AY70" s="514" t="str">
        <f>IFERROR(VLOOKUP(功能_33[[#This Row],[功能代號]],SIT_FT_2021tmp!D:D,1,FALSE),"")</f>
        <v>L3002</v>
      </c>
      <c r="AZ70" s="587">
        <v>44519</v>
      </c>
      <c r="BA70" s="587">
        <v>44519</v>
      </c>
      <c r="BB70" s="514" t="s">
        <v>3073</v>
      </c>
      <c r="BC70" s="265" t="s">
        <v>3015</v>
      </c>
      <c r="BD70" s="593"/>
      <c r="BE70" s="264" t="str">
        <f>IF(AND(COUNTIF(AY70,"&gt;&lt;0")=1,COUNTA(M70)=1),LEFT(D70,3),"")</f>
        <v>3-2</v>
      </c>
      <c r="BF70" s="264" t="str">
        <f>IF(AND(COUNTIF(AY70,"&gt;&lt;")=1,COUNTA(M70)=0),LEFT(D70,3),"")</f>
        <v/>
      </c>
      <c r="BG70" s="264" t="str">
        <f>IF(AND(COUNTIF(AY70,"&gt;&lt;0")=0,COUNTA(M70)=1),LEFT(D70,3),"")</f>
        <v/>
      </c>
      <c r="BH70" s="264" t="str">
        <f>IF(AND(COUNTIF(AY70,"&gt;&lt;0")=0,COUNTA(M70)=0),LEFT(D70,3),"")</f>
        <v/>
      </c>
    </row>
    <row r="71" spans="2:60" ht="13.5" x14ac:dyDescent="0.3">
      <c r="B71" s="265">
        <v>1</v>
      </c>
      <c r="C71" s="265" t="s">
        <v>67</v>
      </c>
      <c r="D71" s="265" t="s">
        <v>2483</v>
      </c>
      <c r="E71" s="264" t="s">
        <v>305</v>
      </c>
      <c r="F71" s="265" t="s">
        <v>306</v>
      </c>
      <c r="G71" s="265"/>
      <c r="H71" s="264" t="s">
        <v>166</v>
      </c>
      <c r="I71" s="264" t="s">
        <v>167</v>
      </c>
      <c r="J71" s="212" t="s">
        <v>2973</v>
      </c>
      <c r="K71" s="251" t="s">
        <v>2989</v>
      </c>
      <c r="L71" s="272">
        <v>44581</v>
      </c>
      <c r="M71" s="272">
        <v>44581</v>
      </c>
      <c r="N71" s="272">
        <v>44440</v>
      </c>
      <c r="O71" s="272">
        <v>44438</v>
      </c>
      <c r="P71" s="272">
        <f>IFERROR(IF(VLOOKUP(功能_33[[#This Row],[功能代號]],討論項目!A:H,8,FALSE)=0,"",VLOOKUP(功能_33[[#This Row],[功能代號]],討論項目!A:H,8,FALSE)),"")</f>
        <v>44487</v>
      </c>
      <c r="Q71" s="264" t="s">
        <v>6</v>
      </c>
      <c r="R71" s="264" t="s">
        <v>5</v>
      </c>
      <c r="S71" s="264" t="s">
        <v>5</v>
      </c>
      <c r="X71" s="264"/>
      <c r="Z71" s="264"/>
      <c r="AA71" s="264"/>
      <c r="AB71" s="265" t="str">
        <f>VLOOKUP(功能_33[[#This Row],[User]],SKL放款!A:G,7,FALSE)</f>
        <v>放款服務課</v>
      </c>
      <c r="AC71" s="272">
        <v>44496</v>
      </c>
      <c r="AD71" s="272">
        <v>44488</v>
      </c>
      <c r="AE71" s="272">
        <v>44496</v>
      </c>
      <c r="AF71" s="272">
        <v>44496</v>
      </c>
      <c r="AG71" s="209" t="s">
        <v>2974</v>
      </c>
      <c r="AH71" s="272" t="s">
        <v>169</v>
      </c>
      <c r="AI71" s="272"/>
      <c r="AJ71" s="322"/>
      <c r="AK71" s="272">
        <f>IFERROR(IF(VLOOKUP(功能_33[[#This Row],[功能代號]],E:U,11,FALSE)=0,"",VLOOKUP(功能_33[[#This Row],[功能代號]],E:U,11,FALSE)),"")</f>
        <v>44438</v>
      </c>
      <c r="AL71" s="272"/>
      <c r="AM71" s="272"/>
      <c r="AN71" s="265"/>
      <c r="AO71" s="265"/>
      <c r="AP71" s="264">
        <v>320</v>
      </c>
      <c r="AQ71" s="265" t="s">
        <v>304</v>
      </c>
      <c r="AR71" s="593" t="s">
        <v>3207</v>
      </c>
      <c r="AS71" s="483" t="str">
        <f>IF(COUNTA(AG71)=1,LEFT(D71,3),"")</f>
        <v>3-2</v>
      </c>
      <c r="AT71" s="485" t="str">
        <f>IF(AND(COUNTA(O71)=1,COUNTA(P71)=1,COUNTA(AC71)=1,COUNTA(AF71)=1,COUNTA(AG71)=0),LEFT(D71,3),"")</f>
        <v/>
      </c>
      <c r="AU71" s="487" t="str">
        <f>IF(AND(COUNTA(O71)=1,COUNTA(P71)=1,COUNTA(AC71)=1,COUNTA(AF71)=0,COUNTA(AG71)=0),LEFT(D71,3),"")</f>
        <v/>
      </c>
      <c r="AV71" s="489" t="str">
        <f>IF(AND(COUNTA(P71)=0,COUNTA(AC71)=1),LEFT(D71,3),"")</f>
        <v/>
      </c>
      <c r="AW71" s="491" t="str">
        <f>IF(AND(COUNTA(P71)=1,COUNTA(AC71)=0),LEFT(D71,3),"")</f>
        <v/>
      </c>
      <c r="AX71" s="493" t="str">
        <f>IF(AND(COUNTA(P71)=0,COUNTA(AC71)=0),LEFT(D71,3),"")</f>
        <v/>
      </c>
      <c r="AY71" s="514" t="str">
        <f>IFERROR(VLOOKUP(功能_33[[#This Row],[功能代號]],SIT_FT_2021tmp!D:D,1,FALSE),"")</f>
        <v>L3916</v>
      </c>
      <c r="AZ71" s="587">
        <v>44519</v>
      </c>
      <c r="BA71" s="587">
        <v>44519</v>
      </c>
      <c r="BB71" s="514" t="s">
        <v>3073</v>
      </c>
      <c r="BC71" s="265" t="s">
        <v>3015</v>
      </c>
      <c r="BD71" s="593"/>
      <c r="BE71" s="264" t="str">
        <f>IF(AND(COUNTIF(AY71,"&gt;&lt;0")=1,COUNTA(M71)=1),LEFT(D71,3),"")</f>
        <v>3-2</v>
      </c>
      <c r="BF71" s="264" t="str">
        <f>IF(AND(COUNTIF(AY71,"&gt;&lt;")=1,COUNTA(M71)=0),LEFT(D71,3),"")</f>
        <v/>
      </c>
      <c r="BG71" s="264" t="str">
        <f>IF(AND(COUNTIF(AY71,"&gt;&lt;0")=0,COUNTA(M71)=1),LEFT(D71,3),"")</f>
        <v/>
      </c>
      <c r="BH71" s="264" t="str">
        <f>IF(AND(COUNTIF(AY71,"&gt;&lt;0")=0,COUNTA(M71)=0),LEFT(D71,3),"")</f>
        <v/>
      </c>
    </row>
    <row r="72" spans="2:60" ht="13.5" x14ac:dyDescent="0.3">
      <c r="B72" s="265">
        <v>1</v>
      </c>
      <c r="C72" s="265" t="s">
        <v>67</v>
      </c>
      <c r="D72" s="265" t="s">
        <v>2483</v>
      </c>
      <c r="E72" s="264" t="s">
        <v>307</v>
      </c>
      <c r="F72" s="265" t="s">
        <v>308</v>
      </c>
      <c r="G72" s="265"/>
      <c r="H72" s="264" t="s">
        <v>166</v>
      </c>
      <c r="I72" s="264" t="s">
        <v>167</v>
      </c>
      <c r="J72" s="212" t="s">
        <v>2973</v>
      </c>
      <c r="K72" s="251" t="s">
        <v>2989</v>
      </c>
      <c r="L72" s="272">
        <v>44581</v>
      </c>
      <c r="M72" s="272">
        <v>44581</v>
      </c>
      <c r="N72" s="272">
        <v>44441</v>
      </c>
      <c r="O72" s="272">
        <v>44438</v>
      </c>
      <c r="P72" s="272">
        <v>44438</v>
      </c>
      <c r="Q72" s="264" t="s">
        <v>6</v>
      </c>
      <c r="R72" s="264" t="s">
        <v>5</v>
      </c>
      <c r="S72" s="264" t="s">
        <v>5</v>
      </c>
      <c r="X72" s="264"/>
      <c r="Z72" s="264"/>
      <c r="AA72" s="264"/>
      <c r="AB72" s="265" t="str">
        <f>VLOOKUP(功能_33[[#This Row],[User]],SKL放款!A:G,7,FALSE)</f>
        <v>放款服務課</v>
      </c>
      <c r="AC72" s="272">
        <v>44496</v>
      </c>
      <c r="AD72" s="272" t="s">
        <v>168</v>
      </c>
      <c r="AE72" s="272">
        <v>44496</v>
      </c>
      <c r="AF72" s="272">
        <v>44496</v>
      </c>
      <c r="AG72" s="209" t="s">
        <v>2974</v>
      </c>
      <c r="AH72" s="272" t="s">
        <v>169</v>
      </c>
      <c r="AI72" s="272"/>
      <c r="AJ72" s="322"/>
      <c r="AK72" s="272">
        <f>IFERROR(IF(VLOOKUP(功能_33[[#This Row],[功能代號]],E:U,11,FALSE)=0,"",VLOOKUP(功能_33[[#This Row],[功能代號]],E:U,11,FALSE)),"")</f>
        <v>44438</v>
      </c>
      <c r="AL72" s="272"/>
      <c r="AM72" s="272"/>
      <c r="AN72" s="265"/>
      <c r="AO72" s="265"/>
      <c r="AP72" s="264">
        <v>320</v>
      </c>
      <c r="AQ72" s="265" t="s">
        <v>304</v>
      </c>
      <c r="AR72" s="593" t="s">
        <v>3207</v>
      </c>
      <c r="AS72" s="483" t="str">
        <f>IF(COUNTA(AG72)=1,LEFT(D72,3),"")</f>
        <v>3-2</v>
      </c>
      <c r="AT72" s="485" t="str">
        <f>IF(AND(COUNTA(O72)=1,COUNTA(P72)=1,COUNTA(AC72)=1,COUNTA(AF72)=1,COUNTA(AG72)=0),LEFT(D72,3),"")</f>
        <v/>
      </c>
      <c r="AU72" s="487" t="str">
        <f>IF(AND(COUNTA(O72)=1,COUNTA(P72)=1,COUNTA(AC72)=1,COUNTA(AF72)=0,COUNTA(AG72)=0),LEFT(D72,3),"")</f>
        <v/>
      </c>
      <c r="AV72" s="489" t="str">
        <f>IF(AND(COUNTA(P72)=0,COUNTA(AC72)=1),LEFT(D72,3),"")</f>
        <v/>
      </c>
      <c r="AW72" s="491" t="str">
        <f>IF(AND(COUNTA(P72)=1,COUNTA(AC72)=0),LEFT(D72,3),"")</f>
        <v/>
      </c>
      <c r="AX72" s="493" t="str">
        <f>IF(AND(COUNTA(P72)=0,COUNTA(AC72)=0),LEFT(D72,3),"")</f>
        <v/>
      </c>
      <c r="AY72" s="514" t="str">
        <f>IFERROR(VLOOKUP(功能_33[[#This Row],[功能代號]],SIT_FT_2021tmp!D:D,1,FALSE),"")</f>
        <v>L3001</v>
      </c>
      <c r="AZ72" s="587">
        <v>44560</v>
      </c>
      <c r="BA72" s="587">
        <v>44560</v>
      </c>
      <c r="BB72" s="514" t="s">
        <v>3073</v>
      </c>
      <c r="BC72" s="265" t="s">
        <v>3010</v>
      </c>
      <c r="BD72" s="593"/>
      <c r="BE72" s="264" t="str">
        <f>IF(AND(COUNTIF(AY72,"&gt;&lt;0")=1,COUNTA(M72)=1),LEFT(D72,3),"")</f>
        <v>3-2</v>
      </c>
      <c r="BF72" s="264" t="str">
        <f>IF(AND(COUNTIF(AY72,"&gt;&lt;")=1,COUNTA(M72)=0),LEFT(D72,3),"")</f>
        <v/>
      </c>
      <c r="BG72" s="264" t="str">
        <f>IF(AND(COUNTIF(AY72,"&gt;&lt;0")=0,COUNTA(M72)=1),LEFT(D72,3),"")</f>
        <v/>
      </c>
      <c r="BH72" s="264" t="str">
        <f>IF(AND(COUNTIF(AY72,"&gt;&lt;0")=0,COUNTA(M72)=0),LEFT(D72,3),"")</f>
        <v/>
      </c>
    </row>
    <row r="73" spans="2:60" ht="13.5" x14ac:dyDescent="0.3">
      <c r="C73" s="265" t="s">
        <v>66</v>
      </c>
      <c r="D73" s="265" t="s">
        <v>2480</v>
      </c>
      <c r="E73" s="264" t="s">
        <v>309</v>
      </c>
      <c r="F73" s="265" t="s">
        <v>310</v>
      </c>
      <c r="G73" s="265" t="s">
        <v>311</v>
      </c>
      <c r="H73" s="264" t="s">
        <v>166</v>
      </c>
      <c r="I73" s="264" t="s">
        <v>167</v>
      </c>
      <c r="J73" s="212" t="s">
        <v>2842</v>
      </c>
      <c r="K73" s="212"/>
      <c r="L73" s="272">
        <v>44558</v>
      </c>
      <c r="M73" s="272">
        <v>44558</v>
      </c>
      <c r="N73" s="272">
        <v>44441</v>
      </c>
      <c r="O73" s="272">
        <v>44439</v>
      </c>
      <c r="P73" s="272">
        <f>IFERROR(IF(VLOOKUP(功能_33[[#This Row],[功能代號]],討論項目!A:H,8,FALSE)=0,"",VLOOKUP(功能_33[[#This Row],[功能代號]],討論項目!A:H,8,FALSE)),"")</f>
        <v>44469</v>
      </c>
      <c r="Q73" s="264" t="s">
        <v>4</v>
      </c>
      <c r="R73" s="264" t="s">
        <v>9</v>
      </c>
      <c r="S73" s="663" t="s">
        <v>13</v>
      </c>
      <c r="T73" s="265" t="s">
        <v>3281</v>
      </c>
      <c r="X73" s="264"/>
      <c r="Z73" s="264"/>
      <c r="AA73" s="264"/>
      <c r="AB73" s="265" t="str">
        <f>VLOOKUP(功能_33[[#This Row],[User]],SKL放款!A:G,7,FALSE)</f>
        <v>放款服務課</v>
      </c>
      <c r="AC73" s="272">
        <v>44533</v>
      </c>
      <c r="AD73" s="272">
        <v>44470</v>
      </c>
      <c r="AE73" s="272">
        <f>IF(功能_33[[#This Row],[URS交二審]]=0,"",功能_33[[#This Row],[URS交二審]]+7)</f>
        <v>44477</v>
      </c>
      <c r="AF73" s="272">
        <f>IF(功能_33[[#This Row],[URS交二審]]=0,"",功能_33[[#This Row],[URS交二審]]+7)</f>
        <v>44477</v>
      </c>
      <c r="AG73" s="209">
        <v>44546</v>
      </c>
      <c r="AH73" s="272" t="s">
        <v>169</v>
      </c>
      <c r="AI73" s="272"/>
      <c r="AJ73" s="322"/>
      <c r="AK73" s="272">
        <f>IFERROR(IF(VLOOKUP(功能_33[[#This Row],[功能代號]],E:U,11,FALSE)=0,"",VLOOKUP(功能_33[[#This Row],[功能代號]],E:U,11,FALSE)),"")</f>
        <v>44439</v>
      </c>
      <c r="AL73" s="272"/>
      <c r="AM73" s="272"/>
      <c r="AN73" s="265"/>
      <c r="AP73" s="264" t="s">
        <v>163</v>
      </c>
      <c r="AQ73" s="264" t="s">
        <v>163</v>
      </c>
      <c r="AR73" s="593" t="s">
        <v>3207</v>
      </c>
      <c r="AS73" s="483" t="str">
        <f>IF(COUNTA(AG73)=1,LEFT(D73,3),"")</f>
        <v>2-9</v>
      </c>
      <c r="AT73" s="485" t="str">
        <f>IF(AND(COUNTA(O73)=1,COUNTA(P73)=1,COUNTA(AC73)=1,COUNTA(AF73)=1,COUNTA(AG73)=0),LEFT(D73,3),"")</f>
        <v/>
      </c>
      <c r="AU73" s="487" t="str">
        <f>IF(AND(COUNTA(O73)=1,COUNTA(P73)=1,COUNTA(AC73)=1,COUNTA(AF73)=0,COUNTA(AG73)=0),LEFT(D73,3),"")</f>
        <v/>
      </c>
      <c r="AV73" s="489" t="str">
        <f>IF(AND(COUNTA(P73)=0,COUNTA(AC73)=1),LEFT(D73,3),"")</f>
        <v/>
      </c>
      <c r="AW73" s="491" t="str">
        <f>IF(AND(COUNTA(P73)=1,COUNTA(AC73)=0),LEFT(D73,3),"")</f>
        <v/>
      </c>
      <c r="AX73" s="493" t="str">
        <f>IF(AND(COUNTA(P73)=0,COUNTA(AC73)=0),LEFT(D73,3),"")</f>
        <v/>
      </c>
      <c r="AY73" s="514" t="str">
        <f>IFERROR(VLOOKUP(功能_33[[#This Row],[功能代號]],SIT_FT_2021tmp!D:D,1,FALSE),"")</f>
        <v>L2060</v>
      </c>
      <c r="AZ73" s="587">
        <v>44517</v>
      </c>
      <c r="BA73" s="587">
        <v>44517</v>
      </c>
      <c r="BB73" s="514" t="s">
        <v>3073</v>
      </c>
      <c r="BC73" s="265" t="s">
        <v>3003</v>
      </c>
      <c r="BD73" s="593"/>
      <c r="BE73" s="264" t="str">
        <f>IF(AND(COUNTIF(AY73,"&gt;&lt;0")=1,COUNTA(M73)=1),LEFT(D73,3),"")</f>
        <v>2-9</v>
      </c>
      <c r="BF73" s="264" t="str">
        <f>IF(AND(COUNTIF(AY73,"&gt;&lt;")=1,COUNTA(M73)=0),LEFT(D73,3),"")</f>
        <v/>
      </c>
      <c r="BG73" s="264" t="str">
        <f>IF(AND(COUNTIF(AY73,"&gt;&lt;0")=0,COUNTA(M73)=1),LEFT(D73,3),"")</f>
        <v/>
      </c>
      <c r="BH73" s="264" t="str">
        <f>IF(AND(COUNTIF(AY73,"&gt;&lt;0")=0,COUNTA(M73)=0),LEFT(D73,3),"")</f>
        <v/>
      </c>
    </row>
    <row r="74" spans="2:60" ht="13.5" x14ac:dyDescent="0.3">
      <c r="C74" s="265" t="s">
        <v>66</v>
      </c>
      <c r="D74" s="265" t="s">
        <v>2480</v>
      </c>
      <c r="E74" s="264" t="s">
        <v>312</v>
      </c>
      <c r="F74" s="265" t="s">
        <v>313</v>
      </c>
      <c r="G74" s="265" t="s">
        <v>314</v>
      </c>
      <c r="H74" s="264" t="s">
        <v>166</v>
      </c>
      <c r="I74" s="264" t="s">
        <v>167</v>
      </c>
      <c r="J74" s="212" t="s">
        <v>2842</v>
      </c>
      <c r="K74" s="212"/>
      <c r="L74" s="272">
        <v>44558</v>
      </c>
      <c r="M74" s="272">
        <v>44558</v>
      </c>
      <c r="N74" s="272">
        <v>44441</v>
      </c>
      <c r="O74" s="272">
        <v>44439</v>
      </c>
      <c r="P74" s="272">
        <f>IFERROR(IF(VLOOKUP(功能_33[[#This Row],[功能代號]],討論項目!A:H,8,FALSE)=0,"",VLOOKUP(功能_33[[#This Row],[功能代號]],討論項目!A:H,8,FALSE)),"")</f>
        <v>44469</v>
      </c>
      <c r="Q74" s="264" t="s">
        <v>4</v>
      </c>
      <c r="R74" s="264" t="s">
        <v>9</v>
      </c>
      <c r="S74" s="663" t="s">
        <v>13</v>
      </c>
      <c r="T74" s="265" t="s">
        <v>3281</v>
      </c>
      <c r="X74" s="264"/>
      <c r="Z74" s="264"/>
      <c r="AA74" s="264"/>
      <c r="AB74" s="265" t="str">
        <f>VLOOKUP(功能_33[[#This Row],[User]],SKL放款!A:G,7,FALSE)</f>
        <v>放款服務課</v>
      </c>
      <c r="AC74" s="272">
        <v>44533</v>
      </c>
      <c r="AD74" s="272">
        <v>44470</v>
      </c>
      <c r="AE74" s="272">
        <f>IF(功能_33[[#This Row],[URS交二審]]=0,"",功能_33[[#This Row],[URS交二審]]+7)</f>
        <v>44477</v>
      </c>
      <c r="AF74" s="272">
        <f>IF(功能_33[[#This Row],[URS交二審]]=0,"",功能_33[[#This Row],[URS交二審]]+7)</f>
        <v>44477</v>
      </c>
      <c r="AG74" s="209">
        <v>44546</v>
      </c>
      <c r="AH74" s="272" t="s">
        <v>169</v>
      </c>
      <c r="AI74" s="272"/>
      <c r="AJ74" s="322"/>
      <c r="AK74" s="272">
        <f>IFERROR(IF(VLOOKUP(功能_33[[#This Row],[功能代號]],E:U,11,FALSE)=0,"",VLOOKUP(功能_33[[#This Row],[功能代號]],E:U,11,FALSE)),"")</f>
        <v>44439</v>
      </c>
      <c r="AL74" s="272"/>
      <c r="AM74" s="272"/>
      <c r="AN74" s="265"/>
      <c r="AP74" s="264" t="s">
        <v>163</v>
      </c>
      <c r="AQ74" s="264" t="s">
        <v>163</v>
      </c>
      <c r="AR74" s="593" t="s">
        <v>3207</v>
      </c>
      <c r="AS74" s="483" t="str">
        <f>IF(COUNTA(AG74)=1,LEFT(D74,3),"")</f>
        <v>2-9</v>
      </c>
      <c r="AT74" s="485" t="str">
        <f>IF(AND(COUNTA(O74)=1,COUNTA(P74)=1,COUNTA(AC74)=1,COUNTA(AF74)=1,COUNTA(AG74)=0),LEFT(D74,3),"")</f>
        <v/>
      </c>
      <c r="AU74" s="487" t="str">
        <f>IF(AND(COUNTA(O74)=1,COUNTA(P74)=1,COUNTA(AC74)=1,COUNTA(AF74)=0,COUNTA(AG74)=0),LEFT(D74,3),"")</f>
        <v/>
      </c>
      <c r="AV74" s="489" t="str">
        <f>IF(AND(COUNTA(P74)=0,COUNTA(AC74)=1),LEFT(D74,3),"")</f>
        <v/>
      </c>
      <c r="AW74" s="491" t="str">
        <f>IF(AND(COUNTA(P74)=1,COUNTA(AC74)=0),LEFT(D74,3),"")</f>
        <v/>
      </c>
      <c r="AX74" s="493" t="str">
        <f>IF(AND(COUNTA(P74)=0,COUNTA(AC74)=0),LEFT(D74,3),"")</f>
        <v/>
      </c>
      <c r="AY74" s="514" t="str">
        <f>IFERROR(VLOOKUP(功能_33[[#This Row],[功能代號]],SIT_FT_2021tmp!D:D,1,FALSE),"")</f>
        <v>L2600</v>
      </c>
      <c r="AZ74" s="587">
        <v>44517</v>
      </c>
      <c r="BA74" s="587">
        <v>44517</v>
      </c>
      <c r="BB74" s="514" t="s">
        <v>3073</v>
      </c>
      <c r="BC74" s="265" t="s">
        <v>3003</v>
      </c>
      <c r="BD74" s="593"/>
      <c r="BE74" s="264" t="str">
        <f>IF(AND(COUNTIF(AY74,"&gt;&lt;0")=1,COUNTA(M74)=1),LEFT(D74,3),"")</f>
        <v>2-9</v>
      </c>
      <c r="BF74" s="264" t="str">
        <f>IF(AND(COUNTIF(AY74,"&gt;&lt;")=1,COUNTA(M74)=0),LEFT(D74,3),"")</f>
        <v/>
      </c>
      <c r="BG74" s="264" t="str">
        <f>IF(AND(COUNTIF(AY74,"&gt;&lt;0")=0,COUNTA(M74)=1),LEFT(D74,3),"")</f>
        <v/>
      </c>
      <c r="BH74" s="264" t="str">
        <f>IF(AND(COUNTIF(AY74,"&gt;&lt;0")=0,COUNTA(M74)=0),LEFT(D74,3),"")</f>
        <v/>
      </c>
    </row>
    <row r="75" spans="2:60" ht="13.5" x14ac:dyDescent="0.3">
      <c r="C75" s="265" t="s">
        <v>66</v>
      </c>
      <c r="D75" s="265" t="s">
        <v>2480</v>
      </c>
      <c r="E75" s="264" t="s">
        <v>315</v>
      </c>
      <c r="F75" s="257" t="s">
        <v>316</v>
      </c>
      <c r="G75" s="265" t="s">
        <v>317</v>
      </c>
      <c r="H75" s="264" t="s">
        <v>166</v>
      </c>
      <c r="I75" s="264" t="s">
        <v>167</v>
      </c>
      <c r="J75" s="212" t="s">
        <v>2861</v>
      </c>
      <c r="K75" s="212"/>
      <c r="L75" s="272">
        <v>44565</v>
      </c>
      <c r="M75" s="272">
        <v>44565</v>
      </c>
      <c r="N75" s="272">
        <v>44441</v>
      </c>
      <c r="O75" s="272">
        <v>44439</v>
      </c>
      <c r="P75" s="272">
        <v>44550</v>
      </c>
      <c r="Q75" s="264" t="s">
        <v>4</v>
      </c>
      <c r="R75" s="264" t="s">
        <v>13</v>
      </c>
      <c r="S75" s="264" t="s">
        <v>13</v>
      </c>
      <c r="T75" s="265" t="s">
        <v>9</v>
      </c>
      <c r="X75" s="264"/>
      <c r="Z75" s="264"/>
      <c r="AA75" s="264"/>
      <c r="AB75" s="265" t="str">
        <f>VLOOKUP(功能_33[[#This Row],[User]],SKL放款!A:G,7,FALSE)</f>
        <v>放款服務課</v>
      </c>
      <c r="AC75" s="215">
        <v>44550</v>
      </c>
      <c r="AD75" s="272" t="s">
        <v>318</v>
      </c>
      <c r="AE75" s="272">
        <v>44550</v>
      </c>
      <c r="AF75" s="259">
        <v>44550</v>
      </c>
      <c r="AG75" s="583">
        <v>44550</v>
      </c>
      <c r="AH75" s="259"/>
      <c r="AI75" s="259"/>
      <c r="AJ75" s="259"/>
      <c r="AK75" s="259">
        <f>IFERROR(IF(VLOOKUP(功能_33[[#This Row],[功能代號]],E:U,11,FALSE)=0,"",VLOOKUP(功能_33[[#This Row],[功能代號]],E:U,11,FALSE)),"")</f>
        <v>44439</v>
      </c>
      <c r="AL75" s="259"/>
      <c r="AM75" s="259"/>
      <c r="AN75" s="265"/>
      <c r="AP75" s="264" t="s">
        <v>163</v>
      </c>
      <c r="AQ75" s="264" t="s">
        <v>163</v>
      </c>
      <c r="AR75" s="593" t="s">
        <v>3207</v>
      </c>
      <c r="AS75" s="483" t="str">
        <f>IF(COUNTA(AG75)=1,LEFT(D75,3),"")</f>
        <v>2-9</v>
      </c>
      <c r="AT75" s="485" t="str">
        <f>IF(AND(COUNTA(O75)=1,COUNTA(P75)=1,COUNTA(AC75)=1,COUNTA(AF75)=1,COUNTA(AG75)=0),LEFT(D75,3),"")</f>
        <v/>
      </c>
      <c r="AU75" s="487" t="str">
        <f>IF(AND(COUNTA(O75)=1,COUNTA(P75)=1,COUNTA(AC75)=1,COUNTA(AF75)=0,COUNTA(AG75)=0),LEFT(D75,3),"")</f>
        <v/>
      </c>
      <c r="AV75" s="489" t="str">
        <f>IF(AND(COUNTA(P75)=0,COUNTA(AC75)=1),LEFT(D75,3),"")</f>
        <v/>
      </c>
      <c r="AW75" s="491" t="str">
        <f>IF(AND(COUNTA(P75)=1,COUNTA(AC75)=0),LEFT(D75,3),"")</f>
        <v/>
      </c>
      <c r="AX75" s="493" t="str">
        <f>IF(AND(COUNTA(P75)=0,COUNTA(AC75)=0),LEFT(D75,3),"")</f>
        <v/>
      </c>
      <c r="AY75" s="514" t="str">
        <f>IFERROR(VLOOKUP(功能_33[[#This Row],[功能代號]],SIT_FT_2021tmp!D:D,1,FALSE),"")</f>
        <v>L2604</v>
      </c>
      <c r="AZ75" s="587">
        <v>44552</v>
      </c>
      <c r="BA75" s="587">
        <v>44552</v>
      </c>
      <c r="BB75" s="514" t="s">
        <v>3073</v>
      </c>
      <c r="BC75" s="265" t="s">
        <v>3016</v>
      </c>
      <c r="BD75" s="593"/>
      <c r="BE75" s="264" t="str">
        <f>IF(AND(COUNTIF(AY75,"&gt;&lt;0")=1,COUNTA(M75)=1),LEFT(D75,3),"")</f>
        <v>2-9</v>
      </c>
      <c r="BF75" s="264" t="str">
        <f>IF(AND(COUNTIF(AY75,"&gt;&lt;")=1,COUNTA(M75)=0),LEFT(D75,3),"")</f>
        <v/>
      </c>
      <c r="BG75" s="264" t="str">
        <f>IF(AND(COUNTIF(AY75,"&gt;&lt;0")=0,COUNTA(M75)=1),LEFT(D75,3),"")</f>
        <v/>
      </c>
      <c r="BH75" s="264" t="str">
        <f>IF(AND(COUNTIF(AY75,"&gt;&lt;0")=0,COUNTA(M75)=0),LEFT(D75,3),"")</f>
        <v/>
      </c>
    </row>
    <row r="76" spans="2:60" ht="13.5" x14ac:dyDescent="0.3">
      <c r="C76" s="265" t="s">
        <v>66</v>
      </c>
      <c r="D76" s="265" t="s">
        <v>2480</v>
      </c>
      <c r="E76" s="264" t="s">
        <v>319</v>
      </c>
      <c r="F76" s="257" t="s">
        <v>320</v>
      </c>
      <c r="G76" s="265" t="s">
        <v>317</v>
      </c>
      <c r="H76" s="264" t="s">
        <v>166</v>
      </c>
      <c r="I76" s="264" t="s">
        <v>167</v>
      </c>
      <c r="J76" s="212" t="s">
        <v>2861</v>
      </c>
      <c r="K76" s="212"/>
      <c r="L76" s="272">
        <v>44565</v>
      </c>
      <c r="M76" s="272">
        <v>44565</v>
      </c>
      <c r="N76" s="272">
        <v>44441</v>
      </c>
      <c r="O76" s="272">
        <v>44439</v>
      </c>
      <c r="P76" s="272">
        <v>44550</v>
      </c>
      <c r="Q76" s="264" t="s">
        <v>4</v>
      </c>
      <c r="R76" s="264" t="s">
        <v>9</v>
      </c>
      <c r="S76" s="663" t="s">
        <v>13</v>
      </c>
      <c r="T76" s="265" t="s">
        <v>3281</v>
      </c>
      <c r="X76" s="264"/>
      <c r="Z76" s="264"/>
      <c r="AA76" s="264"/>
      <c r="AB76" s="265" t="str">
        <f>VLOOKUP(功能_33[[#This Row],[User]],SKL放款!A:G,7,FALSE)</f>
        <v>放款服務課</v>
      </c>
      <c r="AC76" s="215">
        <v>44550</v>
      </c>
      <c r="AD76" s="272" t="s">
        <v>318</v>
      </c>
      <c r="AE76" s="272">
        <v>44550</v>
      </c>
      <c r="AF76" s="259">
        <v>44550</v>
      </c>
      <c r="AG76" s="583">
        <v>44550</v>
      </c>
      <c r="AH76" s="259"/>
      <c r="AI76" s="259"/>
      <c r="AJ76" s="259"/>
      <c r="AK76" s="259">
        <f>IFERROR(IF(VLOOKUP(功能_33[[#This Row],[功能代號]],E:U,11,FALSE)=0,"",VLOOKUP(功能_33[[#This Row],[功能代號]],E:U,11,FALSE)),"")</f>
        <v>44439</v>
      </c>
      <c r="AL76" s="259"/>
      <c r="AM76" s="259"/>
      <c r="AN76" s="265"/>
      <c r="AP76" s="264" t="s">
        <v>163</v>
      </c>
      <c r="AQ76" s="264" t="s">
        <v>163</v>
      </c>
      <c r="AR76" s="593" t="s">
        <v>3207</v>
      </c>
      <c r="AS76" s="483" t="str">
        <f>IF(COUNTA(AG76)=1,LEFT(D76,3),"")</f>
        <v>2-9</v>
      </c>
      <c r="AT76" s="485" t="str">
        <f>IF(AND(COUNTA(O76)=1,COUNTA(P76)=1,COUNTA(AC76)=1,COUNTA(AF76)=1,COUNTA(AG76)=0),LEFT(D76,3),"")</f>
        <v/>
      </c>
      <c r="AU76" s="487" t="str">
        <f>IF(AND(COUNTA(O76)=1,COUNTA(P76)=1,COUNTA(AC76)=1,COUNTA(AF76)=0,COUNTA(AG76)=0),LEFT(D76,3),"")</f>
        <v/>
      </c>
      <c r="AV76" s="489" t="str">
        <f>IF(AND(COUNTA(P76)=0,COUNTA(AC76)=1),LEFT(D76,3),"")</f>
        <v/>
      </c>
      <c r="AW76" s="491" t="str">
        <f>IF(AND(COUNTA(P76)=1,COUNTA(AC76)=0),LEFT(D76,3),"")</f>
        <v/>
      </c>
      <c r="AX76" s="493" t="str">
        <f>IF(AND(COUNTA(P76)=0,COUNTA(AC76)=0),LEFT(D76,3),"")</f>
        <v/>
      </c>
      <c r="AY76" s="514" t="str">
        <f>IFERROR(VLOOKUP(功能_33[[#This Row],[功能代號]],SIT_FT_2021tmp!D:D,1,FALSE),"")</f>
        <v>L2064</v>
      </c>
      <c r="AZ76" s="587">
        <v>44552</v>
      </c>
      <c r="BA76" s="587">
        <v>44552</v>
      </c>
      <c r="BB76" s="514" t="s">
        <v>3073</v>
      </c>
      <c r="BC76" s="265" t="s">
        <v>3016</v>
      </c>
      <c r="BD76" s="593"/>
      <c r="BE76" s="264" t="str">
        <f>IF(AND(COUNTIF(AY76,"&gt;&lt;0")=1,COUNTA(M76)=1),LEFT(D76,3),"")</f>
        <v>2-9</v>
      </c>
      <c r="BF76" s="264" t="str">
        <f>IF(AND(COUNTIF(AY76,"&gt;&lt;")=1,COUNTA(M76)=0),LEFT(D76,3),"")</f>
        <v/>
      </c>
      <c r="BG76" s="264" t="str">
        <f>IF(AND(COUNTIF(AY76,"&gt;&lt;0")=0,COUNTA(M76)=1),LEFT(D76,3),"")</f>
        <v/>
      </c>
      <c r="BH76" s="264" t="str">
        <f>IF(AND(COUNTIF(AY76,"&gt;&lt;0")=0,COUNTA(M76)=0),LEFT(D76,3),"")</f>
        <v/>
      </c>
    </row>
    <row r="77" spans="2:60" ht="13.5" x14ac:dyDescent="0.3">
      <c r="C77" s="265" t="s">
        <v>70</v>
      </c>
      <c r="D77" s="265" t="s">
        <v>2488</v>
      </c>
      <c r="E77" s="264" t="s">
        <v>321</v>
      </c>
      <c r="F77" s="265" t="s">
        <v>322</v>
      </c>
      <c r="G77" s="265" t="s">
        <v>323</v>
      </c>
      <c r="H77" s="264" t="s">
        <v>166</v>
      </c>
      <c r="I77" s="264" t="s">
        <v>167</v>
      </c>
      <c r="J77" s="212" t="s">
        <v>2853</v>
      </c>
      <c r="K77" s="212"/>
      <c r="L77" s="272">
        <v>44571</v>
      </c>
      <c r="M77" s="272">
        <v>44572</v>
      </c>
      <c r="N77" s="272">
        <v>44441</v>
      </c>
      <c r="O77" s="272">
        <v>44439</v>
      </c>
      <c r="P77" s="272">
        <v>44550</v>
      </c>
      <c r="Q77" s="264" t="s">
        <v>4</v>
      </c>
      <c r="R77" s="264" t="s">
        <v>13</v>
      </c>
      <c r="S77" s="264" t="s">
        <v>13</v>
      </c>
      <c r="T77" s="265" t="s">
        <v>9</v>
      </c>
      <c r="X77" s="264"/>
      <c r="Z77" s="264"/>
      <c r="AA77" s="264"/>
      <c r="AB77" s="265" t="str">
        <f>VLOOKUP(功能_33[[#This Row],[User]],SKL放款!A:G,7,FALSE)</f>
        <v>放款服務課</v>
      </c>
      <c r="AC77" s="272">
        <v>44547</v>
      </c>
      <c r="AD77" s="272" t="s">
        <v>318</v>
      </c>
      <c r="AE77" s="258">
        <v>44550</v>
      </c>
      <c r="AF77" s="259">
        <v>44550</v>
      </c>
      <c r="AG77" s="209">
        <v>44550</v>
      </c>
      <c r="AH77" s="259"/>
      <c r="AI77" s="259"/>
      <c r="AJ77" s="259"/>
      <c r="AK77" s="259">
        <f>IFERROR(IF(VLOOKUP(功能_33[[#This Row],[功能代號]],E:U,11,FALSE)=0,"",VLOOKUP(功能_33[[#This Row],[功能代號]],E:U,11,FALSE)),"")</f>
        <v>44439</v>
      </c>
      <c r="AL77" s="259"/>
      <c r="AM77" s="259"/>
      <c r="AN77" s="265"/>
      <c r="AP77" s="264" t="s">
        <v>163</v>
      </c>
      <c r="AQ77" s="264" t="s">
        <v>163</v>
      </c>
      <c r="AR77" s="593" t="s">
        <v>3207</v>
      </c>
      <c r="AS77" s="483" t="str">
        <f>IF(COUNTA(AG77)=1,LEFT(D77,3),"")</f>
        <v>6-6</v>
      </c>
      <c r="AT77" s="485" t="str">
        <f>IF(AND(COUNTA(O77)=1,COUNTA(P77)=1,COUNTA(AC77)=1,COUNTA(AF77)=1,COUNTA(AG77)=0),LEFT(D77,3),"")</f>
        <v/>
      </c>
      <c r="AU77" s="487" t="str">
        <f>IF(AND(COUNTA(O77)=1,COUNTA(P77)=1,COUNTA(AC77)=1,COUNTA(AF77)=0,COUNTA(AG77)=0),LEFT(D77,3),"")</f>
        <v/>
      </c>
      <c r="AV77" s="489" t="str">
        <f>IF(AND(COUNTA(P77)=0,COUNTA(AC77)=1),LEFT(D77,3),"")</f>
        <v/>
      </c>
      <c r="AW77" s="491" t="str">
        <f>IF(AND(COUNTA(P77)=1,COUNTA(AC77)=0),LEFT(D77,3),"")</f>
        <v/>
      </c>
      <c r="AX77" s="493" t="str">
        <f>IF(AND(COUNTA(P77)=0,COUNTA(AC77)=0),LEFT(D77,3),"")</f>
        <v/>
      </c>
      <c r="AY77" s="514" t="str">
        <f>IFERROR(VLOOKUP(功能_33[[#This Row],[功能代號]],SIT_FT_2021tmp!D:D,1,FALSE),"")</f>
        <v>L6022</v>
      </c>
      <c r="AZ77" s="587">
        <v>44519</v>
      </c>
      <c r="BA77" s="587">
        <v>44519</v>
      </c>
      <c r="BB77" s="514" t="s">
        <v>3073</v>
      </c>
      <c r="BC77" s="265" t="s">
        <v>3017</v>
      </c>
      <c r="BD77" s="593"/>
      <c r="BE77" s="264" t="str">
        <f>IF(AND(COUNTIF(AY77,"&gt;&lt;0")=1,COUNTA(M77)=1),LEFT(D77,3),"")</f>
        <v>6-6</v>
      </c>
      <c r="BF77" s="264" t="str">
        <f>IF(AND(COUNTIF(AY77,"&gt;&lt;")=1,COUNTA(M77)=0),LEFT(D77,3),"")</f>
        <v/>
      </c>
      <c r="BG77" s="264" t="str">
        <f>IF(AND(COUNTIF(AY77,"&gt;&lt;0")=0,COUNTA(M77)=1),LEFT(D77,3),"")</f>
        <v/>
      </c>
      <c r="BH77" s="264" t="str">
        <f>IF(AND(COUNTIF(AY77,"&gt;&lt;0")=0,COUNTA(M77)=0),LEFT(D77,3),"")</f>
        <v/>
      </c>
    </row>
    <row r="78" spans="2:60" ht="13.5" x14ac:dyDescent="0.3">
      <c r="C78" s="265" t="s">
        <v>70</v>
      </c>
      <c r="D78" s="265" t="s">
        <v>2488</v>
      </c>
      <c r="E78" s="264" t="s">
        <v>324</v>
      </c>
      <c r="F78" s="265" t="s">
        <v>325</v>
      </c>
      <c r="G78" s="265" t="s">
        <v>323</v>
      </c>
      <c r="H78" s="264" t="s">
        <v>166</v>
      </c>
      <c r="I78" s="264" t="s">
        <v>167</v>
      </c>
      <c r="J78" s="212" t="s">
        <v>2853</v>
      </c>
      <c r="K78" s="212"/>
      <c r="L78" s="272">
        <v>44571</v>
      </c>
      <c r="M78" s="272">
        <v>44572</v>
      </c>
      <c r="N78" s="272">
        <v>44441</v>
      </c>
      <c r="O78" s="272">
        <v>44439</v>
      </c>
      <c r="P78" s="272">
        <v>44550</v>
      </c>
      <c r="Q78" s="264" t="s">
        <v>4</v>
      </c>
      <c r="R78" s="264" t="s">
        <v>13</v>
      </c>
      <c r="S78" s="264" t="s">
        <v>13</v>
      </c>
      <c r="T78" s="265" t="s">
        <v>9</v>
      </c>
      <c r="X78" s="264"/>
      <c r="Z78" s="264"/>
      <c r="AA78" s="264"/>
      <c r="AB78" s="265" t="str">
        <f>VLOOKUP(功能_33[[#This Row],[User]],SKL放款!A:G,7,FALSE)</f>
        <v>放款服務課</v>
      </c>
      <c r="AC78" s="272">
        <v>44547</v>
      </c>
      <c r="AD78" s="272" t="s">
        <v>318</v>
      </c>
      <c r="AE78" s="258">
        <v>44550</v>
      </c>
      <c r="AF78" s="259">
        <v>44550</v>
      </c>
      <c r="AG78" s="209">
        <v>44550</v>
      </c>
      <c r="AH78" s="259"/>
      <c r="AI78" s="259"/>
      <c r="AJ78" s="259"/>
      <c r="AK78" s="259">
        <f>IFERROR(IF(VLOOKUP(功能_33[[#This Row],[功能代號]],E:U,11,FALSE)=0,"",VLOOKUP(功能_33[[#This Row],[功能代號]],E:U,11,FALSE)),"")</f>
        <v>44439</v>
      </c>
      <c r="AL78" s="259"/>
      <c r="AM78" s="259"/>
      <c r="AN78" s="265"/>
      <c r="AP78" s="264" t="s">
        <v>163</v>
      </c>
      <c r="AQ78" s="264" t="s">
        <v>163</v>
      </c>
      <c r="AR78" s="593" t="s">
        <v>3207</v>
      </c>
      <c r="AS78" s="483" t="str">
        <f>IF(COUNTA(AG78)=1,LEFT(D78,3),"")</f>
        <v>6-6</v>
      </c>
      <c r="AT78" s="485" t="str">
        <f>IF(AND(COUNTA(O78)=1,COUNTA(P78)=1,COUNTA(AC78)=1,COUNTA(AF78)=1,COUNTA(AG78)=0),LEFT(D78,3),"")</f>
        <v/>
      </c>
      <c r="AU78" s="487" t="str">
        <f>IF(AND(COUNTA(O78)=1,COUNTA(P78)=1,COUNTA(AC78)=1,COUNTA(AF78)=0,COUNTA(AG78)=0),LEFT(D78,3),"")</f>
        <v/>
      </c>
      <c r="AV78" s="489" t="str">
        <f>IF(AND(COUNTA(P78)=0,COUNTA(AC78)=1),LEFT(D78,3),"")</f>
        <v/>
      </c>
      <c r="AW78" s="491" t="str">
        <f>IF(AND(COUNTA(P78)=1,COUNTA(AC78)=0),LEFT(D78,3),"")</f>
        <v/>
      </c>
      <c r="AX78" s="493" t="str">
        <f>IF(AND(COUNTA(P78)=0,COUNTA(AC78)=0),LEFT(D78,3),"")</f>
        <v/>
      </c>
      <c r="AY78" s="514" t="str">
        <f>IFERROR(VLOOKUP(功能_33[[#This Row],[功能代號]],SIT_FT_2021tmp!D:D,1,FALSE),"")</f>
        <v>L6202</v>
      </c>
      <c r="AZ78" s="587">
        <v>44519</v>
      </c>
      <c r="BA78" s="587">
        <v>44519</v>
      </c>
      <c r="BB78" s="514" t="s">
        <v>3073</v>
      </c>
      <c r="BC78" s="265" t="s">
        <v>3017</v>
      </c>
      <c r="BD78" s="593"/>
      <c r="BE78" s="264" t="str">
        <f>IF(AND(COUNTIF(AY78,"&gt;&lt;0")=1,COUNTA(M78)=1),LEFT(D78,3),"")</f>
        <v>6-6</v>
      </c>
      <c r="BF78" s="264" t="str">
        <f>IF(AND(COUNTIF(AY78,"&gt;&lt;")=1,COUNTA(M78)=0),LEFT(D78,3),"")</f>
        <v/>
      </c>
      <c r="BG78" s="264" t="str">
        <f>IF(AND(COUNTIF(AY78,"&gt;&lt;0")=0,COUNTA(M78)=1),LEFT(D78,3),"")</f>
        <v/>
      </c>
      <c r="BH78" s="264" t="str">
        <f>IF(AND(COUNTIF(AY78,"&gt;&lt;0")=0,COUNTA(M78)=0),LEFT(D78,3),"")</f>
        <v/>
      </c>
    </row>
    <row r="79" spans="2:60" ht="13.5" x14ac:dyDescent="0.3">
      <c r="B79" s="265">
        <v>1</v>
      </c>
      <c r="C79" s="265" t="s">
        <v>67</v>
      </c>
      <c r="D79" s="265" t="s">
        <v>2483</v>
      </c>
      <c r="E79" s="264" t="s">
        <v>326</v>
      </c>
      <c r="F79" s="265" t="s">
        <v>327</v>
      </c>
      <c r="G79" s="265"/>
      <c r="H79" s="264" t="s">
        <v>166</v>
      </c>
      <c r="I79" s="264" t="s">
        <v>167</v>
      </c>
      <c r="J79" s="212" t="s">
        <v>2973</v>
      </c>
      <c r="K79" s="251" t="s">
        <v>2989</v>
      </c>
      <c r="L79" s="272">
        <v>44581</v>
      </c>
      <c r="M79" s="272">
        <v>44581</v>
      </c>
      <c r="N79" s="272">
        <v>44442</v>
      </c>
      <c r="O79" s="272">
        <v>44439</v>
      </c>
      <c r="P79" s="272">
        <f>IFERROR(IF(VLOOKUP(功能_33[[#This Row],[功能代號]],討論項目!A:H,8,FALSE)=0,"",VLOOKUP(功能_33[[#This Row],[功能代號]],討論項目!A:H,8,FALSE)),"")</f>
        <v>44487</v>
      </c>
      <c r="Q79" s="264" t="s">
        <v>1</v>
      </c>
      <c r="R79" s="264" t="s">
        <v>5</v>
      </c>
      <c r="S79" s="264" t="s">
        <v>5</v>
      </c>
      <c r="X79" s="264"/>
      <c r="Z79" s="264"/>
      <c r="AA79" s="264"/>
      <c r="AB79" s="265" t="str">
        <f>VLOOKUP(功能_33[[#This Row],[User]],SKL放款!A:G,7,FALSE)</f>
        <v>放款服務課</v>
      </c>
      <c r="AC79" s="272">
        <v>44496</v>
      </c>
      <c r="AD79" s="272">
        <v>44488</v>
      </c>
      <c r="AE79" s="272">
        <v>44496</v>
      </c>
      <c r="AF79" s="272">
        <v>44496</v>
      </c>
      <c r="AG79" s="209" t="s">
        <v>2974</v>
      </c>
      <c r="AH79" s="272" t="s">
        <v>169</v>
      </c>
      <c r="AI79" s="272"/>
      <c r="AJ79" s="322"/>
      <c r="AK79" s="272">
        <f>IFERROR(IF(VLOOKUP(功能_33[[#This Row],[功能代號]],E:U,11,FALSE)=0,"",VLOOKUP(功能_33[[#This Row],[功能代號]],E:U,11,FALSE)),"")</f>
        <v>44439</v>
      </c>
      <c r="AL79" s="272"/>
      <c r="AM79" s="272"/>
      <c r="AN79" s="265"/>
      <c r="AO79" s="325">
        <v>44491</v>
      </c>
      <c r="AP79" s="264">
        <v>315</v>
      </c>
      <c r="AQ79" s="265" t="s">
        <v>328</v>
      </c>
      <c r="AR79" s="593" t="s">
        <v>3207</v>
      </c>
      <c r="AS79" s="483" t="str">
        <f>IF(COUNTA(AG79)=1,LEFT(D79,3),"")</f>
        <v>3-2</v>
      </c>
      <c r="AT79" s="485" t="str">
        <f>IF(AND(COUNTA(O79)=1,COUNTA(P79)=1,COUNTA(AC79)=1,COUNTA(AF79)=1,COUNTA(AG79)=0),LEFT(D79,3),"")</f>
        <v/>
      </c>
      <c r="AU79" s="487" t="str">
        <f>IF(AND(COUNTA(O79)=1,COUNTA(P79)=1,COUNTA(AC79)=1,COUNTA(AF79)=0,COUNTA(AG79)=0),LEFT(D79,3),"")</f>
        <v/>
      </c>
      <c r="AV79" s="489" t="str">
        <f>IF(AND(COUNTA(P79)=0,COUNTA(AC79)=1),LEFT(D79,3),"")</f>
        <v/>
      </c>
      <c r="AW79" s="491" t="str">
        <f>IF(AND(COUNTA(P79)=1,COUNTA(AC79)=0),LEFT(D79,3),"")</f>
        <v/>
      </c>
      <c r="AX79" s="493" t="str">
        <f>IF(AND(COUNTA(P79)=0,COUNTA(AC79)=0),LEFT(D79,3),"")</f>
        <v/>
      </c>
      <c r="AY79" s="514" t="str">
        <f>IFERROR(VLOOKUP(功能_33[[#This Row],[功能代號]],SIT_FT_2021tmp!D:D,1,FALSE),"")</f>
        <v>L3912</v>
      </c>
      <c r="AZ79" s="587">
        <v>44519</v>
      </c>
      <c r="BA79" s="587">
        <v>44519</v>
      </c>
      <c r="BB79" s="514" t="s">
        <v>3073</v>
      </c>
      <c r="BC79" s="265" t="s">
        <v>3018</v>
      </c>
      <c r="BD79" s="593"/>
      <c r="BE79" s="264" t="str">
        <f>IF(AND(COUNTIF(AY79,"&gt;&lt;0")=1,COUNTA(M79)=1),LEFT(D79,3),"")</f>
        <v>3-2</v>
      </c>
      <c r="BF79" s="264" t="str">
        <f>IF(AND(COUNTIF(AY79,"&gt;&lt;")=1,COUNTA(M79)=0),LEFT(D79,3),"")</f>
        <v/>
      </c>
      <c r="BG79" s="264" t="str">
        <f>IF(AND(COUNTIF(AY79,"&gt;&lt;0")=0,COUNTA(M79)=1),LEFT(D79,3),"")</f>
        <v/>
      </c>
      <c r="BH79" s="264" t="str">
        <f>IF(AND(COUNTIF(AY79,"&gt;&lt;0")=0,COUNTA(M79)=0),LEFT(D79,3),"")</f>
        <v/>
      </c>
    </row>
    <row r="80" spans="2:60" ht="13.5" x14ac:dyDescent="0.3">
      <c r="B80" s="265">
        <v>1</v>
      </c>
      <c r="C80" s="265" t="s">
        <v>67</v>
      </c>
      <c r="D80" s="265" t="s">
        <v>2483</v>
      </c>
      <c r="E80" s="264" t="s">
        <v>329</v>
      </c>
      <c r="F80" s="265" t="s">
        <v>330</v>
      </c>
      <c r="G80" s="265"/>
      <c r="H80" s="264" t="s">
        <v>166</v>
      </c>
      <c r="I80" s="264" t="s">
        <v>167</v>
      </c>
      <c r="J80" s="212" t="s">
        <v>283</v>
      </c>
      <c r="K80" s="212"/>
      <c r="L80" s="272">
        <v>44581</v>
      </c>
      <c r="M80" s="272">
        <v>44581</v>
      </c>
      <c r="N80" s="272">
        <v>44442</v>
      </c>
      <c r="O80" s="272">
        <v>44439</v>
      </c>
      <c r="P80" s="272">
        <f>IFERROR(IF(VLOOKUP(功能_33[[#This Row],[功能代號]],討論項目!A:H,8,FALSE)=0,"",VLOOKUP(功能_33[[#This Row],[功能代號]],討論項目!A:H,8,FALSE)),"")</f>
        <v>44487</v>
      </c>
      <c r="Q80" s="264" t="s">
        <v>1</v>
      </c>
      <c r="R80" s="264" t="s">
        <v>5</v>
      </c>
      <c r="S80" s="264" t="s">
        <v>5</v>
      </c>
      <c r="T80" s="265" t="s">
        <v>8</v>
      </c>
      <c r="X80" s="264"/>
      <c r="Z80" s="264"/>
      <c r="AA80" s="264"/>
      <c r="AB80" s="265" t="str">
        <f>VLOOKUP(功能_33[[#This Row],[User]],SKL放款!A:G,7,FALSE)</f>
        <v>放款服務課</v>
      </c>
      <c r="AC80" s="272">
        <v>44496</v>
      </c>
      <c r="AD80" s="272">
        <v>44488</v>
      </c>
      <c r="AE80" s="272">
        <v>44496</v>
      </c>
      <c r="AF80" s="272">
        <v>44496</v>
      </c>
      <c r="AG80" s="209">
        <v>44512</v>
      </c>
      <c r="AH80" s="272" t="s">
        <v>169</v>
      </c>
      <c r="AI80" s="272"/>
      <c r="AJ80" s="322"/>
      <c r="AK80" s="272">
        <f>IFERROR(IF(VLOOKUP(功能_33[[#This Row],[功能代號]],E:U,11,FALSE)=0,"",VLOOKUP(功能_33[[#This Row],[功能代號]],E:U,11,FALSE)),"")</f>
        <v>44439</v>
      </c>
      <c r="AL80" s="272"/>
      <c r="AM80" s="272"/>
      <c r="AN80" s="265"/>
      <c r="AO80" s="265"/>
      <c r="AP80" s="264">
        <v>315</v>
      </c>
      <c r="AQ80" s="265" t="s">
        <v>328</v>
      </c>
      <c r="AR80" s="593" t="s">
        <v>3207</v>
      </c>
      <c r="AS80" s="483" t="str">
        <f>IF(COUNTA(AG80)=1,LEFT(D80,3),"")</f>
        <v>3-2</v>
      </c>
      <c r="AT80" s="485" t="str">
        <f>IF(AND(COUNTA(O80)=1,COUNTA(P80)=1,COUNTA(AC80)=1,COUNTA(AF80)=1,COUNTA(AG80)=0),LEFT(D80,3),"")</f>
        <v/>
      </c>
      <c r="AU80" s="487" t="str">
        <f>IF(AND(COUNTA(O80)=1,COUNTA(P80)=1,COUNTA(AC80)=1,COUNTA(AF80)=0,COUNTA(AG80)=0),LEFT(D80,3),"")</f>
        <v/>
      </c>
      <c r="AV80" s="489" t="str">
        <f>IF(AND(COUNTA(P80)=0,COUNTA(AC80)=1),LEFT(D80,3),"")</f>
        <v/>
      </c>
      <c r="AW80" s="491" t="str">
        <f>IF(AND(COUNTA(P80)=1,COUNTA(AC80)=0),LEFT(D80,3),"")</f>
        <v/>
      </c>
      <c r="AX80" s="493" t="str">
        <f>IF(AND(COUNTA(P80)=0,COUNTA(AC80)=0),LEFT(D80,3),"")</f>
        <v/>
      </c>
      <c r="AY80" s="514" t="str">
        <f>IFERROR(VLOOKUP(功能_33[[#This Row],[功能代號]],SIT_FT_2021tmp!D:D,1,FALSE),"")</f>
        <v>L3005</v>
      </c>
      <c r="AZ80" s="587">
        <v>44536</v>
      </c>
      <c r="BA80" s="587">
        <v>44536</v>
      </c>
      <c r="BB80" s="514" t="s">
        <v>3000</v>
      </c>
      <c r="BC80" s="265" t="s">
        <v>3019</v>
      </c>
      <c r="BD80" s="593"/>
      <c r="BE80" s="264" t="str">
        <f>IF(AND(COUNTIF(AY80,"&gt;&lt;0")=1,COUNTA(M80)=1),LEFT(D80,3),"")</f>
        <v>3-2</v>
      </c>
      <c r="BF80" s="264" t="str">
        <f>IF(AND(COUNTIF(AY80,"&gt;&lt;")=1,COUNTA(M80)=0),LEFT(D80,3),"")</f>
        <v/>
      </c>
      <c r="BG80" s="264" t="str">
        <f>IF(AND(COUNTIF(AY80,"&gt;&lt;0")=0,COUNTA(M80)=1),LEFT(D80,3),"")</f>
        <v/>
      </c>
      <c r="BH80" s="264" t="str">
        <f>IF(AND(COUNTIF(AY80,"&gt;&lt;0")=0,COUNTA(M80)=0),LEFT(D80,3),"")</f>
        <v/>
      </c>
    </row>
    <row r="81" spans="2:60" ht="13.5" x14ac:dyDescent="0.3">
      <c r="B81" s="265">
        <v>1</v>
      </c>
      <c r="C81" s="265" t="s">
        <v>67</v>
      </c>
      <c r="D81" s="265" t="s">
        <v>2484</v>
      </c>
      <c r="E81" s="264" t="s">
        <v>331</v>
      </c>
      <c r="F81" s="265" t="s">
        <v>332</v>
      </c>
      <c r="G81" s="265"/>
      <c r="H81" s="264" t="s">
        <v>166</v>
      </c>
      <c r="I81" s="264" t="s">
        <v>167</v>
      </c>
      <c r="J81" s="212" t="s">
        <v>283</v>
      </c>
      <c r="K81" s="212"/>
      <c r="L81" s="272">
        <v>44581</v>
      </c>
      <c r="M81" s="272">
        <v>44581</v>
      </c>
      <c r="N81" s="272">
        <v>44442</v>
      </c>
      <c r="O81" s="272">
        <v>44439</v>
      </c>
      <c r="P81" s="272">
        <v>44439</v>
      </c>
      <c r="Q81" s="264" t="s">
        <v>1</v>
      </c>
      <c r="R81" s="264" t="s">
        <v>5</v>
      </c>
      <c r="S81" s="264" t="s">
        <v>5</v>
      </c>
      <c r="X81" s="264"/>
      <c r="Z81" s="264"/>
      <c r="AA81" s="264"/>
      <c r="AB81" s="265" t="str">
        <f>VLOOKUP(功能_33[[#This Row],[User]],SKL放款!A:G,7,FALSE)</f>
        <v>放款服務課</v>
      </c>
      <c r="AC81" s="272">
        <v>44496</v>
      </c>
      <c r="AD81" s="272">
        <v>44488</v>
      </c>
      <c r="AE81" s="272">
        <v>44496</v>
      </c>
      <c r="AF81" s="272">
        <v>44496</v>
      </c>
      <c r="AG81" s="209">
        <v>44512</v>
      </c>
      <c r="AH81" s="272" t="s">
        <v>169</v>
      </c>
      <c r="AI81" s="272"/>
      <c r="AJ81" s="322"/>
      <c r="AK81" s="272">
        <f>IFERROR(IF(VLOOKUP(功能_33[[#This Row],[功能代號]],E:U,11,FALSE)=0,"",VLOOKUP(功能_33[[#This Row],[功能代號]],E:U,11,FALSE)),"")</f>
        <v>44439</v>
      </c>
      <c r="AL81" s="272"/>
      <c r="AM81" s="272"/>
      <c r="AN81" s="265"/>
      <c r="AO81" s="265"/>
      <c r="AP81" s="264">
        <v>350</v>
      </c>
      <c r="AQ81" s="265" t="s">
        <v>333</v>
      </c>
      <c r="AR81" s="593" t="s">
        <v>3207</v>
      </c>
      <c r="AS81" s="483" t="str">
        <f>IF(COUNTA(AG81)=1,LEFT(D81,3),"")</f>
        <v>3-5</v>
      </c>
      <c r="AT81" s="485" t="str">
        <f>IF(AND(COUNTA(O81)=1,COUNTA(P81)=1,COUNTA(AC81)=1,COUNTA(AF81)=1,COUNTA(AG81)=0),LEFT(D81,3),"")</f>
        <v/>
      </c>
      <c r="AU81" s="487" t="str">
        <f>IF(AND(COUNTA(O81)=1,COUNTA(P81)=1,COUNTA(AC81)=1,COUNTA(AF81)=0,COUNTA(AG81)=0),LEFT(D81,3),"")</f>
        <v/>
      </c>
      <c r="AV81" s="489" t="str">
        <f>IF(AND(COUNTA(P81)=0,COUNTA(AC81)=1),LEFT(D81,3),"")</f>
        <v/>
      </c>
      <c r="AW81" s="491" t="str">
        <f>IF(AND(COUNTA(P81)=1,COUNTA(AC81)=0),LEFT(D81,3),"")</f>
        <v/>
      </c>
      <c r="AX81" s="493" t="str">
        <f>IF(AND(COUNTA(P81)=0,COUNTA(AC81)=0),LEFT(D81,3),"")</f>
        <v/>
      </c>
      <c r="AY81" s="514" t="str">
        <f>IFERROR(VLOOKUP(功能_33[[#This Row],[功能代號]],SIT_FT_2021tmp!D:D,1,FALSE),"")</f>
        <v>L3932</v>
      </c>
      <c r="AZ81" s="587">
        <v>44550</v>
      </c>
      <c r="BA81" s="587">
        <v>44550</v>
      </c>
      <c r="BB81" s="514" t="s">
        <v>3000</v>
      </c>
      <c r="BC81" s="265" t="s">
        <v>3020</v>
      </c>
      <c r="BD81" s="593"/>
      <c r="BE81" s="264" t="str">
        <f>IF(AND(COUNTIF(AY81,"&gt;&lt;0")=1,COUNTA(M81)=1),LEFT(D81,3),"")</f>
        <v>3-5</v>
      </c>
      <c r="BF81" s="264" t="str">
        <f>IF(AND(COUNTIF(AY81,"&gt;&lt;")=1,COUNTA(M81)=0),LEFT(D81,3),"")</f>
        <v/>
      </c>
      <c r="BG81" s="264" t="str">
        <f>IF(AND(COUNTIF(AY81,"&gt;&lt;0")=0,COUNTA(M81)=1),LEFT(D81,3),"")</f>
        <v/>
      </c>
      <c r="BH81" s="264" t="str">
        <f>IF(AND(COUNTIF(AY81,"&gt;&lt;0")=0,COUNTA(M81)=0),LEFT(D81,3),"")</f>
        <v/>
      </c>
    </row>
    <row r="82" spans="2:60" ht="13.5" x14ac:dyDescent="0.3">
      <c r="B82" s="265">
        <v>1</v>
      </c>
      <c r="C82" s="265" t="s">
        <v>67</v>
      </c>
      <c r="D82" s="265" t="s">
        <v>2484</v>
      </c>
      <c r="E82" s="264" t="s">
        <v>334</v>
      </c>
      <c r="F82" s="265" t="s">
        <v>335</v>
      </c>
      <c r="G82" s="265"/>
      <c r="H82" s="264" t="s">
        <v>166</v>
      </c>
      <c r="I82" s="264" t="s">
        <v>167</v>
      </c>
      <c r="J82" s="212" t="s">
        <v>283</v>
      </c>
      <c r="K82" s="212"/>
      <c r="L82" s="272">
        <v>44575</v>
      </c>
      <c r="M82" s="272">
        <v>44575</v>
      </c>
      <c r="N82" s="272">
        <v>44442</v>
      </c>
      <c r="O82" s="272">
        <v>44439</v>
      </c>
      <c r="P82" s="272">
        <f>IFERROR(IF(VLOOKUP(功能_33[[#This Row],[功能代號]],討論項目!A:H,8,FALSE)=0,"",VLOOKUP(功能_33[[#This Row],[功能代號]],討論項目!A:H,8,FALSE)),"")</f>
        <v>44487</v>
      </c>
      <c r="Q82" s="264" t="s">
        <v>1</v>
      </c>
      <c r="R82" s="264" t="s">
        <v>5</v>
      </c>
      <c r="S82" s="264" t="s">
        <v>5</v>
      </c>
      <c r="X82" s="264"/>
      <c r="Z82" s="264"/>
      <c r="AA82" s="264"/>
      <c r="AB82" s="265" t="str">
        <f>VLOOKUP(功能_33[[#This Row],[User]],SKL放款!A:G,7,FALSE)</f>
        <v>放款服務課</v>
      </c>
      <c r="AC82" s="272">
        <v>44496</v>
      </c>
      <c r="AD82" s="272">
        <v>44488</v>
      </c>
      <c r="AE82" s="272">
        <v>44496</v>
      </c>
      <c r="AF82" s="272">
        <v>44496</v>
      </c>
      <c r="AG82" s="209">
        <v>44512</v>
      </c>
      <c r="AH82" s="272" t="s">
        <v>169</v>
      </c>
      <c r="AI82" s="272"/>
      <c r="AJ82" s="322"/>
      <c r="AK82" s="272">
        <f>IFERROR(IF(VLOOKUP(功能_33[[#This Row],[功能代號]],E:U,11,FALSE)=0,"",VLOOKUP(功能_33[[#This Row],[功能代號]],E:U,11,FALSE)),"")</f>
        <v>44439</v>
      </c>
      <c r="AL82" s="272"/>
      <c r="AM82" s="272"/>
      <c r="AN82" s="265"/>
      <c r="AO82" s="265"/>
      <c r="AP82" s="264">
        <v>351</v>
      </c>
      <c r="AQ82" s="265" t="s">
        <v>336</v>
      </c>
      <c r="AR82" s="593" t="s">
        <v>3207</v>
      </c>
      <c r="AS82" s="483" t="str">
        <f>IF(COUNTA(AG82)=1,LEFT(D82,3),"")</f>
        <v>3-5</v>
      </c>
      <c r="AT82" s="485" t="str">
        <f>IF(AND(COUNTA(O82)=1,COUNTA(P82)=1,COUNTA(AC82)=1,COUNTA(AF82)=1,COUNTA(AG82)=0),LEFT(D82,3),"")</f>
        <v/>
      </c>
      <c r="AU82" s="487" t="str">
        <f>IF(AND(COUNTA(O82)=1,COUNTA(P82)=1,COUNTA(AC82)=1,COUNTA(AF82)=0,COUNTA(AG82)=0),LEFT(D82,3),"")</f>
        <v/>
      </c>
      <c r="AV82" s="489" t="str">
        <f>IF(AND(COUNTA(P82)=0,COUNTA(AC82)=1),LEFT(D82,3),"")</f>
        <v/>
      </c>
      <c r="AW82" s="491" t="str">
        <f>IF(AND(COUNTA(P82)=1,COUNTA(AC82)=0),LEFT(D82,3),"")</f>
        <v/>
      </c>
      <c r="AX82" s="493" t="str">
        <f>IF(AND(COUNTA(P82)=0,COUNTA(AC82)=0),LEFT(D82,3),"")</f>
        <v/>
      </c>
      <c r="AY82" s="514" t="str">
        <f>IFERROR(VLOOKUP(功能_33[[#This Row],[功能代號]],SIT_FT_2021tmp!D:D,1,FALSE),"")</f>
        <v>L3721</v>
      </c>
      <c r="AZ82" s="587">
        <v>44545</v>
      </c>
      <c r="BA82" s="587">
        <v>44545</v>
      </c>
      <c r="BB82" s="514" t="s">
        <v>3000</v>
      </c>
      <c r="BC82" s="265" t="s">
        <v>3021</v>
      </c>
      <c r="BD82" s="593"/>
      <c r="BE82" s="264" t="str">
        <f>IF(AND(COUNTIF(AY82,"&gt;&lt;0")=1,COUNTA(M82)=1),LEFT(D82,3),"")</f>
        <v>3-5</v>
      </c>
      <c r="BF82" s="264" t="str">
        <f>IF(AND(COUNTIF(AY82,"&gt;&lt;")=1,COUNTA(M82)=0),LEFT(D82,3),"")</f>
        <v/>
      </c>
      <c r="BG82" s="264" t="str">
        <f>IF(AND(COUNTIF(AY82,"&gt;&lt;0")=0,COUNTA(M82)=1),LEFT(D82,3),"")</f>
        <v/>
      </c>
      <c r="BH82" s="264" t="str">
        <f>IF(AND(COUNTIF(AY82,"&gt;&lt;0")=0,COUNTA(M82)=0),LEFT(D82,3),"")</f>
        <v/>
      </c>
    </row>
    <row r="83" spans="2:60" ht="13.5" x14ac:dyDescent="0.3">
      <c r="B83" s="265">
        <v>1</v>
      </c>
      <c r="C83" s="265" t="s">
        <v>67</v>
      </c>
      <c r="D83" s="265" t="s">
        <v>2484</v>
      </c>
      <c r="E83" s="264" t="s">
        <v>337</v>
      </c>
      <c r="F83" s="265" t="s">
        <v>338</v>
      </c>
      <c r="G83" s="265"/>
      <c r="H83" s="264" t="s">
        <v>166</v>
      </c>
      <c r="I83" s="264" t="s">
        <v>167</v>
      </c>
      <c r="J83" s="212" t="s">
        <v>2973</v>
      </c>
      <c r="K83" s="251" t="s">
        <v>2989</v>
      </c>
      <c r="L83" s="272">
        <v>44575</v>
      </c>
      <c r="M83" s="272">
        <v>44575</v>
      </c>
      <c r="N83" s="272">
        <v>44442</v>
      </c>
      <c r="O83" s="272">
        <v>44439</v>
      </c>
      <c r="P83" s="272">
        <v>44439</v>
      </c>
      <c r="Q83" s="264" t="s">
        <v>6</v>
      </c>
      <c r="R83" s="264" t="s">
        <v>5</v>
      </c>
      <c r="S83" s="264" t="s">
        <v>5</v>
      </c>
      <c r="X83" s="264"/>
      <c r="Z83" s="264"/>
      <c r="AA83" s="264"/>
      <c r="AB83" s="265" t="str">
        <f>VLOOKUP(功能_33[[#This Row],[User]],SKL放款!A:G,7,FALSE)</f>
        <v>放款服務課</v>
      </c>
      <c r="AC83" s="272">
        <v>44496</v>
      </c>
      <c r="AD83" s="272">
        <v>44488</v>
      </c>
      <c r="AE83" s="272">
        <v>44497</v>
      </c>
      <c r="AF83" s="272">
        <v>44497</v>
      </c>
      <c r="AG83" s="209" t="s">
        <v>2974</v>
      </c>
      <c r="AH83" s="272" t="s">
        <v>169</v>
      </c>
      <c r="AI83" s="272"/>
      <c r="AJ83" s="322"/>
      <c r="AK83" s="272">
        <f>IFERROR(IF(VLOOKUP(功能_33[[#This Row],[功能代號]],E:U,11,FALSE)=0,"",VLOOKUP(功能_33[[#This Row],[功能代號]],E:U,11,FALSE)),"")</f>
        <v>44439</v>
      </c>
      <c r="AL83" s="272"/>
      <c r="AM83" s="272"/>
      <c r="AN83" s="265"/>
      <c r="AO83" s="265"/>
      <c r="AP83" s="264">
        <v>321</v>
      </c>
      <c r="AQ83" s="265" t="s">
        <v>339</v>
      </c>
      <c r="AR83" s="593" t="s">
        <v>3207</v>
      </c>
      <c r="AS83" s="483" t="str">
        <f>IF(COUNTA(AG83)=1,LEFT(D83,3),"")</f>
        <v>3-5</v>
      </c>
      <c r="AT83" s="485" t="str">
        <f>IF(AND(COUNTA(O83)=1,COUNTA(P83)=1,COUNTA(AC83)=1,COUNTA(AF83)=1,COUNTA(AG83)=0),LEFT(D83,3),"")</f>
        <v/>
      </c>
      <c r="AU83" s="487" t="str">
        <f>IF(AND(COUNTA(O83)=1,COUNTA(P83)=1,COUNTA(AC83)=1,COUNTA(AF83)=0,COUNTA(AG83)=0),LEFT(D83,3),"")</f>
        <v/>
      </c>
      <c r="AV83" s="489" t="str">
        <f>IF(AND(COUNTA(P83)=0,COUNTA(AC83)=1),LEFT(D83,3),"")</f>
        <v/>
      </c>
      <c r="AW83" s="491" t="str">
        <f>IF(AND(COUNTA(P83)=1,COUNTA(AC83)=0),LEFT(D83,3),"")</f>
        <v/>
      </c>
      <c r="AX83" s="493" t="str">
        <f>IF(AND(COUNTA(P83)=0,COUNTA(AC83)=0),LEFT(D83,3),"")</f>
        <v/>
      </c>
      <c r="AY83" s="514" t="str">
        <f>IFERROR(VLOOKUP(功能_33[[#This Row],[功能代號]],SIT_FT_2021tmp!D:D,1,FALSE),"")</f>
        <v>L3701</v>
      </c>
      <c r="AZ83" s="587">
        <v>44559</v>
      </c>
      <c r="BA83" s="587">
        <v>44559</v>
      </c>
      <c r="BB83" s="514" t="s">
        <v>3073</v>
      </c>
      <c r="BC83" s="265" t="s">
        <v>3022</v>
      </c>
      <c r="BD83" s="593"/>
      <c r="BE83" s="264" t="str">
        <f>IF(AND(COUNTIF(AY83,"&gt;&lt;0")=1,COUNTA(M83)=1),LEFT(D83,3),"")</f>
        <v>3-5</v>
      </c>
      <c r="BF83" s="264" t="str">
        <f>IF(AND(COUNTIF(AY83,"&gt;&lt;")=1,COUNTA(M83)=0),LEFT(D83,3),"")</f>
        <v/>
      </c>
      <c r="BG83" s="264" t="str">
        <f>IF(AND(COUNTIF(AY83,"&gt;&lt;0")=0,COUNTA(M83)=1),LEFT(D83,3),"")</f>
        <v/>
      </c>
      <c r="BH83" s="264" t="str">
        <f>IF(AND(COUNTIF(AY83,"&gt;&lt;0")=0,COUNTA(M83)=0),LEFT(D83,3),"")</f>
        <v/>
      </c>
    </row>
    <row r="84" spans="2:60" ht="54" x14ac:dyDescent="0.3">
      <c r="C84" s="265" t="s">
        <v>68</v>
      </c>
      <c r="D84" s="265" t="s">
        <v>340</v>
      </c>
      <c r="E84" s="264" t="s">
        <v>341</v>
      </c>
      <c r="F84" s="265" t="s">
        <v>342</v>
      </c>
      <c r="G84" s="265"/>
      <c r="H84" s="264" t="s">
        <v>166</v>
      </c>
      <c r="I84" s="264" t="s">
        <v>3153</v>
      </c>
      <c r="J84" s="212" t="s">
        <v>2586</v>
      </c>
      <c r="K84" s="212"/>
      <c r="L84" s="272">
        <v>44582</v>
      </c>
      <c r="M84" s="272">
        <v>44578</v>
      </c>
      <c r="N84" s="272">
        <v>44438</v>
      </c>
      <c r="O84" s="272">
        <v>44438</v>
      </c>
      <c r="P84" s="272">
        <v>44533</v>
      </c>
      <c r="Q84" s="264" t="s">
        <v>6</v>
      </c>
      <c r="R84" s="264" t="s">
        <v>10</v>
      </c>
      <c r="S84" s="264" t="s">
        <v>10</v>
      </c>
      <c r="X84" s="264"/>
      <c r="Z84" s="264"/>
      <c r="AA84" s="264"/>
      <c r="AB84" s="265" t="str">
        <f>VLOOKUP(功能_33[[#This Row],[User]],SKL放款!A:G,7,FALSE)</f>
        <v>放款服務課</v>
      </c>
      <c r="AC84" s="272">
        <v>44533</v>
      </c>
      <c r="AD84" s="272">
        <v>44515</v>
      </c>
      <c r="AE84" s="272">
        <v>44523</v>
      </c>
      <c r="AF84" s="272">
        <v>44524</v>
      </c>
      <c r="AG84" s="209">
        <v>44539</v>
      </c>
      <c r="AH84" s="272"/>
      <c r="AI84" s="272"/>
      <c r="AJ84" s="322"/>
      <c r="AK84" s="272">
        <f>IFERROR(IF(VLOOKUP(功能_33[[#This Row],[功能代號]],E:U,11,FALSE)=0,"",VLOOKUP(功能_33[[#This Row],[功能代號]],E:U,11,FALSE)),"")</f>
        <v>44438</v>
      </c>
      <c r="AL84" s="272"/>
      <c r="AM84" s="272"/>
      <c r="AN84" s="265"/>
      <c r="AO84" s="265"/>
      <c r="AP84" s="515" t="s">
        <v>2659</v>
      </c>
      <c r="AQ84" s="206" t="s">
        <v>2660</v>
      </c>
      <c r="AR84" s="593" t="s">
        <v>3207</v>
      </c>
      <c r="AS84" s="483" t="str">
        <f>IF(COUNTA(AG84)=1,LEFT(D84,3),"")</f>
        <v>4-1</v>
      </c>
      <c r="AT84" s="485" t="str">
        <f>IF(AND(COUNTA(O84)=1,COUNTA(P84)=1,COUNTA(AC84)=1,COUNTA(AF84)=1,COUNTA(AG84)=0),LEFT(D84,3),"")</f>
        <v/>
      </c>
      <c r="AU84" s="487" t="str">
        <f>IF(AND(COUNTA(O84)=1,COUNTA(P84)=1,COUNTA(AC84)=1,COUNTA(AF84)=0,COUNTA(AG84)=0),LEFT(D84,3),"")</f>
        <v/>
      </c>
      <c r="AV84" s="489" t="str">
        <f>IF(AND(COUNTA(P84)=0,COUNTA(AC84)=1),LEFT(D84,3),"")</f>
        <v/>
      </c>
      <c r="AW84" s="491" t="str">
        <f>IF(AND(COUNTA(P84)=1,COUNTA(AC84)=0),LEFT(D84,3),"")</f>
        <v/>
      </c>
      <c r="AX84" s="493" t="str">
        <f>IF(AND(COUNTA(P84)=0,COUNTA(AC84)=0),LEFT(D84,3),"")</f>
        <v/>
      </c>
      <c r="AY84" s="514" t="str">
        <f>IFERROR(VLOOKUP(功能_33[[#This Row],[功能代號]],SIT_FT_2021tmp!D:D,1,FALSE),"")</f>
        <v>L4101</v>
      </c>
      <c r="AZ84" s="587">
        <v>44519</v>
      </c>
      <c r="BA84" s="587">
        <v>44519</v>
      </c>
      <c r="BB84" s="514" t="s">
        <v>3073</v>
      </c>
      <c r="BC84" s="265" t="s">
        <v>3018</v>
      </c>
      <c r="BD84" s="593"/>
      <c r="BE84" s="264" t="str">
        <f>IF(AND(COUNTIF(AY84,"&gt;&lt;0")=1,COUNTA(M84)=1),LEFT(D84,3),"")</f>
        <v>4-1</v>
      </c>
      <c r="BF84" s="264" t="str">
        <f>IF(AND(COUNTIF(AY84,"&gt;&lt;")=1,COUNTA(M84)=0),LEFT(D84,3),"")</f>
        <v/>
      </c>
      <c r="BG84" s="264" t="str">
        <f>IF(AND(COUNTIF(AY84,"&gt;&lt;0")=0,COUNTA(M84)=1),LEFT(D84,3),"")</f>
        <v/>
      </c>
      <c r="BH84" s="264" t="str">
        <f>IF(AND(COUNTIF(AY84,"&gt;&lt;0")=0,COUNTA(M84)=0),LEFT(D84,3),"")</f>
        <v/>
      </c>
    </row>
    <row r="85" spans="2:60" ht="13.5" x14ac:dyDescent="0.3">
      <c r="C85" s="265" t="s">
        <v>68</v>
      </c>
      <c r="D85" s="265" t="s">
        <v>340</v>
      </c>
      <c r="E85" s="264" t="s">
        <v>343</v>
      </c>
      <c r="F85" s="265" t="s">
        <v>344</v>
      </c>
      <c r="G85" s="265"/>
      <c r="H85" s="264" t="s">
        <v>166</v>
      </c>
      <c r="I85" s="264" t="s">
        <v>167</v>
      </c>
      <c r="J85" s="212" t="s">
        <v>2586</v>
      </c>
      <c r="K85" s="212"/>
      <c r="L85" s="272">
        <v>44582</v>
      </c>
      <c r="M85" s="272">
        <v>44578</v>
      </c>
      <c r="N85" s="272">
        <v>44438</v>
      </c>
      <c r="O85" s="272">
        <v>44438</v>
      </c>
      <c r="P85" s="272">
        <v>44523</v>
      </c>
      <c r="Q85" s="264" t="s">
        <v>6</v>
      </c>
      <c r="R85" s="264" t="s">
        <v>10</v>
      </c>
      <c r="S85" s="264" t="s">
        <v>10</v>
      </c>
      <c r="X85" s="264"/>
      <c r="Z85" s="264"/>
      <c r="AA85" s="264"/>
      <c r="AB85" s="265" t="str">
        <f>VLOOKUP(功能_33[[#This Row],[User]],SKL放款!A:G,7,FALSE)</f>
        <v>放款服務課</v>
      </c>
      <c r="AC85" s="272">
        <v>44533</v>
      </c>
      <c r="AD85" s="272" t="s">
        <v>168</v>
      </c>
      <c r="AE85" s="272">
        <v>44523</v>
      </c>
      <c r="AF85" s="272">
        <v>44524</v>
      </c>
      <c r="AG85" s="209">
        <v>44539</v>
      </c>
      <c r="AH85" s="272"/>
      <c r="AI85" s="272"/>
      <c r="AJ85" s="322"/>
      <c r="AK85" s="272">
        <f>IFERROR(IF(VLOOKUP(功能_33[[#This Row],[功能代號]],E:U,11,FALSE)=0,"",VLOOKUP(功能_33[[#This Row],[功能代號]],E:U,11,FALSE)),"")</f>
        <v>44438</v>
      </c>
      <c r="AL85" s="272"/>
      <c r="AM85" s="272"/>
      <c r="AN85" s="265"/>
      <c r="AO85" s="265"/>
      <c r="AP85" s="214" t="s">
        <v>2661</v>
      </c>
      <c r="AQ85" s="264" t="s">
        <v>163</v>
      </c>
      <c r="AR85" s="593" t="s">
        <v>3207</v>
      </c>
      <c r="AS85" s="483" t="str">
        <f>IF(COUNTA(AG85)=1,LEFT(D85,3),"")</f>
        <v>4-1</v>
      </c>
      <c r="AT85" s="485" t="str">
        <f>IF(AND(COUNTA(O85)=1,COUNTA(P85)=1,COUNTA(AC85)=1,COUNTA(AF85)=1,COUNTA(AG85)=0),LEFT(D85,3),"")</f>
        <v/>
      </c>
      <c r="AU85" s="487" t="str">
        <f>IF(AND(COUNTA(O85)=1,COUNTA(P85)=1,COUNTA(AC85)=1,COUNTA(AF85)=0,COUNTA(AG85)=0),LEFT(D85,3),"")</f>
        <v/>
      </c>
      <c r="AV85" s="489" t="str">
        <f>IF(AND(COUNTA(P85)=0,COUNTA(AC85)=1),LEFT(D85,3),"")</f>
        <v/>
      </c>
      <c r="AW85" s="491" t="str">
        <f>IF(AND(COUNTA(P85)=1,COUNTA(AC85)=0),LEFT(D85,3),"")</f>
        <v/>
      </c>
      <c r="AX85" s="493" t="str">
        <f>IF(AND(COUNTA(P85)=0,COUNTA(AC85)=0),LEFT(D85,3),"")</f>
        <v/>
      </c>
      <c r="AY85" s="514" t="str">
        <f>IFERROR(VLOOKUP(功能_33[[#This Row],[功能代號]],SIT_FT_2021tmp!D:D,1,FALSE),"")</f>
        <v>L4001</v>
      </c>
      <c r="AZ85" s="587">
        <v>44519</v>
      </c>
      <c r="BA85" s="587">
        <v>44519</v>
      </c>
      <c r="BB85" s="514" t="s">
        <v>3073</v>
      </c>
      <c r="BC85" s="265" t="s">
        <v>3018</v>
      </c>
      <c r="BD85" s="593"/>
      <c r="BE85" s="264" t="str">
        <f>IF(AND(COUNTIF(AY85,"&gt;&lt;0")=1,COUNTA(M85)=1),LEFT(D85,3),"")</f>
        <v>4-1</v>
      </c>
      <c r="BF85" s="264" t="str">
        <f>IF(AND(COUNTIF(AY85,"&gt;&lt;")=1,COUNTA(M85)=0),LEFT(D85,3),"")</f>
        <v/>
      </c>
      <c r="BG85" s="264" t="str">
        <f>IF(AND(COUNTIF(AY85,"&gt;&lt;0")=0,COUNTA(M85)=1),LEFT(D85,3),"")</f>
        <v/>
      </c>
      <c r="BH85" s="264" t="str">
        <f>IF(AND(COUNTIF(AY85,"&gt;&lt;0")=0,COUNTA(M85)=0),LEFT(D85,3),"")</f>
        <v/>
      </c>
    </row>
    <row r="86" spans="2:60" ht="13.5" x14ac:dyDescent="0.3">
      <c r="C86" s="265" t="s">
        <v>68</v>
      </c>
      <c r="D86" s="265" t="s">
        <v>340</v>
      </c>
      <c r="E86" s="264" t="s">
        <v>345</v>
      </c>
      <c r="F86" s="265" t="s">
        <v>346</v>
      </c>
      <c r="G86" s="265"/>
      <c r="H86" s="264" t="s">
        <v>166</v>
      </c>
      <c r="I86" s="264" t="s">
        <v>167</v>
      </c>
      <c r="J86" s="212" t="s">
        <v>2586</v>
      </c>
      <c r="K86" s="212"/>
      <c r="L86" s="272">
        <v>44582</v>
      </c>
      <c r="M86" s="272">
        <v>44578</v>
      </c>
      <c r="N86" s="272">
        <v>44438</v>
      </c>
      <c r="O86" s="272">
        <v>44438</v>
      </c>
      <c r="P86" s="272">
        <v>44523</v>
      </c>
      <c r="Q86" s="264" t="s">
        <v>6</v>
      </c>
      <c r="R86" s="264" t="s">
        <v>10</v>
      </c>
      <c r="S86" s="264" t="s">
        <v>10</v>
      </c>
      <c r="X86" s="264"/>
      <c r="Z86" s="264"/>
      <c r="AA86" s="264"/>
      <c r="AB86" s="265" t="str">
        <f>VLOOKUP(功能_33[[#This Row],[User]],SKL放款!A:G,7,FALSE)</f>
        <v>放款服務課</v>
      </c>
      <c r="AC86" s="272">
        <v>44533</v>
      </c>
      <c r="AD86" s="272" t="s">
        <v>168</v>
      </c>
      <c r="AE86" s="272">
        <v>44523</v>
      </c>
      <c r="AF86" s="272">
        <v>44524</v>
      </c>
      <c r="AG86" s="209">
        <v>44539</v>
      </c>
      <c r="AH86" s="272"/>
      <c r="AI86" s="272"/>
      <c r="AJ86" s="322"/>
      <c r="AK86" s="272">
        <f>IFERROR(IF(VLOOKUP(功能_33[[#This Row],[功能代號]],E:U,11,FALSE)=0,"",VLOOKUP(功能_33[[#This Row],[功能代號]],E:U,11,FALSE)),"")</f>
        <v>44438</v>
      </c>
      <c r="AL86" s="272"/>
      <c r="AM86" s="272"/>
      <c r="AN86" s="265"/>
      <c r="AO86" s="265"/>
      <c r="AP86" s="214" t="s">
        <v>2661</v>
      </c>
      <c r="AQ86" s="264" t="s">
        <v>163</v>
      </c>
      <c r="AR86" s="593" t="s">
        <v>3207</v>
      </c>
      <c r="AS86" s="483" t="str">
        <f>IF(COUNTA(AG86)=1,LEFT(D86,3),"")</f>
        <v>4-1</v>
      </c>
      <c r="AT86" s="485" t="str">
        <f>IF(AND(COUNTA(O86)=1,COUNTA(P86)=1,COUNTA(AC86)=1,COUNTA(AF86)=1,COUNTA(AG86)=0),LEFT(D86,3),"")</f>
        <v/>
      </c>
      <c r="AU86" s="487" t="str">
        <f>IF(AND(COUNTA(O86)=1,COUNTA(P86)=1,COUNTA(AC86)=1,COUNTA(AF86)=0,COUNTA(AG86)=0),LEFT(D86,3),"")</f>
        <v/>
      </c>
      <c r="AV86" s="489" t="str">
        <f>IF(AND(COUNTA(P86)=0,COUNTA(AC86)=1),LEFT(D86,3),"")</f>
        <v/>
      </c>
      <c r="AW86" s="491" t="str">
        <f>IF(AND(COUNTA(P86)=1,COUNTA(AC86)=0),LEFT(D86,3),"")</f>
        <v/>
      </c>
      <c r="AX86" s="493" t="str">
        <f>IF(AND(COUNTA(P86)=0,COUNTA(AC86)=0),LEFT(D86,3),"")</f>
        <v/>
      </c>
      <c r="AY86" s="514" t="str">
        <f>IFERROR(VLOOKUP(功能_33[[#This Row],[功能代號]],SIT_FT_2021tmp!D:D,1,FALSE),"")</f>
        <v>L4901</v>
      </c>
      <c r="AZ86" s="587">
        <v>44519</v>
      </c>
      <c r="BA86" s="587">
        <v>44519</v>
      </c>
      <c r="BB86" s="514" t="s">
        <v>3073</v>
      </c>
      <c r="BC86" s="265" t="s">
        <v>3018</v>
      </c>
      <c r="BD86" s="593"/>
      <c r="BE86" s="264" t="str">
        <f>IF(AND(COUNTIF(AY86,"&gt;&lt;0")=1,COUNTA(M86)=1),LEFT(D86,3),"")</f>
        <v>4-1</v>
      </c>
      <c r="BF86" s="264" t="str">
        <f>IF(AND(COUNTIF(AY86,"&gt;&lt;")=1,COUNTA(M86)=0),LEFT(D86,3),"")</f>
        <v/>
      </c>
      <c r="BG86" s="264" t="str">
        <f>IF(AND(COUNTIF(AY86,"&gt;&lt;0")=0,COUNTA(M86)=1),LEFT(D86,3),"")</f>
        <v/>
      </c>
      <c r="BH86" s="264" t="str">
        <f>IF(AND(COUNTIF(AY86,"&gt;&lt;0")=0,COUNTA(M86)=0),LEFT(D86,3),"")</f>
        <v/>
      </c>
    </row>
    <row r="87" spans="2:60" ht="13.5" x14ac:dyDescent="0.3">
      <c r="C87" s="265" t="s">
        <v>70</v>
      </c>
      <c r="D87" s="265" t="s">
        <v>2487</v>
      </c>
      <c r="E87" s="264" t="s">
        <v>347</v>
      </c>
      <c r="F87" s="265" t="s">
        <v>348</v>
      </c>
      <c r="G87" s="265"/>
      <c r="H87" s="264" t="s">
        <v>166</v>
      </c>
      <c r="I87" s="264" t="s">
        <v>167</v>
      </c>
      <c r="J87" s="212" t="s">
        <v>2853</v>
      </c>
      <c r="K87" s="212"/>
      <c r="L87" s="272">
        <v>44581</v>
      </c>
      <c r="M87" s="272">
        <v>44581</v>
      </c>
      <c r="N87" s="272">
        <v>44447</v>
      </c>
      <c r="O87" s="272">
        <v>44447</v>
      </c>
      <c r="P87" s="272">
        <v>44547</v>
      </c>
      <c r="Q87" s="264" t="s">
        <v>2</v>
      </c>
      <c r="R87" s="264" t="s">
        <v>5</v>
      </c>
      <c r="S87" s="264" t="s">
        <v>5</v>
      </c>
      <c r="T87" s="265" t="s">
        <v>8</v>
      </c>
      <c r="X87" s="264"/>
      <c r="Z87" s="264"/>
      <c r="AA87" s="264"/>
      <c r="AB87" s="265" t="str">
        <f>VLOOKUP(功能_33[[#This Row],[User]],SKL放款!A:G,7,FALSE)</f>
        <v>放款服務課</v>
      </c>
      <c r="AC87" s="272">
        <v>44533</v>
      </c>
      <c r="AD87" s="272" t="s">
        <v>107</v>
      </c>
      <c r="AE87" s="272">
        <v>44546</v>
      </c>
      <c r="AF87" s="272">
        <v>44546</v>
      </c>
      <c r="AG87" s="209">
        <v>44550</v>
      </c>
      <c r="AH87" s="272"/>
      <c r="AI87" s="272"/>
      <c r="AJ87" s="322"/>
      <c r="AK87" s="272">
        <f>IFERROR(IF(VLOOKUP(功能_33[[#This Row],[功能代號]],E:U,11,FALSE)=0,"",VLOOKUP(功能_33[[#This Row],[功能代號]],E:U,11,FALSE)),"")</f>
        <v>44447</v>
      </c>
      <c r="AL87" s="272"/>
      <c r="AM87" s="272"/>
      <c r="AN87" s="265"/>
      <c r="AO87" s="211" t="s">
        <v>349</v>
      </c>
      <c r="AP87" s="264" t="s">
        <v>163</v>
      </c>
      <c r="AQ87" s="264" t="s">
        <v>163</v>
      </c>
      <c r="AR87" s="593" t="s">
        <v>3207</v>
      </c>
      <c r="AS87" s="483" t="str">
        <f>IF(COUNTA(AG87)=1,LEFT(D87,3),"")</f>
        <v>6-8</v>
      </c>
      <c r="AT87" s="485" t="str">
        <f>IF(AND(COUNTA(O87)=1,COUNTA(P87)=1,COUNTA(AC87)=1,COUNTA(AF87)=1,COUNTA(AG87)=0),LEFT(D87,3),"")</f>
        <v/>
      </c>
      <c r="AU87" s="487" t="str">
        <f>IF(AND(COUNTA(O87)=1,COUNTA(P87)=1,COUNTA(AC87)=1,COUNTA(AF87)=0,COUNTA(AG87)=0),LEFT(D87,3),"")</f>
        <v/>
      </c>
      <c r="AV87" s="489" t="str">
        <f>IF(AND(COUNTA(P87)=0,COUNTA(AC87)=1),LEFT(D87,3),"")</f>
        <v/>
      </c>
      <c r="AW87" s="491" t="str">
        <f>IF(AND(COUNTA(P87)=1,COUNTA(AC87)=0),LEFT(D87,3),"")</f>
        <v/>
      </c>
      <c r="AX87" s="493" t="str">
        <f>IF(AND(COUNTA(P87)=0,COUNTA(AC87)=0),LEFT(D87,3),"")</f>
        <v/>
      </c>
      <c r="AY87" s="514" t="str">
        <f>IFERROR(VLOOKUP(功能_33[[#This Row],[功能代號]],SIT_FT_2021tmp!D:D,1,FALSE),"")</f>
        <v>L6001</v>
      </c>
      <c r="AZ87" s="587">
        <v>44560</v>
      </c>
      <c r="BA87" s="587">
        <v>44560</v>
      </c>
      <c r="BB87" s="514" t="s">
        <v>3073</v>
      </c>
      <c r="BC87" s="265" t="s">
        <v>3010</v>
      </c>
      <c r="BD87" s="593"/>
      <c r="BE87" s="264" t="str">
        <f>IF(AND(COUNTIF(AY87,"&gt;&lt;0")=1,COUNTA(M87)=1),LEFT(D87,3),"")</f>
        <v>6-8</v>
      </c>
      <c r="BF87" s="264" t="str">
        <f>IF(AND(COUNTIF(AY87,"&gt;&lt;")=1,COUNTA(M87)=0),LEFT(D87,3),"")</f>
        <v/>
      </c>
      <c r="BG87" s="264" t="str">
        <f>IF(AND(COUNTIF(AY87,"&gt;&lt;0")=0,COUNTA(M87)=1),LEFT(D87,3),"")</f>
        <v/>
      </c>
      <c r="BH87" s="264" t="str">
        <f>IF(AND(COUNTIF(AY87,"&gt;&lt;0")=0,COUNTA(M87)=0),LEFT(D87,3),"")</f>
        <v/>
      </c>
    </row>
    <row r="88" spans="2:60" ht="13.5" x14ac:dyDescent="0.3">
      <c r="C88" s="265" t="s">
        <v>68</v>
      </c>
      <c r="D88" s="265" t="s">
        <v>350</v>
      </c>
      <c r="E88" s="264" t="s">
        <v>351</v>
      </c>
      <c r="F88" s="265" t="s">
        <v>352</v>
      </c>
      <c r="G88" s="265"/>
      <c r="H88" s="264" t="s">
        <v>166</v>
      </c>
      <c r="I88" s="264" t="s">
        <v>167</v>
      </c>
      <c r="J88" s="212" t="s">
        <v>2586</v>
      </c>
      <c r="K88" s="212"/>
      <c r="L88" s="272">
        <v>44582</v>
      </c>
      <c r="M88" s="272">
        <v>44578</v>
      </c>
      <c r="N88" s="272">
        <v>44447</v>
      </c>
      <c r="O88" s="272">
        <v>44447</v>
      </c>
      <c r="P88" s="272">
        <v>44523</v>
      </c>
      <c r="Q88" s="264" t="s">
        <v>6</v>
      </c>
      <c r="R88" s="264" t="s">
        <v>13</v>
      </c>
      <c r="S88" s="264" t="s">
        <v>13</v>
      </c>
      <c r="X88" s="264"/>
      <c r="Z88" s="264"/>
      <c r="AA88" s="264"/>
      <c r="AB88" s="265" t="str">
        <f>VLOOKUP(功能_33[[#This Row],[User]],SKL放款!A:G,7,FALSE)</f>
        <v>放款服務課</v>
      </c>
      <c r="AC88" s="272">
        <v>44533</v>
      </c>
      <c r="AD88" s="272">
        <v>44515</v>
      </c>
      <c r="AE88" s="272">
        <v>44516</v>
      </c>
      <c r="AF88" s="272">
        <v>44516</v>
      </c>
      <c r="AG88" s="209">
        <v>44539</v>
      </c>
      <c r="AH88" s="272"/>
      <c r="AI88" s="272"/>
      <c r="AJ88" s="322"/>
      <c r="AK88" s="272">
        <f>IFERROR(IF(VLOOKUP(功能_33[[#This Row],[功能代號]],E:U,11,FALSE)=0,"",VLOOKUP(功能_33[[#This Row],[功能代號]],E:U,11,FALSE)),"")</f>
        <v>44447</v>
      </c>
      <c r="AL88" s="272"/>
      <c r="AM88" s="272"/>
      <c r="AN88" s="265"/>
      <c r="AO88" s="272"/>
      <c r="AP88" s="214" t="s">
        <v>2627</v>
      </c>
      <c r="AQ88" s="264" t="s">
        <v>163</v>
      </c>
      <c r="AR88" s="593" t="s">
        <v>3207</v>
      </c>
      <c r="AS88" s="483" t="str">
        <f>IF(COUNTA(AG88)=1,LEFT(D88,3),"")</f>
        <v>4-4</v>
      </c>
      <c r="AT88" s="485" t="str">
        <f>IF(AND(COUNTA(O88)=1,COUNTA(P88)=1,COUNTA(AC88)=1,COUNTA(AF88)=1,COUNTA(AG88)=0),LEFT(D88,3),"")</f>
        <v/>
      </c>
      <c r="AU88" s="487" t="str">
        <f>IF(AND(COUNTA(O88)=1,COUNTA(P88)=1,COUNTA(AC88)=1,COUNTA(AF88)=0,COUNTA(AG88)=0),LEFT(D88,3),"")</f>
        <v/>
      </c>
      <c r="AV88" s="489" t="str">
        <f>IF(AND(COUNTA(P88)=0,COUNTA(AC88)=1),LEFT(D88,3),"")</f>
        <v/>
      </c>
      <c r="AW88" s="491" t="str">
        <f>IF(AND(COUNTA(P88)=1,COUNTA(AC88)=0),LEFT(D88,3),"")</f>
        <v/>
      </c>
      <c r="AX88" s="493" t="str">
        <f>IF(AND(COUNTA(P88)=0,COUNTA(AC88)=0),LEFT(D88,3),"")</f>
        <v/>
      </c>
      <c r="AY88" s="514" t="str">
        <f>IFERROR(VLOOKUP(功能_33[[#This Row],[功能代號]],SIT_FT_2021tmp!D:D,1,FALSE),"")</f>
        <v>L4042</v>
      </c>
      <c r="AZ88" s="587">
        <v>44519</v>
      </c>
      <c r="BA88" s="587">
        <v>44519</v>
      </c>
      <c r="BB88" s="514" t="s">
        <v>3000</v>
      </c>
      <c r="BC88" s="265" t="s">
        <v>3023</v>
      </c>
      <c r="BD88" s="593"/>
      <c r="BE88" s="264" t="str">
        <f>IF(AND(COUNTIF(AY88,"&gt;&lt;0")=1,COUNTA(M88)=1),LEFT(D88,3),"")</f>
        <v>4-4</v>
      </c>
      <c r="BF88" s="264" t="str">
        <f>IF(AND(COUNTIF(AY88,"&gt;&lt;")=1,COUNTA(M88)=0),LEFT(D88,3),"")</f>
        <v/>
      </c>
      <c r="BG88" s="264" t="str">
        <f>IF(AND(COUNTIF(AY88,"&gt;&lt;0")=0,COUNTA(M88)=1),LEFT(D88,3),"")</f>
        <v/>
      </c>
      <c r="BH88" s="264" t="str">
        <f>IF(AND(COUNTIF(AY88,"&gt;&lt;0")=0,COUNTA(M88)=0),LEFT(D88,3),"")</f>
        <v/>
      </c>
    </row>
    <row r="89" spans="2:60" ht="27" x14ac:dyDescent="0.3">
      <c r="C89" s="265" t="s">
        <v>68</v>
      </c>
      <c r="D89" s="265" t="s">
        <v>350</v>
      </c>
      <c r="E89" s="264" t="s">
        <v>353</v>
      </c>
      <c r="F89" s="265" t="s">
        <v>354</v>
      </c>
      <c r="G89" s="265"/>
      <c r="H89" s="264" t="s">
        <v>166</v>
      </c>
      <c r="I89" s="264" t="s">
        <v>167</v>
      </c>
      <c r="J89" s="212" t="s">
        <v>2586</v>
      </c>
      <c r="K89" s="212"/>
      <c r="L89" s="272">
        <v>44585</v>
      </c>
      <c r="M89" s="272">
        <v>44578</v>
      </c>
      <c r="N89" s="272">
        <v>44447</v>
      </c>
      <c r="O89" s="272">
        <v>44447</v>
      </c>
      <c r="P89" s="272">
        <v>44523</v>
      </c>
      <c r="Q89" s="264" t="s">
        <v>6</v>
      </c>
      <c r="R89" s="264" t="s">
        <v>13</v>
      </c>
      <c r="S89" s="264" t="s">
        <v>13</v>
      </c>
      <c r="X89" s="264"/>
      <c r="Z89" s="264"/>
      <c r="AA89" s="264"/>
      <c r="AB89" s="265" t="str">
        <f>VLOOKUP(功能_33[[#This Row],[User]],SKL放款!A:G,7,FALSE)</f>
        <v>放款服務課</v>
      </c>
      <c r="AC89" s="272">
        <v>44533</v>
      </c>
      <c r="AD89" s="272">
        <v>44515</v>
      </c>
      <c r="AE89" s="272">
        <v>44516</v>
      </c>
      <c r="AF89" s="272">
        <v>44516</v>
      </c>
      <c r="AG89" s="209">
        <v>44539</v>
      </c>
      <c r="AH89" s="272"/>
      <c r="AI89" s="272"/>
      <c r="AJ89" s="322"/>
      <c r="AK89" s="272">
        <f>IFERROR(IF(VLOOKUP(功能_33[[#This Row],[功能代號]],E:U,11,FALSE)=0,"",VLOOKUP(功能_33[[#This Row],[功能代號]],E:U,11,FALSE)),"")</f>
        <v>44447</v>
      </c>
      <c r="AL89" s="272"/>
      <c r="AM89" s="272"/>
      <c r="AN89" s="265"/>
      <c r="AO89" s="272"/>
      <c r="AP89" s="515" t="s">
        <v>2662</v>
      </c>
      <c r="AQ89" s="206" t="s">
        <v>2663</v>
      </c>
      <c r="AR89" s="593" t="s">
        <v>3207</v>
      </c>
      <c r="AS89" s="483" t="str">
        <f>IF(COUNTA(AG89)=1,LEFT(D89,3),"")</f>
        <v>4-4</v>
      </c>
      <c r="AT89" s="485" t="str">
        <f>IF(AND(COUNTA(O89)=1,COUNTA(P89)=1,COUNTA(AC89)=1,COUNTA(AF89)=1,COUNTA(AG89)=0),LEFT(D89,3),"")</f>
        <v/>
      </c>
      <c r="AU89" s="487" t="str">
        <f>IF(AND(COUNTA(O89)=1,COUNTA(P89)=1,COUNTA(AC89)=1,COUNTA(AF89)=0,COUNTA(AG89)=0),LEFT(D89,3),"")</f>
        <v/>
      </c>
      <c r="AV89" s="489" t="str">
        <f>IF(AND(COUNTA(P89)=0,COUNTA(AC89)=1),LEFT(D89,3),"")</f>
        <v/>
      </c>
      <c r="AW89" s="491" t="str">
        <f>IF(AND(COUNTA(P89)=1,COUNTA(AC89)=0),LEFT(D89,3),"")</f>
        <v/>
      </c>
      <c r="AX89" s="493" t="str">
        <f>IF(AND(COUNTA(P89)=0,COUNTA(AC89)=0),LEFT(D89,3),"")</f>
        <v/>
      </c>
      <c r="AY89" s="514" t="str">
        <f>IFERROR(VLOOKUP(功能_33[[#This Row],[功能代號]],SIT_FT_2021tmp!D:D,1,FALSE),"")</f>
        <v>L4410</v>
      </c>
      <c r="AZ89" s="587">
        <v>44519</v>
      </c>
      <c r="BA89" s="587">
        <v>44519</v>
      </c>
      <c r="BB89" s="514" t="s">
        <v>3000</v>
      </c>
      <c r="BC89" s="265" t="s">
        <v>3023</v>
      </c>
      <c r="BD89" s="593"/>
      <c r="BE89" s="264" t="str">
        <f>IF(AND(COUNTIF(AY89,"&gt;&lt;0")=1,COUNTA(M89)=1),LEFT(D89,3),"")</f>
        <v>4-4</v>
      </c>
      <c r="BF89" s="264" t="str">
        <f>IF(AND(COUNTIF(AY89,"&gt;&lt;")=1,COUNTA(M89)=0),LEFT(D89,3),"")</f>
        <v/>
      </c>
      <c r="BG89" s="264" t="str">
        <f>IF(AND(COUNTIF(AY89,"&gt;&lt;0")=0,COUNTA(M89)=1),LEFT(D89,3),"")</f>
        <v/>
      </c>
      <c r="BH89" s="264" t="str">
        <f>IF(AND(COUNTIF(AY89,"&gt;&lt;0")=0,COUNTA(M89)=0),LEFT(D89,3),"")</f>
        <v/>
      </c>
    </row>
    <row r="90" spans="2:60" ht="40.5" x14ac:dyDescent="0.3">
      <c r="C90" s="265" t="s">
        <v>68</v>
      </c>
      <c r="D90" s="265" t="s">
        <v>350</v>
      </c>
      <c r="E90" s="264" t="s">
        <v>355</v>
      </c>
      <c r="F90" s="265" t="s">
        <v>356</v>
      </c>
      <c r="G90" s="265"/>
      <c r="H90" s="264" t="s">
        <v>166</v>
      </c>
      <c r="I90" s="264" t="s">
        <v>167</v>
      </c>
      <c r="J90" s="212" t="s">
        <v>2586</v>
      </c>
      <c r="K90" s="212"/>
      <c r="L90" s="272">
        <v>44585</v>
      </c>
      <c r="M90" s="272">
        <v>44578</v>
      </c>
      <c r="N90" s="272">
        <v>44447</v>
      </c>
      <c r="O90" s="272">
        <v>44447</v>
      </c>
      <c r="P90" s="272">
        <v>44523</v>
      </c>
      <c r="Q90" s="264" t="s">
        <v>6</v>
      </c>
      <c r="R90" s="264" t="s">
        <v>13</v>
      </c>
      <c r="S90" s="264" t="s">
        <v>13</v>
      </c>
      <c r="X90" s="264"/>
      <c r="Z90" s="264"/>
      <c r="AA90" s="264"/>
      <c r="AB90" s="265" t="str">
        <f>VLOOKUP(功能_33[[#This Row],[User]],SKL放款!A:G,7,FALSE)</f>
        <v>放款服務課</v>
      </c>
      <c r="AC90" s="272">
        <v>44533</v>
      </c>
      <c r="AD90" s="272" t="s">
        <v>168</v>
      </c>
      <c r="AE90" s="272">
        <v>44516</v>
      </c>
      <c r="AF90" s="272">
        <v>44516</v>
      </c>
      <c r="AG90" s="209">
        <v>44539</v>
      </c>
      <c r="AH90" s="272"/>
      <c r="AI90" s="272"/>
      <c r="AJ90" s="322"/>
      <c r="AK90" s="272">
        <f>IFERROR(IF(VLOOKUP(功能_33[[#This Row],[功能代號]],E:U,11,FALSE)=0,"",VLOOKUP(功能_33[[#This Row],[功能代號]],E:U,11,FALSE)),"")</f>
        <v>44447</v>
      </c>
      <c r="AL90" s="272"/>
      <c r="AM90" s="272"/>
      <c r="AN90" s="265"/>
      <c r="AO90" s="272"/>
      <c r="AP90" s="515" t="s">
        <v>2665</v>
      </c>
      <c r="AQ90" s="206" t="s">
        <v>2664</v>
      </c>
      <c r="AR90" s="593" t="s">
        <v>3207</v>
      </c>
      <c r="AS90" s="483" t="str">
        <f>IF(COUNTA(AG90)=1,LEFT(D90,3),"")</f>
        <v>4-4</v>
      </c>
      <c r="AT90" s="485" t="str">
        <f>IF(AND(COUNTA(O90)=1,COUNTA(P90)=1,COUNTA(AC90)=1,COUNTA(AF90)=1,COUNTA(AG90)=0),LEFT(D90,3),"")</f>
        <v/>
      </c>
      <c r="AU90" s="487" t="str">
        <f>IF(AND(COUNTA(O90)=1,COUNTA(P90)=1,COUNTA(AC90)=1,COUNTA(AF90)=0,COUNTA(AG90)=0),LEFT(D90,3),"")</f>
        <v/>
      </c>
      <c r="AV90" s="489" t="str">
        <f>IF(AND(COUNTA(P90)=0,COUNTA(AC90)=1),LEFT(D90,3),"")</f>
        <v/>
      </c>
      <c r="AW90" s="491" t="str">
        <f>IF(AND(COUNTA(P90)=1,COUNTA(AC90)=0),LEFT(D90,3),"")</f>
        <v/>
      </c>
      <c r="AX90" s="493" t="str">
        <f>IF(AND(COUNTA(P90)=0,COUNTA(AC90)=0),LEFT(D90,3),"")</f>
        <v/>
      </c>
      <c r="AY90" s="514" t="str">
        <f>IFERROR(VLOOKUP(功能_33[[#This Row],[功能代號]],SIT_FT_2021tmp!D:D,1,FALSE),"")</f>
        <v>L4040</v>
      </c>
      <c r="AZ90" s="587">
        <v>44519</v>
      </c>
      <c r="BA90" s="587">
        <v>44519</v>
      </c>
      <c r="BB90" s="514" t="s">
        <v>3000</v>
      </c>
      <c r="BC90" s="265" t="s">
        <v>3023</v>
      </c>
      <c r="BD90" s="593"/>
      <c r="BE90" s="264" t="str">
        <f>IF(AND(COUNTIF(AY90,"&gt;&lt;0")=1,COUNTA(M90)=1),LEFT(D90,3),"")</f>
        <v>4-4</v>
      </c>
      <c r="BF90" s="264" t="str">
        <f>IF(AND(COUNTIF(AY90,"&gt;&lt;")=1,COUNTA(M90)=0),LEFT(D90,3),"")</f>
        <v/>
      </c>
      <c r="BG90" s="264" t="str">
        <f>IF(AND(COUNTIF(AY90,"&gt;&lt;0")=0,COUNTA(M90)=1),LEFT(D90,3),"")</f>
        <v/>
      </c>
      <c r="BH90" s="264" t="str">
        <f>IF(AND(COUNTIF(AY90,"&gt;&lt;0")=0,COUNTA(M90)=0),LEFT(D90,3),"")</f>
        <v/>
      </c>
    </row>
    <row r="91" spans="2:60" ht="27" x14ac:dyDescent="0.3">
      <c r="C91" s="265" t="s">
        <v>68</v>
      </c>
      <c r="D91" s="265" t="s">
        <v>350</v>
      </c>
      <c r="E91" s="264" t="s">
        <v>357</v>
      </c>
      <c r="F91" s="265" t="s">
        <v>358</v>
      </c>
      <c r="G91" s="265"/>
      <c r="H91" s="264" t="s">
        <v>166</v>
      </c>
      <c r="I91" s="264" t="s">
        <v>167</v>
      </c>
      <c r="J91" s="212" t="s">
        <v>2586</v>
      </c>
      <c r="K91" s="212"/>
      <c r="L91" s="272">
        <v>44585</v>
      </c>
      <c r="M91" s="272">
        <v>44578</v>
      </c>
      <c r="N91" s="272">
        <v>44447</v>
      </c>
      <c r="O91" s="272">
        <v>44447</v>
      </c>
      <c r="P91" s="272">
        <v>44523</v>
      </c>
      <c r="Q91" s="264" t="s">
        <v>6</v>
      </c>
      <c r="R91" s="264" t="s">
        <v>14</v>
      </c>
      <c r="S91" s="663" t="s">
        <v>13</v>
      </c>
      <c r="T91" s="265" t="s">
        <v>13</v>
      </c>
      <c r="X91" s="264"/>
      <c r="Z91" s="264"/>
      <c r="AA91" s="264"/>
      <c r="AB91" s="265" t="str">
        <f>VLOOKUP(功能_33[[#This Row],[User]],SKL放款!A:G,7,FALSE)</f>
        <v>放款服務課</v>
      </c>
      <c r="AC91" s="272">
        <v>44533</v>
      </c>
      <c r="AD91" s="272" t="s">
        <v>168</v>
      </c>
      <c r="AE91" s="272">
        <v>44516</v>
      </c>
      <c r="AF91" s="272">
        <v>44516</v>
      </c>
      <c r="AG91" s="209">
        <v>44539</v>
      </c>
      <c r="AH91" s="272"/>
      <c r="AI91" s="272"/>
      <c r="AJ91" s="322"/>
      <c r="AK91" s="272">
        <f>IFERROR(IF(VLOOKUP(功能_33[[#This Row],[功能代號]],E:U,11,FALSE)=0,"",VLOOKUP(功能_33[[#This Row],[功能代號]],E:U,11,FALSE)),"")</f>
        <v>44447</v>
      </c>
      <c r="AL91" s="272"/>
      <c r="AM91" s="272"/>
      <c r="AN91" s="265"/>
      <c r="AO91" s="272"/>
      <c r="AP91" s="515" t="s">
        <v>2671</v>
      </c>
      <c r="AQ91" s="206" t="s">
        <v>2670</v>
      </c>
      <c r="AR91" s="593" t="s">
        <v>3207</v>
      </c>
      <c r="AS91" s="483" t="str">
        <f>IF(COUNTA(AG91)=1,LEFT(D91,3),"")</f>
        <v>4-4</v>
      </c>
      <c r="AT91" s="485" t="str">
        <f>IF(AND(COUNTA(O91)=1,COUNTA(P91)=1,COUNTA(AC91)=1,COUNTA(AF91)=1,COUNTA(AG91)=0),LEFT(D91,3),"")</f>
        <v/>
      </c>
      <c r="AU91" s="487" t="str">
        <f>IF(AND(COUNTA(O91)=1,COUNTA(P91)=1,COUNTA(AC91)=1,COUNTA(AF91)=0,COUNTA(AG91)=0),LEFT(D91,3),"")</f>
        <v/>
      </c>
      <c r="AV91" s="489" t="str">
        <f>IF(AND(COUNTA(P91)=0,COUNTA(AC91)=1),LEFT(D91,3),"")</f>
        <v/>
      </c>
      <c r="AW91" s="491" t="str">
        <f>IF(AND(COUNTA(P91)=1,COUNTA(AC91)=0),LEFT(D91,3),"")</f>
        <v/>
      </c>
      <c r="AX91" s="493" t="str">
        <f>IF(AND(COUNTA(P91)=0,COUNTA(AC91)=0),LEFT(D91,3),"")</f>
        <v/>
      </c>
      <c r="AY91" s="514" t="str">
        <f>IFERROR(VLOOKUP(功能_33[[#This Row],[功能代號]],SIT_FT_2021tmp!D:D,1,FALSE),"")</f>
        <v>L4414</v>
      </c>
      <c r="AZ91" s="587">
        <v>44529</v>
      </c>
      <c r="BA91" s="587">
        <v>44529</v>
      </c>
      <c r="BB91" s="514" t="s">
        <v>3000</v>
      </c>
      <c r="BC91" s="265" t="s">
        <v>3024</v>
      </c>
      <c r="BD91" s="593"/>
      <c r="BE91" s="264" t="str">
        <f>IF(AND(COUNTIF(AY91,"&gt;&lt;0")=1,COUNTA(M91)=1),LEFT(D91,3),"")</f>
        <v>4-4</v>
      </c>
      <c r="BF91" s="264" t="str">
        <f>IF(AND(COUNTIF(AY91,"&gt;&lt;")=1,COUNTA(M91)=0),LEFT(D91,3),"")</f>
        <v/>
      </c>
      <c r="BG91" s="264" t="str">
        <f>IF(AND(COUNTIF(AY91,"&gt;&lt;0")=0,COUNTA(M91)=1),LEFT(D91,3),"")</f>
        <v/>
      </c>
      <c r="BH91" s="264" t="str">
        <f>IF(AND(COUNTIF(AY91,"&gt;&lt;0")=0,COUNTA(M91)=0),LEFT(D91,3),"")</f>
        <v/>
      </c>
    </row>
    <row r="92" spans="2:60" ht="13.5" x14ac:dyDescent="0.3">
      <c r="C92" s="265" t="s">
        <v>68</v>
      </c>
      <c r="D92" s="265" t="s">
        <v>350</v>
      </c>
      <c r="E92" s="264" t="s">
        <v>359</v>
      </c>
      <c r="F92" s="265" t="s">
        <v>360</v>
      </c>
      <c r="G92" s="265"/>
      <c r="H92" s="264" t="s">
        <v>166</v>
      </c>
      <c r="I92" s="264" t="s">
        <v>167</v>
      </c>
      <c r="J92" s="212" t="s">
        <v>2586</v>
      </c>
      <c r="K92" s="212"/>
      <c r="L92" s="272">
        <v>44585</v>
      </c>
      <c r="M92" s="272">
        <v>44578</v>
      </c>
      <c r="N92" s="272">
        <v>44447</v>
      </c>
      <c r="O92" s="272">
        <v>44447</v>
      </c>
      <c r="P92" s="272">
        <v>44523</v>
      </c>
      <c r="Q92" s="264" t="s">
        <v>6</v>
      </c>
      <c r="R92" s="264" t="s">
        <v>13</v>
      </c>
      <c r="S92" s="264" t="s">
        <v>13</v>
      </c>
      <c r="X92" s="264"/>
      <c r="Z92" s="264"/>
      <c r="AA92" s="264"/>
      <c r="AB92" s="265" t="str">
        <f>VLOOKUP(功能_33[[#This Row],[User]],SKL放款!A:G,7,FALSE)</f>
        <v>放款服務課</v>
      </c>
      <c r="AC92" s="272">
        <v>44533</v>
      </c>
      <c r="AD92" s="272">
        <v>44515</v>
      </c>
      <c r="AE92" s="272">
        <v>44516</v>
      </c>
      <c r="AF92" s="272">
        <v>44516</v>
      </c>
      <c r="AG92" s="209">
        <v>44539</v>
      </c>
      <c r="AH92" s="272"/>
      <c r="AI92" s="272"/>
      <c r="AJ92" s="322"/>
      <c r="AK92" s="272">
        <f>IFERROR(IF(VLOOKUP(功能_33[[#This Row],[功能代號]],E:U,11,FALSE)=0,"",VLOOKUP(功能_33[[#This Row],[功能代號]],E:U,11,FALSE)),"")</f>
        <v>44447</v>
      </c>
      <c r="AL92" s="272"/>
      <c r="AM92" s="272"/>
      <c r="AN92" s="265"/>
      <c r="AO92" s="272"/>
      <c r="AP92" s="214" t="s">
        <v>2627</v>
      </c>
      <c r="AQ92" s="264" t="s">
        <v>163</v>
      </c>
      <c r="AR92" s="593" t="s">
        <v>3207</v>
      </c>
      <c r="AS92" s="483" t="str">
        <f>IF(COUNTA(AG92)=1,LEFT(D92,3),"")</f>
        <v>4-4</v>
      </c>
      <c r="AT92" s="485" t="str">
        <f>IF(AND(COUNTA(O92)=1,COUNTA(P92)=1,COUNTA(AC92)=1,COUNTA(AF92)=1,COUNTA(AG92)=0),LEFT(D92,3),"")</f>
        <v/>
      </c>
      <c r="AU92" s="487" t="str">
        <f>IF(AND(COUNTA(O92)=1,COUNTA(P92)=1,COUNTA(AC92)=1,COUNTA(AF92)=0,COUNTA(AG92)=0),LEFT(D92,3),"")</f>
        <v/>
      </c>
      <c r="AV92" s="489" t="str">
        <f>IF(AND(COUNTA(P92)=0,COUNTA(AC92)=1),LEFT(D92,3),"")</f>
        <v/>
      </c>
      <c r="AW92" s="491" t="str">
        <f>IF(AND(COUNTA(P92)=1,COUNTA(AC92)=0),LEFT(D92,3),"")</f>
        <v/>
      </c>
      <c r="AX92" s="493" t="str">
        <f>IF(AND(COUNTA(P92)=0,COUNTA(AC92)=0),LEFT(D92,3),"")</f>
        <v/>
      </c>
      <c r="AY92" s="514" t="str">
        <f>IFERROR(VLOOKUP(功能_33[[#This Row],[功能代號]],SIT_FT_2021tmp!D:D,1,FALSE),"")</f>
        <v>L4940</v>
      </c>
      <c r="AZ92" s="587">
        <v>44519</v>
      </c>
      <c r="BA92" s="587">
        <v>44519</v>
      </c>
      <c r="BB92" s="514" t="s">
        <v>3000</v>
      </c>
      <c r="BC92" s="265" t="s">
        <v>3023</v>
      </c>
      <c r="BD92" s="593"/>
      <c r="BE92" s="264" t="str">
        <f>IF(AND(COUNTIF(AY92,"&gt;&lt;0")=1,COUNTA(M92)=1),LEFT(D92,3),"")</f>
        <v>4-4</v>
      </c>
      <c r="BF92" s="264" t="str">
        <f>IF(AND(COUNTIF(AY92,"&gt;&lt;")=1,COUNTA(M92)=0),LEFT(D92,3),"")</f>
        <v/>
      </c>
      <c r="BG92" s="264" t="str">
        <f>IF(AND(COUNTIF(AY92,"&gt;&lt;0")=0,COUNTA(M92)=1),LEFT(D92,3),"")</f>
        <v/>
      </c>
      <c r="BH92" s="264" t="str">
        <f>IF(AND(COUNTIF(AY92,"&gt;&lt;0")=0,COUNTA(M92)=0),LEFT(D92,3),"")</f>
        <v/>
      </c>
    </row>
    <row r="93" spans="2:60" ht="13.5" x14ac:dyDescent="0.3">
      <c r="C93" s="265" t="s">
        <v>68</v>
      </c>
      <c r="D93" s="265" t="s">
        <v>350</v>
      </c>
      <c r="E93" s="264" t="s">
        <v>361</v>
      </c>
      <c r="F93" s="265" t="s">
        <v>362</v>
      </c>
      <c r="G93" s="265"/>
      <c r="H93" s="264" t="s">
        <v>166</v>
      </c>
      <c r="I93" s="264" t="s">
        <v>167</v>
      </c>
      <c r="J93" s="212" t="s">
        <v>2586</v>
      </c>
      <c r="K93" s="212"/>
      <c r="L93" s="272">
        <v>44586</v>
      </c>
      <c r="M93" s="272">
        <v>44578</v>
      </c>
      <c r="N93" s="272">
        <v>44447</v>
      </c>
      <c r="O93" s="272">
        <v>44447</v>
      </c>
      <c r="P93" s="272">
        <v>44523</v>
      </c>
      <c r="Q93" s="264" t="s">
        <v>6</v>
      </c>
      <c r="R93" s="264" t="s">
        <v>13</v>
      </c>
      <c r="S93" s="264" t="s">
        <v>13</v>
      </c>
      <c r="X93" s="264"/>
      <c r="Z93" s="264"/>
      <c r="AA93" s="264"/>
      <c r="AB93" s="265" t="str">
        <f>VLOOKUP(功能_33[[#This Row],[User]],SKL放款!A:G,7,FALSE)</f>
        <v>放款服務課</v>
      </c>
      <c r="AC93" s="272">
        <v>44533</v>
      </c>
      <c r="AD93" s="272">
        <v>44515</v>
      </c>
      <c r="AE93" s="272">
        <v>44516</v>
      </c>
      <c r="AF93" s="272">
        <v>44516</v>
      </c>
      <c r="AG93" s="209">
        <v>44539</v>
      </c>
      <c r="AH93" s="272"/>
      <c r="AI93" s="272"/>
      <c r="AJ93" s="322"/>
      <c r="AK93" s="272">
        <f>IFERROR(IF(VLOOKUP(功能_33[[#This Row],[功能代號]],E:U,11,FALSE)=0,"",VLOOKUP(功能_33[[#This Row],[功能代號]],E:U,11,FALSE)),"")</f>
        <v>44447</v>
      </c>
      <c r="AL93" s="272"/>
      <c r="AM93" s="272"/>
      <c r="AN93" s="265"/>
      <c r="AO93" s="272"/>
      <c r="AP93" s="214" t="s">
        <v>2627</v>
      </c>
      <c r="AQ93" s="264" t="s">
        <v>163</v>
      </c>
      <c r="AR93" s="593" t="s">
        <v>3207</v>
      </c>
      <c r="AS93" s="483" t="str">
        <f>IF(COUNTA(AG93)=1,LEFT(D93,3),"")</f>
        <v>4-4</v>
      </c>
      <c r="AT93" s="485" t="str">
        <f>IF(AND(COUNTA(O93)=1,COUNTA(P93)=1,COUNTA(AC93)=1,COUNTA(AF93)=1,COUNTA(AG93)=0),LEFT(D93,3),"")</f>
        <v/>
      </c>
      <c r="AU93" s="487" t="str">
        <f>IF(AND(COUNTA(O93)=1,COUNTA(P93)=1,COUNTA(AC93)=1,COUNTA(AF93)=0,COUNTA(AG93)=0),LEFT(D93,3),"")</f>
        <v/>
      </c>
      <c r="AV93" s="489" t="str">
        <f>IF(AND(COUNTA(P93)=0,COUNTA(AC93)=1),LEFT(D93,3),"")</f>
        <v/>
      </c>
      <c r="AW93" s="491" t="str">
        <f>IF(AND(COUNTA(P93)=1,COUNTA(AC93)=0),LEFT(D93,3),"")</f>
        <v/>
      </c>
      <c r="AX93" s="493" t="str">
        <f>IF(AND(COUNTA(P93)=0,COUNTA(AC93)=0),LEFT(D93,3),"")</f>
        <v/>
      </c>
      <c r="AY93" s="514" t="str">
        <f>IFERROR(VLOOKUP(功能_33[[#This Row],[功能代號]],SIT_FT_2021tmp!D:D,1,FALSE),"")</f>
        <v>L4941</v>
      </c>
      <c r="AZ93" s="587">
        <v>44519</v>
      </c>
      <c r="BA93" s="587">
        <v>44519</v>
      </c>
      <c r="BB93" s="514" t="s">
        <v>3000</v>
      </c>
      <c r="BC93" s="265" t="s">
        <v>3023</v>
      </c>
      <c r="BD93" s="593"/>
      <c r="BE93" s="264" t="str">
        <f>IF(AND(COUNTIF(AY93,"&gt;&lt;0")=1,COUNTA(M93)=1),LEFT(D93,3),"")</f>
        <v>4-4</v>
      </c>
      <c r="BF93" s="264" t="str">
        <f>IF(AND(COUNTIF(AY93,"&gt;&lt;")=1,COUNTA(M93)=0),LEFT(D93,3),"")</f>
        <v/>
      </c>
      <c r="BG93" s="264" t="str">
        <f>IF(AND(COUNTIF(AY93,"&gt;&lt;0")=0,COUNTA(M93)=1),LEFT(D93,3),"")</f>
        <v/>
      </c>
      <c r="BH93" s="264" t="str">
        <f>IF(AND(COUNTIF(AY93,"&gt;&lt;0")=0,COUNTA(M93)=0),LEFT(D93,3),"")</f>
        <v/>
      </c>
    </row>
    <row r="94" spans="2:60" ht="13.5" x14ac:dyDescent="0.3">
      <c r="C94" s="265" t="s">
        <v>68</v>
      </c>
      <c r="D94" s="265" t="s">
        <v>350</v>
      </c>
      <c r="E94" s="264" t="s">
        <v>363</v>
      </c>
      <c r="F94" s="265" t="s">
        <v>364</v>
      </c>
      <c r="G94" s="265"/>
      <c r="H94" s="264" t="s">
        <v>166</v>
      </c>
      <c r="I94" s="264" t="s">
        <v>167</v>
      </c>
      <c r="J94" s="212" t="s">
        <v>2586</v>
      </c>
      <c r="K94" s="212"/>
      <c r="L94" s="272">
        <v>44586</v>
      </c>
      <c r="M94" s="272">
        <v>44578</v>
      </c>
      <c r="N94" s="272">
        <v>44448</v>
      </c>
      <c r="O94" s="272">
        <v>44448</v>
      </c>
      <c r="P94" s="272">
        <v>44523</v>
      </c>
      <c r="Q94" s="264" t="s">
        <v>6</v>
      </c>
      <c r="R94" s="264" t="s">
        <v>14</v>
      </c>
      <c r="S94" s="264" t="s">
        <v>14</v>
      </c>
      <c r="X94" s="264"/>
      <c r="Z94" s="264"/>
      <c r="AA94" s="264"/>
      <c r="AB94" s="265" t="str">
        <f>VLOOKUP(功能_33[[#This Row],[User]],SKL放款!A:G,7,FALSE)</f>
        <v>放款服務課</v>
      </c>
      <c r="AC94" s="272">
        <v>44533</v>
      </c>
      <c r="AD94" s="272">
        <v>44515</v>
      </c>
      <c r="AE94" s="272">
        <v>44516</v>
      </c>
      <c r="AF94" s="272">
        <v>44516</v>
      </c>
      <c r="AG94" s="209">
        <v>44539</v>
      </c>
      <c r="AH94" s="272"/>
      <c r="AI94" s="272"/>
      <c r="AJ94" s="322"/>
      <c r="AK94" s="272">
        <f>IFERROR(IF(VLOOKUP(功能_33[[#This Row],[功能代號]],E:U,11,FALSE)=0,"",VLOOKUP(功能_33[[#This Row],[功能代號]],E:U,11,FALSE)),"")</f>
        <v>44448</v>
      </c>
      <c r="AL94" s="272"/>
      <c r="AM94" s="272"/>
      <c r="AN94" s="265"/>
      <c r="AO94" s="272"/>
      <c r="AP94" s="214" t="s">
        <v>2627</v>
      </c>
      <c r="AQ94" s="264" t="s">
        <v>163</v>
      </c>
      <c r="AR94" s="593" t="s">
        <v>3207</v>
      </c>
      <c r="AS94" s="483" t="str">
        <f>IF(COUNTA(AG94)=1,LEFT(D94,3),"")</f>
        <v>4-4</v>
      </c>
      <c r="AT94" s="485" t="str">
        <f>IF(AND(COUNTA(O94)=1,COUNTA(P94)=1,COUNTA(AC94)=1,COUNTA(AF94)=1,COUNTA(AG94)=0),LEFT(D94,3),"")</f>
        <v/>
      </c>
      <c r="AU94" s="487" t="str">
        <f>IF(AND(COUNTA(O94)=1,COUNTA(P94)=1,COUNTA(AC94)=1,COUNTA(AF94)=0,COUNTA(AG94)=0),LEFT(D94,3),"")</f>
        <v/>
      </c>
      <c r="AV94" s="489" t="str">
        <f>IF(AND(COUNTA(P94)=0,COUNTA(AC94)=1),LEFT(D94,3),"")</f>
        <v/>
      </c>
      <c r="AW94" s="491" t="str">
        <f>IF(AND(COUNTA(P94)=1,COUNTA(AC94)=0),LEFT(D94,3),"")</f>
        <v/>
      </c>
      <c r="AX94" s="493" t="str">
        <f>IF(AND(COUNTA(P94)=0,COUNTA(AC94)=0),LEFT(D94,3),"")</f>
        <v/>
      </c>
      <c r="AY94" s="514" t="str">
        <f>IFERROR(VLOOKUP(功能_33[[#This Row],[功能代號]],SIT_FT_2021tmp!D:D,1,FALSE),"")</f>
        <v>L4043</v>
      </c>
      <c r="AZ94" s="587">
        <v>44519</v>
      </c>
      <c r="BA94" s="587">
        <v>44519</v>
      </c>
      <c r="BB94" s="514" t="s">
        <v>3000</v>
      </c>
      <c r="BC94" s="265" t="s">
        <v>3025</v>
      </c>
      <c r="BD94" s="593"/>
      <c r="BE94" s="264" t="str">
        <f>IF(AND(COUNTIF(AY94,"&gt;&lt;0")=1,COUNTA(M94)=1),LEFT(D94,3),"")</f>
        <v>4-4</v>
      </c>
      <c r="BF94" s="264" t="str">
        <f>IF(AND(COUNTIF(AY94,"&gt;&lt;")=1,COUNTA(M94)=0),LEFT(D94,3),"")</f>
        <v/>
      </c>
      <c r="BG94" s="264" t="str">
        <f>IF(AND(COUNTIF(AY94,"&gt;&lt;0")=0,COUNTA(M94)=1),LEFT(D94,3),"")</f>
        <v/>
      </c>
      <c r="BH94" s="264" t="str">
        <f>IF(AND(COUNTIF(AY94,"&gt;&lt;0")=0,COUNTA(M94)=0),LEFT(D94,3),"")</f>
        <v/>
      </c>
    </row>
    <row r="95" spans="2:60" ht="27" x14ac:dyDescent="0.3">
      <c r="C95" s="265" t="s">
        <v>68</v>
      </c>
      <c r="D95" s="265" t="s">
        <v>350</v>
      </c>
      <c r="E95" s="264" t="s">
        <v>365</v>
      </c>
      <c r="F95" s="265" t="s">
        <v>366</v>
      </c>
      <c r="G95" s="265"/>
      <c r="H95" s="264" t="s">
        <v>166</v>
      </c>
      <c r="I95" s="264" t="s">
        <v>167</v>
      </c>
      <c r="J95" s="212" t="s">
        <v>2586</v>
      </c>
      <c r="K95" s="212"/>
      <c r="L95" s="272">
        <v>44586</v>
      </c>
      <c r="M95" s="272">
        <v>44578</v>
      </c>
      <c r="N95" s="272">
        <v>44448</v>
      </c>
      <c r="O95" s="272">
        <v>44448</v>
      </c>
      <c r="P95" s="272">
        <v>44523</v>
      </c>
      <c r="Q95" s="264" t="s">
        <v>6</v>
      </c>
      <c r="R95" s="264" t="s">
        <v>14</v>
      </c>
      <c r="S95" s="264" t="s">
        <v>14</v>
      </c>
      <c r="X95" s="264"/>
      <c r="Z95" s="264"/>
      <c r="AA95" s="264"/>
      <c r="AB95" s="265" t="str">
        <f>VLOOKUP(功能_33[[#This Row],[User]],SKL放款!A:G,7,FALSE)</f>
        <v>放款服務課</v>
      </c>
      <c r="AC95" s="272">
        <v>44533</v>
      </c>
      <c r="AD95" s="272">
        <v>44515</v>
      </c>
      <c r="AE95" s="272">
        <v>44516</v>
      </c>
      <c r="AF95" s="272">
        <v>44516</v>
      </c>
      <c r="AG95" s="209">
        <v>44539</v>
      </c>
      <c r="AH95" s="272"/>
      <c r="AI95" s="272"/>
      <c r="AJ95" s="322"/>
      <c r="AK95" s="272">
        <f>IFERROR(IF(VLOOKUP(功能_33[[#This Row],[功能代號]],E:U,11,FALSE)=0,"",VLOOKUP(功能_33[[#This Row],[功能代號]],E:U,11,FALSE)),"")</f>
        <v>44448</v>
      </c>
      <c r="AL95" s="272"/>
      <c r="AM95" s="272"/>
      <c r="AN95" s="265"/>
      <c r="AO95" s="272"/>
      <c r="AP95" s="515" t="s">
        <v>2666</v>
      </c>
      <c r="AQ95" s="206" t="s">
        <v>2667</v>
      </c>
      <c r="AR95" s="593" t="s">
        <v>3207</v>
      </c>
      <c r="AS95" s="483" t="str">
        <f>IF(COUNTA(AG95)=1,LEFT(D95,3),"")</f>
        <v>4-4</v>
      </c>
      <c r="AT95" s="485" t="str">
        <f>IF(AND(COUNTA(O95)=1,COUNTA(P95)=1,COUNTA(AC95)=1,COUNTA(AF95)=1,COUNTA(AG95)=0),LEFT(D95,3),"")</f>
        <v/>
      </c>
      <c r="AU95" s="487" t="str">
        <f>IF(AND(COUNTA(O95)=1,COUNTA(P95)=1,COUNTA(AC95)=1,COUNTA(AF95)=0,COUNTA(AG95)=0),LEFT(D95,3),"")</f>
        <v/>
      </c>
      <c r="AV95" s="489" t="str">
        <f>IF(AND(COUNTA(P95)=0,COUNTA(AC95)=1),LEFT(D95,3),"")</f>
        <v/>
      </c>
      <c r="AW95" s="491" t="str">
        <f>IF(AND(COUNTA(P95)=1,COUNTA(AC95)=0),LEFT(D95,3),"")</f>
        <v/>
      </c>
      <c r="AX95" s="493" t="str">
        <f>IF(AND(COUNTA(P95)=0,COUNTA(AC95)=0),LEFT(D95,3),"")</f>
        <v/>
      </c>
      <c r="AY95" s="514" t="str">
        <f>IFERROR(VLOOKUP(功能_33[[#This Row],[功能代號]],SIT_FT_2021tmp!D:D,1,FALSE),"")</f>
        <v>L4412</v>
      </c>
      <c r="AZ95" s="587">
        <v>44519</v>
      </c>
      <c r="BA95" s="587">
        <v>44519</v>
      </c>
      <c r="BB95" s="514" t="s">
        <v>3000</v>
      </c>
      <c r="BC95" s="265" t="s">
        <v>3025</v>
      </c>
      <c r="BD95" s="593"/>
      <c r="BE95" s="264" t="str">
        <f>IF(AND(COUNTIF(AY95,"&gt;&lt;0")=1,COUNTA(M95)=1),LEFT(D95,3),"")</f>
        <v>4-4</v>
      </c>
      <c r="BF95" s="264" t="str">
        <f>IF(AND(COUNTIF(AY95,"&gt;&lt;")=1,COUNTA(M95)=0),LEFT(D95,3),"")</f>
        <v/>
      </c>
      <c r="BG95" s="264" t="str">
        <f>IF(AND(COUNTIF(AY95,"&gt;&lt;0")=0,COUNTA(M95)=1),LEFT(D95,3),"")</f>
        <v/>
      </c>
      <c r="BH95" s="264" t="str">
        <f>IF(AND(COUNTIF(AY95,"&gt;&lt;0")=0,COUNTA(M95)=0),LEFT(D95,3),"")</f>
        <v/>
      </c>
    </row>
    <row r="96" spans="2:60" ht="40.5" x14ac:dyDescent="0.3">
      <c r="C96" s="265" t="s">
        <v>68</v>
      </c>
      <c r="D96" s="265" t="s">
        <v>350</v>
      </c>
      <c r="E96" s="264" t="s">
        <v>367</v>
      </c>
      <c r="F96" s="265" t="s">
        <v>368</v>
      </c>
      <c r="G96" s="265"/>
      <c r="H96" s="264" t="s">
        <v>166</v>
      </c>
      <c r="I96" s="264" t="s">
        <v>167</v>
      </c>
      <c r="J96" s="212" t="s">
        <v>2586</v>
      </c>
      <c r="K96" s="212"/>
      <c r="L96" s="272">
        <v>44586</v>
      </c>
      <c r="M96" s="272">
        <v>44579</v>
      </c>
      <c r="N96" s="272">
        <v>44448</v>
      </c>
      <c r="O96" s="272">
        <v>44448</v>
      </c>
      <c r="P96" s="272">
        <v>44523</v>
      </c>
      <c r="Q96" s="264" t="s">
        <v>6</v>
      </c>
      <c r="R96" s="264" t="s">
        <v>14</v>
      </c>
      <c r="S96" s="264" t="s">
        <v>14</v>
      </c>
      <c r="X96" s="264"/>
      <c r="Z96" s="264"/>
      <c r="AA96" s="264"/>
      <c r="AB96" s="265" t="str">
        <f>VLOOKUP(功能_33[[#This Row],[User]],SKL放款!A:G,7,FALSE)</f>
        <v>放款服務課</v>
      </c>
      <c r="AC96" s="272">
        <v>44533</v>
      </c>
      <c r="AD96" s="272" t="s">
        <v>168</v>
      </c>
      <c r="AE96" s="272">
        <v>44516</v>
      </c>
      <c r="AF96" s="272">
        <v>44516</v>
      </c>
      <c r="AG96" s="209">
        <v>44539</v>
      </c>
      <c r="AH96" s="272"/>
      <c r="AI96" s="272"/>
      <c r="AJ96" s="322"/>
      <c r="AK96" s="272">
        <f>IFERROR(IF(VLOOKUP(功能_33[[#This Row],[功能代號]],E:U,11,FALSE)=0,"",VLOOKUP(功能_33[[#This Row],[功能代號]],E:U,11,FALSE)),"")</f>
        <v>44448</v>
      </c>
      <c r="AL96" s="272"/>
      <c r="AM96" s="272"/>
      <c r="AN96" s="265"/>
      <c r="AO96" s="272"/>
      <c r="AP96" s="515" t="s">
        <v>2669</v>
      </c>
      <c r="AQ96" s="206" t="s">
        <v>2668</v>
      </c>
      <c r="AR96" s="593" t="s">
        <v>3207</v>
      </c>
      <c r="AS96" s="483" t="str">
        <f>IF(COUNTA(AG96)=1,LEFT(D96,3),"")</f>
        <v>4-4</v>
      </c>
      <c r="AT96" s="485" t="str">
        <f>IF(AND(COUNTA(O96)=1,COUNTA(P96)=1,COUNTA(AC96)=1,COUNTA(AF96)=1,COUNTA(AG96)=0),LEFT(D96,3),"")</f>
        <v/>
      </c>
      <c r="AU96" s="487" t="str">
        <f>IF(AND(COUNTA(O96)=1,COUNTA(P96)=1,COUNTA(AC96)=1,COUNTA(AF96)=0,COUNTA(AG96)=0),LEFT(D96,3),"")</f>
        <v/>
      </c>
      <c r="AV96" s="489" t="str">
        <f>IF(AND(COUNTA(P96)=0,COUNTA(AC96)=1),LEFT(D96,3),"")</f>
        <v/>
      </c>
      <c r="AW96" s="491" t="str">
        <f>IF(AND(COUNTA(P96)=1,COUNTA(AC96)=0),LEFT(D96,3),"")</f>
        <v/>
      </c>
      <c r="AX96" s="493" t="str">
        <f>IF(AND(COUNTA(P96)=0,COUNTA(AC96)=0),LEFT(D96,3),"")</f>
        <v/>
      </c>
      <c r="AY96" s="514" t="str">
        <f>IFERROR(VLOOKUP(功能_33[[#This Row],[功能代號]],SIT_FT_2021tmp!D:D,1,FALSE),"")</f>
        <v>L4041</v>
      </c>
      <c r="AZ96" s="587">
        <v>44519</v>
      </c>
      <c r="BA96" s="587">
        <v>44519</v>
      </c>
      <c r="BB96" s="514" t="s">
        <v>3000</v>
      </c>
      <c r="BC96" s="265" t="s">
        <v>3025</v>
      </c>
      <c r="BD96" s="593"/>
      <c r="BE96" s="264" t="str">
        <f>IF(AND(COUNTIF(AY96,"&gt;&lt;0")=1,COUNTA(M96)=1),LEFT(D96,3),"")</f>
        <v>4-4</v>
      </c>
      <c r="BF96" s="264" t="str">
        <f>IF(AND(COUNTIF(AY96,"&gt;&lt;")=1,COUNTA(M96)=0),LEFT(D96,3),"")</f>
        <v/>
      </c>
      <c r="BG96" s="264" t="str">
        <f>IF(AND(COUNTIF(AY96,"&gt;&lt;0")=0,COUNTA(M96)=1),LEFT(D96,3),"")</f>
        <v/>
      </c>
      <c r="BH96" s="264" t="str">
        <f>IF(AND(COUNTIF(AY96,"&gt;&lt;0")=0,COUNTA(M96)=0),LEFT(D96,3),"")</f>
        <v/>
      </c>
    </row>
    <row r="97" spans="1:60" ht="13.5" x14ac:dyDescent="0.3">
      <c r="C97" s="265" t="s">
        <v>68</v>
      </c>
      <c r="D97" s="265" t="s">
        <v>350</v>
      </c>
      <c r="E97" s="264" t="s">
        <v>369</v>
      </c>
      <c r="F97" s="265" t="s">
        <v>370</v>
      </c>
      <c r="G97" s="265"/>
      <c r="H97" s="264" t="s">
        <v>166</v>
      </c>
      <c r="I97" s="264" t="s">
        <v>167</v>
      </c>
      <c r="J97" s="212" t="s">
        <v>3242</v>
      </c>
      <c r="K97" s="212"/>
      <c r="L97" s="272">
        <v>44587</v>
      </c>
      <c r="M97" s="272">
        <v>44579</v>
      </c>
      <c r="N97" s="272">
        <v>44448</v>
      </c>
      <c r="O97" s="272">
        <v>44448</v>
      </c>
      <c r="P97" s="272">
        <v>44523</v>
      </c>
      <c r="Q97" s="264" t="s">
        <v>6</v>
      </c>
      <c r="R97" s="264" t="s">
        <v>14</v>
      </c>
      <c r="S97" s="264" t="s">
        <v>14</v>
      </c>
      <c r="X97" s="264"/>
      <c r="Z97" s="264"/>
      <c r="AA97" s="264"/>
      <c r="AB97" s="265" t="str">
        <f>VLOOKUP(功能_33[[#This Row],[User]],SKL放款!A:G,7,FALSE)</f>
        <v>放款服務課</v>
      </c>
      <c r="AC97" s="272">
        <v>44533</v>
      </c>
      <c r="AD97" s="272" t="s">
        <v>168</v>
      </c>
      <c r="AE97" s="272">
        <v>44516</v>
      </c>
      <c r="AF97" s="272">
        <v>44516</v>
      </c>
      <c r="AG97" s="209" t="s">
        <v>3243</v>
      </c>
      <c r="AH97" s="272"/>
      <c r="AI97" s="272"/>
      <c r="AJ97" s="322"/>
      <c r="AK97" s="272">
        <f>IFERROR(IF(VLOOKUP(功能_33[[#This Row],[功能代號]],E:U,11,FALSE)=0,"",VLOOKUP(功能_33[[#This Row],[功能代號]],E:U,11,FALSE)),"")</f>
        <v>44448</v>
      </c>
      <c r="AL97" s="272"/>
      <c r="AM97" s="272"/>
      <c r="AN97" s="265"/>
      <c r="AO97" s="272"/>
      <c r="AP97" s="214" t="s">
        <v>2627</v>
      </c>
      <c r="AQ97" s="264" t="s">
        <v>163</v>
      </c>
      <c r="AR97" s="593" t="s">
        <v>3207</v>
      </c>
      <c r="AS97" s="483" t="str">
        <f>IF(COUNTA(AG97)=1,LEFT(D97,3),"")</f>
        <v>4-4</v>
      </c>
      <c r="AT97" s="485" t="str">
        <f>IF(AND(COUNTA(O97)=1,COUNTA(P97)=1,COUNTA(AC97)=1,COUNTA(AF97)=1,COUNTA(AG97)=0),LEFT(D97,3),"")</f>
        <v/>
      </c>
      <c r="AU97" s="487" t="str">
        <f>IF(AND(COUNTA(O97)=1,COUNTA(P97)=1,COUNTA(AC97)=1,COUNTA(AF97)=0,COUNTA(AG97)=0),LEFT(D97,3),"")</f>
        <v/>
      </c>
      <c r="AV97" s="489" t="str">
        <f>IF(AND(COUNTA(P97)=0,COUNTA(AC97)=1),LEFT(D97,3),"")</f>
        <v/>
      </c>
      <c r="AW97" s="491" t="str">
        <f>IF(AND(COUNTA(P97)=1,COUNTA(AC97)=0),LEFT(D97,3),"")</f>
        <v/>
      </c>
      <c r="AX97" s="493" t="str">
        <f>IF(AND(COUNTA(P97)=0,COUNTA(AC97)=0),LEFT(D97,3),"")</f>
        <v/>
      </c>
      <c r="AY97" s="514" t="str">
        <f>IFERROR(VLOOKUP(功能_33[[#This Row],[功能代號]],SIT_FT_2021tmp!D:D,1,FALSE),"")</f>
        <v>L4942</v>
      </c>
      <c r="AZ97" s="587">
        <v>44519</v>
      </c>
      <c r="BA97" s="587">
        <v>44519</v>
      </c>
      <c r="BB97" s="514" t="s">
        <v>3000</v>
      </c>
      <c r="BC97" s="265" t="s">
        <v>3025</v>
      </c>
      <c r="BD97" s="593"/>
      <c r="BE97" s="264" t="str">
        <f>IF(AND(COUNTIF(AY97,"&gt;&lt;0")=1,COUNTA(M97)=1),LEFT(D97,3),"")</f>
        <v>4-4</v>
      </c>
      <c r="BF97" s="264" t="str">
        <f>IF(AND(COUNTIF(AY97,"&gt;&lt;")=1,COUNTA(M97)=0),LEFT(D97,3),"")</f>
        <v/>
      </c>
      <c r="BG97" s="264" t="str">
        <f>IF(AND(COUNTIF(AY97,"&gt;&lt;0")=0,COUNTA(M97)=1),LEFT(D97,3),"")</f>
        <v/>
      </c>
      <c r="BH97" s="264" t="str">
        <f>IF(AND(COUNTIF(AY97,"&gt;&lt;0")=0,COUNTA(M97)=0),LEFT(D97,3),"")</f>
        <v/>
      </c>
    </row>
    <row r="98" spans="1:60" ht="13.5" x14ac:dyDescent="0.3">
      <c r="B98" s="265">
        <v>1</v>
      </c>
      <c r="C98" s="265" t="s">
        <v>67</v>
      </c>
      <c r="D98" s="325" t="s">
        <v>2485</v>
      </c>
      <c r="E98" s="264" t="s">
        <v>371</v>
      </c>
      <c r="F98" s="265" t="s">
        <v>372</v>
      </c>
      <c r="G98" s="265"/>
      <c r="H98" s="264" t="s">
        <v>166</v>
      </c>
      <c r="I98" s="264" t="s">
        <v>167</v>
      </c>
      <c r="J98" s="212" t="s">
        <v>2973</v>
      </c>
      <c r="K98" s="251" t="s">
        <v>2989</v>
      </c>
      <c r="L98" s="272">
        <v>44575</v>
      </c>
      <c r="M98" s="272">
        <v>44575</v>
      </c>
      <c r="N98" s="272">
        <v>44452</v>
      </c>
      <c r="O98" s="272">
        <v>44452</v>
      </c>
      <c r="P98" s="272">
        <v>44452</v>
      </c>
      <c r="Q98" s="264" t="s">
        <v>2</v>
      </c>
      <c r="R98" s="264" t="s">
        <v>15</v>
      </c>
      <c r="S98" s="264" t="s">
        <v>15</v>
      </c>
      <c r="X98" s="264"/>
      <c r="Z98" s="264"/>
      <c r="AA98" s="264"/>
      <c r="AB98" s="265" t="str">
        <f>VLOOKUP(功能_33[[#This Row],[User]],SKL放款!A:G,7,FALSE)</f>
        <v>放款服務課</v>
      </c>
      <c r="AC98" s="272">
        <v>44496</v>
      </c>
      <c r="AD98" s="272">
        <v>44488</v>
      </c>
      <c r="AE98" s="272">
        <v>44496</v>
      </c>
      <c r="AF98" s="272">
        <v>44496</v>
      </c>
      <c r="AG98" s="209" t="s">
        <v>2974</v>
      </c>
      <c r="AH98" s="272" t="s">
        <v>169</v>
      </c>
      <c r="AI98" s="272"/>
      <c r="AJ98" s="322"/>
      <c r="AK98" s="272">
        <f>IFERROR(IF(VLOOKUP(功能_33[[#This Row],[功能代號]],E:U,11,FALSE)=0,"",VLOOKUP(功能_33[[#This Row],[功能代號]],E:U,11,FALSE)),"")</f>
        <v>44452</v>
      </c>
      <c r="AL98" s="272"/>
      <c r="AM98" s="272"/>
      <c r="AN98" s="265"/>
      <c r="AO98" s="272"/>
      <c r="AP98" s="264">
        <v>336</v>
      </c>
      <c r="AQ98" s="265" t="s">
        <v>373</v>
      </c>
      <c r="AR98" s="593" t="s">
        <v>3207</v>
      </c>
      <c r="AS98" s="483" t="str">
        <f>IF(COUNTA(AG98)=1,LEFT(D98,3),"")</f>
        <v>3-3</v>
      </c>
      <c r="AT98" s="485" t="str">
        <f>IF(AND(COUNTA(O98)=1,COUNTA(P98)=1,COUNTA(AC98)=1,COUNTA(AF98)=1,COUNTA(AG98)=0),LEFT(D98,3),"")</f>
        <v/>
      </c>
      <c r="AU98" s="487" t="str">
        <f>IF(AND(COUNTA(O98)=1,COUNTA(P98)=1,COUNTA(AC98)=1,COUNTA(AF98)=0,COUNTA(AG98)=0),LEFT(D98,3),"")</f>
        <v/>
      </c>
      <c r="AV98" s="489" t="str">
        <f>IF(AND(COUNTA(P98)=0,COUNTA(AC98)=1),LEFT(D98,3),"")</f>
        <v/>
      </c>
      <c r="AW98" s="491" t="str">
        <f>IF(AND(COUNTA(P98)=1,COUNTA(AC98)=0),LEFT(D98,3),"")</f>
        <v/>
      </c>
      <c r="AX98" s="493" t="str">
        <f>IF(AND(COUNTA(P98)=0,COUNTA(AC98)=0),LEFT(D98,3),"")</f>
        <v/>
      </c>
      <c r="AY98" s="514" t="str">
        <f>IFERROR(VLOOKUP(功能_33[[#This Row],[功能代號]],SIT_FT_2021tmp!D:D,1,FALSE),"")</f>
        <v>L3210</v>
      </c>
      <c r="AZ98" s="587">
        <v>44532</v>
      </c>
      <c r="BA98" s="587">
        <v>44532</v>
      </c>
      <c r="BB98" s="514" t="s">
        <v>3000</v>
      </c>
      <c r="BC98" s="265" t="s">
        <v>3026</v>
      </c>
      <c r="BD98" s="593"/>
      <c r="BE98" s="264" t="str">
        <f>IF(AND(COUNTIF(AY98,"&gt;&lt;0")=1,COUNTA(M98)=1),LEFT(D98,3),"")</f>
        <v>3-3</v>
      </c>
      <c r="BF98" s="264" t="str">
        <f>IF(AND(COUNTIF(AY98,"&gt;&lt;")=1,COUNTA(M98)=0),LEFT(D98,3),"")</f>
        <v/>
      </c>
      <c r="BG98" s="264" t="str">
        <f>IF(AND(COUNTIF(AY98,"&gt;&lt;0")=0,COUNTA(M98)=1),LEFT(D98,3),"")</f>
        <v/>
      </c>
      <c r="BH98" s="264" t="str">
        <f>IF(AND(COUNTIF(AY98,"&gt;&lt;0")=0,COUNTA(M98)=0),LEFT(D98,3),"")</f>
        <v/>
      </c>
    </row>
    <row r="99" spans="1:60" ht="13.5" x14ac:dyDescent="0.3">
      <c r="B99" s="265">
        <v>1</v>
      </c>
      <c r="C99" s="265" t="s">
        <v>67</v>
      </c>
      <c r="D99" s="325" t="s">
        <v>2485</v>
      </c>
      <c r="E99" s="264" t="s">
        <v>374</v>
      </c>
      <c r="F99" s="265" t="s">
        <v>375</v>
      </c>
      <c r="G99" s="265"/>
      <c r="H99" s="264" t="s">
        <v>166</v>
      </c>
      <c r="I99" s="264" t="s">
        <v>167</v>
      </c>
      <c r="J99" s="212" t="s">
        <v>2973</v>
      </c>
      <c r="K99" s="251" t="s">
        <v>2989</v>
      </c>
      <c r="L99" s="272">
        <v>44575</v>
      </c>
      <c r="M99" s="272">
        <v>44575</v>
      </c>
      <c r="N99" s="272">
        <v>44452</v>
      </c>
      <c r="O99" s="272">
        <v>44452</v>
      </c>
      <c r="P99" s="272">
        <f>IFERROR(IF(VLOOKUP(功能_33[[#This Row],[功能代號]],討論項目!A:H,8,FALSE)=0,"",VLOOKUP(功能_33[[#This Row],[功能代號]],討論項目!A:H,8,FALSE)),"")</f>
        <v>44487</v>
      </c>
      <c r="Q99" s="264" t="s">
        <v>2</v>
      </c>
      <c r="R99" s="264" t="s">
        <v>15</v>
      </c>
      <c r="S99" s="264" t="s">
        <v>15</v>
      </c>
      <c r="X99" s="264"/>
      <c r="Z99" s="264"/>
      <c r="AA99" s="264"/>
      <c r="AB99" s="265" t="str">
        <f>VLOOKUP(功能_33[[#This Row],[User]],SKL放款!A:G,7,FALSE)</f>
        <v>放款服務課</v>
      </c>
      <c r="AC99" s="272">
        <v>44496</v>
      </c>
      <c r="AD99" s="272">
        <v>44488</v>
      </c>
      <c r="AE99" s="272">
        <v>44497</v>
      </c>
      <c r="AF99" s="272">
        <v>44497</v>
      </c>
      <c r="AG99" s="209" t="s">
        <v>2975</v>
      </c>
      <c r="AH99" s="272" t="s">
        <v>169</v>
      </c>
      <c r="AI99" s="272"/>
      <c r="AJ99" s="322"/>
      <c r="AK99" s="272">
        <f>IFERROR(IF(VLOOKUP(功能_33[[#This Row],[功能代號]],E:U,11,FALSE)=0,"",VLOOKUP(功能_33[[#This Row],[功能代號]],E:U,11,FALSE)),"")</f>
        <v>44452</v>
      </c>
      <c r="AL99" s="272"/>
      <c r="AM99" s="272"/>
      <c r="AN99" s="265"/>
      <c r="AO99" s="272"/>
      <c r="AP99" s="264">
        <v>337</v>
      </c>
      <c r="AQ99" s="265" t="s">
        <v>376</v>
      </c>
      <c r="AR99" s="593" t="s">
        <v>3207</v>
      </c>
      <c r="AS99" s="483" t="str">
        <f>IF(COUNTA(AG99)=1,LEFT(D99,3),"")</f>
        <v>3-3</v>
      </c>
      <c r="AT99" s="485" t="str">
        <f>IF(AND(COUNTA(O99)=1,COUNTA(P99)=1,COUNTA(AC99)=1,COUNTA(AF99)=1,COUNTA(AG99)=0),LEFT(D99,3),"")</f>
        <v/>
      </c>
      <c r="AU99" s="487" t="str">
        <f>IF(AND(COUNTA(O99)=1,COUNTA(P99)=1,COUNTA(AC99)=1,COUNTA(AF99)=0,COUNTA(AG99)=0),LEFT(D99,3),"")</f>
        <v/>
      </c>
      <c r="AV99" s="489" t="str">
        <f>IF(AND(COUNTA(P99)=0,COUNTA(AC99)=1),LEFT(D99,3),"")</f>
        <v/>
      </c>
      <c r="AW99" s="491" t="str">
        <f>IF(AND(COUNTA(P99)=1,COUNTA(AC99)=0),LEFT(D99,3),"")</f>
        <v/>
      </c>
      <c r="AX99" s="493" t="str">
        <f>IF(AND(COUNTA(P99)=0,COUNTA(AC99)=0),LEFT(D99,3),"")</f>
        <v/>
      </c>
      <c r="AY99" s="514" t="str">
        <f>IFERROR(VLOOKUP(功能_33[[#This Row],[功能代號]],SIT_FT_2021tmp!D:D,1,FALSE),"")</f>
        <v>L3220</v>
      </c>
      <c r="AZ99" s="587">
        <v>44539</v>
      </c>
      <c r="BA99" s="587">
        <v>44539</v>
      </c>
      <c r="BB99" s="514" t="s">
        <v>3000</v>
      </c>
      <c r="BC99" s="265" t="s">
        <v>3027</v>
      </c>
      <c r="BD99" s="593"/>
      <c r="BE99" s="264" t="str">
        <f>IF(AND(COUNTIF(AY99,"&gt;&lt;0")=1,COUNTA(M99)=1),LEFT(D99,3),"")</f>
        <v>3-3</v>
      </c>
      <c r="BF99" s="264" t="str">
        <f>IF(AND(COUNTIF(AY99,"&gt;&lt;")=1,COUNTA(M99)=0),LEFT(D99,3),"")</f>
        <v/>
      </c>
      <c r="BG99" s="264" t="str">
        <f>IF(AND(COUNTIF(AY99,"&gt;&lt;0")=0,COUNTA(M99)=1),LEFT(D99,3),"")</f>
        <v/>
      </c>
      <c r="BH99" s="264" t="str">
        <f>IF(AND(COUNTIF(AY99,"&gt;&lt;0")=0,COUNTA(M99)=0),LEFT(D99,3),"")</f>
        <v/>
      </c>
    </row>
    <row r="100" spans="1:60" ht="13.5" x14ac:dyDescent="0.3">
      <c r="C100" s="265" t="s">
        <v>68</v>
      </c>
      <c r="D100" s="213" t="s">
        <v>340</v>
      </c>
      <c r="E100" s="264" t="s">
        <v>377</v>
      </c>
      <c r="F100" s="265" t="s">
        <v>378</v>
      </c>
      <c r="G100" s="265" t="s">
        <v>379</v>
      </c>
      <c r="H100" s="264" t="s">
        <v>166</v>
      </c>
      <c r="I100" s="264" t="s">
        <v>176</v>
      </c>
      <c r="J100" s="212" t="s">
        <v>2586</v>
      </c>
      <c r="K100" s="212"/>
      <c r="L100" s="272">
        <v>44572</v>
      </c>
      <c r="M100" s="272">
        <v>44571</v>
      </c>
      <c r="N100" s="272">
        <v>44481</v>
      </c>
      <c r="O100" s="272">
        <v>44484</v>
      </c>
      <c r="P100" s="272">
        <v>44533</v>
      </c>
      <c r="Q100" s="264" t="s">
        <v>6</v>
      </c>
      <c r="R100" s="264" t="s">
        <v>10</v>
      </c>
      <c r="S100" s="264" t="s">
        <v>10</v>
      </c>
      <c r="X100" s="264"/>
      <c r="Z100" s="264"/>
      <c r="AA100" s="264"/>
      <c r="AB100" s="265" t="str">
        <f>VLOOKUP(功能_33[[#This Row],[User]],SKL放款!A:G,7,FALSE)</f>
        <v>放款服務課</v>
      </c>
      <c r="AC100" s="272">
        <v>44533</v>
      </c>
      <c r="AD100" s="272">
        <v>44515</v>
      </c>
      <c r="AE100" s="272">
        <v>44523</v>
      </c>
      <c r="AF100" s="272">
        <v>44524</v>
      </c>
      <c r="AG100" s="209">
        <v>44539</v>
      </c>
      <c r="AH100" s="272"/>
      <c r="AI100" s="272"/>
      <c r="AJ100" s="272"/>
      <c r="AK100" s="272">
        <f>IFERROR(IF(VLOOKUP(功能_33[[#This Row],[功能代號]],E:U,11,FALSE)=0,"",VLOOKUP(功能_33[[#This Row],[功能代號]],E:U,11,FALSE)),"")</f>
        <v>44484</v>
      </c>
      <c r="AL100" s="272"/>
      <c r="AM100" s="272"/>
      <c r="AN100" s="265"/>
      <c r="AP100" s="214" t="s">
        <v>2661</v>
      </c>
      <c r="AQ100" s="264" t="s">
        <v>163</v>
      </c>
      <c r="AR100" s="593" t="s">
        <v>3207</v>
      </c>
      <c r="AS100" s="483" t="str">
        <f>IF(COUNTA(AG100)=1,LEFT(D100,3),"")</f>
        <v>4-1</v>
      </c>
      <c r="AT100" s="485" t="str">
        <f>IF(AND(COUNTA(O100)=1,COUNTA(P100)=1,COUNTA(AC100)=1,COUNTA(AF100)=1,COUNTA(AG100)=0),LEFT(D100,3),"")</f>
        <v/>
      </c>
      <c r="AU100" s="487" t="str">
        <f>IF(AND(COUNTA(O100)=1,COUNTA(P100)=1,COUNTA(AC100)=1,COUNTA(AF100)=0,COUNTA(AG100)=0),LEFT(D100,3),"")</f>
        <v/>
      </c>
      <c r="AV100" s="489" t="str">
        <f>IF(AND(COUNTA(P100)=0,COUNTA(AC100)=1),LEFT(D100,3),"")</f>
        <v/>
      </c>
      <c r="AW100" s="491" t="str">
        <f>IF(AND(COUNTA(P100)=1,COUNTA(AC100)=0),LEFT(D100,3),"")</f>
        <v/>
      </c>
      <c r="AX100" s="493" t="str">
        <f>IF(AND(COUNTA(P100)=0,COUNTA(AC100)=0),LEFT(D100,3),"")</f>
        <v/>
      </c>
      <c r="AY100" s="514" t="str">
        <f>IFERROR(VLOOKUP(功能_33[[#This Row],[功能代號]],SIT_FT_2021tmp!D:D,1,FALSE),"")</f>
        <v>L4102</v>
      </c>
      <c r="AZ100" s="587">
        <v>44519</v>
      </c>
      <c r="BA100" s="587">
        <v>44519</v>
      </c>
      <c r="BB100" s="514" t="s">
        <v>3073</v>
      </c>
      <c r="BC100" s="265" t="s">
        <v>3018</v>
      </c>
      <c r="BD100" s="593"/>
      <c r="BE100" s="264" t="str">
        <f>IF(AND(COUNTIF(AY100,"&gt;&lt;0")=1,COUNTA(M100)=1),LEFT(D100,3),"")</f>
        <v>4-1</v>
      </c>
      <c r="BF100" s="264" t="str">
        <f>IF(AND(COUNTIF(AY100,"&gt;&lt;")=1,COUNTA(M100)=0),LEFT(D100,3),"")</f>
        <v/>
      </c>
      <c r="BG100" s="264" t="str">
        <f>IF(AND(COUNTIF(AY100,"&gt;&lt;0")=0,COUNTA(M100)=1),LEFT(D100,3),"")</f>
        <v/>
      </c>
      <c r="BH100" s="264" t="str">
        <f>IF(AND(COUNTIF(AY100,"&gt;&lt;0")=0,COUNTA(M100)=0),LEFT(D100,3),"")</f>
        <v/>
      </c>
    </row>
    <row r="101" spans="1:60" ht="13.5" x14ac:dyDescent="0.3">
      <c r="C101" s="265" t="s">
        <v>68</v>
      </c>
      <c r="D101" s="213" t="s">
        <v>340</v>
      </c>
      <c r="E101" s="264" t="s">
        <v>380</v>
      </c>
      <c r="F101" s="265" t="s">
        <v>381</v>
      </c>
      <c r="G101" s="265" t="s">
        <v>379</v>
      </c>
      <c r="H101" s="264" t="s">
        <v>166</v>
      </c>
      <c r="I101" s="264" t="s">
        <v>176</v>
      </c>
      <c r="J101" s="212" t="s">
        <v>2586</v>
      </c>
      <c r="K101" s="212"/>
      <c r="L101" s="272">
        <v>44572</v>
      </c>
      <c r="M101" s="272">
        <v>44571</v>
      </c>
      <c r="N101" s="272">
        <v>44481</v>
      </c>
      <c r="O101" s="272">
        <v>44484</v>
      </c>
      <c r="P101" s="272">
        <v>44523</v>
      </c>
      <c r="Q101" s="264" t="s">
        <v>6</v>
      </c>
      <c r="R101" s="264" t="s">
        <v>10</v>
      </c>
      <c r="S101" s="264" t="s">
        <v>10</v>
      </c>
      <c r="X101" s="264"/>
      <c r="Z101" s="264"/>
      <c r="AA101" s="264"/>
      <c r="AB101" s="265" t="str">
        <f>VLOOKUP(功能_33[[#This Row],[User]],SKL放款!A:G,7,FALSE)</f>
        <v>放款服務課</v>
      </c>
      <c r="AC101" s="272">
        <v>44533</v>
      </c>
      <c r="AD101" s="272">
        <v>44515</v>
      </c>
      <c r="AE101" s="272">
        <v>44523</v>
      </c>
      <c r="AF101" s="272">
        <v>44524</v>
      </c>
      <c r="AG101" s="209">
        <v>44539</v>
      </c>
      <c r="AH101" s="272"/>
      <c r="AI101" s="272"/>
      <c r="AJ101" s="272"/>
      <c r="AK101" s="272">
        <f>IFERROR(IF(VLOOKUP(功能_33[[#This Row],[功能代號]],E:U,11,FALSE)=0,"",VLOOKUP(功能_33[[#This Row],[功能代號]],E:U,11,FALSE)),"")</f>
        <v>44484</v>
      </c>
      <c r="AL101" s="272"/>
      <c r="AM101" s="272"/>
      <c r="AN101" s="265"/>
      <c r="AP101" s="214" t="s">
        <v>2661</v>
      </c>
      <c r="AQ101" s="264" t="s">
        <v>163</v>
      </c>
      <c r="AR101" s="593" t="s">
        <v>3207</v>
      </c>
      <c r="AS101" s="483" t="str">
        <f>IF(COUNTA(AG101)=1,LEFT(D101,3),"")</f>
        <v>4-1</v>
      </c>
      <c r="AT101" s="485" t="str">
        <f>IF(AND(COUNTA(O101)=1,COUNTA(P101)=1,COUNTA(AC101)=1,COUNTA(AF101)=1,COUNTA(AG101)=0),LEFT(D101,3),"")</f>
        <v/>
      </c>
      <c r="AU101" s="487" t="str">
        <f>IF(AND(COUNTA(O101)=1,COUNTA(P101)=1,COUNTA(AC101)=1,COUNTA(AF101)=0,COUNTA(AG101)=0),LEFT(D101,3),"")</f>
        <v/>
      </c>
      <c r="AV101" s="489" t="str">
        <f>IF(AND(COUNTA(P101)=0,COUNTA(AC101)=1),LEFT(D101,3),"")</f>
        <v/>
      </c>
      <c r="AW101" s="491" t="str">
        <f>IF(AND(COUNTA(P101)=1,COUNTA(AC101)=0),LEFT(D101,3),"")</f>
        <v/>
      </c>
      <c r="AX101" s="493" t="str">
        <f>IF(AND(COUNTA(P101)=0,COUNTA(AC101)=0),LEFT(D101,3),"")</f>
        <v/>
      </c>
      <c r="AY101" s="514" t="str">
        <f>IFERROR(VLOOKUP(功能_33[[#This Row],[功能代號]],SIT_FT_2021tmp!D:D,1,FALSE),"")</f>
        <v>L4103</v>
      </c>
      <c r="AZ101" s="587">
        <v>44539</v>
      </c>
      <c r="BA101" s="587">
        <v>44539</v>
      </c>
      <c r="BB101" s="514" t="s">
        <v>3000</v>
      </c>
      <c r="BC101" s="265" t="s">
        <v>3027</v>
      </c>
      <c r="BD101" s="593"/>
      <c r="BE101" s="264" t="str">
        <f>IF(AND(COUNTIF(AY101,"&gt;&lt;0")=1,COUNTA(M101)=1),LEFT(D101,3),"")</f>
        <v>4-1</v>
      </c>
      <c r="BF101" s="264" t="str">
        <f>IF(AND(COUNTIF(AY101,"&gt;&lt;")=1,COUNTA(M101)=0),LEFT(D101,3),"")</f>
        <v/>
      </c>
      <c r="BG101" s="264" t="str">
        <f>IF(AND(COUNTIF(AY101,"&gt;&lt;0")=0,COUNTA(M101)=1),LEFT(D101,3),"")</f>
        <v/>
      </c>
      <c r="BH101" s="264" t="str">
        <f>IF(AND(COUNTIF(AY101,"&gt;&lt;0")=0,COUNTA(M101)=0),LEFT(D101,3),"")</f>
        <v/>
      </c>
    </row>
    <row r="102" spans="1:60" ht="13.5" x14ac:dyDescent="0.3">
      <c r="A102" s="535"/>
      <c r="B102" s="360"/>
      <c r="C102" s="265" t="s">
        <v>68</v>
      </c>
      <c r="D102" s="213" t="s">
        <v>340</v>
      </c>
      <c r="E102" s="264" t="s">
        <v>2967</v>
      </c>
      <c r="F102" s="265" t="s">
        <v>2968</v>
      </c>
      <c r="G102" s="265" t="s">
        <v>2969</v>
      </c>
      <c r="H102" s="264" t="s">
        <v>166</v>
      </c>
      <c r="I102" s="264" t="s">
        <v>167</v>
      </c>
      <c r="J102" s="212" t="s">
        <v>2970</v>
      </c>
      <c r="K102" s="212" t="s">
        <v>2995</v>
      </c>
      <c r="L102" s="272">
        <v>44578</v>
      </c>
      <c r="M102" s="272">
        <v>44579</v>
      </c>
      <c r="N102" s="272">
        <v>44481</v>
      </c>
      <c r="O102" s="272">
        <v>44484</v>
      </c>
      <c r="P102" s="272">
        <v>44523</v>
      </c>
      <c r="Q102" s="264" t="s">
        <v>6</v>
      </c>
      <c r="R102" s="264" t="e">
        <v>#N/A</v>
      </c>
      <c r="S102" s="664" t="s">
        <v>10</v>
      </c>
      <c r="X102" s="264"/>
      <c r="Z102" s="264"/>
      <c r="AA102" s="264"/>
      <c r="AB102" s="265" t="str">
        <f>VLOOKUP(功能_33[[#This Row],[User]],SKL放款!A:G,7,FALSE)</f>
        <v>放款服務課</v>
      </c>
      <c r="AC102" s="272">
        <v>44533</v>
      </c>
      <c r="AD102" s="272">
        <v>44515</v>
      </c>
      <c r="AE102" s="272">
        <v>44523</v>
      </c>
      <c r="AF102" s="272">
        <v>44524</v>
      </c>
      <c r="AG102" s="209">
        <v>44568</v>
      </c>
      <c r="AH102" s="272"/>
      <c r="AI102" s="272"/>
      <c r="AJ102" s="272"/>
      <c r="AK102" s="272">
        <f>IFERROR(IF(VLOOKUP(功能_33[[#This Row],[功能代號]],E:U,11,FALSE)=0,"",VLOOKUP(功能_33[[#This Row],[功能代號]],E:U,11,FALSE)),"")</f>
        <v>44484</v>
      </c>
      <c r="AL102" s="272"/>
      <c r="AM102" s="272"/>
      <c r="AN102" s="265"/>
      <c r="AP102" s="214" t="s">
        <v>2603</v>
      </c>
      <c r="AQ102" s="264" t="s">
        <v>163</v>
      </c>
      <c r="AR102" s="593" t="s">
        <v>3207</v>
      </c>
      <c r="AS102" s="483" t="str">
        <f>IF(COUNTA(AG102)=1,LEFT(D102,3),"")</f>
        <v>4-1</v>
      </c>
      <c r="AT102" s="485" t="str">
        <f>IF(AND(COUNTA(O102)=1,COUNTA(P102)=1,COUNTA(AC102)=1,COUNTA(AF102)=1,COUNTA(AG102)=0),LEFT(D102,3),"")</f>
        <v/>
      </c>
      <c r="AU102" s="487" t="str">
        <f>IF(AND(COUNTA(O102)=1,COUNTA(P102)=1,COUNTA(AC102)=1,COUNTA(AF102)=0,COUNTA(AG102)=0),LEFT(D102,3),"")</f>
        <v/>
      </c>
      <c r="AV102" s="489" t="str">
        <f>IF(AND(COUNTA(P102)=0,COUNTA(AC102)=1),LEFT(D102,3),"")</f>
        <v/>
      </c>
      <c r="AW102" s="491" t="str">
        <f>IF(AND(COUNTA(P102)=1,COUNTA(AC102)=0),LEFT(D102,3),"")</f>
        <v/>
      </c>
      <c r="AX102" s="493" t="str">
        <f>IF(AND(COUNTA(P102)=0,COUNTA(AC102)=0),LEFT(D102,3),"")</f>
        <v/>
      </c>
      <c r="AY102" s="514" t="str">
        <f>IFERROR(VLOOKUP(功能_33[[#This Row],[功能代號]],SIT_FT_2021tmp!D:D,1,FALSE),"")</f>
        <v/>
      </c>
      <c r="AZ102" s="587">
        <v>44610</v>
      </c>
      <c r="BB102" s="514" t="s">
        <v>2453</v>
      </c>
      <c r="BC102" s="265" t="s">
        <v>2453</v>
      </c>
      <c r="BD102" s="593"/>
      <c r="BE102" s="265" t="str">
        <f>IF(AND(COUNTIF(AY102,"&gt;&lt;0")=1,COUNTA(M102)=1),LEFT(D102,3),"")</f>
        <v/>
      </c>
      <c r="BF102" s="265" t="str">
        <f>IF(AND(COUNTIF(AY102,"&gt;&lt;")=1,COUNTA(M102)=0),LEFT(D102,3),"")</f>
        <v/>
      </c>
      <c r="BG102" s="265" t="str">
        <f>IF(AND(COUNTIF(AY102,"&gt;&lt;0")=0,COUNTA(M102)=1),LEFT(D102,3),"")</f>
        <v>4-1</v>
      </c>
      <c r="BH102" s="265" t="str">
        <f>IF(AND(COUNTIF(AY102,"&gt;&lt;0")=0,COUNTA(M102)=0),LEFT(D102,3),"")</f>
        <v/>
      </c>
    </row>
    <row r="103" spans="1:60" ht="13.5" x14ac:dyDescent="0.3">
      <c r="C103" s="265" t="s">
        <v>68</v>
      </c>
      <c r="D103" s="213" t="s">
        <v>382</v>
      </c>
      <c r="E103" s="264" t="s">
        <v>383</v>
      </c>
      <c r="F103" s="265" t="s">
        <v>384</v>
      </c>
      <c r="G103" s="265" t="s">
        <v>379</v>
      </c>
      <c r="H103" s="264" t="s">
        <v>166</v>
      </c>
      <c r="I103" s="264" t="s">
        <v>176</v>
      </c>
      <c r="J103" s="212" t="s">
        <v>2586</v>
      </c>
      <c r="K103" s="212"/>
      <c r="L103" s="272">
        <v>44572</v>
      </c>
      <c r="M103" s="272">
        <v>44571</v>
      </c>
      <c r="N103" s="272">
        <v>44481</v>
      </c>
      <c r="O103" s="272">
        <v>44484</v>
      </c>
      <c r="P103" s="272">
        <v>44523</v>
      </c>
      <c r="Q103" s="264" t="s">
        <v>6</v>
      </c>
      <c r="R103" s="264" t="s">
        <v>13</v>
      </c>
      <c r="S103" s="264" t="s">
        <v>13</v>
      </c>
      <c r="X103" s="264"/>
      <c r="Z103" s="264"/>
      <c r="AA103" s="264"/>
      <c r="AB103" s="265" t="str">
        <f>VLOOKUP(功能_33[[#This Row],[User]],SKL放款!A:G,7,FALSE)</f>
        <v>放款服務課</v>
      </c>
      <c r="AC103" s="272">
        <v>44533</v>
      </c>
      <c r="AD103" s="272">
        <v>44523</v>
      </c>
      <c r="AE103" s="272">
        <v>44523</v>
      </c>
      <c r="AF103" s="272">
        <v>44525</v>
      </c>
      <c r="AG103" s="209">
        <v>44539</v>
      </c>
      <c r="AH103" s="272"/>
      <c r="AI103" s="272"/>
      <c r="AJ103" s="272"/>
      <c r="AK103" s="272">
        <f>IFERROR(IF(VLOOKUP(功能_33[[#This Row],[功能代號]],E:U,11,FALSE)=0,"",VLOOKUP(功能_33[[#This Row],[功能代號]],E:U,11,FALSE)),"")</f>
        <v>44484</v>
      </c>
      <c r="AL103" s="272"/>
      <c r="AM103" s="272"/>
      <c r="AN103" s="265"/>
      <c r="AP103" s="264" t="s">
        <v>2603</v>
      </c>
      <c r="AQ103" s="264" t="s">
        <v>163</v>
      </c>
      <c r="AR103" s="593" t="s">
        <v>3207</v>
      </c>
      <c r="AS103" s="483" t="str">
        <f>IF(COUNTA(AG103)=1,LEFT(D103,3),"")</f>
        <v>4-2</v>
      </c>
      <c r="AT103" s="485" t="str">
        <f>IF(AND(COUNTA(O103)=1,COUNTA(P103)=1,COUNTA(AC103)=1,COUNTA(AF103)=1,COUNTA(AG103)=0),LEFT(D103,3),"")</f>
        <v/>
      </c>
      <c r="AU103" s="487" t="str">
        <f>IF(AND(COUNTA(O103)=1,COUNTA(P103)=1,COUNTA(AC103)=1,COUNTA(AF103)=0,COUNTA(AG103)=0),LEFT(D103,3),"")</f>
        <v/>
      </c>
      <c r="AV103" s="489" t="str">
        <f>IF(AND(COUNTA(P103)=0,COUNTA(AC103)=1),LEFT(D103,3),"")</f>
        <v/>
      </c>
      <c r="AW103" s="491" t="str">
        <f>IF(AND(COUNTA(P103)=1,COUNTA(AC103)=0),LEFT(D103,3),"")</f>
        <v/>
      </c>
      <c r="AX103" s="493" t="str">
        <f>IF(AND(COUNTA(P103)=0,COUNTA(AC103)=0),LEFT(D103,3),"")</f>
        <v/>
      </c>
      <c r="AY103" s="514" t="str">
        <f>IFERROR(VLOOKUP(功能_33[[#This Row],[功能代號]],SIT_FT_2021tmp!D:D,1,FALSE),"")</f>
        <v>L4922</v>
      </c>
      <c r="AZ103" s="587">
        <v>44546</v>
      </c>
      <c r="BA103" s="587">
        <v>44546</v>
      </c>
      <c r="BB103" s="514" t="s">
        <v>3000</v>
      </c>
      <c r="BC103" s="265" t="s">
        <v>3028</v>
      </c>
      <c r="BD103" s="593"/>
      <c r="BE103" s="264" t="str">
        <f>IF(AND(COUNTIF(AY103,"&gt;&lt;0")=1,COUNTA(M103)=1),LEFT(D103,3),"")</f>
        <v>4-2</v>
      </c>
      <c r="BF103" s="264" t="str">
        <f>IF(AND(COUNTIF(AY103,"&gt;&lt;")=1,COUNTA(M103)=0),LEFT(D103,3),"")</f>
        <v/>
      </c>
      <c r="BG103" s="264" t="str">
        <f>IF(AND(COUNTIF(AY103,"&gt;&lt;0")=0,COUNTA(M103)=1),LEFT(D103,3),"")</f>
        <v/>
      </c>
      <c r="BH103" s="264" t="str">
        <f>IF(AND(COUNTIF(AY103,"&gt;&lt;0")=0,COUNTA(M103)=0),LEFT(D103,3),"")</f>
        <v/>
      </c>
    </row>
    <row r="104" spans="1:60" ht="13.5" x14ac:dyDescent="0.3">
      <c r="C104" s="265" t="s">
        <v>68</v>
      </c>
      <c r="D104" s="213" t="s">
        <v>382</v>
      </c>
      <c r="E104" s="264" t="s">
        <v>385</v>
      </c>
      <c r="F104" s="265" t="s">
        <v>386</v>
      </c>
      <c r="G104" s="265" t="s">
        <v>379</v>
      </c>
      <c r="H104" s="264" t="s">
        <v>166</v>
      </c>
      <c r="I104" s="264" t="s">
        <v>176</v>
      </c>
      <c r="J104" s="212" t="s">
        <v>2586</v>
      </c>
      <c r="K104" s="212"/>
      <c r="L104" s="272">
        <v>44572</v>
      </c>
      <c r="M104" s="272">
        <v>44571</v>
      </c>
      <c r="N104" s="272">
        <v>44481</v>
      </c>
      <c r="O104" s="272">
        <v>44484</v>
      </c>
      <c r="P104" s="272">
        <v>44523</v>
      </c>
      <c r="Q104" s="264" t="s">
        <v>6</v>
      </c>
      <c r="R104" s="264" t="s">
        <v>13</v>
      </c>
      <c r="S104" s="264" t="s">
        <v>13</v>
      </c>
      <c r="X104" s="264"/>
      <c r="Z104" s="264"/>
      <c r="AA104" s="264"/>
      <c r="AB104" s="265" t="str">
        <f>VLOOKUP(功能_33[[#This Row],[User]],SKL放款!A:G,7,FALSE)</f>
        <v>放款服務課</v>
      </c>
      <c r="AC104" s="272">
        <v>44533</v>
      </c>
      <c r="AD104" s="272">
        <v>44523</v>
      </c>
      <c r="AE104" s="272">
        <v>44523</v>
      </c>
      <c r="AF104" s="272">
        <v>44525</v>
      </c>
      <c r="AG104" s="209">
        <v>44539</v>
      </c>
      <c r="AH104" s="272"/>
      <c r="AI104" s="272"/>
      <c r="AJ104" s="272"/>
      <c r="AK104" s="272">
        <f>IFERROR(IF(VLOOKUP(功能_33[[#This Row],[功能代號]],E:U,11,FALSE)=0,"",VLOOKUP(功能_33[[#This Row],[功能代號]],E:U,11,FALSE)),"")</f>
        <v>44484</v>
      </c>
      <c r="AL104" s="272"/>
      <c r="AM104" s="272"/>
      <c r="AN104" s="265"/>
      <c r="AP104" s="264" t="s">
        <v>2603</v>
      </c>
      <c r="AQ104" s="264" t="s">
        <v>163</v>
      </c>
      <c r="AR104" s="593" t="s">
        <v>3207</v>
      </c>
      <c r="AS104" s="483" t="str">
        <f>IF(COUNTA(AG104)=1,LEFT(D104,3),"")</f>
        <v>4-2</v>
      </c>
      <c r="AT104" s="485" t="str">
        <f>IF(AND(COUNTA(O104)=1,COUNTA(P104)=1,COUNTA(AC104)=1,COUNTA(AF104)=1,COUNTA(AG104)=0),LEFT(D104,3),"")</f>
        <v/>
      </c>
      <c r="AU104" s="487" t="str">
        <f>IF(AND(COUNTA(O104)=1,COUNTA(P104)=1,COUNTA(AC104)=1,COUNTA(AF104)=0,COUNTA(AG104)=0),LEFT(D104,3),"")</f>
        <v/>
      </c>
      <c r="AV104" s="489" t="str">
        <f>IF(AND(COUNTA(P104)=0,COUNTA(AC104)=1),LEFT(D104,3),"")</f>
        <v/>
      </c>
      <c r="AW104" s="491" t="str">
        <f>IF(AND(COUNTA(P104)=1,COUNTA(AC104)=0),LEFT(D104,3),"")</f>
        <v/>
      </c>
      <c r="AX104" s="493" t="str">
        <f>IF(AND(COUNTA(P104)=0,COUNTA(AC104)=0),LEFT(D104,3),"")</f>
        <v/>
      </c>
      <c r="AY104" s="514" t="str">
        <f>IFERROR(VLOOKUP(功能_33[[#This Row],[功能代號]],SIT_FT_2021tmp!D:D,1,FALSE),"")</f>
        <v>L4923</v>
      </c>
      <c r="AZ104" s="587">
        <v>44546</v>
      </c>
      <c r="BA104" s="587">
        <v>44546</v>
      </c>
      <c r="BB104" s="514" t="s">
        <v>3000</v>
      </c>
      <c r="BC104" s="265" t="s">
        <v>3028</v>
      </c>
      <c r="BD104" s="593"/>
      <c r="BE104" s="264" t="str">
        <f>IF(AND(COUNTIF(AY104,"&gt;&lt;0")=1,COUNTA(M104)=1),LEFT(D104,3),"")</f>
        <v>4-2</v>
      </c>
      <c r="BF104" s="264" t="str">
        <f>IF(AND(COUNTIF(AY104,"&gt;&lt;")=1,COUNTA(M104)=0),LEFT(D104,3),"")</f>
        <v/>
      </c>
      <c r="BG104" s="264" t="str">
        <f>IF(AND(COUNTIF(AY104,"&gt;&lt;0")=0,COUNTA(M104)=1),LEFT(D104,3),"")</f>
        <v/>
      </c>
      <c r="BH104" s="264" t="str">
        <f>IF(AND(COUNTIF(AY104,"&gt;&lt;0")=0,COUNTA(M104)=0),LEFT(D104,3),"")</f>
        <v/>
      </c>
    </row>
    <row r="105" spans="1:60" ht="13.5" x14ac:dyDescent="0.3">
      <c r="C105" s="265" t="s">
        <v>69</v>
      </c>
      <c r="D105" s="265" t="s">
        <v>2468</v>
      </c>
      <c r="E105" s="264" t="s">
        <v>945</v>
      </c>
      <c r="F105" s="265" t="s">
        <v>946</v>
      </c>
      <c r="G105" s="265"/>
      <c r="H105" s="264" t="s">
        <v>166</v>
      </c>
      <c r="I105" s="264" t="s">
        <v>287</v>
      </c>
      <c r="J105" s="271" t="s">
        <v>2753</v>
      </c>
      <c r="K105" s="271"/>
      <c r="L105" s="272">
        <v>44575</v>
      </c>
      <c r="M105" s="272">
        <v>44572</v>
      </c>
      <c r="N105" s="272">
        <v>44504</v>
      </c>
      <c r="O105" s="272">
        <v>44505</v>
      </c>
      <c r="P105" s="272">
        <v>44513</v>
      </c>
      <c r="Q105" s="264" t="s">
        <v>2</v>
      </c>
      <c r="R105" s="264" t="s">
        <v>5</v>
      </c>
      <c r="S105" s="264" t="s">
        <v>5</v>
      </c>
      <c r="X105" s="264"/>
      <c r="Z105" s="264"/>
      <c r="AA105" s="264"/>
      <c r="AB105" s="265" t="str">
        <f>VLOOKUP(功能_33[[#This Row],[User]],SKL放款!A:G,7,FALSE)</f>
        <v>放款服務課</v>
      </c>
      <c r="AC105" s="272">
        <v>44513</v>
      </c>
      <c r="AD105" s="272" t="s">
        <v>2394</v>
      </c>
      <c r="AE105" s="272">
        <v>44543</v>
      </c>
      <c r="AF105" s="272">
        <v>44543</v>
      </c>
      <c r="AG105" s="209">
        <v>44544</v>
      </c>
      <c r="AH105" s="272"/>
      <c r="AI105" s="272"/>
      <c r="AJ105" s="322"/>
      <c r="AK105" s="272">
        <f>IFERROR(IF(VLOOKUP(功能_33[[#This Row],[功能代號]],E:U,11,FALSE)=0,"",VLOOKUP(功能_33[[#This Row],[功能代號]],E:U,11,FALSE)),"")</f>
        <v>44505</v>
      </c>
      <c r="AL105" s="272"/>
      <c r="AM105" s="272"/>
      <c r="AN105" s="265"/>
      <c r="AO105" s="272"/>
      <c r="AP105" s="276" t="s">
        <v>943</v>
      </c>
      <c r="AQ105" s="277" t="s">
        <v>947</v>
      </c>
      <c r="AR105" s="593" t="s">
        <v>3207</v>
      </c>
      <c r="AS105" s="483" t="str">
        <f>IF(COUNTA(AG105)=1,LEFT(D105,3),"")</f>
        <v>5-1</v>
      </c>
      <c r="AT105" s="485" t="str">
        <f>IF(AND(COUNTA(O105)=1,COUNTA(P105)=1,COUNTA(AC105)=1,COUNTA(AF105)=1,COUNTA(AG105)=0),LEFT(D105,3),"")</f>
        <v/>
      </c>
      <c r="AU105" s="487" t="str">
        <f>IF(AND(COUNTA(O105)=1,COUNTA(P105)=1,COUNTA(AC105)=1,COUNTA(AF105)=0,COUNTA(AG105)=0),LEFT(D105,3),"")</f>
        <v/>
      </c>
      <c r="AV105" s="489" t="str">
        <f>IF(AND(COUNTA(P105)=0,COUNTA(AC105)=1),LEFT(D105,3),"")</f>
        <v/>
      </c>
      <c r="AW105" s="491" t="str">
        <f>IF(AND(COUNTA(P105)=1,COUNTA(AC105)=0),LEFT(D105,3),"")</f>
        <v/>
      </c>
      <c r="AX105" s="493" t="str">
        <f>IF(AND(COUNTA(P105)=0,COUNTA(AC105)=0),LEFT(D105,3),"")</f>
        <v/>
      </c>
      <c r="AY105" s="514" t="str">
        <f>IFERROR(VLOOKUP(功能_33[[#This Row],[功能代號]],SIT_FT_2021tmp!D:D,1,FALSE),"")</f>
        <v>L5101</v>
      </c>
      <c r="AZ105" s="587">
        <v>44512</v>
      </c>
      <c r="BA105" s="587">
        <v>44512</v>
      </c>
      <c r="BB105" s="514" t="s">
        <v>3073</v>
      </c>
      <c r="BC105" s="265" t="s">
        <v>3014</v>
      </c>
      <c r="BD105" s="593"/>
      <c r="BE105" s="264" t="str">
        <f>IF(AND(COUNTIF(AY105,"&gt;&lt;0")=1,COUNTA(M105)=1),LEFT(D105,3),"")</f>
        <v>5-1</v>
      </c>
      <c r="BF105" s="264" t="str">
        <f>IF(AND(COUNTIF(AY105,"&gt;&lt;")=1,COUNTA(M105)=0),LEFT(D105,3),"")</f>
        <v/>
      </c>
      <c r="BG105" s="264" t="str">
        <f>IF(AND(COUNTIF(AY105,"&gt;&lt;0")=0,COUNTA(M105)=1),LEFT(D105,3),"")</f>
        <v/>
      </c>
      <c r="BH105" s="264" t="str">
        <f>IF(AND(COUNTIF(AY105,"&gt;&lt;0")=0,COUNTA(M105)=0),LEFT(D105,3),"")</f>
        <v/>
      </c>
    </row>
    <row r="106" spans="1:60" ht="27" x14ac:dyDescent="0.3">
      <c r="C106" s="265" t="s">
        <v>68</v>
      </c>
      <c r="D106" s="265" t="s">
        <v>391</v>
      </c>
      <c r="E106" s="264" t="s">
        <v>392</v>
      </c>
      <c r="F106" s="265" t="s">
        <v>393</v>
      </c>
      <c r="G106" s="265"/>
      <c r="H106" s="264" t="s">
        <v>166</v>
      </c>
      <c r="I106" s="264" t="s">
        <v>167</v>
      </c>
      <c r="J106" s="212" t="s">
        <v>2586</v>
      </c>
      <c r="K106" s="212"/>
      <c r="L106" s="272">
        <v>44587</v>
      </c>
      <c r="M106" s="272">
        <v>44579</v>
      </c>
      <c r="N106" s="272">
        <v>44452</v>
      </c>
      <c r="O106" s="272">
        <v>44452</v>
      </c>
      <c r="P106" s="272">
        <v>44372</v>
      </c>
      <c r="Q106" s="264" t="s">
        <v>2</v>
      </c>
      <c r="R106" s="264" t="s">
        <v>15</v>
      </c>
      <c r="S106" s="264" t="s">
        <v>15</v>
      </c>
      <c r="X106" s="264"/>
      <c r="Z106" s="264"/>
      <c r="AA106" s="264"/>
      <c r="AB106" s="265" t="str">
        <f>VLOOKUP(功能_33[[#This Row],[User]],SKL放款!A:G,7,FALSE)</f>
        <v>放款服務課</v>
      </c>
      <c r="AC106" s="272">
        <v>44496</v>
      </c>
      <c r="AD106" s="272" t="s">
        <v>168</v>
      </c>
      <c r="AE106" s="272">
        <v>44525</v>
      </c>
      <c r="AF106" s="272">
        <v>44524</v>
      </c>
      <c r="AG106" s="209">
        <v>44539</v>
      </c>
      <c r="AH106" s="272"/>
      <c r="AI106" s="272"/>
      <c r="AJ106" s="322"/>
      <c r="AK106" s="272">
        <f>IFERROR(IF(VLOOKUP(功能_33[[#This Row],[功能代號]],E:U,11,FALSE)=0,"",VLOOKUP(功能_33[[#This Row],[功能代號]],E:U,11,FALSE)),"")</f>
        <v>44452</v>
      </c>
      <c r="AL106" s="272"/>
      <c r="AM106" s="272"/>
      <c r="AN106" s="265"/>
      <c r="AO106" s="272"/>
      <c r="AP106" s="281" t="s">
        <v>2628</v>
      </c>
      <c r="AQ106" s="206" t="s">
        <v>2629</v>
      </c>
      <c r="AR106" s="593" t="s">
        <v>3207</v>
      </c>
      <c r="AS106" s="483" t="str">
        <f>IF(COUNTA(AG106)=1,LEFT(D106,3),"")</f>
        <v>4-7</v>
      </c>
      <c r="AT106" s="485" t="str">
        <f>IF(AND(COUNTA(O106)=1,COUNTA(P106)=1,COUNTA(AC106)=1,COUNTA(AF106)=1,COUNTA(AG106)=0),LEFT(D106,3),"")</f>
        <v/>
      </c>
      <c r="AU106" s="487" t="str">
        <f>IF(AND(COUNTA(O106)=1,COUNTA(P106)=1,COUNTA(AC106)=1,COUNTA(AF106)=0,COUNTA(AG106)=0),LEFT(D106,3),"")</f>
        <v/>
      </c>
      <c r="AV106" s="489" t="str">
        <f>IF(AND(COUNTA(P106)=0,COUNTA(AC106)=1),LEFT(D106,3),"")</f>
        <v/>
      </c>
      <c r="AW106" s="491" t="str">
        <f>IF(AND(COUNTA(P106)=1,COUNTA(AC106)=0),LEFT(D106,3),"")</f>
        <v/>
      </c>
      <c r="AX106" s="493" t="str">
        <f>IF(AND(COUNTA(P106)=0,COUNTA(AC106)=0),LEFT(D106,3),"")</f>
        <v/>
      </c>
      <c r="AY106" s="514" t="str">
        <f>IFERROR(VLOOKUP(功能_33[[#This Row],[功能代號]],SIT_FT_2021tmp!D:D,1,FALSE),"")</f>
        <v>L4701</v>
      </c>
      <c r="AZ106" s="587">
        <v>44532</v>
      </c>
      <c r="BA106" s="587">
        <v>44532</v>
      </c>
      <c r="BB106" s="514" t="s">
        <v>3000</v>
      </c>
      <c r="BC106" s="265" t="s">
        <v>3026</v>
      </c>
      <c r="BD106" s="593"/>
      <c r="BE106" s="264" t="str">
        <f>IF(AND(COUNTIF(AY106,"&gt;&lt;0")=1,COUNTA(M106)=1),LEFT(D106,3),"")</f>
        <v>4-7</v>
      </c>
      <c r="BF106" s="264" t="str">
        <f>IF(AND(COUNTIF(AY106,"&gt;&lt;")=1,COUNTA(M106)=0),LEFT(D106,3),"")</f>
        <v/>
      </c>
      <c r="BG106" s="264" t="str">
        <f>IF(AND(COUNTIF(AY106,"&gt;&lt;0")=0,COUNTA(M106)=1),LEFT(D106,3),"")</f>
        <v/>
      </c>
      <c r="BH106" s="264" t="str">
        <f>IF(AND(COUNTIF(AY106,"&gt;&lt;0")=0,COUNTA(M106)=0),LEFT(D106,3),"")</f>
        <v/>
      </c>
    </row>
    <row r="107" spans="1:60" ht="13.5" x14ac:dyDescent="0.3">
      <c r="B107" s="265">
        <v>1</v>
      </c>
      <c r="C107" s="265" t="s">
        <v>67</v>
      </c>
      <c r="D107" s="325" t="s">
        <v>2485</v>
      </c>
      <c r="E107" s="264" t="s">
        <v>394</v>
      </c>
      <c r="F107" s="265" t="s">
        <v>395</v>
      </c>
      <c r="G107" s="265"/>
      <c r="H107" s="264" t="s">
        <v>166</v>
      </c>
      <c r="I107" s="264" t="s">
        <v>167</v>
      </c>
      <c r="J107" s="212" t="s">
        <v>2973</v>
      </c>
      <c r="K107" s="251" t="s">
        <v>2989</v>
      </c>
      <c r="L107" s="272">
        <v>44581</v>
      </c>
      <c r="M107" s="272">
        <v>44581</v>
      </c>
      <c r="N107" s="272">
        <v>44452</v>
      </c>
      <c r="O107" s="272">
        <v>44452</v>
      </c>
      <c r="P107" s="272">
        <f>IFERROR(IF(VLOOKUP(功能_33[[#This Row],[功能代號]],討論項目!A:H,8,FALSE)=0,"",VLOOKUP(功能_33[[#This Row],[功能代號]],討論項目!A:H,8,FALSE)),"")</f>
        <v>44487</v>
      </c>
      <c r="Q107" s="264" t="s">
        <v>2</v>
      </c>
      <c r="R107" s="264" t="s">
        <v>15</v>
      </c>
      <c r="S107" s="264" t="s">
        <v>15</v>
      </c>
      <c r="X107" s="264"/>
      <c r="Z107" s="264"/>
      <c r="AA107" s="264"/>
      <c r="AB107" s="265" t="str">
        <f>VLOOKUP(功能_33[[#This Row],[User]],SKL放款!A:G,7,FALSE)</f>
        <v>放款服務課</v>
      </c>
      <c r="AC107" s="272">
        <v>44496</v>
      </c>
      <c r="AD107" s="272">
        <v>44488</v>
      </c>
      <c r="AE107" s="272">
        <v>44496</v>
      </c>
      <c r="AF107" s="272">
        <v>44496</v>
      </c>
      <c r="AG107" s="209" t="s">
        <v>2974</v>
      </c>
      <c r="AH107" s="272" t="s">
        <v>169</v>
      </c>
      <c r="AI107" s="272"/>
      <c r="AJ107" s="322"/>
      <c r="AK107" s="272">
        <f>IFERROR(IF(VLOOKUP(功能_33[[#This Row],[功能代號]],E:U,11,FALSE)=0,"",VLOOKUP(功能_33[[#This Row],[功能代號]],E:U,11,FALSE)),"")</f>
        <v>44452</v>
      </c>
      <c r="AL107" s="272"/>
      <c r="AM107" s="272"/>
      <c r="AN107" s="265"/>
      <c r="AO107" s="272"/>
      <c r="AP107" s="264">
        <v>338</v>
      </c>
      <c r="AQ107" s="265" t="s">
        <v>396</v>
      </c>
      <c r="AR107" s="593" t="s">
        <v>3207</v>
      </c>
      <c r="AS107" s="483" t="str">
        <f>IF(COUNTA(AG107)=1,LEFT(D107,3),"")</f>
        <v>3-3</v>
      </c>
      <c r="AT107" s="485" t="str">
        <f>IF(AND(COUNTA(O107)=1,COUNTA(P107)=1,COUNTA(AC107)=1,COUNTA(AF107)=1,COUNTA(AG107)=0),LEFT(D107,3),"")</f>
        <v/>
      </c>
      <c r="AU107" s="487" t="str">
        <f>IF(AND(COUNTA(O107)=1,COUNTA(P107)=1,COUNTA(AC107)=1,COUNTA(AF107)=0,COUNTA(AG107)=0),LEFT(D107,3),"")</f>
        <v/>
      </c>
      <c r="AV107" s="489" t="str">
        <f>IF(AND(COUNTA(P107)=0,COUNTA(AC107)=1),LEFT(D107,3),"")</f>
        <v/>
      </c>
      <c r="AW107" s="491" t="str">
        <f>IF(AND(COUNTA(P107)=1,COUNTA(AC107)=0),LEFT(D107,3),"")</f>
        <v/>
      </c>
      <c r="AX107" s="493" t="str">
        <f>IF(AND(COUNTA(P107)=0,COUNTA(AC107)=0),LEFT(D107,3),"")</f>
        <v/>
      </c>
      <c r="AY107" s="514" t="str">
        <f>IFERROR(VLOOKUP(功能_33[[#This Row],[功能代號]],SIT_FT_2021tmp!D:D,1,FALSE),"")</f>
        <v>L3007</v>
      </c>
      <c r="AZ107" s="587">
        <v>44532</v>
      </c>
      <c r="BA107" s="587">
        <v>44532</v>
      </c>
      <c r="BB107" s="514" t="s">
        <v>3000</v>
      </c>
      <c r="BC107" s="265" t="s">
        <v>3026</v>
      </c>
      <c r="BD107" s="593"/>
      <c r="BE107" s="264" t="str">
        <f>IF(AND(COUNTIF(AY107,"&gt;&lt;0")=1,COUNTA(M107)=1),LEFT(D107,3),"")</f>
        <v>3-3</v>
      </c>
      <c r="BF107" s="264" t="str">
        <f>IF(AND(COUNTIF(AY107,"&gt;&lt;")=1,COUNTA(M107)=0),LEFT(D107,3),"")</f>
        <v/>
      </c>
      <c r="BG107" s="264" t="str">
        <f>IF(AND(COUNTIF(AY107,"&gt;&lt;0")=0,COUNTA(M107)=1),LEFT(D107,3),"")</f>
        <v/>
      </c>
      <c r="BH107" s="264" t="str">
        <f>IF(AND(COUNTIF(AY107,"&gt;&lt;0")=0,COUNTA(M107)=0),LEFT(D107,3),"")</f>
        <v/>
      </c>
    </row>
    <row r="108" spans="1:60" ht="40.5" x14ac:dyDescent="0.3">
      <c r="B108" s="265">
        <v>1</v>
      </c>
      <c r="C108" s="265" t="s">
        <v>67</v>
      </c>
      <c r="D108" s="325" t="s">
        <v>2485</v>
      </c>
      <c r="E108" s="264" t="s">
        <v>397</v>
      </c>
      <c r="F108" s="265" t="s">
        <v>398</v>
      </c>
      <c r="G108" s="265"/>
      <c r="H108" s="264" t="s">
        <v>166</v>
      </c>
      <c r="I108" s="264" t="s">
        <v>167</v>
      </c>
      <c r="J108" s="212" t="s">
        <v>283</v>
      </c>
      <c r="K108" s="212"/>
      <c r="L108" s="272">
        <v>44580</v>
      </c>
      <c r="M108" s="272">
        <v>44581</v>
      </c>
      <c r="N108" s="272">
        <v>44452</v>
      </c>
      <c r="O108" s="272">
        <v>44452</v>
      </c>
      <c r="P108" s="272">
        <f>IFERROR(IF(VLOOKUP(功能_33[[#This Row],[功能代號]],討論項目!A:H,8,FALSE)=0,"",VLOOKUP(功能_33[[#This Row],[功能代號]],討論項目!A:H,8,FALSE)),"")</f>
        <v>44487</v>
      </c>
      <c r="Q108" s="264" t="s">
        <v>2</v>
      </c>
      <c r="R108" s="264" t="s">
        <v>15</v>
      </c>
      <c r="S108" s="264" t="s">
        <v>15</v>
      </c>
      <c r="X108" s="264"/>
      <c r="Z108" s="264"/>
      <c r="AA108" s="264"/>
      <c r="AB108" s="265" t="str">
        <f>VLOOKUP(功能_33[[#This Row],[User]],SKL放款!A:G,7,FALSE)</f>
        <v>放款服務課</v>
      </c>
      <c r="AC108" s="272">
        <v>44496</v>
      </c>
      <c r="AD108" s="272">
        <v>44488</v>
      </c>
      <c r="AE108" s="272">
        <v>44496</v>
      </c>
      <c r="AF108" s="272">
        <v>44496</v>
      </c>
      <c r="AG108" s="209">
        <v>44512</v>
      </c>
      <c r="AH108" s="272" t="s">
        <v>169</v>
      </c>
      <c r="AI108" s="272"/>
      <c r="AJ108" s="322"/>
      <c r="AK108" s="272">
        <f>IFERROR(IF(VLOOKUP(功能_33[[#This Row],[功能代號]],E:U,11,FALSE)=0,"",VLOOKUP(功能_33[[#This Row],[功能代號]],E:U,11,FALSE)),"")</f>
        <v>44452</v>
      </c>
      <c r="AL108" s="272"/>
      <c r="AM108" s="272"/>
      <c r="AN108" s="265"/>
      <c r="AO108" s="272"/>
      <c r="AP108" s="281" t="s">
        <v>2672</v>
      </c>
      <c r="AQ108" s="206" t="s">
        <v>2673</v>
      </c>
      <c r="AR108" s="593" t="s">
        <v>3207</v>
      </c>
      <c r="AS108" s="483" t="str">
        <f>IF(COUNTA(AG108)=1,LEFT(D108,3),"")</f>
        <v>3-3</v>
      </c>
      <c r="AT108" s="485" t="str">
        <f>IF(AND(COUNTA(O108)=1,COUNTA(P108)=1,COUNTA(AC108)=1,COUNTA(AF108)=1,COUNTA(AG108)=0),LEFT(D108,3),"")</f>
        <v/>
      </c>
      <c r="AU108" s="487" t="str">
        <f>IF(AND(COUNTA(O108)=1,COUNTA(P108)=1,COUNTA(AC108)=1,COUNTA(AF108)=0,COUNTA(AG108)=0),LEFT(D108,3),"")</f>
        <v/>
      </c>
      <c r="AV108" s="489" t="str">
        <f>IF(AND(COUNTA(P108)=0,COUNTA(AC108)=1),LEFT(D108,3),"")</f>
        <v/>
      </c>
      <c r="AW108" s="491" t="str">
        <f>IF(AND(COUNTA(P108)=1,COUNTA(AC108)=0),LEFT(D108,3),"")</f>
        <v/>
      </c>
      <c r="AX108" s="493" t="str">
        <f>IF(AND(COUNTA(P108)=0,COUNTA(AC108)=0),LEFT(D108,3),"")</f>
        <v/>
      </c>
      <c r="AY108" s="514" t="str">
        <f>IFERROR(VLOOKUP(功能_33[[#This Row],[功能代號]],SIT_FT_2021tmp!D:D,1,FALSE),"")</f>
        <v>L3009</v>
      </c>
      <c r="AZ108" s="587">
        <v>44532</v>
      </c>
      <c r="BA108" s="587">
        <v>44532</v>
      </c>
      <c r="BB108" s="514" t="s">
        <v>3000</v>
      </c>
      <c r="BC108" s="265" t="s">
        <v>3026</v>
      </c>
      <c r="BD108" s="593"/>
      <c r="BE108" s="264" t="str">
        <f>IF(AND(COUNTIF(AY108,"&gt;&lt;0")=1,COUNTA(M108)=1),LEFT(D108,3),"")</f>
        <v>3-3</v>
      </c>
      <c r="BF108" s="264" t="str">
        <f>IF(AND(COUNTIF(AY108,"&gt;&lt;")=1,COUNTA(M108)=0),LEFT(D108,3),"")</f>
        <v/>
      </c>
      <c r="BG108" s="264" t="str">
        <f>IF(AND(COUNTIF(AY108,"&gt;&lt;0")=0,COUNTA(M108)=1),LEFT(D108,3),"")</f>
        <v/>
      </c>
      <c r="BH108" s="264" t="str">
        <f>IF(AND(COUNTIF(AY108,"&gt;&lt;0")=0,COUNTA(M108)=0),LEFT(D108,3),"")</f>
        <v/>
      </c>
    </row>
    <row r="109" spans="1:60" ht="13.5" x14ac:dyDescent="0.3">
      <c r="B109" s="265">
        <v>1</v>
      </c>
      <c r="C109" s="265" t="s">
        <v>67</v>
      </c>
      <c r="D109" s="325" t="s">
        <v>2485</v>
      </c>
      <c r="E109" s="264" t="s">
        <v>399</v>
      </c>
      <c r="F109" s="265" t="s">
        <v>400</v>
      </c>
      <c r="G109" s="265"/>
      <c r="H109" s="264" t="s">
        <v>166</v>
      </c>
      <c r="I109" s="264" t="s">
        <v>167</v>
      </c>
      <c r="J109" s="212" t="s">
        <v>2973</v>
      </c>
      <c r="K109" s="251" t="s">
        <v>2989</v>
      </c>
      <c r="L109" s="272">
        <v>44580</v>
      </c>
      <c r="M109" s="272">
        <v>44581</v>
      </c>
      <c r="N109" s="272">
        <v>44452</v>
      </c>
      <c r="O109" s="272">
        <v>44452</v>
      </c>
      <c r="P109" s="272">
        <f>IFERROR(IF(VLOOKUP(功能_33[[#This Row],[功能代號]],討論項目!A:H,8,FALSE)=0,"",VLOOKUP(功能_33[[#This Row],[功能代號]],討論項目!A:H,8,FALSE)),"")</f>
        <v>44487</v>
      </c>
      <c r="Q109" s="264" t="s">
        <v>2</v>
      </c>
      <c r="R109" s="264" t="s">
        <v>15</v>
      </c>
      <c r="S109" s="264" t="s">
        <v>15</v>
      </c>
      <c r="X109" s="264"/>
      <c r="Z109" s="264"/>
      <c r="AA109" s="264"/>
      <c r="AB109" s="265" t="str">
        <f>VLOOKUP(功能_33[[#This Row],[User]],SKL放款!A:G,7,FALSE)</f>
        <v>放款服務課</v>
      </c>
      <c r="AC109" s="272">
        <v>44496</v>
      </c>
      <c r="AD109" s="272">
        <v>44488</v>
      </c>
      <c r="AE109" s="272">
        <v>44496</v>
      </c>
      <c r="AF109" s="272">
        <v>44496</v>
      </c>
      <c r="AG109" s="209" t="s">
        <v>2974</v>
      </c>
      <c r="AH109" s="272" t="s">
        <v>169</v>
      </c>
      <c r="AI109" s="272"/>
      <c r="AJ109" s="322"/>
      <c r="AK109" s="272">
        <f>IFERROR(IF(VLOOKUP(功能_33[[#This Row],[功能代號]],E:U,11,FALSE)=0,"",VLOOKUP(功能_33[[#This Row],[功能代號]],E:U,11,FALSE)),"")</f>
        <v>44452</v>
      </c>
      <c r="AL109" s="272"/>
      <c r="AM109" s="272"/>
      <c r="AN109" s="265"/>
      <c r="AO109" s="272"/>
      <c r="AP109" s="264" t="s">
        <v>163</v>
      </c>
      <c r="AQ109" s="264" t="s">
        <v>163</v>
      </c>
      <c r="AR109" s="593" t="s">
        <v>3207</v>
      </c>
      <c r="AS109" s="483" t="str">
        <f>IF(COUNTA(AG109)=1,LEFT(D109,3),"")</f>
        <v>3-3</v>
      </c>
      <c r="AT109" s="485" t="str">
        <f>IF(AND(COUNTA(O109)=1,COUNTA(P109)=1,COUNTA(AC109)=1,COUNTA(AF109)=1,COUNTA(AG109)=0),LEFT(D109,3),"")</f>
        <v/>
      </c>
      <c r="AU109" s="487" t="str">
        <f>IF(AND(COUNTA(O109)=1,COUNTA(P109)=1,COUNTA(AC109)=1,COUNTA(AF109)=0,COUNTA(AG109)=0),LEFT(D109,3),"")</f>
        <v/>
      </c>
      <c r="AV109" s="489" t="str">
        <f>IF(AND(COUNTA(P109)=0,COUNTA(AC109)=1),LEFT(D109,3),"")</f>
        <v/>
      </c>
      <c r="AW109" s="491" t="str">
        <f>IF(AND(COUNTA(P109)=1,COUNTA(AC109)=0),LEFT(D109,3),"")</f>
        <v/>
      </c>
      <c r="AX109" s="493" t="str">
        <f>IF(AND(COUNTA(P109)=0,COUNTA(AC109)=0),LEFT(D109,3),"")</f>
        <v/>
      </c>
      <c r="AY109" s="514" t="str">
        <f>IFERROR(VLOOKUP(功能_33[[#This Row],[功能代號]],SIT_FT_2021tmp!D:D,1,FALSE),"")</f>
        <v>L3943</v>
      </c>
      <c r="AZ109" s="587">
        <v>44532</v>
      </c>
      <c r="BA109" s="587">
        <v>44532</v>
      </c>
      <c r="BB109" s="514" t="s">
        <v>3000</v>
      </c>
      <c r="BC109" s="265" t="s">
        <v>3026</v>
      </c>
      <c r="BD109" s="593"/>
      <c r="BE109" s="264" t="str">
        <f>IF(AND(COUNTIF(AY109,"&gt;&lt;0")=1,COUNTA(M109)=1),LEFT(D109,3),"")</f>
        <v>3-3</v>
      </c>
      <c r="BF109" s="264" t="str">
        <f>IF(AND(COUNTIF(AY109,"&gt;&lt;")=1,COUNTA(M109)=0),LEFT(D109,3),"")</f>
        <v/>
      </c>
      <c r="BG109" s="264" t="str">
        <f>IF(AND(COUNTIF(AY109,"&gt;&lt;0")=0,COUNTA(M109)=1),LEFT(D109,3),"")</f>
        <v/>
      </c>
      <c r="BH109" s="264" t="str">
        <f>IF(AND(COUNTIF(AY109,"&gt;&lt;0")=0,COUNTA(M109)=0),LEFT(D109,3),"")</f>
        <v/>
      </c>
    </row>
    <row r="110" spans="1:60" ht="13.5" x14ac:dyDescent="0.3">
      <c r="C110" s="265" t="s">
        <v>66</v>
      </c>
      <c r="D110" s="265" t="s">
        <v>2491</v>
      </c>
      <c r="E110" s="264" t="s">
        <v>401</v>
      </c>
      <c r="F110" s="265" t="s">
        <v>402</v>
      </c>
      <c r="G110" s="265"/>
      <c r="H110" s="264" t="s">
        <v>166</v>
      </c>
      <c r="I110" s="264" t="s">
        <v>176</v>
      </c>
      <c r="J110" s="212" t="s">
        <v>2842</v>
      </c>
      <c r="K110" s="212"/>
      <c r="L110" s="272">
        <v>44558</v>
      </c>
      <c r="M110" s="272">
        <v>44558</v>
      </c>
      <c r="N110" s="272">
        <v>44453</v>
      </c>
      <c r="O110" s="272">
        <v>44453</v>
      </c>
      <c r="P110" s="272">
        <f>IFERROR(IF(VLOOKUP(功能_33[[#This Row],[功能代號]],討論項目!A:H,8,FALSE)=0,"",VLOOKUP(功能_33[[#This Row],[功能代號]],討論項目!A:H,8,FALSE)),"")</f>
        <v>44461</v>
      </c>
      <c r="Q110" s="264" t="s">
        <v>6</v>
      </c>
      <c r="R110" s="264" t="s">
        <v>5</v>
      </c>
      <c r="S110" s="264" t="s">
        <v>5</v>
      </c>
      <c r="X110" s="264"/>
      <c r="Z110" s="264"/>
      <c r="AA110" s="264"/>
      <c r="AB110" s="265" t="str">
        <f>VLOOKUP(功能_33[[#This Row],[User]],SKL放款!A:G,7,FALSE)</f>
        <v>放款服務課</v>
      </c>
      <c r="AC110" s="272">
        <v>44533</v>
      </c>
      <c r="AD110" s="272">
        <v>44470</v>
      </c>
      <c r="AE110" s="272">
        <f>IF(功能_33[[#This Row],[URS交二審]]=0,"",功能_33[[#This Row],[URS交二審]]+7)</f>
        <v>44477</v>
      </c>
      <c r="AF110" s="272">
        <f>IF(功能_33[[#This Row],[URS交二審]]=0,"",功能_33[[#This Row],[URS交二審]]+7)</f>
        <v>44477</v>
      </c>
      <c r="AG110" s="209">
        <v>44546</v>
      </c>
      <c r="AH110" s="272" t="s">
        <v>169</v>
      </c>
      <c r="AI110" s="272"/>
      <c r="AJ110" s="322"/>
      <c r="AK110" s="272">
        <f>IFERROR(IF(VLOOKUP(功能_33[[#This Row],[功能代號]],E:U,11,FALSE)=0,"",VLOOKUP(功能_33[[#This Row],[功能代號]],E:U,11,FALSE)),"")</f>
        <v>44453</v>
      </c>
      <c r="AL110" s="272"/>
      <c r="AM110" s="272"/>
      <c r="AN110" s="265"/>
      <c r="AO110" s="272"/>
      <c r="AP110" s="264" t="s">
        <v>403</v>
      </c>
      <c r="AQ110" s="265" t="s">
        <v>404</v>
      </c>
      <c r="AR110" s="593" t="s">
        <v>3207</v>
      </c>
      <c r="AS110" s="483" t="str">
        <f>IF(COUNTA(AG110)=1,LEFT(D110,3),"")</f>
        <v>2-9</v>
      </c>
      <c r="AT110" s="485" t="str">
        <f>IF(AND(COUNTA(O110)=1,COUNTA(P110)=1,COUNTA(AC110)=1,COUNTA(AF110)=1,COUNTA(AG110)=0),LEFT(D110,3),"")</f>
        <v/>
      </c>
      <c r="AU110" s="487" t="str">
        <f>IF(AND(COUNTA(O110)=1,COUNTA(P110)=1,COUNTA(AC110)=1,COUNTA(AF110)=0,COUNTA(AG110)=0),LEFT(D110,3),"")</f>
        <v/>
      </c>
      <c r="AV110" s="489" t="str">
        <f>IF(AND(COUNTA(P110)=0,COUNTA(AC110)=1),LEFT(D110,3),"")</f>
        <v/>
      </c>
      <c r="AW110" s="491" t="str">
        <f>IF(AND(COUNTA(P110)=1,COUNTA(AC110)=0),LEFT(D110,3),"")</f>
        <v/>
      </c>
      <c r="AX110" s="493" t="str">
        <f>IF(AND(COUNTA(P110)=0,COUNTA(AC110)=0),LEFT(D110,3),"")</f>
        <v/>
      </c>
      <c r="AY110" s="514" t="str">
        <f>IFERROR(VLOOKUP(功能_33[[#This Row],[功能代號]],SIT_FT_2021tmp!D:D,1,FALSE),"")</f>
        <v>L2061</v>
      </c>
      <c r="AZ110" s="587">
        <v>44559</v>
      </c>
      <c r="BA110" s="587">
        <v>44559</v>
      </c>
      <c r="BB110" s="514" t="s">
        <v>3073</v>
      </c>
      <c r="BC110" s="265" t="s">
        <v>3022</v>
      </c>
      <c r="BD110" s="593"/>
      <c r="BE110" s="264" t="str">
        <f>IF(AND(COUNTIF(AY110,"&gt;&lt;0")=1,COUNTA(M110)=1),LEFT(D110,3),"")</f>
        <v>2-9</v>
      </c>
      <c r="BF110" s="264" t="str">
        <f>IF(AND(COUNTIF(AY110,"&gt;&lt;")=1,COUNTA(M110)=0),LEFT(D110,3),"")</f>
        <v/>
      </c>
      <c r="BG110" s="264" t="str">
        <f>IF(AND(COUNTIF(AY110,"&gt;&lt;0")=0,COUNTA(M110)=1),LEFT(D110,3),"")</f>
        <v/>
      </c>
      <c r="BH110" s="264" t="str">
        <f>IF(AND(COUNTIF(AY110,"&gt;&lt;0")=0,COUNTA(M110)=0),LEFT(D110,3),"")</f>
        <v/>
      </c>
    </row>
    <row r="111" spans="1:60" ht="13.5" x14ac:dyDescent="0.3">
      <c r="C111" s="265" t="s">
        <v>66</v>
      </c>
      <c r="D111" s="265" t="s">
        <v>2491</v>
      </c>
      <c r="E111" s="264" t="s">
        <v>405</v>
      </c>
      <c r="F111" s="265" t="s">
        <v>406</v>
      </c>
      <c r="G111" s="265"/>
      <c r="H111" s="264" t="s">
        <v>166</v>
      </c>
      <c r="I111" s="264" t="s">
        <v>176</v>
      </c>
      <c r="J111" s="212" t="s">
        <v>2842</v>
      </c>
      <c r="K111" s="212"/>
      <c r="L111" s="272">
        <v>44558</v>
      </c>
      <c r="M111" s="272">
        <v>44558</v>
      </c>
      <c r="N111" s="272">
        <v>44453</v>
      </c>
      <c r="O111" s="272">
        <v>44453</v>
      </c>
      <c r="P111" s="272">
        <f>IFERROR(IF(VLOOKUP(功能_33[[#This Row],[功能代號]],討論項目!A:H,8,FALSE)=0,"",VLOOKUP(功能_33[[#This Row],[功能代號]],討論項目!A:H,8,FALSE)),"")</f>
        <v>44461</v>
      </c>
      <c r="Q111" s="264" t="s">
        <v>6</v>
      </c>
      <c r="R111" s="264" t="s">
        <v>5</v>
      </c>
      <c r="S111" s="264" t="s">
        <v>5</v>
      </c>
      <c r="X111" s="264"/>
      <c r="Z111" s="264"/>
      <c r="AA111" s="264"/>
      <c r="AB111" s="265" t="str">
        <f>VLOOKUP(功能_33[[#This Row],[User]],SKL放款!A:G,7,FALSE)</f>
        <v>放款服務課</v>
      </c>
      <c r="AC111" s="272">
        <v>44533</v>
      </c>
      <c r="AD111" s="272">
        <v>44470</v>
      </c>
      <c r="AE111" s="272">
        <f>IF(功能_33[[#This Row],[URS交二審]]=0,"",功能_33[[#This Row],[URS交二審]]+7)</f>
        <v>44477</v>
      </c>
      <c r="AF111" s="272">
        <f>IF(功能_33[[#This Row],[URS交二審]]=0,"",功能_33[[#This Row],[URS交二審]]+7)</f>
        <v>44477</v>
      </c>
      <c r="AG111" s="209">
        <v>44546</v>
      </c>
      <c r="AH111" s="272" t="s">
        <v>169</v>
      </c>
      <c r="AI111" s="272"/>
      <c r="AJ111" s="322"/>
      <c r="AK111" s="272">
        <f>IFERROR(IF(VLOOKUP(功能_33[[#This Row],[功能代號]],E:U,11,FALSE)=0,"",VLOOKUP(功能_33[[#This Row],[功能代號]],E:U,11,FALSE)),"")</f>
        <v>44453</v>
      </c>
      <c r="AL111" s="272"/>
      <c r="AM111" s="272"/>
      <c r="AN111" s="265"/>
      <c r="AO111" s="272"/>
      <c r="AP111" s="264" t="s">
        <v>403</v>
      </c>
      <c r="AQ111" s="265" t="s">
        <v>407</v>
      </c>
      <c r="AR111" s="593" t="s">
        <v>3207</v>
      </c>
      <c r="AS111" s="483" t="str">
        <f>IF(COUNTA(AG111)=1,LEFT(D111,3),"")</f>
        <v>2-9</v>
      </c>
      <c r="AT111" s="485" t="str">
        <f>IF(AND(COUNTA(O111)=1,COUNTA(P111)=1,COUNTA(AC111)=1,COUNTA(AF111)=1,COUNTA(AG111)=0),LEFT(D111,3),"")</f>
        <v/>
      </c>
      <c r="AU111" s="487" t="str">
        <f>IF(AND(COUNTA(O111)=1,COUNTA(P111)=1,COUNTA(AC111)=1,COUNTA(AF111)=0,COUNTA(AG111)=0),LEFT(D111,3),"")</f>
        <v/>
      </c>
      <c r="AV111" s="489" t="str">
        <f>IF(AND(COUNTA(P111)=0,COUNTA(AC111)=1),LEFT(D111,3),"")</f>
        <v/>
      </c>
      <c r="AW111" s="491" t="str">
        <f>IF(AND(COUNTA(P111)=1,COUNTA(AC111)=0),LEFT(D111,3),"")</f>
        <v/>
      </c>
      <c r="AX111" s="493" t="str">
        <f>IF(AND(COUNTA(P111)=0,COUNTA(AC111)=0),LEFT(D111,3),"")</f>
        <v/>
      </c>
      <c r="AY111" s="514" t="str">
        <f>IFERROR(VLOOKUP(功能_33[[#This Row],[功能代號]],SIT_FT_2021tmp!D:D,1,FALSE),"")</f>
        <v>L2670</v>
      </c>
      <c r="AZ111" s="587">
        <v>44559</v>
      </c>
      <c r="BA111" s="587">
        <v>44559</v>
      </c>
      <c r="BB111" s="514" t="s">
        <v>3073</v>
      </c>
      <c r="BC111" s="265" t="s">
        <v>3022</v>
      </c>
      <c r="BD111" s="593"/>
      <c r="BE111" s="264" t="str">
        <f>IF(AND(COUNTIF(AY111,"&gt;&lt;0")=1,COUNTA(M111)=1),LEFT(D111,3),"")</f>
        <v>2-9</v>
      </c>
      <c r="BF111" s="264" t="str">
        <f>IF(AND(COUNTIF(AY111,"&gt;&lt;")=1,COUNTA(M111)=0),LEFT(D111,3),"")</f>
        <v/>
      </c>
      <c r="BG111" s="264" t="str">
        <f>IF(AND(COUNTIF(AY111,"&gt;&lt;0")=0,COUNTA(M111)=1),LEFT(D111,3),"")</f>
        <v/>
      </c>
      <c r="BH111" s="264" t="str">
        <f>IF(AND(COUNTIF(AY111,"&gt;&lt;0")=0,COUNTA(M111)=0),LEFT(D111,3),"")</f>
        <v/>
      </c>
    </row>
    <row r="112" spans="1:60" ht="13.5" x14ac:dyDescent="0.3">
      <c r="C112" s="265" t="s">
        <v>66</v>
      </c>
      <c r="D112" s="265" t="s">
        <v>2491</v>
      </c>
      <c r="E112" s="264" t="s">
        <v>408</v>
      </c>
      <c r="F112" s="265" t="s">
        <v>409</v>
      </c>
      <c r="G112" s="265"/>
      <c r="H112" s="264" t="s">
        <v>166</v>
      </c>
      <c r="I112" s="264" t="s">
        <v>176</v>
      </c>
      <c r="J112" s="212" t="s">
        <v>2842</v>
      </c>
      <c r="K112" s="212"/>
      <c r="L112" s="272">
        <v>44558</v>
      </c>
      <c r="M112" s="272">
        <v>44558</v>
      </c>
      <c r="N112" s="272">
        <v>44453</v>
      </c>
      <c r="O112" s="272">
        <v>44453</v>
      </c>
      <c r="P112" s="272">
        <f>IFERROR(IF(VLOOKUP(功能_33[[#This Row],[功能代號]],討論項目!A:H,8,FALSE)=0,"",VLOOKUP(功能_33[[#This Row],[功能代號]],討論項目!A:H,8,FALSE)),"")</f>
        <v>44461</v>
      </c>
      <c r="Q112" s="264" t="s">
        <v>6</v>
      </c>
      <c r="R112" s="264" t="s">
        <v>5</v>
      </c>
      <c r="S112" s="264" t="s">
        <v>5</v>
      </c>
      <c r="X112" s="264"/>
      <c r="Z112" s="264"/>
      <c r="AA112" s="264"/>
      <c r="AB112" s="265" t="str">
        <f>VLOOKUP(功能_33[[#This Row],[User]],SKL放款!A:G,7,FALSE)</f>
        <v>放款服務課</v>
      </c>
      <c r="AC112" s="272">
        <v>44533</v>
      </c>
      <c r="AD112" s="272">
        <v>44470</v>
      </c>
      <c r="AE112" s="272">
        <f>IF(功能_33[[#This Row],[URS交二審]]=0,"",功能_33[[#This Row],[URS交二審]]+7)</f>
        <v>44477</v>
      </c>
      <c r="AF112" s="272">
        <f>IF(功能_33[[#This Row],[URS交二審]]=0,"",功能_33[[#This Row],[URS交二審]]+7)</f>
        <v>44477</v>
      </c>
      <c r="AG112" s="209">
        <v>44546</v>
      </c>
      <c r="AH112" s="272" t="s">
        <v>169</v>
      </c>
      <c r="AI112" s="272"/>
      <c r="AJ112" s="322"/>
      <c r="AK112" s="272">
        <f>IFERROR(IF(VLOOKUP(功能_33[[#This Row],[功能代號]],E:U,11,FALSE)=0,"",VLOOKUP(功能_33[[#This Row],[功能代號]],E:U,11,FALSE)),"")</f>
        <v>44453</v>
      </c>
      <c r="AL112" s="272"/>
      <c r="AM112" s="272"/>
      <c r="AN112" s="265"/>
      <c r="AO112" s="272"/>
      <c r="AP112" s="264" t="s">
        <v>410</v>
      </c>
      <c r="AQ112" s="265" t="s">
        <v>404</v>
      </c>
      <c r="AR112" s="593" t="s">
        <v>3207</v>
      </c>
      <c r="AS112" s="483" t="str">
        <f>IF(COUNTA(AG112)=1,LEFT(D112,3),"")</f>
        <v>2-9</v>
      </c>
      <c r="AT112" s="485" t="str">
        <f>IF(AND(COUNTA(O112)=1,COUNTA(P112)=1,COUNTA(AC112)=1,COUNTA(AF112)=1,COUNTA(AG112)=0),LEFT(D112,3),"")</f>
        <v/>
      </c>
      <c r="AU112" s="487" t="str">
        <f>IF(AND(COUNTA(O112)=1,COUNTA(P112)=1,COUNTA(AC112)=1,COUNTA(AF112)=0,COUNTA(AG112)=0),LEFT(D112,3),"")</f>
        <v/>
      </c>
      <c r="AV112" s="489" t="str">
        <f>IF(AND(COUNTA(P112)=0,COUNTA(AC112)=1),LEFT(D112,3),"")</f>
        <v/>
      </c>
      <c r="AW112" s="491" t="str">
        <f>IF(AND(COUNTA(P112)=1,COUNTA(AC112)=0),LEFT(D112,3),"")</f>
        <v/>
      </c>
      <c r="AX112" s="493" t="str">
        <f>IF(AND(COUNTA(P112)=0,COUNTA(AC112)=0),LEFT(D112,3),"")</f>
        <v/>
      </c>
      <c r="AY112" s="514" t="str">
        <f>IFERROR(VLOOKUP(功能_33[[#This Row],[功能代號]],SIT_FT_2021tmp!D:D,1,FALSE),"")</f>
        <v>L2062</v>
      </c>
      <c r="AZ112" s="587">
        <v>44559</v>
      </c>
      <c r="BA112" s="587">
        <v>44559</v>
      </c>
      <c r="BB112" s="514" t="s">
        <v>3073</v>
      </c>
      <c r="BC112" s="265" t="s">
        <v>3022</v>
      </c>
      <c r="BD112" s="593"/>
      <c r="BE112" s="264" t="str">
        <f>IF(AND(COUNTIF(AY112,"&gt;&lt;0")=1,COUNTA(M112)=1),LEFT(D112,3),"")</f>
        <v>2-9</v>
      </c>
      <c r="BF112" s="264" t="str">
        <f>IF(AND(COUNTIF(AY112,"&gt;&lt;")=1,COUNTA(M112)=0),LEFT(D112,3),"")</f>
        <v/>
      </c>
      <c r="BG112" s="264" t="str">
        <f>IF(AND(COUNTIF(AY112,"&gt;&lt;0")=0,COUNTA(M112)=1),LEFT(D112,3),"")</f>
        <v/>
      </c>
      <c r="BH112" s="264" t="str">
        <f>IF(AND(COUNTIF(AY112,"&gt;&lt;0")=0,COUNTA(M112)=0),LEFT(D112,3),"")</f>
        <v/>
      </c>
    </row>
    <row r="113" spans="3:60" ht="13.5" x14ac:dyDescent="0.3">
      <c r="C113" s="265" t="s">
        <v>68</v>
      </c>
      <c r="D113" s="265" t="s">
        <v>411</v>
      </c>
      <c r="E113" s="264" t="s">
        <v>412</v>
      </c>
      <c r="F113" s="265" t="s">
        <v>413</v>
      </c>
      <c r="G113" s="265"/>
      <c r="H113" s="264" t="s">
        <v>166</v>
      </c>
      <c r="I113" s="264" t="s">
        <v>2433</v>
      </c>
      <c r="J113" s="212" t="s">
        <v>2586</v>
      </c>
      <c r="K113" s="212"/>
      <c r="L113" s="272">
        <v>44572</v>
      </c>
      <c r="M113" s="272">
        <v>44571</v>
      </c>
      <c r="N113" s="272">
        <v>44455</v>
      </c>
      <c r="O113" s="272">
        <v>44455</v>
      </c>
      <c r="P113" s="272">
        <v>44523</v>
      </c>
      <c r="Q113" s="264" t="s">
        <v>4</v>
      </c>
      <c r="R113" s="264" t="s">
        <v>15</v>
      </c>
      <c r="S113" s="264" t="s">
        <v>15</v>
      </c>
      <c r="X113" s="264"/>
      <c r="Z113" s="264"/>
      <c r="AA113" s="264"/>
      <c r="AB113" s="265" t="str">
        <f>VLOOKUP(功能_33[[#This Row],[User]],SKL放款!A:G,7,FALSE)</f>
        <v>放款服務課</v>
      </c>
      <c r="AC113" s="272">
        <v>44533</v>
      </c>
      <c r="AD113" s="272" t="s">
        <v>168</v>
      </c>
      <c r="AE113" s="272">
        <v>44524</v>
      </c>
      <c r="AF113" s="272">
        <v>44524</v>
      </c>
      <c r="AG113" s="209">
        <v>44539</v>
      </c>
      <c r="AH113" s="272"/>
      <c r="AI113" s="272"/>
      <c r="AJ113" s="322"/>
      <c r="AK113" s="272">
        <f>IFERROR(IF(VLOOKUP(功能_33[[#This Row],[功能代號]],E:U,11,FALSE)=0,"",VLOOKUP(功能_33[[#This Row],[功能代號]],E:U,11,FALSE)),"")</f>
        <v>44455</v>
      </c>
      <c r="AL113" s="272"/>
      <c r="AM113" s="272"/>
      <c r="AN113" s="265"/>
      <c r="AO113" s="272"/>
      <c r="AP113" s="264" t="s">
        <v>2603</v>
      </c>
      <c r="AQ113" s="264" t="s">
        <v>163</v>
      </c>
      <c r="AR113" s="593" t="s">
        <v>3207</v>
      </c>
      <c r="AS113" s="483" t="str">
        <f>IF(COUNTA(AG113)=1,LEFT(D113,3),"")</f>
        <v>4-6</v>
      </c>
      <c r="AT113" s="485" t="str">
        <f>IF(AND(COUNTA(O113)=1,COUNTA(P113)=1,COUNTA(AC113)=1,COUNTA(AF113)=1,COUNTA(AG113)=0),LEFT(D113,3),"")</f>
        <v/>
      </c>
      <c r="AU113" s="487" t="str">
        <f>IF(AND(COUNTA(O113)=1,COUNTA(P113)=1,COUNTA(AC113)=1,COUNTA(AF113)=0,COUNTA(AG113)=0),LEFT(D113,3),"")</f>
        <v/>
      </c>
      <c r="AV113" s="489" t="str">
        <f>IF(AND(COUNTA(P113)=0,COUNTA(AC113)=1),LEFT(D113,3),"")</f>
        <v/>
      </c>
      <c r="AW113" s="491" t="str">
        <f>IF(AND(COUNTA(P113)=1,COUNTA(AC113)=0),LEFT(D113,3),"")</f>
        <v/>
      </c>
      <c r="AX113" s="493" t="str">
        <f>IF(AND(COUNTA(P113)=0,COUNTA(AC113)=0),LEFT(D113,3),"")</f>
        <v/>
      </c>
      <c r="AY113" s="514" t="str">
        <f>IFERROR(VLOOKUP(功能_33[[#This Row],[功能代號]],SIT_FT_2021tmp!D:D,1,FALSE),"")</f>
        <v>L4060</v>
      </c>
      <c r="AZ113" s="587">
        <v>44524</v>
      </c>
      <c r="BA113" s="587">
        <v>44524</v>
      </c>
      <c r="BB113" s="514" t="s">
        <v>3073</v>
      </c>
      <c r="BC113" s="265" t="s">
        <v>3006</v>
      </c>
      <c r="BD113" s="593"/>
      <c r="BE113" s="264" t="str">
        <f>IF(AND(COUNTIF(AY113,"&gt;&lt;0")=1,COUNTA(M113)=1),LEFT(D113,3),"")</f>
        <v>4-6</v>
      </c>
      <c r="BF113" s="264" t="str">
        <f>IF(AND(COUNTIF(AY113,"&gt;&lt;")=1,COUNTA(M113)=0),LEFT(D113,3),"")</f>
        <v/>
      </c>
      <c r="BG113" s="264" t="str">
        <f>IF(AND(COUNTIF(AY113,"&gt;&lt;0")=0,COUNTA(M113)=1),LEFT(D113,3),"")</f>
        <v/>
      </c>
      <c r="BH113" s="264" t="str">
        <f>IF(AND(COUNTIF(AY113,"&gt;&lt;0")=0,COUNTA(M113)=0),LEFT(D113,3),"")</f>
        <v/>
      </c>
    </row>
    <row r="114" spans="3:60" ht="13.5" x14ac:dyDescent="0.3">
      <c r="C114" s="265" t="s">
        <v>68</v>
      </c>
      <c r="D114" s="265" t="s">
        <v>411</v>
      </c>
      <c r="E114" s="264" t="s">
        <v>414</v>
      </c>
      <c r="F114" s="265" t="s">
        <v>415</v>
      </c>
      <c r="G114" s="265"/>
      <c r="H114" s="264" t="s">
        <v>166</v>
      </c>
      <c r="I114" s="264" t="s">
        <v>2433</v>
      </c>
      <c r="J114" s="212" t="s">
        <v>3191</v>
      </c>
      <c r="K114" s="212" t="s">
        <v>3107</v>
      </c>
      <c r="L114" s="272">
        <v>44572</v>
      </c>
      <c r="M114" s="272">
        <v>44571</v>
      </c>
      <c r="N114" s="272">
        <v>44455</v>
      </c>
      <c r="O114" s="272">
        <v>44455</v>
      </c>
      <c r="P114" s="272">
        <v>44533</v>
      </c>
      <c r="Q114" s="264" t="s">
        <v>4</v>
      </c>
      <c r="R114" s="264" t="s">
        <v>15</v>
      </c>
      <c r="S114" s="264" t="s">
        <v>15</v>
      </c>
      <c r="X114" s="264"/>
      <c r="Z114" s="264"/>
      <c r="AA114" s="264"/>
      <c r="AB114" s="265" t="str">
        <f>VLOOKUP(功能_33[[#This Row],[User]],SKL放款!A:G,7,FALSE)</f>
        <v>放款服務課</v>
      </c>
      <c r="AC114" s="272">
        <v>44533</v>
      </c>
      <c r="AD114" s="272" t="s">
        <v>2394</v>
      </c>
      <c r="AE114" s="272">
        <v>44524</v>
      </c>
      <c r="AF114" s="272">
        <v>44524</v>
      </c>
      <c r="AG114" s="209" t="s">
        <v>3190</v>
      </c>
      <c r="AH114" s="272"/>
      <c r="AI114" s="272"/>
      <c r="AJ114" s="322"/>
      <c r="AK114" s="272">
        <f>IFERROR(IF(VLOOKUP(功能_33[[#This Row],[功能代號]],E:U,11,FALSE)=0,"",VLOOKUP(功能_33[[#This Row],[功能代號]],E:U,11,FALSE)),"")</f>
        <v>44455</v>
      </c>
      <c r="AL114" s="272"/>
      <c r="AM114" s="272"/>
      <c r="AN114" s="265"/>
      <c r="AO114" s="211">
        <f>功能_33[[#This Row],[實際展示]]</f>
        <v>44455</v>
      </c>
      <c r="AP114" s="264" t="s">
        <v>2589</v>
      </c>
      <c r="AQ114" s="265" t="s">
        <v>2587</v>
      </c>
      <c r="AR114" s="593" t="s">
        <v>3224</v>
      </c>
      <c r="AS114" s="483" t="str">
        <f>IF(COUNTA(AG114)=1,LEFT(D114,3),"")</f>
        <v>4-6</v>
      </c>
      <c r="AT114" s="485" t="str">
        <f>IF(AND(COUNTA(O114)=1,COUNTA(P114)=1,COUNTA(AC114)=1,COUNTA(AF114)=1,COUNTA(AG114)=0),LEFT(D114,3),"")</f>
        <v/>
      </c>
      <c r="AU114" s="487" t="str">
        <f>IF(AND(COUNTA(O114)=1,COUNTA(P114)=1,COUNTA(AC114)=1,COUNTA(AF114)=0,COUNTA(AG114)=0),LEFT(D114,3),"")</f>
        <v/>
      </c>
      <c r="AV114" s="489" t="str">
        <f>IF(AND(COUNTA(P114)=0,COUNTA(AC114)=1),LEFT(D114,3),"")</f>
        <v/>
      </c>
      <c r="AW114" s="491" t="str">
        <f>IF(AND(COUNTA(P114)=1,COUNTA(AC114)=0),LEFT(D114,3),"")</f>
        <v/>
      </c>
      <c r="AX114" s="493" t="str">
        <f>IF(AND(COUNTA(P114)=0,COUNTA(AC114)=0),LEFT(D114,3),"")</f>
        <v/>
      </c>
      <c r="AY114" s="514" t="str">
        <f>IFERROR(VLOOKUP(功能_33[[#This Row],[功能代號]],SIT_FT_2021tmp!D:D,1,FALSE),"")</f>
        <v>L4610</v>
      </c>
      <c r="AZ114" s="587">
        <v>44536</v>
      </c>
      <c r="BA114" s="587">
        <v>44536</v>
      </c>
      <c r="BB114" s="514" t="s">
        <v>3000</v>
      </c>
      <c r="BC114" s="265" t="s">
        <v>3029</v>
      </c>
      <c r="BD114" s="593"/>
      <c r="BE114" s="264" t="str">
        <f>IF(AND(COUNTIF(AY114,"&gt;&lt;0")=1,COUNTA(M114)=1),LEFT(D114,3),"")</f>
        <v>4-6</v>
      </c>
      <c r="BF114" s="264" t="str">
        <f>IF(AND(COUNTIF(AY114,"&gt;&lt;")=1,COUNTA(M114)=0),LEFT(D114,3),"")</f>
        <v/>
      </c>
      <c r="BG114" s="264" t="str">
        <f>IF(AND(COUNTIF(AY114,"&gt;&lt;0")=0,COUNTA(M114)=1),LEFT(D114,3),"")</f>
        <v/>
      </c>
      <c r="BH114" s="264" t="str">
        <f>IF(AND(COUNTIF(AY114,"&gt;&lt;0")=0,COUNTA(M114)=0),LEFT(D114,3),"")</f>
        <v/>
      </c>
    </row>
    <row r="115" spans="3:60" ht="13.5" x14ac:dyDescent="0.3">
      <c r="C115" s="265" t="s">
        <v>68</v>
      </c>
      <c r="D115" s="265" t="s">
        <v>411</v>
      </c>
      <c r="E115" s="264" t="s">
        <v>416</v>
      </c>
      <c r="F115" s="265" t="s">
        <v>417</v>
      </c>
      <c r="G115" s="265"/>
      <c r="H115" s="264" t="s">
        <v>166</v>
      </c>
      <c r="I115" s="264" t="s">
        <v>2433</v>
      </c>
      <c r="J115" s="212" t="s">
        <v>2586</v>
      </c>
      <c r="K115" s="212"/>
      <c r="L115" s="272">
        <v>44578</v>
      </c>
      <c r="M115" s="272">
        <v>44578</v>
      </c>
      <c r="N115" s="272">
        <v>44455</v>
      </c>
      <c r="O115" s="272">
        <v>44455</v>
      </c>
      <c r="P115" s="272">
        <v>44523</v>
      </c>
      <c r="Q115" s="264" t="s">
        <v>4</v>
      </c>
      <c r="R115" s="264" t="s">
        <v>15</v>
      </c>
      <c r="S115" s="264" t="s">
        <v>15</v>
      </c>
      <c r="X115" s="264"/>
      <c r="Z115" s="264"/>
      <c r="AA115" s="264"/>
      <c r="AB115" s="265" t="str">
        <f>VLOOKUP(功能_33[[#This Row],[User]],SKL放款!A:G,7,FALSE)</f>
        <v>放款服務課</v>
      </c>
      <c r="AC115" s="272">
        <v>44533</v>
      </c>
      <c r="AD115" s="272" t="s">
        <v>107</v>
      </c>
      <c r="AE115" s="272">
        <v>44524</v>
      </c>
      <c r="AF115" s="272">
        <v>44524</v>
      </c>
      <c r="AG115" s="209">
        <v>44539</v>
      </c>
      <c r="AH115" s="272"/>
      <c r="AI115" s="272"/>
      <c r="AJ115" s="322"/>
      <c r="AK115" s="272">
        <f>IFERROR(IF(VLOOKUP(功能_33[[#This Row],[功能代號]],E:U,11,FALSE)=0,"",VLOOKUP(功能_33[[#This Row],[功能代號]],E:U,11,FALSE)),"")</f>
        <v>44455</v>
      </c>
      <c r="AL115" s="272"/>
      <c r="AM115" s="272"/>
      <c r="AN115" s="265"/>
      <c r="AO115" s="272"/>
      <c r="AP115" s="264" t="s">
        <v>2591</v>
      </c>
      <c r="AQ115" s="265" t="s">
        <v>2590</v>
      </c>
      <c r="AR115" s="593" t="s">
        <v>3207</v>
      </c>
      <c r="AS115" s="483" t="str">
        <f>IF(COUNTA(AG115)=1,LEFT(D115,3),"")</f>
        <v>4-6</v>
      </c>
      <c r="AT115" s="485" t="str">
        <f>IF(AND(COUNTA(O115)=1,COUNTA(P115)=1,COUNTA(AC115)=1,COUNTA(AF115)=1,COUNTA(AG115)=0),LEFT(D115,3),"")</f>
        <v/>
      </c>
      <c r="AU115" s="487" t="str">
        <f>IF(AND(COUNTA(O115)=1,COUNTA(P115)=1,COUNTA(AC115)=1,COUNTA(AF115)=0,COUNTA(AG115)=0),LEFT(D115,3),"")</f>
        <v/>
      </c>
      <c r="AV115" s="489" t="str">
        <f>IF(AND(COUNTA(P115)=0,COUNTA(AC115)=1),LEFT(D115,3),"")</f>
        <v/>
      </c>
      <c r="AW115" s="491" t="str">
        <f>IF(AND(COUNTA(P115)=1,COUNTA(AC115)=0),LEFT(D115,3),"")</f>
        <v/>
      </c>
      <c r="AX115" s="493" t="str">
        <f>IF(AND(COUNTA(P115)=0,COUNTA(AC115)=0),LEFT(D115,3),"")</f>
        <v/>
      </c>
      <c r="AY115" s="514" t="str">
        <f>IFERROR(VLOOKUP(功能_33[[#This Row],[功能代號]],SIT_FT_2021tmp!D:D,1,FALSE),"")</f>
        <v>L4600</v>
      </c>
      <c r="AZ115" s="587">
        <v>44536</v>
      </c>
      <c r="BA115" s="587">
        <v>44536</v>
      </c>
      <c r="BB115" s="514" t="s">
        <v>3000</v>
      </c>
      <c r="BC115" s="265" t="s">
        <v>3029</v>
      </c>
      <c r="BD115" s="593"/>
      <c r="BE115" s="264" t="str">
        <f>IF(AND(COUNTIF(AY115,"&gt;&lt;0")=1,COUNTA(M115)=1),LEFT(D115,3),"")</f>
        <v>4-6</v>
      </c>
      <c r="BF115" s="264" t="str">
        <f>IF(AND(COUNTIF(AY115,"&gt;&lt;")=1,COUNTA(M115)=0),LEFT(D115,3),"")</f>
        <v/>
      </c>
      <c r="BG115" s="264" t="str">
        <f>IF(AND(COUNTIF(AY115,"&gt;&lt;0")=0,COUNTA(M115)=1),LEFT(D115,3),"")</f>
        <v/>
      </c>
      <c r="BH115" s="264" t="str">
        <f>IF(AND(COUNTIF(AY115,"&gt;&lt;0")=0,COUNTA(M115)=0),LEFT(D115,3),"")</f>
        <v/>
      </c>
    </row>
    <row r="116" spans="3:60" ht="40.5" x14ac:dyDescent="0.3">
      <c r="C116" s="265" t="s">
        <v>68</v>
      </c>
      <c r="D116" s="265" t="s">
        <v>411</v>
      </c>
      <c r="E116" s="264" t="s">
        <v>418</v>
      </c>
      <c r="F116" s="265" t="s">
        <v>419</v>
      </c>
      <c r="G116" s="265"/>
      <c r="H116" s="264" t="s">
        <v>166</v>
      </c>
      <c r="I116" s="264" t="s">
        <v>2433</v>
      </c>
      <c r="J116" s="212" t="s">
        <v>2586</v>
      </c>
      <c r="K116" s="212"/>
      <c r="L116" s="272">
        <v>44578</v>
      </c>
      <c r="M116" s="272">
        <v>44579</v>
      </c>
      <c r="N116" s="272">
        <v>44455</v>
      </c>
      <c r="O116" s="272">
        <v>44455</v>
      </c>
      <c r="P116" s="272">
        <v>44523</v>
      </c>
      <c r="Q116" s="264" t="s">
        <v>4</v>
      </c>
      <c r="R116" s="264" t="s">
        <v>15</v>
      </c>
      <c r="S116" s="264" t="s">
        <v>15</v>
      </c>
      <c r="X116" s="264"/>
      <c r="Z116" s="264"/>
      <c r="AA116" s="264"/>
      <c r="AB116" s="265" t="str">
        <f>VLOOKUP(功能_33[[#This Row],[User]],SKL放款!A:G,7,FALSE)</f>
        <v>放款服務課</v>
      </c>
      <c r="AC116" s="272">
        <v>44533</v>
      </c>
      <c r="AD116" s="272" t="s">
        <v>107</v>
      </c>
      <c r="AE116" s="272">
        <v>44524</v>
      </c>
      <c r="AF116" s="272">
        <v>44524</v>
      </c>
      <c r="AG116" s="209">
        <v>44539</v>
      </c>
      <c r="AH116" s="272"/>
      <c r="AI116" s="272"/>
      <c r="AJ116" s="322"/>
      <c r="AK116" s="272">
        <f>IFERROR(IF(VLOOKUP(功能_33[[#This Row],[功能代號]],E:U,11,FALSE)=0,"",VLOOKUP(功能_33[[#This Row],[功能代號]],E:U,11,FALSE)),"")</f>
        <v>44455</v>
      </c>
      <c r="AL116" s="272"/>
      <c r="AM116" s="272"/>
      <c r="AN116" s="265"/>
      <c r="AO116" s="272"/>
      <c r="AP116" s="281" t="s">
        <v>2593</v>
      </c>
      <c r="AQ116" s="206" t="s">
        <v>2592</v>
      </c>
      <c r="AR116" s="593" t="s">
        <v>3207</v>
      </c>
      <c r="AS116" s="483" t="str">
        <f>IF(COUNTA(AG116)=1,LEFT(D116,3),"")</f>
        <v>4-6</v>
      </c>
      <c r="AT116" s="485" t="str">
        <f>IF(AND(COUNTA(O116)=1,COUNTA(P116)=1,COUNTA(AC116)=1,COUNTA(AF116)=1,COUNTA(AG116)=0),LEFT(D116,3),"")</f>
        <v/>
      </c>
      <c r="AU116" s="487" t="str">
        <f>IF(AND(COUNTA(O116)=1,COUNTA(P116)=1,COUNTA(AC116)=1,COUNTA(AF116)=0,COUNTA(AG116)=0),LEFT(D116,3),"")</f>
        <v/>
      </c>
      <c r="AV116" s="489" t="str">
        <f>IF(AND(COUNTA(P116)=0,COUNTA(AC116)=1),LEFT(D116,3),"")</f>
        <v/>
      </c>
      <c r="AW116" s="491" t="str">
        <f>IF(AND(COUNTA(P116)=1,COUNTA(AC116)=0),LEFT(D116,3),"")</f>
        <v/>
      </c>
      <c r="AX116" s="493" t="str">
        <f>IF(AND(COUNTA(P116)=0,COUNTA(AC116)=0),LEFT(D116,3),"")</f>
        <v/>
      </c>
      <c r="AY116" s="514" t="str">
        <f>IFERROR(VLOOKUP(功能_33[[#This Row],[功能代號]],SIT_FT_2021tmp!D:D,1,FALSE),"")</f>
        <v>L4601</v>
      </c>
      <c r="AZ116" s="587">
        <v>44546</v>
      </c>
      <c r="BA116" s="587">
        <v>44546</v>
      </c>
      <c r="BB116" s="514" t="s">
        <v>3000</v>
      </c>
      <c r="BC116" s="265" t="s">
        <v>3030</v>
      </c>
      <c r="BD116" s="593"/>
      <c r="BE116" s="264" t="str">
        <f>IF(AND(COUNTIF(AY116,"&gt;&lt;0")=1,COUNTA(M116)=1),LEFT(D116,3),"")</f>
        <v>4-6</v>
      </c>
      <c r="BF116" s="264" t="str">
        <f>IF(AND(COUNTIF(AY116,"&gt;&lt;")=1,COUNTA(M116)=0),LEFT(D116,3),"")</f>
        <v/>
      </c>
      <c r="BG116" s="264" t="str">
        <f>IF(AND(COUNTIF(AY116,"&gt;&lt;0")=0,COUNTA(M116)=1),LEFT(D116,3),"")</f>
        <v/>
      </c>
      <c r="BH116" s="264" t="str">
        <f>IF(AND(COUNTIF(AY116,"&gt;&lt;0")=0,COUNTA(M116)=0),LEFT(D116,3),"")</f>
        <v/>
      </c>
    </row>
    <row r="117" spans="3:60" ht="13.5" x14ac:dyDescent="0.3">
      <c r="C117" s="265" t="s">
        <v>68</v>
      </c>
      <c r="D117" s="265" t="s">
        <v>411</v>
      </c>
      <c r="E117" s="264" t="s">
        <v>420</v>
      </c>
      <c r="F117" s="265" t="s">
        <v>421</v>
      </c>
      <c r="G117" s="265"/>
      <c r="H117" s="264" t="s">
        <v>166</v>
      </c>
      <c r="I117" s="264" t="s">
        <v>2433</v>
      </c>
      <c r="J117" s="212" t="s">
        <v>3242</v>
      </c>
      <c r="K117" s="212"/>
      <c r="L117" s="272">
        <v>44573</v>
      </c>
      <c r="M117" s="272">
        <v>44571</v>
      </c>
      <c r="N117" s="272">
        <v>44455</v>
      </c>
      <c r="O117" s="272">
        <v>44455</v>
      </c>
      <c r="P117" s="272">
        <v>44533</v>
      </c>
      <c r="Q117" s="264" t="s">
        <v>4</v>
      </c>
      <c r="R117" s="264" t="s">
        <v>15</v>
      </c>
      <c r="S117" s="264" t="s">
        <v>15</v>
      </c>
      <c r="X117" s="264"/>
      <c r="Z117" s="264"/>
      <c r="AA117" s="264"/>
      <c r="AB117" s="265" t="str">
        <f>VLOOKUP(功能_33[[#This Row],[User]],SKL放款!A:G,7,FALSE)</f>
        <v>放款服務課</v>
      </c>
      <c r="AC117" s="272">
        <v>44533</v>
      </c>
      <c r="AD117" s="272" t="s">
        <v>107</v>
      </c>
      <c r="AE117" s="272">
        <v>44524</v>
      </c>
      <c r="AF117" s="272">
        <v>44524</v>
      </c>
      <c r="AG117" s="209" t="s">
        <v>3243</v>
      </c>
      <c r="AH117" s="272"/>
      <c r="AI117" s="272"/>
      <c r="AJ117" s="322"/>
      <c r="AK117" s="272">
        <f>IFERROR(IF(VLOOKUP(功能_33[[#This Row],[功能代號]],E:U,11,FALSE)=0,"",VLOOKUP(功能_33[[#This Row],[功能代號]],E:U,11,FALSE)),"")</f>
        <v>44455</v>
      </c>
      <c r="AL117" s="272"/>
      <c r="AM117" s="272"/>
      <c r="AN117" s="265"/>
      <c r="AO117" s="211">
        <f>功能_33[[#This Row],[實際展示]]</f>
        <v>44455</v>
      </c>
      <c r="AP117" s="264" t="s">
        <v>2588</v>
      </c>
      <c r="AQ117" s="265" t="s">
        <v>2587</v>
      </c>
      <c r="AR117" s="593" t="s">
        <v>3207</v>
      </c>
      <c r="AS117" s="483" t="str">
        <f>IF(COUNTA(AG117)=1,LEFT(D117,3),"")</f>
        <v>4-6</v>
      </c>
      <c r="AT117" s="485" t="str">
        <f>IF(AND(COUNTA(O117)=1,COUNTA(P117)=1,COUNTA(AC117)=1,COUNTA(AF117)=1,COUNTA(AG117)=0),LEFT(D117,3),"")</f>
        <v/>
      </c>
      <c r="AU117" s="487" t="str">
        <f>IF(AND(COUNTA(O117)=1,COUNTA(P117)=1,COUNTA(AC117)=1,COUNTA(AF117)=0,COUNTA(AG117)=0),LEFT(D117,3),"")</f>
        <v/>
      </c>
      <c r="AV117" s="489" t="str">
        <f>IF(AND(COUNTA(P117)=0,COUNTA(AC117)=1),LEFT(D117,3),"")</f>
        <v/>
      </c>
      <c r="AW117" s="491" t="str">
        <f>IF(AND(COUNTA(P117)=1,COUNTA(AC117)=0),LEFT(D117,3),"")</f>
        <v/>
      </c>
      <c r="AX117" s="493" t="str">
        <f>IF(AND(COUNTA(P117)=0,COUNTA(AC117)=0),LEFT(D117,3),"")</f>
        <v/>
      </c>
      <c r="AY117" s="514" t="str">
        <f>IFERROR(VLOOKUP(功能_33[[#This Row],[功能代號]],SIT_FT_2021tmp!D:D,1,FALSE),"")</f>
        <v>L4611</v>
      </c>
      <c r="AZ117" s="587">
        <v>44536</v>
      </c>
      <c r="BA117" s="587">
        <v>44536</v>
      </c>
      <c r="BB117" s="514" t="s">
        <v>3000</v>
      </c>
      <c r="BC117" s="265" t="s">
        <v>3029</v>
      </c>
      <c r="BD117" s="593"/>
      <c r="BE117" s="264" t="str">
        <f>IF(AND(COUNTIF(AY117,"&gt;&lt;0")=1,COUNTA(M117)=1),LEFT(D117,3),"")</f>
        <v>4-6</v>
      </c>
      <c r="BF117" s="264" t="str">
        <f>IF(AND(COUNTIF(AY117,"&gt;&lt;")=1,COUNTA(M117)=0),LEFT(D117,3),"")</f>
        <v/>
      </c>
      <c r="BG117" s="264" t="str">
        <f>IF(AND(COUNTIF(AY117,"&gt;&lt;0")=0,COUNTA(M117)=1),LEFT(D117,3),"")</f>
        <v/>
      </c>
      <c r="BH117" s="264" t="str">
        <f>IF(AND(COUNTIF(AY117,"&gt;&lt;0")=0,COUNTA(M117)=0),LEFT(D117,3),"")</f>
        <v/>
      </c>
    </row>
    <row r="118" spans="3:60" ht="13.5" x14ac:dyDescent="0.3">
      <c r="C118" s="265" t="s">
        <v>68</v>
      </c>
      <c r="D118" s="265" t="s">
        <v>411</v>
      </c>
      <c r="E118" s="264" t="s">
        <v>422</v>
      </c>
      <c r="F118" s="265" t="s">
        <v>423</v>
      </c>
      <c r="G118" s="265"/>
      <c r="H118" s="264" t="s">
        <v>166</v>
      </c>
      <c r="I118" s="264" t="s">
        <v>2433</v>
      </c>
      <c r="J118" s="212" t="s">
        <v>2586</v>
      </c>
      <c r="K118" s="212"/>
      <c r="L118" s="272">
        <v>44573</v>
      </c>
      <c r="M118" s="272">
        <v>44572</v>
      </c>
      <c r="N118" s="272">
        <v>44455</v>
      </c>
      <c r="O118" s="272">
        <v>44455</v>
      </c>
      <c r="P118" s="272">
        <v>44523</v>
      </c>
      <c r="Q118" s="264" t="s">
        <v>4</v>
      </c>
      <c r="R118" s="264" t="s">
        <v>15</v>
      </c>
      <c r="S118" s="264" t="s">
        <v>15</v>
      </c>
      <c r="X118" s="264"/>
      <c r="Z118" s="264"/>
      <c r="AA118" s="264"/>
      <c r="AB118" s="265" t="str">
        <f>VLOOKUP(功能_33[[#This Row],[User]],SKL放款!A:G,7,FALSE)</f>
        <v>放款服務課</v>
      </c>
      <c r="AC118" s="272">
        <v>44533</v>
      </c>
      <c r="AD118" s="272" t="s">
        <v>168</v>
      </c>
      <c r="AE118" s="272">
        <v>44524</v>
      </c>
      <c r="AF118" s="272">
        <v>44524</v>
      </c>
      <c r="AG118" s="209">
        <v>44539</v>
      </c>
      <c r="AH118" s="272"/>
      <c r="AI118" s="272"/>
      <c r="AJ118" s="322"/>
      <c r="AK118" s="272">
        <f>IFERROR(IF(VLOOKUP(功能_33[[#This Row],[功能代號]],E:U,11,FALSE)=0,"",VLOOKUP(功能_33[[#This Row],[功能代號]],E:U,11,FALSE)),"")</f>
        <v>44455</v>
      </c>
      <c r="AL118" s="272"/>
      <c r="AM118" s="272"/>
      <c r="AN118" s="265"/>
      <c r="AO118" s="272"/>
      <c r="AP118" s="264" t="s">
        <v>2595</v>
      </c>
      <c r="AQ118" s="265" t="s">
        <v>2594</v>
      </c>
      <c r="AR118" s="593" t="s">
        <v>3207</v>
      </c>
      <c r="AS118" s="483" t="str">
        <f>IF(COUNTA(AG118)=1,LEFT(D118,3),"")</f>
        <v>4-6</v>
      </c>
      <c r="AT118" s="485" t="str">
        <f>IF(AND(COUNTA(O118)=1,COUNTA(P118)=1,COUNTA(AC118)=1,COUNTA(AF118)=1,COUNTA(AG118)=0),LEFT(D118,3),"")</f>
        <v/>
      </c>
      <c r="AU118" s="487" t="str">
        <f>IF(AND(COUNTA(O118)=1,COUNTA(P118)=1,COUNTA(AC118)=1,COUNTA(AF118)=0,COUNTA(AG118)=0),LEFT(D118,3),"")</f>
        <v/>
      </c>
      <c r="AV118" s="489" t="str">
        <f>IF(AND(COUNTA(P118)=0,COUNTA(AC118)=1),LEFT(D118,3),"")</f>
        <v/>
      </c>
      <c r="AW118" s="491" t="str">
        <f>IF(AND(COUNTA(P118)=1,COUNTA(AC118)=0),LEFT(D118,3),"")</f>
        <v/>
      </c>
      <c r="AX118" s="493" t="str">
        <f>IF(AND(COUNTA(P118)=0,COUNTA(AC118)=0),LEFT(D118,3),"")</f>
        <v/>
      </c>
      <c r="AY118" s="514" t="str">
        <f>IFERROR(VLOOKUP(功能_33[[#This Row],[功能代號]],SIT_FT_2021tmp!D:D,1,FALSE),"")</f>
        <v>L4602</v>
      </c>
      <c r="AZ118" s="587">
        <v>44546</v>
      </c>
      <c r="BA118" s="587">
        <v>44546</v>
      </c>
      <c r="BB118" s="514" t="s">
        <v>3000</v>
      </c>
      <c r="BC118" s="265" t="s">
        <v>3030</v>
      </c>
      <c r="BD118" s="593"/>
      <c r="BE118" s="264" t="str">
        <f>IF(AND(COUNTIF(AY118,"&gt;&lt;0")=1,COUNTA(M118)=1),LEFT(D118,3),"")</f>
        <v>4-6</v>
      </c>
      <c r="BF118" s="264" t="str">
        <f>IF(AND(COUNTIF(AY118,"&gt;&lt;")=1,COUNTA(M118)=0),LEFT(D118,3),"")</f>
        <v/>
      </c>
      <c r="BG118" s="264" t="str">
        <f>IF(AND(COUNTIF(AY118,"&gt;&lt;0")=0,COUNTA(M118)=1),LEFT(D118,3),"")</f>
        <v/>
      </c>
      <c r="BH118" s="264" t="str">
        <f>IF(AND(COUNTIF(AY118,"&gt;&lt;0")=0,COUNTA(M118)=0),LEFT(D118,3),"")</f>
        <v/>
      </c>
    </row>
    <row r="119" spans="3:60" ht="27" x14ac:dyDescent="0.3">
      <c r="C119" s="265" t="s">
        <v>68</v>
      </c>
      <c r="D119" s="265" t="s">
        <v>411</v>
      </c>
      <c r="E119" s="264" t="s">
        <v>424</v>
      </c>
      <c r="F119" s="265" t="s">
        <v>425</v>
      </c>
      <c r="G119" s="265"/>
      <c r="H119" s="264" t="s">
        <v>166</v>
      </c>
      <c r="I119" s="264" t="s">
        <v>2433</v>
      </c>
      <c r="J119" s="212" t="s">
        <v>3242</v>
      </c>
      <c r="K119" s="584" t="s">
        <v>2994</v>
      </c>
      <c r="L119" s="272">
        <v>44573</v>
      </c>
      <c r="M119" s="272">
        <v>44572</v>
      </c>
      <c r="N119" s="272">
        <v>44455</v>
      </c>
      <c r="O119" s="272">
        <v>44455</v>
      </c>
      <c r="P119" s="215">
        <v>44550</v>
      </c>
      <c r="Q119" s="264" t="s">
        <v>4</v>
      </c>
      <c r="R119" s="264" t="s">
        <v>15</v>
      </c>
      <c r="S119" s="264" t="s">
        <v>15</v>
      </c>
      <c r="X119" s="264"/>
      <c r="Z119" s="264"/>
      <c r="AA119" s="264"/>
      <c r="AB119" s="265" t="str">
        <f>VLOOKUP(功能_33[[#This Row],[User]],SKL放款!A:G,7,FALSE)</f>
        <v>放款服務課</v>
      </c>
      <c r="AC119" s="215">
        <v>44550</v>
      </c>
      <c r="AD119" s="272" t="s">
        <v>107</v>
      </c>
      <c r="AE119" s="272">
        <v>44524</v>
      </c>
      <c r="AF119" s="272">
        <v>44524</v>
      </c>
      <c r="AG119" s="209" t="s">
        <v>3244</v>
      </c>
      <c r="AH119" s="272"/>
      <c r="AI119" s="272"/>
      <c r="AJ119" s="322"/>
      <c r="AK119" s="272">
        <f>IFERROR(IF(VLOOKUP(功能_33[[#This Row],[功能代號]],E:U,11,FALSE)=0,"",VLOOKUP(功能_33[[#This Row],[功能代號]],E:U,11,FALSE)),"")</f>
        <v>44455</v>
      </c>
      <c r="AL119" s="272"/>
      <c r="AM119" s="272"/>
      <c r="AN119" s="265"/>
      <c r="AO119" s="272"/>
      <c r="AP119" s="264" t="s">
        <v>2597</v>
      </c>
      <c r="AQ119" s="265" t="s">
        <v>2596</v>
      </c>
      <c r="AR119" s="593" t="s">
        <v>3207</v>
      </c>
      <c r="AS119" s="483" t="str">
        <f>IF(COUNTA(AG119)=1,LEFT(D119,3),"")</f>
        <v>4-6</v>
      </c>
      <c r="AT119" s="485" t="str">
        <f>IF(AND(COUNTA(O119)=1,COUNTA(P119)=1,COUNTA(AC119)=1,COUNTA(AF119)=1,COUNTA(AG119)=0),LEFT(D119,3),"")</f>
        <v/>
      </c>
      <c r="AU119" s="487" t="str">
        <f>IF(AND(COUNTA(O119)=1,COUNTA(P119)=1,COUNTA(AC119)=1,COUNTA(AF119)=0,COUNTA(AG119)=0),LEFT(D119,3),"")</f>
        <v/>
      </c>
      <c r="AV119" s="489" t="str">
        <f>IF(AND(COUNTA(P119)=0,COUNTA(AC119)=1),LEFT(D119,3),"")</f>
        <v/>
      </c>
      <c r="AW119" s="491" t="str">
        <f>IF(AND(COUNTA(P119)=1,COUNTA(AC119)=0),LEFT(D119,3),"")</f>
        <v/>
      </c>
      <c r="AX119" s="493" t="str">
        <f>IF(AND(COUNTA(P119)=0,COUNTA(AC119)=0),LEFT(D119,3),"")</f>
        <v/>
      </c>
      <c r="AY119" s="514" t="str">
        <f>IFERROR(VLOOKUP(功能_33[[#This Row],[功能代號]],SIT_FT_2021tmp!D:D,1,FALSE),"")</f>
        <v>L4603</v>
      </c>
      <c r="AZ119" s="587">
        <v>44546</v>
      </c>
      <c r="BA119" s="587">
        <v>44546</v>
      </c>
      <c r="BB119" s="514" t="s">
        <v>3000</v>
      </c>
      <c r="BC119" s="265" t="s">
        <v>3030</v>
      </c>
      <c r="BD119" s="593"/>
      <c r="BE119" s="264" t="str">
        <f>IF(AND(COUNTIF(AY119,"&gt;&lt;0")=1,COUNTA(M119)=1),LEFT(D119,3),"")</f>
        <v>4-6</v>
      </c>
      <c r="BF119" s="264" t="str">
        <f>IF(AND(COUNTIF(AY119,"&gt;&lt;")=1,COUNTA(M119)=0),LEFT(D119,3),"")</f>
        <v/>
      </c>
      <c r="BG119" s="264" t="str">
        <f>IF(AND(COUNTIF(AY119,"&gt;&lt;0")=0,COUNTA(M119)=1),LEFT(D119,3),"")</f>
        <v/>
      </c>
      <c r="BH119" s="264" t="str">
        <f>IF(AND(COUNTIF(AY119,"&gt;&lt;0")=0,COUNTA(M119)=0),LEFT(D119,3),"")</f>
        <v/>
      </c>
    </row>
    <row r="120" spans="3:60" ht="27" x14ac:dyDescent="0.3">
      <c r="C120" s="265" t="s">
        <v>68</v>
      </c>
      <c r="D120" s="265" t="s">
        <v>411</v>
      </c>
      <c r="E120" s="264" t="s">
        <v>426</v>
      </c>
      <c r="F120" s="265" t="s">
        <v>427</v>
      </c>
      <c r="G120" s="265"/>
      <c r="H120" s="264" t="s">
        <v>166</v>
      </c>
      <c r="I120" s="264" t="s">
        <v>2433</v>
      </c>
      <c r="J120" s="212" t="s">
        <v>2586</v>
      </c>
      <c r="K120" s="212"/>
      <c r="L120" s="272">
        <v>44573</v>
      </c>
      <c r="M120" s="272">
        <v>44572</v>
      </c>
      <c r="N120" s="272">
        <v>44455</v>
      </c>
      <c r="O120" s="272">
        <v>44455</v>
      </c>
      <c r="P120" s="272">
        <v>44533</v>
      </c>
      <c r="Q120" s="264" t="s">
        <v>4</v>
      </c>
      <c r="R120" s="264" t="s">
        <v>15</v>
      </c>
      <c r="S120" s="264" t="s">
        <v>15</v>
      </c>
      <c r="X120" s="264"/>
      <c r="Z120" s="264"/>
      <c r="AA120" s="264"/>
      <c r="AB120" s="265" t="str">
        <f>VLOOKUP(功能_33[[#This Row],[User]],SKL放款!A:G,7,FALSE)</f>
        <v>放款服務課</v>
      </c>
      <c r="AC120" s="272">
        <v>44533</v>
      </c>
      <c r="AD120" s="272" t="s">
        <v>107</v>
      </c>
      <c r="AE120" s="272">
        <v>44524</v>
      </c>
      <c r="AF120" s="272">
        <v>44524</v>
      </c>
      <c r="AG120" s="209">
        <v>44539</v>
      </c>
      <c r="AH120" s="272"/>
      <c r="AI120" s="272"/>
      <c r="AJ120" s="322"/>
      <c r="AK120" s="272">
        <f>IFERROR(IF(VLOOKUP(功能_33[[#This Row],[功能代號]],E:U,11,FALSE)=0,"",VLOOKUP(功能_33[[#This Row],[功能代號]],E:U,11,FALSE)),"")</f>
        <v>44455</v>
      </c>
      <c r="AL120" s="272"/>
      <c r="AM120" s="272"/>
      <c r="AN120" s="265"/>
      <c r="AO120" s="211" t="s">
        <v>428</v>
      </c>
      <c r="AP120" s="281" t="s">
        <v>2599</v>
      </c>
      <c r="AQ120" s="206" t="s">
        <v>2598</v>
      </c>
      <c r="AR120" s="593" t="s">
        <v>3207</v>
      </c>
      <c r="AS120" s="483" t="str">
        <f>IF(COUNTA(AG120)=1,LEFT(D120,3),"")</f>
        <v>4-6</v>
      </c>
      <c r="AT120" s="485" t="str">
        <f>IF(AND(COUNTA(O120)=1,COUNTA(P120)=1,COUNTA(AC120)=1,COUNTA(AF120)=1,COUNTA(AG120)=0),LEFT(D120,3),"")</f>
        <v/>
      </c>
      <c r="AU120" s="487" t="str">
        <f>IF(AND(COUNTA(O120)=1,COUNTA(P120)=1,COUNTA(AC120)=1,COUNTA(AF120)=0,COUNTA(AG120)=0),LEFT(D120,3),"")</f>
        <v/>
      </c>
      <c r="AV120" s="489" t="str">
        <f>IF(AND(COUNTA(P120)=0,COUNTA(AC120)=1),LEFT(D120,3),"")</f>
        <v/>
      </c>
      <c r="AW120" s="491" t="str">
        <f>IF(AND(COUNTA(P120)=1,COUNTA(AC120)=0),LEFT(D120,3),"")</f>
        <v/>
      </c>
      <c r="AX120" s="493" t="str">
        <f>IF(AND(COUNTA(P120)=0,COUNTA(AC120)=0),LEFT(D120,3),"")</f>
        <v/>
      </c>
      <c r="AY120" s="514" t="str">
        <f>IFERROR(VLOOKUP(功能_33[[#This Row],[功能代號]],SIT_FT_2021tmp!D:D,1,FALSE),"")</f>
        <v>L4962</v>
      </c>
      <c r="AZ120" s="587">
        <v>44546</v>
      </c>
      <c r="BA120" s="587">
        <v>44546</v>
      </c>
      <c r="BB120" s="514" t="s">
        <v>3000</v>
      </c>
      <c r="BC120" s="265" t="s">
        <v>3030</v>
      </c>
      <c r="BD120" s="593"/>
      <c r="BE120" s="264" t="str">
        <f>IF(AND(COUNTIF(AY120,"&gt;&lt;0")=1,COUNTA(M120)=1),LEFT(D120,3),"")</f>
        <v>4-6</v>
      </c>
      <c r="BF120" s="264" t="str">
        <f>IF(AND(COUNTIF(AY120,"&gt;&lt;")=1,COUNTA(M120)=0),LEFT(D120,3),"")</f>
        <v/>
      </c>
      <c r="BG120" s="264" t="str">
        <f>IF(AND(COUNTIF(AY120,"&gt;&lt;0")=0,COUNTA(M120)=1),LEFT(D120,3),"")</f>
        <v/>
      </c>
      <c r="BH120" s="264" t="str">
        <f>IF(AND(COUNTIF(AY120,"&gt;&lt;0")=0,COUNTA(M120)=0),LEFT(D120,3),"")</f>
        <v/>
      </c>
    </row>
    <row r="121" spans="3:60" ht="13.5" x14ac:dyDescent="0.3">
      <c r="C121" s="265" t="s">
        <v>68</v>
      </c>
      <c r="D121" s="265" t="s">
        <v>411</v>
      </c>
      <c r="E121" s="264" t="s">
        <v>429</v>
      </c>
      <c r="F121" s="265" t="s">
        <v>430</v>
      </c>
      <c r="G121" s="265"/>
      <c r="H121" s="264" t="s">
        <v>166</v>
      </c>
      <c r="I121" s="264" t="s">
        <v>2433</v>
      </c>
      <c r="J121" s="212" t="s">
        <v>2586</v>
      </c>
      <c r="K121" s="212"/>
      <c r="L121" s="272">
        <v>44573</v>
      </c>
      <c r="M121" s="272">
        <v>44572</v>
      </c>
      <c r="N121" s="272">
        <v>44455</v>
      </c>
      <c r="O121" s="272">
        <v>44455</v>
      </c>
      <c r="P121" s="272">
        <v>44523</v>
      </c>
      <c r="Q121" s="264" t="s">
        <v>4</v>
      </c>
      <c r="R121" s="264" t="s">
        <v>15</v>
      </c>
      <c r="S121" s="264" t="s">
        <v>15</v>
      </c>
      <c r="X121" s="264"/>
      <c r="Z121" s="264"/>
      <c r="AA121" s="264"/>
      <c r="AB121" s="265" t="str">
        <f>VLOOKUP(功能_33[[#This Row],[User]],SKL放款!A:G,7,FALSE)</f>
        <v>放款服務課</v>
      </c>
      <c r="AC121" s="272">
        <v>44533</v>
      </c>
      <c r="AD121" s="272" t="s">
        <v>168</v>
      </c>
      <c r="AE121" s="272">
        <v>44524</v>
      </c>
      <c r="AF121" s="272">
        <v>44524</v>
      </c>
      <c r="AG121" s="209">
        <v>44539</v>
      </c>
      <c r="AH121" s="272"/>
      <c r="AI121" s="272"/>
      <c r="AJ121" s="322"/>
      <c r="AK121" s="272">
        <f>IFERROR(IF(VLOOKUP(功能_33[[#This Row],[功能代號]],E:U,11,FALSE)=0,"",VLOOKUP(功能_33[[#This Row],[功能代號]],E:U,11,FALSE)),"")</f>
        <v>44455</v>
      </c>
      <c r="AL121" s="272"/>
      <c r="AM121" s="272"/>
      <c r="AN121" s="265"/>
      <c r="AO121" s="272"/>
      <c r="AP121" s="264" t="s">
        <v>2603</v>
      </c>
      <c r="AQ121" s="264" t="s">
        <v>163</v>
      </c>
      <c r="AR121" s="593" t="s">
        <v>3207</v>
      </c>
      <c r="AS121" s="483" t="str">
        <f>IF(COUNTA(AG121)=1,LEFT(D121,3),"")</f>
        <v>4-6</v>
      </c>
      <c r="AT121" s="485" t="str">
        <f>IF(AND(COUNTA(O121)=1,COUNTA(P121)=1,COUNTA(AC121)=1,COUNTA(AF121)=1,COUNTA(AG121)=0),LEFT(D121,3),"")</f>
        <v/>
      </c>
      <c r="AU121" s="487" t="str">
        <f>IF(AND(COUNTA(O121)=1,COUNTA(P121)=1,COUNTA(AC121)=1,COUNTA(AF121)=0,COUNTA(AG121)=0),LEFT(D121,3),"")</f>
        <v/>
      </c>
      <c r="AV121" s="489" t="str">
        <f>IF(AND(COUNTA(P121)=0,COUNTA(AC121)=1),LEFT(D121,3),"")</f>
        <v/>
      </c>
      <c r="AW121" s="491" t="str">
        <f>IF(AND(COUNTA(P121)=1,COUNTA(AC121)=0),LEFT(D121,3),"")</f>
        <v/>
      </c>
      <c r="AX121" s="493" t="str">
        <f>IF(AND(COUNTA(P121)=0,COUNTA(AC121)=0),LEFT(D121,3),"")</f>
        <v/>
      </c>
      <c r="AY121" s="514" t="str">
        <f>IFERROR(VLOOKUP(功能_33[[#This Row],[功能代號]],SIT_FT_2021tmp!D:D,1,FALSE),"")</f>
        <v>L4960</v>
      </c>
      <c r="AZ121" s="587">
        <v>44540</v>
      </c>
      <c r="BA121" s="587">
        <v>44540</v>
      </c>
      <c r="BB121" s="514" t="s">
        <v>3000</v>
      </c>
      <c r="BC121" s="265" t="s">
        <v>3031</v>
      </c>
      <c r="BD121" s="593"/>
      <c r="BE121" s="264" t="str">
        <f>IF(AND(COUNTIF(AY121,"&gt;&lt;0")=1,COUNTA(M121)=1),LEFT(D121,3),"")</f>
        <v>4-6</v>
      </c>
      <c r="BF121" s="264" t="str">
        <f>IF(AND(COUNTIF(AY121,"&gt;&lt;")=1,COUNTA(M121)=0),LEFT(D121,3),"")</f>
        <v/>
      </c>
      <c r="BG121" s="264" t="str">
        <f>IF(AND(COUNTIF(AY121,"&gt;&lt;0")=0,COUNTA(M121)=1),LEFT(D121,3),"")</f>
        <v/>
      </c>
      <c r="BH121" s="264" t="str">
        <f>IF(AND(COUNTIF(AY121,"&gt;&lt;0")=0,COUNTA(M121)=0),LEFT(D121,3),"")</f>
        <v/>
      </c>
    </row>
    <row r="122" spans="3:60" ht="13.5" x14ac:dyDescent="0.3">
      <c r="C122" s="265" t="s">
        <v>68</v>
      </c>
      <c r="D122" s="265" t="s">
        <v>411</v>
      </c>
      <c r="E122" s="264" t="s">
        <v>431</v>
      </c>
      <c r="F122" s="265" t="s">
        <v>432</v>
      </c>
      <c r="G122" s="265"/>
      <c r="H122" s="264" t="s">
        <v>166</v>
      </c>
      <c r="I122" s="264" t="s">
        <v>2433</v>
      </c>
      <c r="J122" s="212" t="s">
        <v>3241</v>
      </c>
      <c r="K122" s="212"/>
      <c r="L122" s="272">
        <v>44574</v>
      </c>
      <c r="M122" s="272">
        <v>44572</v>
      </c>
      <c r="N122" s="272">
        <v>44455</v>
      </c>
      <c r="O122" s="272">
        <v>44455</v>
      </c>
      <c r="P122" s="272">
        <v>44523</v>
      </c>
      <c r="Q122" s="264" t="s">
        <v>4</v>
      </c>
      <c r="R122" s="264" t="s">
        <v>15</v>
      </c>
      <c r="S122" s="264" t="s">
        <v>15</v>
      </c>
      <c r="X122" s="264"/>
      <c r="Z122" s="264"/>
      <c r="AA122" s="264"/>
      <c r="AB122" s="265" t="str">
        <f>VLOOKUP(功能_33[[#This Row],[User]],SKL放款!A:G,7,FALSE)</f>
        <v>放款服務課</v>
      </c>
      <c r="AC122" s="272">
        <v>44533</v>
      </c>
      <c r="AD122" s="272" t="s">
        <v>168</v>
      </c>
      <c r="AE122" s="272">
        <v>44524</v>
      </c>
      <c r="AF122" s="272">
        <v>44524</v>
      </c>
      <c r="AG122" s="209" t="s">
        <v>3243</v>
      </c>
      <c r="AH122" s="272"/>
      <c r="AI122" s="272"/>
      <c r="AJ122" s="322"/>
      <c r="AK122" s="272">
        <f>IFERROR(IF(VLOOKUP(功能_33[[#This Row],[功能代號]],E:U,11,FALSE)=0,"",VLOOKUP(功能_33[[#This Row],[功能代號]],E:U,11,FALSE)),"")</f>
        <v>44455</v>
      </c>
      <c r="AL122" s="272"/>
      <c r="AM122" s="272"/>
      <c r="AN122" s="265"/>
      <c r="AO122" s="211" t="s">
        <v>428</v>
      </c>
      <c r="AP122" s="264" t="s">
        <v>2603</v>
      </c>
      <c r="AQ122" s="264" t="s">
        <v>163</v>
      </c>
      <c r="AR122" s="593" t="s">
        <v>3207</v>
      </c>
      <c r="AS122" s="483" t="str">
        <f>IF(COUNTA(AG122)=1,LEFT(D122,3),"")</f>
        <v>4-6</v>
      </c>
      <c r="AT122" s="485" t="str">
        <f>IF(AND(COUNTA(O122)=1,COUNTA(P122)=1,COUNTA(AC122)=1,COUNTA(AF122)=1,COUNTA(AG122)=0),LEFT(D122,3),"")</f>
        <v/>
      </c>
      <c r="AU122" s="487" t="str">
        <f>IF(AND(COUNTA(O122)=1,COUNTA(P122)=1,COUNTA(AC122)=1,COUNTA(AF122)=0,COUNTA(AG122)=0),LEFT(D122,3),"")</f>
        <v/>
      </c>
      <c r="AV122" s="489" t="str">
        <f>IF(AND(COUNTA(P122)=0,COUNTA(AC122)=1),LEFT(D122,3),"")</f>
        <v/>
      </c>
      <c r="AW122" s="491" t="str">
        <f>IF(AND(COUNTA(P122)=1,COUNTA(AC122)=0),LEFT(D122,3),"")</f>
        <v/>
      </c>
      <c r="AX122" s="493" t="str">
        <f>IF(AND(COUNTA(P122)=0,COUNTA(AC122)=0),LEFT(D122,3),"")</f>
        <v/>
      </c>
      <c r="AY122" s="514" t="str">
        <f>IFERROR(VLOOKUP(功能_33[[#This Row],[功能代號]],SIT_FT_2021tmp!D:D,1,FALSE),"")</f>
        <v>L4961</v>
      </c>
      <c r="AZ122" s="587">
        <v>44540</v>
      </c>
      <c r="BA122" s="587">
        <v>44540</v>
      </c>
      <c r="BB122" s="514" t="s">
        <v>3000</v>
      </c>
      <c r="BC122" s="265" t="s">
        <v>3031</v>
      </c>
      <c r="BD122" s="593"/>
      <c r="BE122" s="264" t="str">
        <f>IF(AND(COUNTIF(AY122,"&gt;&lt;0")=1,COUNTA(M122)=1),LEFT(D122,3),"")</f>
        <v>4-6</v>
      </c>
      <c r="BF122" s="264" t="str">
        <f>IF(AND(COUNTIF(AY122,"&gt;&lt;")=1,COUNTA(M122)=0),LEFT(D122,3),"")</f>
        <v/>
      </c>
      <c r="BG122" s="264" t="str">
        <f>IF(AND(COUNTIF(AY122,"&gt;&lt;0")=0,COUNTA(M122)=1),LEFT(D122,3),"")</f>
        <v/>
      </c>
      <c r="BH122" s="264" t="str">
        <f>IF(AND(COUNTIF(AY122,"&gt;&lt;0")=0,COUNTA(M122)=0),LEFT(D122,3),"")</f>
        <v/>
      </c>
    </row>
    <row r="123" spans="3:60" ht="13.5" x14ac:dyDescent="0.3">
      <c r="C123" s="265" t="s">
        <v>68</v>
      </c>
      <c r="D123" s="265" t="s">
        <v>411</v>
      </c>
      <c r="E123" s="264" t="s">
        <v>433</v>
      </c>
      <c r="F123" s="265" t="s">
        <v>434</v>
      </c>
      <c r="G123" s="265"/>
      <c r="H123" s="264" t="s">
        <v>166</v>
      </c>
      <c r="I123" s="264" t="s">
        <v>2433</v>
      </c>
      <c r="J123" s="212" t="s">
        <v>2586</v>
      </c>
      <c r="K123" s="212"/>
      <c r="L123" s="272">
        <v>44574</v>
      </c>
      <c r="M123" s="272">
        <v>44572</v>
      </c>
      <c r="N123" s="272">
        <v>44455</v>
      </c>
      <c r="O123" s="272">
        <v>44455</v>
      </c>
      <c r="P123" s="272">
        <v>44523</v>
      </c>
      <c r="Q123" s="264" t="s">
        <v>4</v>
      </c>
      <c r="R123" s="264" t="s">
        <v>15</v>
      </c>
      <c r="S123" s="264" t="s">
        <v>15</v>
      </c>
      <c r="X123" s="264"/>
      <c r="Z123" s="264"/>
      <c r="AA123" s="264"/>
      <c r="AB123" s="265" t="str">
        <f>VLOOKUP(功能_33[[#This Row],[User]],SKL放款!A:G,7,FALSE)</f>
        <v>放款服務課</v>
      </c>
      <c r="AC123" s="272">
        <v>44533</v>
      </c>
      <c r="AD123" s="272" t="s">
        <v>168</v>
      </c>
      <c r="AE123" s="272">
        <v>44524</v>
      </c>
      <c r="AF123" s="272">
        <v>44524</v>
      </c>
      <c r="AG123" s="209">
        <v>44539</v>
      </c>
      <c r="AH123" s="272"/>
      <c r="AI123" s="272"/>
      <c r="AJ123" s="322"/>
      <c r="AK123" s="272">
        <f>IFERROR(IF(VLOOKUP(功能_33[[#This Row],[功能代號]],E:U,11,FALSE)=0,"",VLOOKUP(功能_33[[#This Row],[功能代號]],E:U,11,FALSE)),"")</f>
        <v>44455</v>
      </c>
      <c r="AL123" s="272"/>
      <c r="AM123" s="272"/>
      <c r="AN123" s="265"/>
      <c r="AO123" s="272"/>
      <c r="AP123" s="264" t="s">
        <v>2647</v>
      </c>
      <c r="AQ123" s="265" t="s">
        <v>2600</v>
      </c>
      <c r="AR123" s="593" t="s">
        <v>3207</v>
      </c>
      <c r="AS123" s="483" t="str">
        <f>IF(COUNTA(AG123)=1,LEFT(D123,3),"")</f>
        <v>4-6</v>
      </c>
      <c r="AT123" s="485" t="str">
        <f>IF(AND(COUNTA(O123)=1,COUNTA(P123)=1,COUNTA(AC123)=1,COUNTA(AF123)=1,COUNTA(AG123)=0),LEFT(D123,3),"")</f>
        <v/>
      </c>
      <c r="AU123" s="487" t="str">
        <f>IF(AND(COUNTA(O123)=1,COUNTA(P123)=1,COUNTA(AC123)=1,COUNTA(AF123)=0,COUNTA(AG123)=0),LEFT(D123,3),"")</f>
        <v/>
      </c>
      <c r="AV123" s="489" t="str">
        <f>IF(AND(COUNTA(P123)=0,COUNTA(AC123)=1),LEFT(D123,3),"")</f>
        <v/>
      </c>
      <c r="AW123" s="491" t="str">
        <f>IF(AND(COUNTA(P123)=1,COUNTA(AC123)=0),LEFT(D123,3),"")</f>
        <v/>
      </c>
      <c r="AX123" s="493" t="str">
        <f>IF(AND(COUNTA(P123)=0,COUNTA(AC123)=0),LEFT(D123,3),"")</f>
        <v/>
      </c>
      <c r="AY123" s="514" t="str">
        <f>IFERROR(VLOOKUP(功能_33[[#This Row],[功能代號]],SIT_FT_2021tmp!D:D,1,FALSE),"")</f>
        <v>L4964</v>
      </c>
      <c r="AZ123" s="587">
        <v>44536</v>
      </c>
      <c r="BA123" s="587">
        <v>44536</v>
      </c>
      <c r="BB123" s="514" t="s">
        <v>3000</v>
      </c>
      <c r="BC123" s="265" t="s">
        <v>3029</v>
      </c>
      <c r="BD123" s="593"/>
      <c r="BE123" s="264" t="str">
        <f>IF(AND(COUNTIF(AY123,"&gt;&lt;0")=1,COUNTA(M123)=1),LEFT(D123,3),"")</f>
        <v>4-6</v>
      </c>
      <c r="BF123" s="264" t="str">
        <f>IF(AND(COUNTIF(AY123,"&gt;&lt;")=1,COUNTA(M123)=0),LEFT(D123,3),"")</f>
        <v/>
      </c>
      <c r="BG123" s="264" t="str">
        <f>IF(AND(COUNTIF(AY123,"&gt;&lt;0")=0,COUNTA(M123)=1),LEFT(D123,3),"")</f>
        <v/>
      </c>
      <c r="BH123" s="264" t="str">
        <f>IF(AND(COUNTIF(AY123,"&gt;&lt;0")=0,COUNTA(M123)=0),LEFT(D123,3),"")</f>
        <v/>
      </c>
    </row>
    <row r="124" spans="3:60" ht="13.5" x14ac:dyDescent="0.3">
      <c r="C124" s="265" t="s">
        <v>68</v>
      </c>
      <c r="D124" s="265" t="s">
        <v>411</v>
      </c>
      <c r="E124" s="264" t="s">
        <v>435</v>
      </c>
      <c r="F124" s="265" t="s">
        <v>436</v>
      </c>
      <c r="G124" s="265"/>
      <c r="H124" s="264" t="s">
        <v>166</v>
      </c>
      <c r="I124" s="264" t="s">
        <v>2433</v>
      </c>
      <c r="J124" s="212" t="s">
        <v>2586</v>
      </c>
      <c r="K124" s="212"/>
      <c r="L124" s="272">
        <v>44574</v>
      </c>
      <c r="M124" s="272">
        <v>44572</v>
      </c>
      <c r="N124" s="272">
        <v>44455</v>
      </c>
      <c r="O124" s="272">
        <v>44455</v>
      </c>
      <c r="P124" s="272">
        <v>44523</v>
      </c>
      <c r="Q124" s="264" t="s">
        <v>4</v>
      </c>
      <c r="R124" s="264" t="s">
        <v>15</v>
      </c>
      <c r="S124" s="264" t="s">
        <v>15</v>
      </c>
      <c r="X124" s="264"/>
      <c r="Z124" s="264"/>
      <c r="AA124" s="264"/>
      <c r="AB124" s="265" t="str">
        <f>VLOOKUP(功能_33[[#This Row],[User]],SKL放款!A:G,7,FALSE)</f>
        <v>放款服務課</v>
      </c>
      <c r="AC124" s="272">
        <v>44533</v>
      </c>
      <c r="AD124" s="272" t="s">
        <v>107</v>
      </c>
      <c r="AE124" s="272">
        <v>44524</v>
      </c>
      <c r="AF124" s="272">
        <v>44524</v>
      </c>
      <c r="AG124" s="209">
        <v>44539</v>
      </c>
      <c r="AH124" s="272"/>
      <c r="AI124" s="272"/>
      <c r="AJ124" s="322"/>
      <c r="AK124" s="272">
        <f>IFERROR(IF(VLOOKUP(功能_33[[#This Row],[功能代號]],E:U,11,FALSE)=0,"",VLOOKUP(功能_33[[#This Row],[功能代號]],E:U,11,FALSE)),"")</f>
        <v>44455</v>
      </c>
      <c r="AL124" s="272"/>
      <c r="AM124" s="272"/>
      <c r="AN124" s="265"/>
      <c r="AO124" s="211" t="s">
        <v>428</v>
      </c>
      <c r="AP124" s="264" t="s">
        <v>2648</v>
      </c>
      <c r="AQ124" s="265" t="s">
        <v>2646</v>
      </c>
      <c r="AR124" s="593" t="s">
        <v>3207</v>
      </c>
      <c r="AS124" s="483" t="str">
        <f>IF(COUNTA(AG124)=1,LEFT(D124,3),"")</f>
        <v>4-6</v>
      </c>
      <c r="AT124" s="485" t="str">
        <f>IF(AND(COUNTA(O124)=1,COUNTA(P124)=1,COUNTA(AC124)=1,COUNTA(AF124)=1,COUNTA(AG124)=0),LEFT(D124,3),"")</f>
        <v/>
      </c>
      <c r="AU124" s="487" t="str">
        <f>IF(AND(COUNTA(O124)=1,COUNTA(P124)=1,COUNTA(AC124)=1,COUNTA(AF124)=0,COUNTA(AG124)=0),LEFT(D124,3),"")</f>
        <v/>
      </c>
      <c r="AV124" s="489" t="str">
        <f>IF(AND(COUNTA(P124)=0,COUNTA(AC124)=1),LEFT(D124,3),"")</f>
        <v/>
      </c>
      <c r="AW124" s="491" t="str">
        <f>IF(AND(COUNTA(P124)=1,COUNTA(AC124)=0),LEFT(D124,3),"")</f>
        <v/>
      </c>
      <c r="AX124" s="493" t="str">
        <f>IF(AND(COUNTA(P124)=0,COUNTA(AC124)=0),LEFT(D124,3),"")</f>
        <v/>
      </c>
      <c r="AY124" s="514" t="str">
        <f>IFERROR(VLOOKUP(功能_33[[#This Row],[功能代號]],SIT_FT_2021tmp!D:D,1,FALSE),"")</f>
        <v>L4965</v>
      </c>
      <c r="AZ124" s="587">
        <v>44524</v>
      </c>
      <c r="BA124" s="587">
        <v>44524</v>
      </c>
      <c r="BB124" s="514" t="s">
        <v>3073</v>
      </c>
      <c r="BC124" s="265" t="s">
        <v>3006</v>
      </c>
      <c r="BD124" s="593"/>
      <c r="BE124" s="264" t="str">
        <f>IF(AND(COUNTIF(AY124,"&gt;&lt;0")=1,COUNTA(M124)=1),LEFT(D124,3),"")</f>
        <v>4-6</v>
      </c>
      <c r="BF124" s="264" t="str">
        <f>IF(AND(COUNTIF(AY124,"&gt;&lt;")=1,COUNTA(M124)=0),LEFT(D124,3),"")</f>
        <v/>
      </c>
      <c r="BG124" s="264" t="str">
        <f>IF(AND(COUNTIF(AY124,"&gt;&lt;0")=0,COUNTA(M124)=1),LEFT(D124,3),"")</f>
        <v/>
      </c>
      <c r="BH124" s="264" t="str">
        <f>IF(AND(COUNTIF(AY124,"&gt;&lt;0")=0,COUNTA(M124)=0),LEFT(D124,3),"")</f>
        <v/>
      </c>
    </row>
    <row r="125" spans="3:60" ht="67.5" x14ac:dyDescent="0.3">
      <c r="C125" s="265" t="s">
        <v>68</v>
      </c>
      <c r="D125" s="265" t="s">
        <v>437</v>
      </c>
      <c r="E125" s="264" t="s">
        <v>438</v>
      </c>
      <c r="F125" s="265" t="s">
        <v>439</v>
      </c>
      <c r="G125" s="265"/>
      <c r="H125" s="264" t="s">
        <v>166</v>
      </c>
      <c r="I125" s="264" t="s">
        <v>2433</v>
      </c>
      <c r="J125" s="212" t="s">
        <v>2586</v>
      </c>
      <c r="K125" s="212"/>
      <c r="L125" s="272">
        <v>44578</v>
      </c>
      <c r="M125" s="272">
        <v>44578</v>
      </c>
      <c r="N125" s="272">
        <v>44456</v>
      </c>
      <c r="O125" s="272">
        <v>44456</v>
      </c>
      <c r="P125" s="272">
        <v>44523</v>
      </c>
      <c r="Q125" s="264" t="s">
        <v>2</v>
      </c>
      <c r="R125" s="264" t="s">
        <v>14</v>
      </c>
      <c r="S125" s="663" t="s">
        <v>13</v>
      </c>
      <c r="T125" s="265" t="s">
        <v>3282</v>
      </c>
      <c r="X125" s="264"/>
      <c r="Z125" s="264"/>
      <c r="AA125" s="264"/>
      <c r="AB125" s="265" t="str">
        <f>VLOOKUP(功能_33[[#This Row],[User]],SKL放款!A:G,7,FALSE)</f>
        <v>放款服務課</v>
      </c>
      <c r="AC125" s="272">
        <v>44533</v>
      </c>
      <c r="AD125" s="272" t="s">
        <v>107</v>
      </c>
      <c r="AE125" s="272">
        <v>44523</v>
      </c>
      <c r="AF125" s="272">
        <v>44525</v>
      </c>
      <c r="AG125" s="209">
        <v>44539</v>
      </c>
      <c r="AH125" s="272"/>
      <c r="AI125" s="272"/>
      <c r="AJ125" s="322"/>
      <c r="AK125" s="272">
        <f>IFERROR(IF(VLOOKUP(功能_33[[#This Row],[功能代號]],E:U,11,FALSE)=0,"",VLOOKUP(功能_33[[#This Row],[功能代號]],E:U,11,FALSE)),"")</f>
        <v>44456</v>
      </c>
      <c r="AL125" s="272"/>
      <c r="AM125" s="272"/>
      <c r="AN125" s="265"/>
      <c r="AO125" s="272"/>
      <c r="AP125" s="281" t="s">
        <v>2604</v>
      </c>
      <c r="AQ125" s="206" t="s">
        <v>2607</v>
      </c>
      <c r="AR125" s="593" t="s">
        <v>3207</v>
      </c>
      <c r="AS125" s="483" t="str">
        <f>IF(COUNTA(AG125)=1,LEFT(D125,3),"")</f>
        <v>4-4</v>
      </c>
      <c r="AT125" s="485" t="str">
        <f>IF(AND(COUNTA(O125)=1,COUNTA(P125)=1,COUNTA(AC125)=1,COUNTA(AF125)=1,COUNTA(AG125)=0),LEFT(D125,3),"")</f>
        <v/>
      </c>
      <c r="AU125" s="487" t="str">
        <f>IF(AND(COUNTA(O125)=1,COUNTA(P125)=1,COUNTA(AC125)=1,COUNTA(AF125)=0,COUNTA(AG125)=0),LEFT(D125,3),"")</f>
        <v/>
      </c>
      <c r="AV125" s="489" t="str">
        <f>IF(AND(COUNTA(P125)=0,COUNTA(AC125)=1),LEFT(D125,3),"")</f>
        <v/>
      </c>
      <c r="AW125" s="491" t="str">
        <f>IF(AND(COUNTA(P125)=1,COUNTA(AC125)=0),LEFT(D125,3),"")</f>
        <v/>
      </c>
      <c r="AX125" s="493" t="str">
        <f>IF(AND(COUNTA(P125)=0,COUNTA(AC125)=0),LEFT(D125,3),"")</f>
        <v/>
      </c>
      <c r="AY125" s="514" t="str">
        <f>IFERROR(VLOOKUP(功能_33[[#This Row],[功能代號]],SIT_FT_2021tmp!D:D,1,FALSE),"")</f>
        <v>L4450</v>
      </c>
      <c r="AZ125" s="587">
        <v>44540</v>
      </c>
      <c r="BA125" s="587">
        <v>44540</v>
      </c>
      <c r="BB125" s="514" t="s">
        <v>3000</v>
      </c>
      <c r="BC125" s="265" t="s">
        <v>3032</v>
      </c>
      <c r="BD125" s="593"/>
      <c r="BE125" s="264" t="str">
        <f>IF(AND(COUNTIF(AY125,"&gt;&lt;0")=1,COUNTA(M125)=1),LEFT(D125,3),"")</f>
        <v>4-4</v>
      </c>
      <c r="BF125" s="264" t="str">
        <f>IF(AND(COUNTIF(AY125,"&gt;&lt;")=1,COUNTA(M125)=0),LEFT(D125,3),"")</f>
        <v/>
      </c>
      <c r="BG125" s="264" t="str">
        <f>IF(AND(COUNTIF(AY125,"&gt;&lt;0")=0,COUNTA(M125)=1),LEFT(D125,3),"")</f>
        <v/>
      </c>
      <c r="BH125" s="264" t="str">
        <f>IF(AND(COUNTIF(AY125,"&gt;&lt;0")=0,COUNTA(M125)=0),LEFT(D125,3),"")</f>
        <v/>
      </c>
    </row>
    <row r="126" spans="3:60" ht="27" x14ac:dyDescent="0.3">
      <c r="C126" s="265" t="s">
        <v>68</v>
      </c>
      <c r="D126" s="265" t="s">
        <v>437</v>
      </c>
      <c r="E126" s="264" t="s">
        <v>441</v>
      </c>
      <c r="F126" s="265" t="s">
        <v>442</v>
      </c>
      <c r="G126" s="265"/>
      <c r="H126" s="264" t="s">
        <v>166</v>
      </c>
      <c r="I126" s="264" t="s">
        <v>2433</v>
      </c>
      <c r="J126" s="212" t="s">
        <v>2586</v>
      </c>
      <c r="K126" s="212"/>
      <c r="L126" s="272">
        <v>44574</v>
      </c>
      <c r="M126" s="272">
        <v>44572</v>
      </c>
      <c r="N126" s="272">
        <v>44456</v>
      </c>
      <c r="O126" s="272">
        <v>44456</v>
      </c>
      <c r="P126" s="272">
        <v>44523</v>
      </c>
      <c r="Q126" s="264" t="s">
        <v>2</v>
      </c>
      <c r="R126" s="264" t="s">
        <v>14</v>
      </c>
      <c r="S126" s="663" t="s">
        <v>13</v>
      </c>
      <c r="T126" s="265" t="s">
        <v>3282</v>
      </c>
      <c r="X126" s="264"/>
      <c r="Z126" s="264"/>
      <c r="AA126" s="264"/>
      <c r="AB126" s="265" t="str">
        <f>VLOOKUP(功能_33[[#This Row],[User]],SKL放款!A:G,7,FALSE)</f>
        <v>放款服務課</v>
      </c>
      <c r="AC126" s="272">
        <v>44533</v>
      </c>
      <c r="AD126" s="272" t="s">
        <v>107</v>
      </c>
      <c r="AE126" s="272">
        <v>44523</v>
      </c>
      <c r="AF126" s="272">
        <v>44525</v>
      </c>
      <c r="AG126" s="209">
        <v>44539</v>
      </c>
      <c r="AH126" s="272"/>
      <c r="AI126" s="272"/>
      <c r="AJ126" s="322"/>
      <c r="AK126" s="272">
        <f>IFERROR(IF(VLOOKUP(功能_33[[#This Row],[功能代號]],E:U,11,FALSE)=0,"",VLOOKUP(功能_33[[#This Row],[功能代號]],E:U,11,FALSE)),"")</f>
        <v>44456</v>
      </c>
      <c r="AL126" s="272"/>
      <c r="AM126" s="272"/>
      <c r="AN126" s="265"/>
      <c r="AO126" s="211" t="s">
        <v>443</v>
      </c>
      <c r="AP126" s="281" t="s">
        <v>2612</v>
      </c>
      <c r="AQ126" s="206" t="s">
        <v>2613</v>
      </c>
      <c r="AR126" s="593" t="s">
        <v>3207</v>
      </c>
      <c r="AS126" s="483" t="str">
        <f>IF(COUNTA(AG126)=1,LEFT(D126,3),"")</f>
        <v>4-4</v>
      </c>
      <c r="AT126" s="485" t="str">
        <f>IF(AND(COUNTA(O126)=1,COUNTA(P126)=1,COUNTA(AC126)=1,COUNTA(AF126)=1,COUNTA(AG126)=0),LEFT(D126,3),"")</f>
        <v/>
      </c>
      <c r="AU126" s="487" t="str">
        <f>IF(AND(COUNTA(O126)=1,COUNTA(P126)=1,COUNTA(AC126)=1,COUNTA(AF126)=0,COUNTA(AG126)=0),LEFT(D126,3),"")</f>
        <v/>
      </c>
      <c r="AV126" s="489" t="str">
        <f>IF(AND(COUNTA(P126)=0,COUNTA(AC126)=1),LEFT(D126,3),"")</f>
        <v/>
      </c>
      <c r="AW126" s="491" t="str">
        <f>IF(AND(COUNTA(P126)=1,COUNTA(AC126)=0),LEFT(D126,3),"")</f>
        <v/>
      </c>
      <c r="AX126" s="493" t="str">
        <f>IF(AND(COUNTA(P126)=0,COUNTA(AC126)=0),LEFT(D126,3),"")</f>
        <v/>
      </c>
      <c r="AY126" s="514" t="str">
        <f>IFERROR(VLOOKUP(功能_33[[#This Row],[功能代號]],SIT_FT_2021tmp!D:D,1,FALSE),"")</f>
        <v>L4943</v>
      </c>
      <c r="AZ126" s="587">
        <v>44540</v>
      </c>
      <c r="BA126" s="587">
        <v>44540</v>
      </c>
      <c r="BB126" s="514" t="s">
        <v>3000</v>
      </c>
      <c r="BC126" s="265" t="s">
        <v>3032</v>
      </c>
      <c r="BD126" s="593"/>
      <c r="BE126" s="264" t="str">
        <f>IF(AND(COUNTIF(AY126,"&gt;&lt;0")=1,COUNTA(M126)=1),LEFT(D126,3),"")</f>
        <v>4-4</v>
      </c>
      <c r="BF126" s="264" t="str">
        <f>IF(AND(COUNTIF(AY126,"&gt;&lt;")=1,COUNTA(M126)=0),LEFT(D126,3),"")</f>
        <v/>
      </c>
      <c r="BG126" s="264" t="str">
        <f>IF(AND(COUNTIF(AY126,"&gt;&lt;0")=0,COUNTA(M126)=1),LEFT(D126,3),"")</f>
        <v/>
      </c>
      <c r="BH126" s="264" t="str">
        <f>IF(AND(COUNTIF(AY126,"&gt;&lt;0")=0,COUNTA(M126)=0),LEFT(D126,3),"")</f>
        <v/>
      </c>
    </row>
    <row r="127" spans="3:60" ht="27" x14ac:dyDescent="0.3">
      <c r="C127" s="265" t="s">
        <v>68</v>
      </c>
      <c r="D127" s="265" t="s">
        <v>437</v>
      </c>
      <c r="E127" s="264" t="s">
        <v>444</v>
      </c>
      <c r="F127" s="265" t="s">
        <v>445</v>
      </c>
      <c r="G127" s="265"/>
      <c r="H127" s="264" t="s">
        <v>166</v>
      </c>
      <c r="I127" s="264" t="s">
        <v>2433</v>
      </c>
      <c r="J127" s="212" t="s">
        <v>2586</v>
      </c>
      <c r="K127" s="212"/>
      <c r="L127" s="272">
        <v>44574</v>
      </c>
      <c r="M127" s="272">
        <v>44572</v>
      </c>
      <c r="N127" s="272">
        <v>44456</v>
      </c>
      <c r="O127" s="272">
        <v>44456</v>
      </c>
      <c r="P127" s="272">
        <v>44523</v>
      </c>
      <c r="Q127" s="264" t="s">
        <v>2</v>
      </c>
      <c r="R127" s="264" t="s">
        <v>14</v>
      </c>
      <c r="S127" s="663" t="s">
        <v>13</v>
      </c>
      <c r="T127" s="265" t="s">
        <v>3282</v>
      </c>
      <c r="X127" s="264"/>
      <c r="Z127" s="264"/>
      <c r="AA127" s="264"/>
      <c r="AB127" s="265" t="str">
        <f>VLOOKUP(功能_33[[#This Row],[User]],SKL放款!A:G,7,FALSE)</f>
        <v>放款服務課</v>
      </c>
      <c r="AC127" s="272">
        <v>44533</v>
      </c>
      <c r="AD127" s="272" t="s">
        <v>107</v>
      </c>
      <c r="AE127" s="272">
        <v>44523</v>
      </c>
      <c r="AF127" s="272">
        <v>44525</v>
      </c>
      <c r="AG127" s="209">
        <v>44539</v>
      </c>
      <c r="AH127" s="272"/>
      <c r="AI127" s="272"/>
      <c r="AJ127" s="322"/>
      <c r="AK127" s="272">
        <f>IFERROR(IF(VLOOKUP(功能_33[[#This Row],[功能代號]],E:U,11,FALSE)=0,"",VLOOKUP(功能_33[[#This Row],[功能代號]],E:U,11,FALSE)),"")</f>
        <v>44456</v>
      </c>
      <c r="AL127" s="272"/>
      <c r="AM127" s="272"/>
      <c r="AN127" s="265"/>
      <c r="AO127" s="272"/>
      <c r="AP127" s="281" t="s">
        <v>2605</v>
      </c>
      <c r="AQ127" s="206" t="s">
        <v>2606</v>
      </c>
      <c r="AR127" s="593" t="s">
        <v>3207</v>
      </c>
      <c r="AS127" s="483" t="str">
        <f>IF(COUNTA(AG127)=1,LEFT(D127,3),"")</f>
        <v>4-4</v>
      </c>
      <c r="AT127" s="485" t="str">
        <f>IF(AND(COUNTA(O127)=1,COUNTA(P127)=1,COUNTA(AC127)=1,COUNTA(AF127)=1,COUNTA(AG127)=0),LEFT(D127,3),"")</f>
        <v/>
      </c>
      <c r="AU127" s="487" t="str">
        <f>IF(AND(COUNTA(O127)=1,COUNTA(P127)=1,COUNTA(AC127)=1,COUNTA(AF127)=0,COUNTA(AG127)=0),LEFT(D127,3),"")</f>
        <v/>
      </c>
      <c r="AV127" s="489" t="str">
        <f>IF(AND(COUNTA(P127)=0,COUNTA(AC127)=1),LEFT(D127,3),"")</f>
        <v/>
      </c>
      <c r="AW127" s="491" t="str">
        <f>IF(AND(COUNTA(P127)=1,COUNTA(AC127)=0),LEFT(D127,3),"")</f>
        <v/>
      </c>
      <c r="AX127" s="493" t="str">
        <f>IF(AND(COUNTA(P127)=0,COUNTA(AC127)=0),LEFT(D127,3),"")</f>
        <v/>
      </c>
      <c r="AY127" s="514" t="str">
        <f>IFERROR(VLOOKUP(功能_33[[#This Row],[功能代號]],SIT_FT_2021tmp!D:D,1,FALSE),"")</f>
        <v>L4451</v>
      </c>
      <c r="AZ127" s="587">
        <v>44540</v>
      </c>
      <c r="BA127" s="587">
        <v>44540</v>
      </c>
      <c r="BB127" s="514" t="s">
        <v>3000</v>
      </c>
      <c r="BC127" s="265" t="s">
        <v>3032</v>
      </c>
      <c r="BD127" s="593"/>
      <c r="BE127" s="264" t="str">
        <f>IF(AND(COUNTIF(AY127,"&gt;&lt;0")=1,COUNTA(M127)=1),LEFT(D127,3),"")</f>
        <v>4-4</v>
      </c>
      <c r="BF127" s="264" t="str">
        <f>IF(AND(COUNTIF(AY127,"&gt;&lt;")=1,COUNTA(M127)=0),LEFT(D127,3),"")</f>
        <v/>
      </c>
      <c r="BG127" s="264" t="str">
        <f>IF(AND(COUNTIF(AY127,"&gt;&lt;0")=0,COUNTA(M127)=1),LEFT(D127,3),"")</f>
        <v/>
      </c>
      <c r="BH127" s="264" t="str">
        <f>IF(AND(COUNTIF(AY127,"&gt;&lt;0")=0,COUNTA(M127)=0),LEFT(D127,3),"")</f>
        <v/>
      </c>
    </row>
    <row r="128" spans="3:60" ht="40.5" x14ac:dyDescent="0.3">
      <c r="C128" s="265" t="s">
        <v>68</v>
      </c>
      <c r="D128" s="265" t="s">
        <v>437</v>
      </c>
      <c r="E128" s="264" t="s">
        <v>446</v>
      </c>
      <c r="F128" s="265" t="s">
        <v>447</v>
      </c>
      <c r="G128" s="265"/>
      <c r="H128" s="264" t="s">
        <v>166</v>
      </c>
      <c r="I128" s="264" t="s">
        <v>2433</v>
      </c>
      <c r="J128" s="212" t="s">
        <v>2586</v>
      </c>
      <c r="K128" s="212"/>
      <c r="L128" s="272">
        <v>44579</v>
      </c>
      <c r="M128" s="272">
        <v>44578</v>
      </c>
      <c r="N128" s="272">
        <v>44456</v>
      </c>
      <c r="O128" s="272">
        <v>44456</v>
      </c>
      <c r="P128" s="272">
        <v>44523</v>
      </c>
      <c r="Q128" s="264" t="s">
        <v>2</v>
      </c>
      <c r="R128" s="264" t="s">
        <v>14</v>
      </c>
      <c r="S128" s="663" t="s">
        <v>13</v>
      </c>
      <c r="T128" s="265" t="s">
        <v>3282</v>
      </c>
      <c r="X128" s="264"/>
      <c r="Z128" s="264"/>
      <c r="AA128" s="264"/>
      <c r="AB128" s="265" t="str">
        <f>VLOOKUP(功能_33[[#This Row],[User]],SKL放款!A:G,7,FALSE)</f>
        <v>放款服務課</v>
      </c>
      <c r="AC128" s="272">
        <v>44533</v>
      </c>
      <c r="AD128" s="272" t="s">
        <v>107</v>
      </c>
      <c r="AE128" s="272">
        <v>44523</v>
      </c>
      <c r="AF128" s="272">
        <v>44525</v>
      </c>
      <c r="AG128" s="209">
        <v>44539</v>
      </c>
      <c r="AH128" s="272"/>
      <c r="AI128" s="272"/>
      <c r="AJ128" s="322"/>
      <c r="AK128" s="272">
        <f>IFERROR(IF(VLOOKUP(功能_33[[#This Row],[功能代號]],E:U,11,FALSE)=0,"",VLOOKUP(功能_33[[#This Row],[功能代號]],E:U,11,FALSE)),"")</f>
        <v>44456</v>
      </c>
      <c r="AL128" s="272"/>
      <c r="AM128" s="272"/>
      <c r="AN128" s="265"/>
      <c r="AO128" s="272"/>
      <c r="AP128" s="281" t="s">
        <v>2608</v>
      </c>
      <c r="AQ128" s="206" t="s">
        <v>2609</v>
      </c>
      <c r="AR128" s="593" t="s">
        <v>3207</v>
      </c>
      <c r="AS128" s="483" t="str">
        <f>IF(COUNTA(AG128)=1,LEFT(D128,3),"")</f>
        <v>4-4</v>
      </c>
      <c r="AT128" s="485" t="str">
        <f>IF(AND(COUNTA(O128)=1,COUNTA(P128)=1,COUNTA(AC128)=1,COUNTA(AF128)=1,COUNTA(AG128)=0),LEFT(D128,3),"")</f>
        <v/>
      </c>
      <c r="AU128" s="487" t="str">
        <f>IF(AND(COUNTA(O128)=1,COUNTA(P128)=1,COUNTA(AC128)=1,COUNTA(AF128)=0,COUNTA(AG128)=0),LEFT(D128,3),"")</f>
        <v/>
      </c>
      <c r="AV128" s="489" t="str">
        <f>IF(AND(COUNTA(P128)=0,COUNTA(AC128)=1),LEFT(D128,3),"")</f>
        <v/>
      </c>
      <c r="AW128" s="491" t="str">
        <f>IF(AND(COUNTA(P128)=1,COUNTA(AC128)=0),LEFT(D128,3),"")</f>
        <v/>
      </c>
      <c r="AX128" s="493" t="str">
        <f>IF(AND(COUNTA(P128)=0,COUNTA(AC128)=0),LEFT(D128,3),"")</f>
        <v/>
      </c>
      <c r="AY128" s="514" t="str">
        <f>IFERROR(VLOOKUP(功能_33[[#This Row],[功能代號]],SIT_FT_2021tmp!D:D,1,FALSE),"")</f>
        <v>L4452</v>
      </c>
      <c r="AZ128" s="587">
        <v>44540</v>
      </c>
      <c r="BA128" s="587">
        <v>44540</v>
      </c>
      <c r="BB128" s="514" t="s">
        <v>3000</v>
      </c>
      <c r="BC128" s="265" t="s">
        <v>3032</v>
      </c>
      <c r="BD128" s="593"/>
      <c r="BE128" s="264" t="str">
        <f>IF(AND(COUNTIF(AY128,"&gt;&lt;0")=1,COUNTA(M128)=1),LEFT(D128,3),"")</f>
        <v>4-4</v>
      </c>
      <c r="BF128" s="264" t="str">
        <f>IF(AND(COUNTIF(AY128,"&gt;&lt;")=1,COUNTA(M128)=0),LEFT(D128,3),"")</f>
        <v/>
      </c>
      <c r="BG128" s="264" t="str">
        <f>IF(AND(COUNTIF(AY128,"&gt;&lt;0")=0,COUNTA(M128)=1),LEFT(D128,3),"")</f>
        <v/>
      </c>
      <c r="BH128" s="264" t="str">
        <f>IF(AND(COUNTIF(AY128,"&gt;&lt;0")=0,COUNTA(M128)=0),LEFT(D128,3),"")</f>
        <v/>
      </c>
    </row>
    <row r="129" spans="3:60" ht="27" x14ac:dyDescent="0.3">
      <c r="C129" s="265" t="s">
        <v>68</v>
      </c>
      <c r="D129" s="265" t="s">
        <v>437</v>
      </c>
      <c r="E129" s="264" t="s">
        <v>448</v>
      </c>
      <c r="F129" s="265" t="s">
        <v>449</v>
      </c>
      <c r="G129" s="265"/>
      <c r="H129" s="264" t="s">
        <v>166</v>
      </c>
      <c r="I129" s="264" t="s">
        <v>2433</v>
      </c>
      <c r="J129" s="212" t="s">
        <v>2586</v>
      </c>
      <c r="K129" s="212"/>
      <c r="L129" s="272">
        <v>44579</v>
      </c>
      <c r="M129" s="272">
        <v>44578</v>
      </c>
      <c r="N129" s="272">
        <v>44456</v>
      </c>
      <c r="O129" s="272">
        <v>44456</v>
      </c>
      <c r="P129" s="272">
        <v>44523</v>
      </c>
      <c r="Q129" s="264" t="s">
        <v>2</v>
      </c>
      <c r="R129" s="264" t="s">
        <v>14</v>
      </c>
      <c r="S129" s="663" t="s">
        <v>13</v>
      </c>
      <c r="T129" s="265" t="s">
        <v>3282</v>
      </c>
      <c r="X129" s="264"/>
      <c r="Z129" s="264"/>
      <c r="AA129" s="264"/>
      <c r="AB129" s="265" t="str">
        <f>VLOOKUP(功能_33[[#This Row],[User]],SKL放款!A:G,7,FALSE)</f>
        <v>放款服務課</v>
      </c>
      <c r="AC129" s="272">
        <v>44533</v>
      </c>
      <c r="AD129" s="272" t="s">
        <v>107</v>
      </c>
      <c r="AE129" s="272">
        <v>44523</v>
      </c>
      <c r="AF129" s="272">
        <v>44525</v>
      </c>
      <c r="AG129" s="209">
        <v>44539</v>
      </c>
      <c r="AH129" s="272"/>
      <c r="AI129" s="272"/>
      <c r="AJ129" s="322"/>
      <c r="AK129" s="272">
        <f>IFERROR(IF(VLOOKUP(功能_33[[#This Row],[功能代號]],E:U,11,FALSE)=0,"",VLOOKUP(功能_33[[#This Row],[功能代號]],E:U,11,FALSE)),"")</f>
        <v>44456</v>
      </c>
      <c r="AL129" s="272"/>
      <c r="AM129" s="272"/>
      <c r="AN129" s="265"/>
      <c r="AO129" s="272"/>
      <c r="AP129" s="281" t="s">
        <v>2610</v>
      </c>
      <c r="AQ129" s="206" t="s">
        <v>2611</v>
      </c>
      <c r="AR129" s="593" t="s">
        <v>3207</v>
      </c>
      <c r="AS129" s="483" t="str">
        <f>IF(COUNTA(AG129)=1,LEFT(D129,3),"")</f>
        <v>4-4</v>
      </c>
      <c r="AT129" s="485" t="str">
        <f>IF(AND(COUNTA(O129)=1,COUNTA(P129)=1,COUNTA(AC129)=1,COUNTA(AF129)=1,COUNTA(AG129)=0),LEFT(D129,3),"")</f>
        <v/>
      </c>
      <c r="AU129" s="487" t="str">
        <f>IF(AND(COUNTA(O129)=1,COUNTA(P129)=1,COUNTA(AC129)=1,COUNTA(AF129)=0,COUNTA(AG129)=0),LEFT(D129,3),"")</f>
        <v/>
      </c>
      <c r="AV129" s="489" t="str">
        <f>IF(AND(COUNTA(P129)=0,COUNTA(AC129)=1),LEFT(D129,3),"")</f>
        <v/>
      </c>
      <c r="AW129" s="491" t="str">
        <f>IF(AND(COUNTA(P129)=1,COUNTA(AC129)=0),LEFT(D129,3),"")</f>
        <v/>
      </c>
      <c r="AX129" s="493" t="str">
        <f>IF(AND(COUNTA(P129)=0,COUNTA(AC129)=0),LEFT(D129,3),"")</f>
        <v/>
      </c>
      <c r="AY129" s="514" t="str">
        <f>IFERROR(VLOOKUP(功能_33[[#This Row],[功能代號]],SIT_FT_2021tmp!D:D,1,FALSE),"")</f>
        <v>L4453</v>
      </c>
      <c r="AZ129" s="587">
        <v>44540</v>
      </c>
      <c r="BA129" s="587">
        <v>44540</v>
      </c>
      <c r="BB129" s="514" t="s">
        <v>3000</v>
      </c>
      <c r="BC129" s="265" t="s">
        <v>3032</v>
      </c>
      <c r="BD129" s="593"/>
      <c r="BE129" s="264" t="str">
        <f>IF(AND(COUNTIF(AY129,"&gt;&lt;0")=1,COUNTA(M129)=1),LEFT(D129,3),"")</f>
        <v>4-4</v>
      </c>
      <c r="BF129" s="264" t="str">
        <f>IF(AND(COUNTIF(AY129,"&gt;&lt;")=1,COUNTA(M129)=0),LEFT(D129,3),"")</f>
        <v/>
      </c>
      <c r="BG129" s="264" t="str">
        <f>IF(AND(COUNTIF(AY129,"&gt;&lt;0")=0,COUNTA(M129)=1),LEFT(D129,3),"")</f>
        <v/>
      </c>
      <c r="BH129" s="264" t="str">
        <f>IF(AND(COUNTIF(AY129,"&gt;&lt;0")=0,COUNTA(M129)=0),LEFT(D129,3),"")</f>
        <v/>
      </c>
    </row>
    <row r="130" spans="3:60" ht="13.5" x14ac:dyDescent="0.3">
      <c r="C130" s="265" t="s">
        <v>69</v>
      </c>
      <c r="D130" s="265" t="s">
        <v>2472</v>
      </c>
      <c r="E130" s="264" t="s">
        <v>450</v>
      </c>
      <c r="F130" s="265" t="s">
        <v>451</v>
      </c>
      <c r="G130" s="265"/>
      <c r="H130" s="264" t="s">
        <v>452</v>
      </c>
      <c r="I130" s="264" t="s">
        <v>452</v>
      </c>
      <c r="J130" s="212" t="s">
        <v>453</v>
      </c>
      <c r="K130" s="212"/>
      <c r="L130" s="272">
        <v>44568</v>
      </c>
      <c r="M130" s="272">
        <v>44568</v>
      </c>
      <c r="N130" s="272">
        <v>44462</v>
      </c>
      <c r="O130" s="272">
        <v>44462</v>
      </c>
      <c r="P130" s="272">
        <v>44462</v>
      </c>
      <c r="Q130" s="264" t="s">
        <v>1</v>
      </c>
      <c r="R130" s="264" t="s">
        <v>5</v>
      </c>
      <c r="S130" s="264" t="s">
        <v>5</v>
      </c>
      <c r="T130" s="265" t="s">
        <v>16</v>
      </c>
      <c r="X130" s="264"/>
      <c r="Z130" s="264"/>
      <c r="AA130" s="264"/>
      <c r="AB130" s="265" t="str">
        <f>VLOOKUP(功能_33[[#This Row],[User]],SKL放款!A:G,7,FALSE)</f>
        <v>放款服務課</v>
      </c>
      <c r="AC130" s="272">
        <v>44489</v>
      </c>
      <c r="AD130" s="272">
        <v>44477</v>
      </c>
      <c r="AE130" s="272">
        <f>IF(功能_33[[#This Row],[URS交二審]]=0,"",功能_33[[#This Row],[URS交二審]]+7)</f>
        <v>44484</v>
      </c>
      <c r="AF130" s="272">
        <f>IF(功能_33[[#This Row],[URS交二審]]=0,"",功能_33[[#This Row],[URS交二審]]+7)</f>
        <v>44484</v>
      </c>
      <c r="AG130" s="209">
        <v>44489</v>
      </c>
      <c r="AH130" s="272"/>
      <c r="AK130" s="272">
        <f>IFERROR(IF(VLOOKUP(功能_33[[#This Row],[功能代號]],E:U,11,FALSE)=0,"",VLOOKUP(功能_33[[#This Row],[功能代號]],E:U,11,FALSE)),"")</f>
        <v>44462</v>
      </c>
      <c r="AL130" s="272"/>
      <c r="AM130" s="272"/>
      <c r="AN130" s="265"/>
      <c r="AO130" s="272"/>
      <c r="AP130" s="264" t="s">
        <v>2680</v>
      </c>
      <c r="AQ130" s="265" t="s">
        <v>2682</v>
      </c>
      <c r="AR130" s="593" t="s">
        <v>3207</v>
      </c>
      <c r="AS130" s="483" t="str">
        <f>IF(COUNTA(AG130)=1,LEFT(D130,3),"")</f>
        <v>5-5</v>
      </c>
      <c r="AT130" s="485" t="str">
        <f>IF(AND(COUNTA(O130)=1,COUNTA(P130)=1,COUNTA(AC130)=1,COUNTA(AF130)=1,COUNTA(AG130)=0),LEFT(D130,3),"")</f>
        <v/>
      </c>
      <c r="AU130" s="487" t="str">
        <f>IF(AND(COUNTA(O130)=1,COUNTA(P130)=1,COUNTA(AC130)=1,COUNTA(AF130)=0,COUNTA(AG130)=0),LEFT(D130,3),"")</f>
        <v/>
      </c>
      <c r="AV130" s="489" t="str">
        <f>IF(AND(COUNTA(P130)=0,COUNTA(AC130)=1),LEFT(D130,3),"")</f>
        <v/>
      </c>
      <c r="AW130" s="491" t="str">
        <f>IF(AND(COUNTA(P130)=1,COUNTA(AC130)=0),LEFT(D130,3),"")</f>
        <v/>
      </c>
      <c r="AX130" s="493" t="str">
        <f>IF(AND(COUNTA(P130)=0,COUNTA(AC130)=0),LEFT(D130,3),"")</f>
        <v/>
      </c>
      <c r="AY130" s="514" t="str">
        <f>IFERROR(VLOOKUP(功能_33[[#This Row],[功能代號]],SIT_FT_2021tmp!D:D,1,FALSE),"")</f>
        <v/>
      </c>
      <c r="AZ130" s="587">
        <v>44587</v>
      </c>
      <c r="BA130" s="587">
        <v>44586</v>
      </c>
      <c r="BB130" s="514" t="s">
        <v>2425</v>
      </c>
      <c r="BC130" s="265" t="s">
        <v>2453</v>
      </c>
      <c r="BD130" s="593"/>
      <c r="BE130" s="265" t="str">
        <f>IF(AND(COUNTIF(AY130,"&gt;&lt;0")=1,COUNTA(M130)=1),LEFT(D130,3),"")</f>
        <v/>
      </c>
      <c r="BF130" s="265" t="str">
        <f>IF(AND(COUNTIF(AY130,"&gt;&lt;")=1,COUNTA(M130)=0),LEFT(D130,3),"")</f>
        <v/>
      </c>
      <c r="BG130" s="265" t="str">
        <f>IF(AND(COUNTIF(AY130,"&gt;&lt;0")=0,COUNTA(M130)=1),LEFT(D130,3),"")</f>
        <v>5-5</v>
      </c>
      <c r="BH130" s="265" t="str">
        <f>IF(AND(COUNTIF(AY130,"&gt;&lt;0")=0,COUNTA(M130)=0),LEFT(D130,3),"")</f>
        <v/>
      </c>
    </row>
    <row r="131" spans="3:60" ht="13.5" x14ac:dyDescent="0.3">
      <c r="C131" s="265" t="s">
        <v>69</v>
      </c>
      <c r="D131" s="265" t="s">
        <v>2472</v>
      </c>
      <c r="E131" s="264" t="s">
        <v>454</v>
      </c>
      <c r="F131" s="265" t="s">
        <v>455</v>
      </c>
      <c r="G131" s="265"/>
      <c r="H131" s="264" t="s">
        <v>452</v>
      </c>
      <c r="I131" s="264" t="s">
        <v>452</v>
      </c>
      <c r="J131" s="212" t="s">
        <v>453</v>
      </c>
      <c r="K131" s="212"/>
      <c r="L131" s="272">
        <v>44568</v>
      </c>
      <c r="M131" s="272">
        <v>44568</v>
      </c>
      <c r="N131" s="272">
        <v>44462</v>
      </c>
      <c r="O131" s="272">
        <v>44462</v>
      </c>
      <c r="P131" s="272">
        <v>44462</v>
      </c>
      <c r="Q131" s="264" t="s">
        <v>1</v>
      </c>
      <c r="R131" s="264" t="s">
        <v>5</v>
      </c>
      <c r="S131" s="264" t="s">
        <v>5</v>
      </c>
      <c r="T131" s="265" t="s">
        <v>16</v>
      </c>
      <c r="X131" s="264"/>
      <c r="Z131" s="264"/>
      <c r="AA131" s="264"/>
      <c r="AB131" s="265" t="str">
        <f>VLOOKUP(功能_33[[#This Row],[User]],SKL放款!A:G,7,FALSE)</f>
        <v>放款服務課</v>
      </c>
      <c r="AC131" s="272">
        <v>44489</v>
      </c>
      <c r="AD131" s="272">
        <v>44477</v>
      </c>
      <c r="AE131" s="272">
        <f>IF(功能_33[[#This Row],[URS交二審]]=0,"",功能_33[[#This Row],[URS交二審]]+7)</f>
        <v>44484</v>
      </c>
      <c r="AF131" s="272">
        <f>IF(功能_33[[#This Row],[URS交二審]]=0,"",功能_33[[#This Row],[URS交二審]]+7)</f>
        <v>44484</v>
      </c>
      <c r="AG131" s="209">
        <v>44489</v>
      </c>
      <c r="AH131" s="272"/>
      <c r="AK131" s="272">
        <f>IFERROR(IF(VLOOKUP(功能_33[[#This Row],[功能代號]],E:U,11,FALSE)=0,"",VLOOKUP(功能_33[[#This Row],[功能代號]],E:U,11,FALSE)),"")</f>
        <v>44462</v>
      </c>
      <c r="AL131" s="272"/>
      <c r="AM131" s="272"/>
      <c r="AN131" s="265"/>
      <c r="AO131" s="272"/>
      <c r="AP131" s="264" t="s">
        <v>2680</v>
      </c>
      <c r="AQ131" s="265" t="s">
        <v>2682</v>
      </c>
      <c r="AR131" s="593" t="s">
        <v>3207</v>
      </c>
      <c r="AS131" s="483" t="str">
        <f>IF(COUNTA(AG131)=1,LEFT(D131,3),"")</f>
        <v>5-5</v>
      </c>
      <c r="AT131" s="485" t="str">
        <f>IF(AND(COUNTA(O131)=1,COUNTA(P131)=1,COUNTA(AC131)=1,COUNTA(AF131)=1,COUNTA(AG131)=0),LEFT(D131,3),"")</f>
        <v/>
      </c>
      <c r="AU131" s="487" t="str">
        <f>IF(AND(COUNTA(O131)=1,COUNTA(P131)=1,COUNTA(AC131)=1,COUNTA(AF131)=0,COUNTA(AG131)=0),LEFT(D131,3),"")</f>
        <v/>
      </c>
      <c r="AV131" s="489" t="str">
        <f>IF(AND(COUNTA(P131)=0,COUNTA(AC131)=1),LEFT(D131,3),"")</f>
        <v/>
      </c>
      <c r="AW131" s="491" t="str">
        <f>IF(AND(COUNTA(P131)=1,COUNTA(AC131)=0),LEFT(D131,3),"")</f>
        <v/>
      </c>
      <c r="AX131" s="493" t="str">
        <f>IF(AND(COUNTA(P131)=0,COUNTA(AC131)=0),LEFT(D131,3),"")</f>
        <v/>
      </c>
      <c r="AY131" s="514" t="str">
        <f>IFERROR(VLOOKUP(功能_33[[#This Row],[功能代號]],SIT_FT_2021tmp!D:D,1,FALSE),"")</f>
        <v/>
      </c>
      <c r="AZ131" s="587">
        <v>44587</v>
      </c>
      <c r="BA131" s="587">
        <v>44586</v>
      </c>
      <c r="BB131" s="514" t="s">
        <v>2425</v>
      </c>
      <c r="BC131" s="265" t="s">
        <v>2453</v>
      </c>
      <c r="BD131" s="593"/>
      <c r="BE131" s="265" t="str">
        <f>IF(AND(COUNTIF(AY131,"&gt;&lt;0")=1,COUNTA(M131)=1),LEFT(D131,3),"")</f>
        <v/>
      </c>
      <c r="BF131" s="265" t="str">
        <f>IF(AND(COUNTIF(AY131,"&gt;&lt;")=1,COUNTA(M131)=0),LEFT(D131,3),"")</f>
        <v/>
      </c>
      <c r="BG131" s="265" t="str">
        <f>IF(AND(COUNTIF(AY131,"&gt;&lt;0")=0,COUNTA(M131)=1),LEFT(D131,3),"")</f>
        <v>5-5</v>
      </c>
      <c r="BH131" s="265" t="str">
        <f>IF(AND(COUNTIF(AY131,"&gt;&lt;0")=0,COUNTA(M131)=0),LEFT(D131,3),"")</f>
        <v/>
      </c>
    </row>
    <row r="132" spans="3:60" ht="13.5" x14ac:dyDescent="0.3">
      <c r="C132" s="265" t="s">
        <v>69</v>
      </c>
      <c r="D132" s="265" t="s">
        <v>2472</v>
      </c>
      <c r="E132" s="264" t="s">
        <v>456</v>
      </c>
      <c r="F132" s="265" t="s">
        <v>457</v>
      </c>
      <c r="G132" s="265"/>
      <c r="H132" s="264" t="s">
        <v>452</v>
      </c>
      <c r="I132" s="264" t="s">
        <v>452</v>
      </c>
      <c r="J132" s="212" t="s">
        <v>2679</v>
      </c>
      <c r="K132" s="212"/>
      <c r="L132" s="272">
        <v>44568</v>
      </c>
      <c r="M132" s="272">
        <v>44568</v>
      </c>
      <c r="N132" s="272">
        <v>44462</v>
      </c>
      <c r="O132" s="272">
        <v>44462</v>
      </c>
      <c r="P132" s="272">
        <f>IFERROR(IF(VLOOKUP(功能_33[[#This Row],[功能代號]],討論項目!A:H,8,FALSE)=0,"",VLOOKUP(功能_33[[#This Row],[功能代號]],討論項目!A:H,8,FALSE)),"")</f>
        <v>44470</v>
      </c>
      <c r="Q132" s="264" t="s">
        <v>1</v>
      </c>
      <c r="R132" s="264" t="s">
        <v>5</v>
      </c>
      <c r="S132" s="264" t="s">
        <v>5</v>
      </c>
      <c r="T132" s="265" t="s">
        <v>16</v>
      </c>
      <c r="X132" s="264"/>
      <c r="Z132" s="264"/>
      <c r="AA132" s="264"/>
      <c r="AB132" s="265" t="str">
        <f>VLOOKUP(功能_33[[#This Row],[User]],SKL放款!A:G,7,FALSE)</f>
        <v>放款服務課</v>
      </c>
      <c r="AC132" s="272">
        <v>44489</v>
      </c>
      <c r="AD132" s="272">
        <v>44477</v>
      </c>
      <c r="AE132" s="272">
        <f>IF(功能_33[[#This Row],[URS交二審]]=0,"",功能_33[[#This Row],[URS交二審]]+7)</f>
        <v>44484</v>
      </c>
      <c r="AF132" s="272">
        <f>IF(功能_33[[#This Row],[URS交二審]]=0,"",功能_33[[#This Row],[URS交二審]]+7)</f>
        <v>44484</v>
      </c>
      <c r="AG132" s="209">
        <v>44489</v>
      </c>
      <c r="AH132" s="272"/>
      <c r="AK132" s="272">
        <f>IFERROR(IF(VLOOKUP(功能_33[[#This Row],[功能代號]],E:U,11,FALSE)=0,"",VLOOKUP(功能_33[[#This Row],[功能代號]],E:U,11,FALSE)),"")</f>
        <v>44462</v>
      </c>
      <c r="AL132" s="272"/>
      <c r="AM132" s="272"/>
      <c r="AN132" s="265"/>
      <c r="AO132" s="272"/>
      <c r="AP132" s="264" t="s">
        <v>2680</v>
      </c>
      <c r="AQ132" s="265" t="s">
        <v>2682</v>
      </c>
      <c r="AR132" s="593" t="s">
        <v>3207</v>
      </c>
      <c r="AS132" s="483" t="str">
        <f>IF(COUNTA(AG132)=1,LEFT(D132,3),"")</f>
        <v>5-5</v>
      </c>
      <c r="AT132" s="485" t="str">
        <f>IF(AND(COUNTA(O132)=1,COUNTA(P132)=1,COUNTA(AC132)=1,COUNTA(AF132)=1,COUNTA(AG132)=0),LEFT(D132,3),"")</f>
        <v/>
      </c>
      <c r="AU132" s="487" t="str">
        <f>IF(AND(COUNTA(O132)=1,COUNTA(P132)=1,COUNTA(AC132)=1,COUNTA(AF132)=0,COUNTA(AG132)=0),LEFT(D132,3),"")</f>
        <v/>
      </c>
      <c r="AV132" s="489" t="str">
        <f>IF(AND(COUNTA(P132)=0,COUNTA(AC132)=1),LEFT(D132,3),"")</f>
        <v/>
      </c>
      <c r="AW132" s="491" t="str">
        <f>IF(AND(COUNTA(P132)=1,COUNTA(AC132)=0),LEFT(D132,3),"")</f>
        <v/>
      </c>
      <c r="AX132" s="493" t="str">
        <f>IF(AND(COUNTA(P132)=0,COUNTA(AC132)=0),LEFT(D132,3),"")</f>
        <v/>
      </c>
      <c r="AY132" s="514" t="str">
        <f>IFERROR(VLOOKUP(功能_33[[#This Row],[功能代號]],SIT_FT_2021tmp!D:D,1,FALSE),"")</f>
        <v/>
      </c>
      <c r="AZ132" s="587">
        <v>44587</v>
      </c>
      <c r="BA132" s="587">
        <v>44585</v>
      </c>
      <c r="BB132" s="514" t="s">
        <v>2425</v>
      </c>
      <c r="BC132" s="265" t="s">
        <v>2453</v>
      </c>
      <c r="BD132" s="593"/>
      <c r="BE132" s="265" t="str">
        <f>IF(AND(COUNTIF(AY132,"&gt;&lt;0")=1,COUNTA(M132)=1),LEFT(D132,3),"")</f>
        <v/>
      </c>
      <c r="BF132" s="265" t="str">
        <f>IF(AND(COUNTIF(AY132,"&gt;&lt;")=1,COUNTA(M132)=0),LEFT(D132,3),"")</f>
        <v/>
      </c>
      <c r="BG132" s="265" t="str">
        <f>IF(AND(COUNTIF(AY132,"&gt;&lt;0")=0,COUNTA(M132)=1),LEFT(D132,3),"")</f>
        <v>5-5</v>
      </c>
      <c r="BH132" s="265" t="str">
        <f>IF(AND(COUNTIF(AY132,"&gt;&lt;0")=0,COUNTA(M132)=0),LEFT(D132,3),"")</f>
        <v/>
      </c>
    </row>
    <row r="133" spans="3:60" ht="13.5" x14ac:dyDescent="0.3">
      <c r="C133" s="265" t="s">
        <v>69</v>
      </c>
      <c r="D133" s="265" t="s">
        <v>2472</v>
      </c>
      <c r="E133" s="264" t="s">
        <v>458</v>
      </c>
      <c r="F133" s="265" t="s">
        <v>459</v>
      </c>
      <c r="G133" s="265"/>
      <c r="H133" s="264" t="s">
        <v>452</v>
      </c>
      <c r="I133" s="264" t="s">
        <v>452</v>
      </c>
      <c r="J133" s="212" t="s">
        <v>453</v>
      </c>
      <c r="K133" s="212"/>
      <c r="L133" s="272">
        <v>44568</v>
      </c>
      <c r="M133" s="272">
        <v>44568</v>
      </c>
      <c r="N133" s="272">
        <v>44462</v>
      </c>
      <c r="O133" s="272">
        <v>44462</v>
      </c>
      <c r="P133" s="272">
        <f>IFERROR(IF(VLOOKUP(功能_33[[#This Row],[功能代號]],討論項目!A:H,8,FALSE)=0,"",VLOOKUP(功能_33[[#This Row],[功能代號]],討論項目!A:H,8,FALSE)),"")</f>
        <v>44473</v>
      </c>
      <c r="Q133" s="264" t="s">
        <v>1</v>
      </c>
      <c r="R133" s="264" t="s">
        <v>5</v>
      </c>
      <c r="S133" s="264" t="s">
        <v>5</v>
      </c>
      <c r="T133" s="265" t="s">
        <v>16</v>
      </c>
      <c r="X133" s="264"/>
      <c r="Z133" s="264"/>
      <c r="AA133" s="264"/>
      <c r="AB133" s="265" t="str">
        <f>VLOOKUP(功能_33[[#This Row],[User]],SKL放款!A:G,7,FALSE)</f>
        <v>放款服務課</v>
      </c>
      <c r="AC133" s="272">
        <v>44489</v>
      </c>
      <c r="AD133" s="272">
        <v>44477</v>
      </c>
      <c r="AE133" s="272">
        <f>IF(功能_33[[#This Row],[URS交二審]]=0,"",功能_33[[#This Row],[URS交二審]]+7)</f>
        <v>44484</v>
      </c>
      <c r="AF133" s="272">
        <f>IF(功能_33[[#This Row],[URS交二審]]=0,"",功能_33[[#This Row],[URS交二審]]+7)</f>
        <v>44484</v>
      </c>
      <c r="AG133" s="209">
        <v>44489</v>
      </c>
      <c r="AH133" s="272"/>
      <c r="AK133" s="272">
        <f>IFERROR(IF(VLOOKUP(功能_33[[#This Row],[功能代號]],E:U,11,FALSE)=0,"",VLOOKUP(功能_33[[#This Row],[功能代號]],E:U,11,FALSE)),"")</f>
        <v>44462</v>
      </c>
      <c r="AL133" s="272"/>
      <c r="AM133" s="272"/>
      <c r="AN133" s="265"/>
      <c r="AO133" s="272"/>
      <c r="AP133" s="264" t="s">
        <v>2680</v>
      </c>
      <c r="AQ133" s="265" t="s">
        <v>2682</v>
      </c>
      <c r="AR133" s="593" t="s">
        <v>3207</v>
      </c>
      <c r="AS133" s="483" t="str">
        <f>IF(COUNTA(AG133)=1,LEFT(D133,3),"")</f>
        <v>5-5</v>
      </c>
      <c r="AT133" s="485" t="str">
        <f>IF(AND(COUNTA(O133)=1,COUNTA(P133)=1,COUNTA(AC133)=1,COUNTA(AF133)=1,COUNTA(AG133)=0),LEFT(D133,3),"")</f>
        <v/>
      </c>
      <c r="AU133" s="487" t="str">
        <f>IF(AND(COUNTA(O133)=1,COUNTA(P133)=1,COUNTA(AC133)=1,COUNTA(AF133)=0,COUNTA(AG133)=0),LEFT(D133,3),"")</f>
        <v/>
      </c>
      <c r="AV133" s="489" t="str">
        <f>IF(AND(COUNTA(P133)=0,COUNTA(AC133)=1),LEFT(D133,3),"")</f>
        <v/>
      </c>
      <c r="AW133" s="491" t="str">
        <f>IF(AND(COUNTA(P133)=1,COUNTA(AC133)=0),LEFT(D133,3),"")</f>
        <v/>
      </c>
      <c r="AX133" s="493" t="str">
        <f>IF(AND(COUNTA(P133)=0,COUNTA(AC133)=0),LEFT(D133,3),"")</f>
        <v/>
      </c>
      <c r="AY133" s="514" t="str">
        <f>IFERROR(VLOOKUP(功能_33[[#This Row],[功能代號]],SIT_FT_2021tmp!D:D,1,FALSE),"")</f>
        <v/>
      </c>
      <c r="AZ133" s="587">
        <v>44587</v>
      </c>
      <c r="BA133" s="587">
        <v>44585</v>
      </c>
      <c r="BB133" s="514" t="s">
        <v>2425</v>
      </c>
      <c r="BC133" s="265" t="s">
        <v>2453</v>
      </c>
      <c r="BD133" s="593"/>
      <c r="BE133" s="265" t="str">
        <f>IF(AND(COUNTIF(AY133,"&gt;&lt;0")=1,COUNTA(M133)=1),LEFT(D133,3),"")</f>
        <v/>
      </c>
      <c r="BF133" s="265" t="str">
        <f>IF(AND(COUNTIF(AY133,"&gt;&lt;")=1,COUNTA(M133)=0),LEFT(D133,3),"")</f>
        <v/>
      </c>
      <c r="BG133" s="265" t="str">
        <f>IF(AND(COUNTIF(AY133,"&gt;&lt;0")=0,COUNTA(M133)=1),LEFT(D133,3),"")</f>
        <v>5-5</v>
      </c>
      <c r="BH133" s="265" t="str">
        <f>IF(AND(COUNTIF(AY133,"&gt;&lt;0")=0,COUNTA(M133)=0),LEFT(D133,3),"")</f>
        <v/>
      </c>
    </row>
    <row r="134" spans="3:60" ht="13.5" x14ac:dyDescent="0.3">
      <c r="C134" s="265" t="s">
        <v>69</v>
      </c>
      <c r="D134" s="265" t="s">
        <v>2472</v>
      </c>
      <c r="E134" s="264" t="s">
        <v>460</v>
      </c>
      <c r="F134" s="251" t="s">
        <v>461</v>
      </c>
      <c r="G134" s="251"/>
      <c r="H134" s="264" t="s">
        <v>452</v>
      </c>
      <c r="I134" s="264" t="s">
        <v>452</v>
      </c>
      <c r="J134" s="212" t="s">
        <v>453</v>
      </c>
      <c r="K134" s="212"/>
      <c r="L134" s="272">
        <v>44568</v>
      </c>
      <c r="M134" s="272">
        <v>44568</v>
      </c>
      <c r="N134" s="272">
        <v>44462</v>
      </c>
      <c r="O134" s="272">
        <v>44462</v>
      </c>
      <c r="P134" s="272">
        <v>44462</v>
      </c>
      <c r="Q134" s="264" t="s">
        <v>1</v>
      </c>
      <c r="R134" s="264" t="s">
        <v>5</v>
      </c>
      <c r="S134" s="264" t="s">
        <v>5</v>
      </c>
      <c r="T134" s="265" t="s">
        <v>16</v>
      </c>
      <c r="X134" s="264"/>
      <c r="Z134" s="264"/>
      <c r="AA134" s="264"/>
      <c r="AB134" s="265" t="str">
        <f>VLOOKUP(功能_33[[#This Row],[User]],SKL放款!A:G,7,FALSE)</f>
        <v>放款服務課</v>
      </c>
      <c r="AC134" s="272">
        <v>44489</v>
      </c>
      <c r="AD134" s="272">
        <v>44477</v>
      </c>
      <c r="AE134" s="272">
        <f>IF(功能_33[[#This Row],[URS交二審]]=0,"",功能_33[[#This Row],[URS交二審]]+7)</f>
        <v>44484</v>
      </c>
      <c r="AF134" s="272">
        <f>IF(功能_33[[#This Row],[URS交二審]]=0,"",功能_33[[#This Row],[URS交二審]]+7)</f>
        <v>44484</v>
      </c>
      <c r="AG134" s="209">
        <v>44489</v>
      </c>
      <c r="AH134" s="272"/>
      <c r="AK134" s="272">
        <f>IFERROR(IF(VLOOKUP(功能_33[[#This Row],[功能代號]],E:U,11,FALSE)=0,"",VLOOKUP(功能_33[[#This Row],[功能代號]],E:U,11,FALSE)),"")</f>
        <v>44462</v>
      </c>
      <c r="AL134" s="272"/>
      <c r="AM134" s="272"/>
      <c r="AN134" s="265"/>
      <c r="AO134" s="272"/>
      <c r="AP134" s="264" t="s">
        <v>2680</v>
      </c>
      <c r="AQ134" s="265" t="s">
        <v>2682</v>
      </c>
      <c r="AR134" s="593" t="s">
        <v>3207</v>
      </c>
      <c r="AS134" s="483" t="str">
        <f>IF(COUNTA(AG134)=1,LEFT(D134,3),"")</f>
        <v>5-5</v>
      </c>
      <c r="AT134" s="485" t="str">
        <f>IF(AND(COUNTA(O134)=1,COUNTA(P134)=1,COUNTA(AC134)=1,COUNTA(AF134)=1,COUNTA(AG134)=0),LEFT(D134,3),"")</f>
        <v/>
      </c>
      <c r="AU134" s="487" t="str">
        <f>IF(AND(COUNTA(O134)=1,COUNTA(P134)=1,COUNTA(AC134)=1,COUNTA(AF134)=0,COUNTA(AG134)=0),LEFT(D134,3),"")</f>
        <v/>
      </c>
      <c r="AV134" s="489" t="str">
        <f>IF(AND(COUNTA(P134)=0,COUNTA(AC134)=1),LEFT(D134,3),"")</f>
        <v/>
      </c>
      <c r="AW134" s="491" t="str">
        <f>IF(AND(COUNTA(P134)=1,COUNTA(AC134)=0),LEFT(D134,3),"")</f>
        <v/>
      </c>
      <c r="AX134" s="493" t="str">
        <f>IF(AND(COUNTA(P134)=0,COUNTA(AC134)=0),LEFT(D134,3),"")</f>
        <v/>
      </c>
      <c r="AY134" s="514" t="str">
        <f>IFERROR(VLOOKUP(功能_33[[#This Row],[功能代號]],SIT_FT_2021tmp!D:D,1,FALSE),"")</f>
        <v/>
      </c>
      <c r="AZ134" s="587">
        <v>44587</v>
      </c>
      <c r="BA134" s="587">
        <v>44586</v>
      </c>
      <c r="BB134" s="514" t="s">
        <v>2425</v>
      </c>
      <c r="BC134" s="265" t="s">
        <v>2453</v>
      </c>
      <c r="BD134" s="593"/>
      <c r="BE134" s="265" t="str">
        <f>IF(AND(COUNTIF(AY134,"&gt;&lt;0")=1,COUNTA(M134)=1),LEFT(D134,3),"")</f>
        <v/>
      </c>
      <c r="BF134" s="265" t="str">
        <f>IF(AND(COUNTIF(AY134,"&gt;&lt;")=1,COUNTA(M134)=0),LEFT(D134,3),"")</f>
        <v/>
      </c>
      <c r="BG134" s="265" t="str">
        <f>IF(AND(COUNTIF(AY134,"&gt;&lt;0")=0,COUNTA(M134)=1),LEFT(D134,3),"")</f>
        <v>5-5</v>
      </c>
      <c r="BH134" s="265" t="str">
        <f>IF(AND(COUNTIF(AY134,"&gt;&lt;0")=0,COUNTA(M134)=0),LEFT(D134,3),"")</f>
        <v/>
      </c>
    </row>
    <row r="135" spans="3:60" ht="13.5" x14ac:dyDescent="0.3">
      <c r="C135" s="265" t="s">
        <v>69</v>
      </c>
      <c r="D135" s="265" t="s">
        <v>2472</v>
      </c>
      <c r="E135" s="264" t="s">
        <v>462</v>
      </c>
      <c r="F135" s="265" t="s">
        <v>463</v>
      </c>
      <c r="G135" s="265"/>
      <c r="H135" s="264" t="s">
        <v>452</v>
      </c>
      <c r="I135" s="264" t="s">
        <v>452</v>
      </c>
      <c r="J135" s="212" t="s">
        <v>453</v>
      </c>
      <c r="K135" s="212"/>
      <c r="L135" s="272">
        <v>44568</v>
      </c>
      <c r="M135" s="272">
        <v>44568</v>
      </c>
      <c r="N135" s="272">
        <v>44467</v>
      </c>
      <c r="O135" s="272">
        <v>44462</v>
      </c>
      <c r="P135" s="272">
        <f>IFERROR(IF(VLOOKUP(功能_33[[#This Row],[功能代號]],討論項目!A:H,8,FALSE)=0,"",VLOOKUP(功能_33[[#This Row],[功能代號]],討論項目!A:H,8,FALSE)),"")</f>
        <v>44468</v>
      </c>
      <c r="Q135" s="264" t="s">
        <v>1</v>
      </c>
      <c r="R135" s="264" t="s">
        <v>5</v>
      </c>
      <c r="S135" s="264" t="s">
        <v>5</v>
      </c>
      <c r="T135" s="265" t="s">
        <v>16</v>
      </c>
      <c r="X135" s="264"/>
      <c r="Z135" s="264"/>
      <c r="AA135" s="264"/>
      <c r="AB135" s="265" t="str">
        <f>VLOOKUP(功能_33[[#This Row],[User]],SKL放款!A:G,7,FALSE)</f>
        <v>放款服務課</v>
      </c>
      <c r="AC135" s="272">
        <v>44489</v>
      </c>
      <c r="AD135" s="272">
        <v>44477</v>
      </c>
      <c r="AE135" s="272">
        <f>IF(功能_33[[#This Row],[URS交二審]]=0,"",功能_33[[#This Row],[URS交二審]]+7)</f>
        <v>44484</v>
      </c>
      <c r="AF135" s="272">
        <f>IF(功能_33[[#This Row],[URS交二審]]=0,"",功能_33[[#This Row],[URS交二審]]+7)</f>
        <v>44484</v>
      </c>
      <c r="AG135" s="209">
        <v>44489</v>
      </c>
      <c r="AH135" s="272"/>
      <c r="AK135" s="272">
        <f>IFERROR(IF(VLOOKUP(功能_33[[#This Row],[功能代號]],E:U,11,FALSE)=0,"",VLOOKUP(功能_33[[#This Row],[功能代號]],E:U,11,FALSE)),"")</f>
        <v>44462</v>
      </c>
      <c r="AL135" s="272"/>
      <c r="AM135" s="272"/>
      <c r="AN135" s="265"/>
      <c r="AO135" s="272"/>
      <c r="AP135" s="264" t="s">
        <v>2680</v>
      </c>
      <c r="AQ135" s="265" t="s">
        <v>2682</v>
      </c>
      <c r="AR135" s="593" t="s">
        <v>3207</v>
      </c>
      <c r="AS135" s="483" t="str">
        <f>IF(COUNTA(AG135)=1,LEFT(D135,3),"")</f>
        <v>5-5</v>
      </c>
      <c r="AT135" s="485" t="str">
        <f>IF(AND(COUNTA(O135)=1,COUNTA(P135)=1,COUNTA(AC135)=1,COUNTA(AF135)=1,COUNTA(AG135)=0),LEFT(D135,3),"")</f>
        <v/>
      </c>
      <c r="AU135" s="487" t="str">
        <f>IF(AND(COUNTA(O135)=1,COUNTA(P135)=1,COUNTA(AC135)=1,COUNTA(AF135)=0,COUNTA(AG135)=0),LEFT(D135,3),"")</f>
        <v/>
      </c>
      <c r="AV135" s="489" t="str">
        <f>IF(AND(COUNTA(P135)=0,COUNTA(AC135)=1),LEFT(D135,3),"")</f>
        <v/>
      </c>
      <c r="AW135" s="491" t="str">
        <f>IF(AND(COUNTA(P135)=1,COUNTA(AC135)=0),LEFT(D135,3),"")</f>
        <v/>
      </c>
      <c r="AX135" s="493" t="str">
        <f>IF(AND(COUNTA(P135)=0,COUNTA(AC135)=0),LEFT(D135,3),"")</f>
        <v/>
      </c>
      <c r="AY135" s="514" t="str">
        <f>IFERROR(VLOOKUP(功能_33[[#This Row],[功能代號]],SIT_FT_2021tmp!D:D,1,FALSE),"")</f>
        <v/>
      </c>
      <c r="AZ135" s="587">
        <v>44587</v>
      </c>
      <c r="BA135" s="587">
        <v>44586</v>
      </c>
      <c r="BB135" s="514" t="s">
        <v>2425</v>
      </c>
      <c r="BC135" s="265" t="s">
        <v>2453</v>
      </c>
      <c r="BD135" s="593"/>
      <c r="BE135" s="265" t="str">
        <f>IF(AND(COUNTIF(AY135,"&gt;&lt;0")=1,COUNTA(M135)=1),LEFT(D135,3),"")</f>
        <v/>
      </c>
      <c r="BF135" s="265" t="str">
        <f>IF(AND(COUNTIF(AY135,"&gt;&lt;")=1,COUNTA(M135)=0),LEFT(D135,3),"")</f>
        <v/>
      </c>
      <c r="BG135" s="265" t="str">
        <f>IF(AND(COUNTIF(AY135,"&gt;&lt;0")=0,COUNTA(M135)=1),LEFT(D135,3),"")</f>
        <v>5-5</v>
      </c>
      <c r="BH135" s="265" t="str">
        <f>IF(AND(COUNTIF(AY135,"&gt;&lt;0")=0,COUNTA(M135)=0),LEFT(D135,3),"")</f>
        <v/>
      </c>
    </row>
    <row r="136" spans="3:60" ht="13.5" x14ac:dyDescent="0.3">
      <c r="C136" s="265" t="s">
        <v>69</v>
      </c>
      <c r="D136" s="265" t="s">
        <v>2472</v>
      </c>
      <c r="E136" s="264" t="s">
        <v>464</v>
      </c>
      <c r="F136" s="265" t="s">
        <v>465</v>
      </c>
      <c r="G136" s="265"/>
      <c r="H136" s="264" t="s">
        <v>452</v>
      </c>
      <c r="I136" s="264" t="s">
        <v>452</v>
      </c>
      <c r="J136" s="212" t="s">
        <v>453</v>
      </c>
      <c r="K136" s="212"/>
      <c r="L136" s="272">
        <v>44568</v>
      </c>
      <c r="M136" s="272">
        <v>44568</v>
      </c>
      <c r="N136" s="272">
        <v>44467</v>
      </c>
      <c r="O136" s="272">
        <v>44462</v>
      </c>
      <c r="P136" s="272">
        <v>44462</v>
      </c>
      <c r="Q136" s="264" t="s">
        <v>1</v>
      </c>
      <c r="R136" s="264" t="s">
        <v>5</v>
      </c>
      <c r="S136" s="264" t="s">
        <v>5</v>
      </c>
      <c r="T136" s="265" t="s">
        <v>16</v>
      </c>
      <c r="X136" s="264"/>
      <c r="Z136" s="264"/>
      <c r="AA136" s="264"/>
      <c r="AB136" s="265" t="str">
        <f>VLOOKUP(功能_33[[#This Row],[User]],SKL放款!A:G,7,FALSE)</f>
        <v>放款服務課</v>
      </c>
      <c r="AC136" s="272">
        <v>44489</v>
      </c>
      <c r="AD136" s="272">
        <v>44477</v>
      </c>
      <c r="AE136" s="272">
        <f>IF(功能_33[[#This Row],[URS交二審]]=0,"",功能_33[[#This Row],[URS交二審]]+7)</f>
        <v>44484</v>
      </c>
      <c r="AF136" s="272">
        <f>IF(功能_33[[#This Row],[URS交二審]]=0,"",功能_33[[#This Row],[URS交二審]]+7)</f>
        <v>44484</v>
      </c>
      <c r="AG136" s="209">
        <v>44489</v>
      </c>
      <c r="AH136" s="272"/>
      <c r="AK136" s="272">
        <f>IFERROR(IF(VLOOKUP(功能_33[[#This Row],[功能代號]],E:U,11,FALSE)=0,"",VLOOKUP(功能_33[[#This Row],[功能代號]],E:U,11,FALSE)),"")</f>
        <v>44462</v>
      </c>
      <c r="AL136" s="272"/>
      <c r="AM136" s="272"/>
      <c r="AN136" s="265"/>
      <c r="AO136" s="272"/>
      <c r="AP136" s="264" t="s">
        <v>2680</v>
      </c>
      <c r="AQ136" s="265" t="s">
        <v>2682</v>
      </c>
      <c r="AR136" s="593" t="s">
        <v>3207</v>
      </c>
      <c r="AS136" s="483" t="str">
        <f>IF(COUNTA(AG136)=1,LEFT(D136,3),"")</f>
        <v>5-5</v>
      </c>
      <c r="AT136" s="485" t="str">
        <f>IF(AND(COUNTA(O136)=1,COUNTA(P136)=1,COUNTA(AC136)=1,COUNTA(AF136)=1,COUNTA(AG136)=0),LEFT(D136,3),"")</f>
        <v/>
      </c>
      <c r="AU136" s="487" t="str">
        <f>IF(AND(COUNTA(O136)=1,COUNTA(P136)=1,COUNTA(AC136)=1,COUNTA(AF136)=0,COUNTA(AG136)=0),LEFT(D136,3),"")</f>
        <v/>
      </c>
      <c r="AV136" s="489" t="str">
        <f>IF(AND(COUNTA(P136)=0,COUNTA(AC136)=1),LEFT(D136,3),"")</f>
        <v/>
      </c>
      <c r="AW136" s="491" t="str">
        <f>IF(AND(COUNTA(P136)=1,COUNTA(AC136)=0),LEFT(D136,3),"")</f>
        <v/>
      </c>
      <c r="AX136" s="493" t="str">
        <f>IF(AND(COUNTA(P136)=0,COUNTA(AC136)=0),LEFT(D136,3),"")</f>
        <v/>
      </c>
      <c r="AY136" s="514" t="str">
        <f>IFERROR(VLOOKUP(功能_33[[#This Row],[功能代號]],SIT_FT_2021tmp!D:D,1,FALSE),"")</f>
        <v/>
      </c>
      <c r="AZ136" s="587">
        <v>44587</v>
      </c>
      <c r="BA136" s="587">
        <v>44586</v>
      </c>
      <c r="BB136" s="514" t="s">
        <v>2425</v>
      </c>
      <c r="BC136" s="265" t="s">
        <v>2453</v>
      </c>
      <c r="BD136" s="593"/>
      <c r="BE136" s="265" t="str">
        <f>IF(AND(COUNTIF(AY136,"&gt;&lt;0")=1,COUNTA(M136)=1),LEFT(D136,3),"")</f>
        <v/>
      </c>
      <c r="BF136" s="265" t="str">
        <f>IF(AND(COUNTIF(AY136,"&gt;&lt;")=1,COUNTA(M136)=0),LEFT(D136,3),"")</f>
        <v/>
      </c>
      <c r="BG136" s="265" t="str">
        <f>IF(AND(COUNTIF(AY136,"&gt;&lt;0")=0,COUNTA(M136)=1),LEFT(D136,3),"")</f>
        <v>5-5</v>
      </c>
      <c r="BH136" s="265" t="str">
        <f>IF(AND(COUNTIF(AY136,"&gt;&lt;0")=0,COUNTA(M136)=0),LEFT(D136,3),"")</f>
        <v/>
      </c>
    </row>
    <row r="137" spans="3:60" ht="13.5" x14ac:dyDescent="0.3">
      <c r="C137" s="265" t="s">
        <v>69</v>
      </c>
      <c r="D137" s="265" t="s">
        <v>2472</v>
      </c>
      <c r="E137" s="264" t="s">
        <v>466</v>
      </c>
      <c r="F137" s="251" t="s">
        <v>467</v>
      </c>
      <c r="G137" s="251"/>
      <c r="H137" s="264" t="s">
        <v>452</v>
      </c>
      <c r="I137" s="264" t="s">
        <v>452</v>
      </c>
      <c r="J137" s="212" t="s">
        <v>453</v>
      </c>
      <c r="K137" s="212"/>
      <c r="L137" s="272">
        <v>44568</v>
      </c>
      <c r="M137" s="272">
        <v>44568</v>
      </c>
      <c r="N137" s="272">
        <v>44467</v>
      </c>
      <c r="O137" s="272">
        <v>44462</v>
      </c>
      <c r="P137" s="272">
        <v>44462</v>
      </c>
      <c r="Q137" s="264" t="s">
        <v>1</v>
      </c>
      <c r="R137" s="264" t="s">
        <v>5</v>
      </c>
      <c r="S137" s="264" t="s">
        <v>5</v>
      </c>
      <c r="T137" s="265" t="s">
        <v>16</v>
      </c>
      <c r="X137" s="264"/>
      <c r="Z137" s="264"/>
      <c r="AA137" s="264"/>
      <c r="AB137" s="265" t="str">
        <f>VLOOKUP(功能_33[[#This Row],[User]],SKL放款!A:G,7,FALSE)</f>
        <v>放款服務課</v>
      </c>
      <c r="AC137" s="272">
        <v>44489</v>
      </c>
      <c r="AD137" s="272">
        <v>44477</v>
      </c>
      <c r="AE137" s="272">
        <f>IF(功能_33[[#This Row],[URS交二審]]=0,"",功能_33[[#This Row],[URS交二審]]+7)</f>
        <v>44484</v>
      </c>
      <c r="AF137" s="272">
        <f>IF(功能_33[[#This Row],[URS交二審]]=0,"",功能_33[[#This Row],[URS交二審]]+7)</f>
        <v>44484</v>
      </c>
      <c r="AG137" s="209">
        <v>44489</v>
      </c>
      <c r="AH137" s="272"/>
      <c r="AK137" s="272">
        <f>IFERROR(IF(VLOOKUP(功能_33[[#This Row],[功能代號]],E:U,11,FALSE)=0,"",VLOOKUP(功能_33[[#This Row],[功能代號]],E:U,11,FALSE)),"")</f>
        <v>44462</v>
      </c>
      <c r="AL137" s="272"/>
      <c r="AM137" s="272"/>
      <c r="AN137" s="265"/>
      <c r="AO137" s="272"/>
      <c r="AP137" s="264" t="s">
        <v>2680</v>
      </c>
      <c r="AQ137" s="265" t="s">
        <v>2682</v>
      </c>
      <c r="AR137" s="593" t="s">
        <v>3207</v>
      </c>
      <c r="AS137" s="483" t="str">
        <f>IF(COUNTA(AG137)=1,LEFT(D137,3),"")</f>
        <v>5-5</v>
      </c>
      <c r="AT137" s="485" t="str">
        <f>IF(AND(COUNTA(O137)=1,COUNTA(P137)=1,COUNTA(AC137)=1,COUNTA(AF137)=1,COUNTA(AG137)=0),LEFT(D137,3),"")</f>
        <v/>
      </c>
      <c r="AU137" s="487" t="str">
        <f>IF(AND(COUNTA(O137)=1,COUNTA(P137)=1,COUNTA(AC137)=1,COUNTA(AF137)=0,COUNTA(AG137)=0),LEFT(D137,3),"")</f>
        <v/>
      </c>
      <c r="AV137" s="489" t="str">
        <f>IF(AND(COUNTA(P137)=0,COUNTA(AC137)=1),LEFT(D137,3),"")</f>
        <v/>
      </c>
      <c r="AW137" s="491" t="str">
        <f>IF(AND(COUNTA(P137)=1,COUNTA(AC137)=0),LEFT(D137,3),"")</f>
        <v/>
      </c>
      <c r="AX137" s="493" t="str">
        <f>IF(AND(COUNTA(P137)=0,COUNTA(AC137)=0),LEFT(D137,3),"")</f>
        <v/>
      </c>
      <c r="AY137" s="514" t="str">
        <f>IFERROR(VLOOKUP(功能_33[[#This Row],[功能代號]],SIT_FT_2021tmp!D:D,1,FALSE),"")</f>
        <v/>
      </c>
      <c r="AZ137" s="587">
        <v>44587</v>
      </c>
      <c r="BA137" s="587">
        <v>44585</v>
      </c>
      <c r="BB137" s="514" t="s">
        <v>2425</v>
      </c>
      <c r="BC137" s="265" t="s">
        <v>2453</v>
      </c>
      <c r="BD137" s="593"/>
      <c r="BE137" s="265" t="str">
        <f>IF(AND(COUNTIF(AY137,"&gt;&lt;0")=1,COUNTA(M137)=1),LEFT(D137,3),"")</f>
        <v/>
      </c>
      <c r="BF137" s="265" t="str">
        <f>IF(AND(COUNTIF(AY137,"&gt;&lt;")=1,COUNTA(M137)=0),LEFT(D137,3),"")</f>
        <v/>
      </c>
      <c r="BG137" s="265" t="str">
        <f>IF(AND(COUNTIF(AY137,"&gt;&lt;0")=0,COUNTA(M137)=1),LEFT(D137,3),"")</f>
        <v>5-5</v>
      </c>
      <c r="BH137" s="265" t="str">
        <f>IF(AND(COUNTIF(AY137,"&gt;&lt;0")=0,COUNTA(M137)=0),LEFT(D137,3),"")</f>
        <v/>
      </c>
    </row>
    <row r="138" spans="3:60" ht="13.5" x14ac:dyDescent="0.3">
      <c r="C138" s="265" t="s">
        <v>69</v>
      </c>
      <c r="D138" s="265" t="s">
        <v>2472</v>
      </c>
      <c r="E138" s="264" t="s">
        <v>468</v>
      </c>
      <c r="F138" s="265" t="s">
        <v>469</v>
      </c>
      <c r="G138" s="265"/>
      <c r="H138" s="264" t="s">
        <v>452</v>
      </c>
      <c r="I138" s="264" t="s">
        <v>452</v>
      </c>
      <c r="J138" s="212" t="s">
        <v>453</v>
      </c>
      <c r="K138" s="212"/>
      <c r="L138" s="272">
        <v>44568</v>
      </c>
      <c r="M138" s="272">
        <v>44568</v>
      </c>
      <c r="N138" s="272">
        <v>44467</v>
      </c>
      <c r="O138" s="272">
        <v>44462</v>
      </c>
      <c r="P138" s="272">
        <f>IFERROR(IF(VLOOKUP(功能_33[[#This Row],[功能代號]],討論項目!A:H,8,FALSE)=0,"",VLOOKUP(功能_33[[#This Row],[功能代號]],討論項目!A:H,8,FALSE)),"")</f>
        <v>44468</v>
      </c>
      <c r="Q138" s="264" t="s">
        <v>1</v>
      </c>
      <c r="R138" s="264" t="s">
        <v>5</v>
      </c>
      <c r="S138" s="264" t="s">
        <v>5</v>
      </c>
      <c r="T138" s="265" t="s">
        <v>16</v>
      </c>
      <c r="X138" s="264"/>
      <c r="Z138" s="264"/>
      <c r="AA138" s="264"/>
      <c r="AB138" s="265" t="str">
        <f>VLOOKUP(功能_33[[#This Row],[User]],SKL放款!A:G,7,FALSE)</f>
        <v>放款服務課</v>
      </c>
      <c r="AC138" s="272">
        <v>44489</v>
      </c>
      <c r="AD138" s="272">
        <v>44477</v>
      </c>
      <c r="AE138" s="272">
        <f>IF(功能_33[[#This Row],[URS交二審]]=0,"",功能_33[[#This Row],[URS交二審]]+7)</f>
        <v>44484</v>
      </c>
      <c r="AF138" s="272">
        <f>IF(功能_33[[#This Row],[URS交二審]]=0,"",功能_33[[#This Row],[URS交二審]]+7)</f>
        <v>44484</v>
      </c>
      <c r="AG138" s="209">
        <v>44489</v>
      </c>
      <c r="AH138" s="272"/>
      <c r="AK138" s="272">
        <f>IFERROR(IF(VLOOKUP(功能_33[[#This Row],[功能代號]],E:U,11,FALSE)=0,"",VLOOKUP(功能_33[[#This Row],[功能代號]],E:U,11,FALSE)),"")</f>
        <v>44462</v>
      </c>
      <c r="AL138" s="272"/>
      <c r="AM138" s="272"/>
      <c r="AN138" s="265"/>
      <c r="AO138" s="272"/>
      <c r="AP138" s="264" t="s">
        <v>2680</v>
      </c>
      <c r="AQ138" s="265" t="s">
        <v>2682</v>
      </c>
      <c r="AR138" s="593" t="s">
        <v>3207</v>
      </c>
      <c r="AS138" s="483" t="str">
        <f>IF(COUNTA(AG138)=1,LEFT(D138,3),"")</f>
        <v>5-5</v>
      </c>
      <c r="AT138" s="485" t="str">
        <f>IF(AND(COUNTA(O138)=1,COUNTA(P138)=1,COUNTA(AC138)=1,COUNTA(AF138)=1,COUNTA(AG138)=0),LEFT(D138,3),"")</f>
        <v/>
      </c>
      <c r="AU138" s="487" t="str">
        <f>IF(AND(COUNTA(O138)=1,COUNTA(P138)=1,COUNTA(AC138)=1,COUNTA(AF138)=0,COUNTA(AG138)=0),LEFT(D138,3),"")</f>
        <v/>
      </c>
      <c r="AV138" s="489" t="str">
        <f>IF(AND(COUNTA(P138)=0,COUNTA(AC138)=1),LEFT(D138,3),"")</f>
        <v/>
      </c>
      <c r="AW138" s="491" t="str">
        <f>IF(AND(COUNTA(P138)=1,COUNTA(AC138)=0),LEFT(D138,3),"")</f>
        <v/>
      </c>
      <c r="AX138" s="493" t="str">
        <f>IF(AND(COUNTA(P138)=0,COUNTA(AC138)=0),LEFT(D138,3),"")</f>
        <v/>
      </c>
      <c r="AY138" s="514" t="str">
        <f>IFERROR(VLOOKUP(功能_33[[#This Row],[功能代號]],SIT_FT_2021tmp!D:D,1,FALSE),"")</f>
        <v/>
      </c>
      <c r="AZ138" s="587">
        <v>44587</v>
      </c>
      <c r="BA138" s="587">
        <v>44585</v>
      </c>
      <c r="BB138" s="514" t="s">
        <v>2425</v>
      </c>
      <c r="BC138" s="265" t="s">
        <v>2453</v>
      </c>
      <c r="BD138" s="593"/>
      <c r="BE138" s="265" t="str">
        <f>IF(AND(COUNTIF(AY138,"&gt;&lt;0")=1,COUNTA(M138)=1),LEFT(D138,3),"")</f>
        <v/>
      </c>
      <c r="BF138" s="265" t="str">
        <f>IF(AND(COUNTIF(AY138,"&gt;&lt;")=1,COUNTA(M138)=0),LEFT(D138,3),"")</f>
        <v/>
      </c>
      <c r="BG138" s="265" t="str">
        <f>IF(AND(COUNTIF(AY138,"&gt;&lt;0")=0,COUNTA(M138)=1),LEFT(D138,3),"")</f>
        <v>5-5</v>
      </c>
      <c r="BH138" s="265" t="str">
        <f>IF(AND(COUNTIF(AY138,"&gt;&lt;0")=0,COUNTA(M138)=0),LEFT(D138,3),"")</f>
        <v/>
      </c>
    </row>
    <row r="139" spans="3:60" ht="13.5" x14ac:dyDescent="0.3">
      <c r="C139" s="265" t="s">
        <v>69</v>
      </c>
      <c r="D139" s="265" t="s">
        <v>2472</v>
      </c>
      <c r="E139" s="264" t="s">
        <v>470</v>
      </c>
      <c r="F139" s="265" t="s">
        <v>471</v>
      </c>
      <c r="G139" s="265"/>
      <c r="H139" s="264" t="s">
        <v>452</v>
      </c>
      <c r="I139" s="264" t="s">
        <v>452</v>
      </c>
      <c r="J139" s="212" t="s">
        <v>453</v>
      </c>
      <c r="K139" s="212"/>
      <c r="L139" s="272">
        <v>44568</v>
      </c>
      <c r="M139" s="272">
        <v>44568</v>
      </c>
      <c r="N139" s="272">
        <v>44463</v>
      </c>
      <c r="O139" s="272">
        <v>44463</v>
      </c>
      <c r="P139" s="272">
        <v>44463</v>
      </c>
      <c r="Q139" s="264" t="s">
        <v>1</v>
      </c>
      <c r="R139" s="264" t="s">
        <v>5</v>
      </c>
      <c r="S139" s="264" t="s">
        <v>5</v>
      </c>
      <c r="T139" s="265" t="s">
        <v>16</v>
      </c>
      <c r="X139" s="264"/>
      <c r="Z139" s="264"/>
      <c r="AA139" s="264"/>
      <c r="AB139" s="265" t="str">
        <f>VLOOKUP(功能_33[[#This Row],[User]],SKL放款!A:G,7,FALSE)</f>
        <v>放款服務課</v>
      </c>
      <c r="AC139" s="272">
        <v>44489</v>
      </c>
      <c r="AD139" s="272">
        <v>44477</v>
      </c>
      <c r="AE139" s="272">
        <f>IF(功能_33[[#This Row],[URS交二審]]=0,"",功能_33[[#This Row],[URS交二審]]+7)</f>
        <v>44484</v>
      </c>
      <c r="AF139" s="272">
        <f>IF(功能_33[[#This Row],[URS交二審]]=0,"",功能_33[[#This Row],[URS交二審]]+7)</f>
        <v>44484</v>
      </c>
      <c r="AG139" s="209">
        <v>44489</v>
      </c>
      <c r="AH139" s="272"/>
      <c r="AK139" s="272">
        <f>IFERROR(IF(VLOOKUP(功能_33[[#This Row],[功能代號]],E:U,11,FALSE)=0,"",VLOOKUP(功能_33[[#This Row],[功能代號]],E:U,11,FALSE)),"")</f>
        <v>44463</v>
      </c>
      <c r="AL139" s="272"/>
      <c r="AM139" s="272"/>
      <c r="AN139" s="265"/>
      <c r="AO139" s="272"/>
      <c r="AP139" s="264" t="s">
        <v>2680</v>
      </c>
      <c r="AQ139" s="265" t="s">
        <v>2682</v>
      </c>
      <c r="AR139" s="593" t="s">
        <v>3207</v>
      </c>
      <c r="AS139" s="483" t="str">
        <f>IF(COUNTA(AG139)=1,LEFT(D139,3),"")</f>
        <v>5-5</v>
      </c>
      <c r="AT139" s="485" t="str">
        <f>IF(AND(COUNTA(O139)=1,COUNTA(P139)=1,COUNTA(AC139)=1,COUNTA(AF139)=1,COUNTA(AG139)=0),LEFT(D139,3),"")</f>
        <v/>
      </c>
      <c r="AU139" s="487" t="str">
        <f>IF(AND(COUNTA(O139)=1,COUNTA(P139)=1,COUNTA(AC139)=1,COUNTA(AF139)=0,COUNTA(AG139)=0),LEFT(D139,3),"")</f>
        <v/>
      </c>
      <c r="AV139" s="489" t="str">
        <f>IF(AND(COUNTA(P139)=0,COUNTA(AC139)=1),LEFT(D139,3),"")</f>
        <v/>
      </c>
      <c r="AW139" s="491" t="str">
        <f>IF(AND(COUNTA(P139)=1,COUNTA(AC139)=0),LEFT(D139,3),"")</f>
        <v/>
      </c>
      <c r="AX139" s="493" t="str">
        <f>IF(AND(COUNTA(P139)=0,COUNTA(AC139)=0),LEFT(D139,3),"")</f>
        <v/>
      </c>
      <c r="AY139" s="514" t="str">
        <f>IFERROR(VLOOKUP(功能_33[[#This Row],[功能代號]],SIT_FT_2021tmp!D:D,1,FALSE),"")</f>
        <v/>
      </c>
      <c r="AZ139" s="587">
        <v>44587</v>
      </c>
      <c r="BA139" s="587">
        <v>44586</v>
      </c>
      <c r="BB139" s="514" t="s">
        <v>2425</v>
      </c>
      <c r="BC139" s="265" t="s">
        <v>2453</v>
      </c>
      <c r="BD139" s="593"/>
      <c r="BE139" s="265" t="str">
        <f>IF(AND(COUNTIF(AY139,"&gt;&lt;0")=1,COUNTA(M139)=1),LEFT(D139,3),"")</f>
        <v/>
      </c>
      <c r="BF139" s="265" t="str">
        <f>IF(AND(COUNTIF(AY139,"&gt;&lt;")=1,COUNTA(M139)=0),LEFT(D139,3),"")</f>
        <v/>
      </c>
      <c r="BG139" s="265" t="str">
        <f>IF(AND(COUNTIF(AY139,"&gt;&lt;0")=0,COUNTA(M139)=1),LEFT(D139,3),"")</f>
        <v>5-5</v>
      </c>
      <c r="BH139" s="265" t="str">
        <f>IF(AND(COUNTIF(AY139,"&gt;&lt;0")=0,COUNTA(M139)=0),LEFT(D139,3),"")</f>
        <v/>
      </c>
    </row>
    <row r="140" spans="3:60" ht="13.5" x14ac:dyDescent="0.3">
      <c r="C140" s="265" t="s">
        <v>69</v>
      </c>
      <c r="D140" s="265" t="s">
        <v>2472</v>
      </c>
      <c r="E140" s="264" t="s">
        <v>472</v>
      </c>
      <c r="F140" s="265" t="s">
        <v>473</v>
      </c>
      <c r="G140" s="265"/>
      <c r="H140" s="264" t="s">
        <v>452</v>
      </c>
      <c r="I140" s="264" t="s">
        <v>452</v>
      </c>
      <c r="J140" s="212" t="s">
        <v>453</v>
      </c>
      <c r="K140" s="212"/>
      <c r="L140" s="272">
        <v>44568</v>
      </c>
      <c r="M140" s="272">
        <v>44568</v>
      </c>
      <c r="N140" s="272">
        <v>44463</v>
      </c>
      <c r="O140" s="272">
        <v>44463</v>
      </c>
      <c r="P140" s="272">
        <f>IFERROR(IF(VLOOKUP(功能_33[[#This Row],[功能代號]],討論項目!A:H,8,FALSE)=0,"",VLOOKUP(功能_33[[#This Row],[功能代號]],討論項目!A:H,8,FALSE)),"")</f>
        <v>44474</v>
      </c>
      <c r="Q140" s="264" t="s">
        <v>1</v>
      </c>
      <c r="R140" s="264" t="s">
        <v>5</v>
      </c>
      <c r="S140" s="264" t="s">
        <v>5</v>
      </c>
      <c r="T140" s="265" t="s">
        <v>16</v>
      </c>
      <c r="X140" s="264"/>
      <c r="Z140" s="264"/>
      <c r="AA140" s="264"/>
      <c r="AB140" s="265" t="str">
        <f>VLOOKUP(功能_33[[#This Row],[User]],SKL放款!A:G,7,FALSE)</f>
        <v>放款服務課</v>
      </c>
      <c r="AC140" s="272">
        <v>44489</v>
      </c>
      <c r="AD140" s="272">
        <v>44477</v>
      </c>
      <c r="AE140" s="272">
        <f>IF(功能_33[[#This Row],[URS交二審]]=0,"",功能_33[[#This Row],[URS交二審]]+7)</f>
        <v>44484</v>
      </c>
      <c r="AF140" s="272">
        <f>IF(功能_33[[#This Row],[URS交二審]]=0,"",功能_33[[#This Row],[URS交二審]]+7)</f>
        <v>44484</v>
      </c>
      <c r="AG140" s="209">
        <v>44489</v>
      </c>
      <c r="AH140" s="272"/>
      <c r="AK140" s="272">
        <f>IFERROR(IF(VLOOKUP(功能_33[[#This Row],[功能代號]],E:U,11,FALSE)=0,"",VLOOKUP(功能_33[[#This Row],[功能代號]],E:U,11,FALSE)),"")</f>
        <v>44463</v>
      </c>
      <c r="AL140" s="272"/>
      <c r="AM140" s="272"/>
      <c r="AN140" s="265"/>
      <c r="AO140" s="272"/>
      <c r="AP140" s="264" t="s">
        <v>2680</v>
      </c>
      <c r="AQ140" s="265" t="s">
        <v>2682</v>
      </c>
      <c r="AR140" s="593" t="s">
        <v>3207</v>
      </c>
      <c r="AS140" s="483" t="str">
        <f>IF(COUNTA(AG140)=1,LEFT(D140,3),"")</f>
        <v>5-5</v>
      </c>
      <c r="AT140" s="485" t="str">
        <f>IF(AND(COUNTA(O140)=1,COUNTA(P140)=1,COUNTA(AC140)=1,COUNTA(AF140)=1,COUNTA(AG140)=0),LEFT(D140,3),"")</f>
        <v/>
      </c>
      <c r="AU140" s="487" t="str">
        <f>IF(AND(COUNTA(O140)=1,COUNTA(P140)=1,COUNTA(AC140)=1,COUNTA(AF140)=0,COUNTA(AG140)=0),LEFT(D140,3),"")</f>
        <v/>
      </c>
      <c r="AV140" s="489" t="str">
        <f>IF(AND(COUNTA(P140)=0,COUNTA(AC140)=1),LEFT(D140,3),"")</f>
        <v/>
      </c>
      <c r="AW140" s="491" t="str">
        <f>IF(AND(COUNTA(P140)=1,COUNTA(AC140)=0),LEFT(D140,3),"")</f>
        <v/>
      </c>
      <c r="AX140" s="493" t="str">
        <f>IF(AND(COUNTA(P140)=0,COUNTA(AC140)=0),LEFT(D140,3),"")</f>
        <v/>
      </c>
      <c r="AY140" s="514" t="str">
        <f>IFERROR(VLOOKUP(功能_33[[#This Row],[功能代號]],SIT_FT_2021tmp!D:D,1,FALSE),"")</f>
        <v/>
      </c>
      <c r="AZ140" s="587">
        <v>44587</v>
      </c>
      <c r="BA140" s="587">
        <v>44586</v>
      </c>
      <c r="BB140" s="514" t="s">
        <v>2425</v>
      </c>
      <c r="BC140" s="265" t="s">
        <v>2453</v>
      </c>
      <c r="BD140" s="593"/>
      <c r="BE140" s="265" t="str">
        <f>IF(AND(COUNTIF(AY140,"&gt;&lt;0")=1,COUNTA(M140)=1),LEFT(D140,3),"")</f>
        <v/>
      </c>
      <c r="BF140" s="265" t="str">
        <f>IF(AND(COUNTIF(AY140,"&gt;&lt;")=1,COUNTA(M140)=0),LEFT(D140,3),"")</f>
        <v/>
      </c>
      <c r="BG140" s="265" t="str">
        <f>IF(AND(COUNTIF(AY140,"&gt;&lt;0")=0,COUNTA(M140)=1),LEFT(D140,3),"")</f>
        <v>5-5</v>
      </c>
      <c r="BH140" s="265" t="str">
        <f>IF(AND(COUNTIF(AY140,"&gt;&lt;0")=0,COUNTA(M140)=0),LEFT(D140,3),"")</f>
        <v/>
      </c>
    </row>
    <row r="141" spans="3:60" ht="13.5" x14ac:dyDescent="0.3">
      <c r="C141" s="265" t="s">
        <v>69</v>
      </c>
      <c r="D141" s="265" t="s">
        <v>2472</v>
      </c>
      <c r="E141" s="264" t="s">
        <v>474</v>
      </c>
      <c r="F141" s="265" t="s">
        <v>475</v>
      </c>
      <c r="G141" s="265"/>
      <c r="H141" s="264" t="s">
        <v>452</v>
      </c>
      <c r="I141" s="264" t="s">
        <v>452</v>
      </c>
      <c r="J141" s="212" t="s">
        <v>453</v>
      </c>
      <c r="K141" s="212"/>
      <c r="L141" s="272">
        <v>44568</v>
      </c>
      <c r="M141" s="272">
        <v>44568</v>
      </c>
      <c r="N141" s="272">
        <v>44463</v>
      </c>
      <c r="O141" s="272">
        <v>44463</v>
      </c>
      <c r="P141" s="272">
        <v>44462</v>
      </c>
      <c r="Q141" s="264" t="s">
        <v>1</v>
      </c>
      <c r="R141" s="264" t="s">
        <v>5</v>
      </c>
      <c r="S141" s="264" t="s">
        <v>5</v>
      </c>
      <c r="T141" s="265" t="s">
        <v>16</v>
      </c>
      <c r="X141" s="264"/>
      <c r="Z141" s="264"/>
      <c r="AA141" s="264"/>
      <c r="AB141" s="265" t="str">
        <f>VLOOKUP(功能_33[[#This Row],[User]],SKL放款!A:G,7,FALSE)</f>
        <v>放款服務課</v>
      </c>
      <c r="AC141" s="272">
        <v>44489</v>
      </c>
      <c r="AD141" s="272">
        <v>44477</v>
      </c>
      <c r="AE141" s="272">
        <f>IF(功能_33[[#This Row],[URS交二審]]=0,"",功能_33[[#This Row],[URS交二審]]+7)</f>
        <v>44484</v>
      </c>
      <c r="AF141" s="272">
        <f>IF(功能_33[[#This Row],[URS交二審]]=0,"",功能_33[[#This Row],[URS交二審]]+7)</f>
        <v>44484</v>
      </c>
      <c r="AG141" s="209">
        <v>44489</v>
      </c>
      <c r="AH141" s="272"/>
      <c r="AK141" s="272">
        <f>IFERROR(IF(VLOOKUP(功能_33[[#This Row],[功能代號]],E:U,11,FALSE)=0,"",VLOOKUP(功能_33[[#This Row],[功能代號]],E:U,11,FALSE)),"")</f>
        <v>44463</v>
      </c>
      <c r="AL141" s="272"/>
      <c r="AM141" s="272"/>
      <c r="AN141" s="265"/>
      <c r="AO141" s="272"/>
      <c r="AP141" s="264" t="s">
        <v>2680</v>
      </c>
      <c r="AQ141" s="265" t="s">
        <v>2682</v>
      </c>
      <c r="AR141" s="593" t="s">
        <v>3207</v>
      </c>
      <c r="AS141" s="483" t="str">
        <f>IF(COUNTA(AG141)=1,LEFT(D141,3),"")</f>
        <v>5-5</v>
      </c>
      <c r="AT141" s="485" t="str">
        <f>IF(AND(COUNTA(O141)=1,COUNTA(P141)=1,COUNTA(AC141)=1,COUNTA(AF141)=1,COUNTA(AG141)=0),LEFT(D141,3),"")</f>
        <v/>
      </c>
      <c r="AU141" s="487" t="str">
        <f>IF(AND(COUNTA(O141)=1,COUNTA(P141)=1,COUNTA(AC141)=1,COUNTA(AF141)=0,COUNTA(AG141)=0),LEFT(D141,3),"")</f>
        <v/>
      </c>
      <c r="AV141" s="489" t="str">
        <f>IF(AND(COUNTA(P141)=0,COUNTA(AC141)=1),LEFT(D141,3),"")</f>
        <v/>
      </c>
      <c r="AW141" s="491" t="str">
        <f>IF(AND(COUNTA(P141)=1,COUNTA(AC141)=0),LEFT(D141,3),"")</f>
        <v/>
      </c>
      <c r="AX141" s="493" t="str">
        <f>IF(AND(COUNTA(P141)=0,COUNTA(AC141)=0),LEFT(D141,3),"")</f>
        <v/>
      </c>
      <c r="AY141" s="514" t="str">
        <f>IFERROR(VLOOKUP(功能_33[[#This Row],[功能代號]],SIT_FT_2021tmp!D:D,1,FALSE),"")</f>
        <v/>
      </c>
      <c r="AZ141" s="587">
        <v>44587</v>
      </c>
      <c r="BA141" s="587">
        <v>44586</v>
      </c>
      <c r="BB141" s="514" t="s">
        <v>2425</v>
      </c>
      <c r="BC141" s="265" t="s">
        <v>2453</v>
      </c>
      <c r="BD141" s="593"/>
      <c r="BE141" s="265" t="str">
        <f>IF(AND(COUNTIF(AY141,"&gt;&lt;0")=1,COUNTA(M141)=1),LEFT(D141,3),"")</f>
        <v/>
      </c>
      <c r="BF141" s="265" t="str">
        <f>IF(AND(COUNTIF(AY141,"&gt;&lt;")=1,COUNTA(M141)=0),LEFT(D141,3),"")</f>
        <v/>
      </c>
      <c r="BG141" s="265" t="str">
        <f>IF(AND(COUNTIF(AY141,"&gt;&lt;0")=0,COUNTA(M141)=1),LEFT(D141,3),"")</f>
        <v>5-5</v>
      </c>
      <c r="BH141" s="265" t="str">
        <f>IF(AND(COUNTIF(AY141,"&gt;&lt;0")=0,COUNTA(M141)=0),LEFT(D141,3),"")</f>
        <v/>
      </c>
    </row>
    <row r="142" spans="3:60" ht="13.5" x14ac:dyDescent="0.3">
      <c r="C142" s="265" t="s">
        <v>69</v>
      </c>
      <c r="D142" s="265" t="s">
        <v>2472</v>
      </c>
      <c r="E142" s="264" t="s">
        <v>476</v>
      </c>
      <c r="F142" s="265" t="s">
        <v>477</v>
      </c>
      <c r="G142" s="265" t="s">
        <v>478</v>
      </c>
      <c r="H142" s="264" t="s">
        <v>452</v>
      </c>
      <c r="I142" s="264" t="s">
        <v>452</v>
      </c>
      <c r="J142" s="212" t="s">
        <v>453</v>
      </c>
      <c r="K142" s="212"/>
      <c r="L142" s="272">
        <v>44568</v>
      </c>
      <c r="M142" s="272">
        <v>44568</v>
      </c>
      <c r="N142" s="272">
        <v>44463</v>
      </c>
      <c r="O142" s="272">
        <v>44463</v>
      </c>
      <c r="P142" s="272">
        <v>44473</v>
      </c>
      <c r="Q142" s="264" t="s">
        <v>1</v>
      </c>
      <c r="R142" s="264" t="s">
        <v>5</v>
      </c>
      <c r="S142" s="264" t="s">
        <v>5</v>
      </c>
      <c r="T142" s="265" t="s">
        <v>16</v>
      </c>
      <c r="X142" s="264"/>
      <c r="Z142" s="264"/>
      <c r="AA142" s="264"/>
      <c r="AB142" s="265" t="str">
        <f>VLOOKUP(功能_33[[#This Row],[User]],SKL放款!A:G,7,FALSE)</f>
        <v>放款服務課</v>
      </c>
      <c r="AC142" s="272">
        <v>44489</v>
      </c>
      <c r="AD142" s="272">
        <v>44477</v>
      </c>
      <c r="AE142" s="272">
        <f>IF(功能_33[[#This Row],[URS交二審]]=0,"",功能_33[[#This Row],[URS交二審]]+7)</f>
        <v>44484</v>
      </c>
      <c r="AF142" s="272">
        <f>IF(功能_33[[#This Row],[URS交二審]]=0,"",功能_33[[#This Row],[URS交二審]]+7)</f>
        <v>44484</v>
      </c>
      <c r="AG142" s="209">
        <v>44489</v>
      </c>
      <c r="AH142" s="272"/>
      <c r="AK142" s="272">
        <f>IFERROR(IF(VLOOKUP(功能_33[[#This Row],[功能代號]],E:U,11,FALSE)=0,"",VLOOKUP(功能_33[[#This Row],[功能代號]],E:U,11,FALSE)),"")</f>
        <v>44463</v>
      </c>
      <c r="AL142" s="272"/>
      <c r="AM142" s="272"/>
      <c r="AN142" s="265"/>
      <c r="AP142" s="264" t="s">
        <v>2680</v>
      </c>
      <c r="AQ142" s="265" t="s">
        <v>2682</v>
      </c>
      <c r="AR142" s="593" t="s">
        <v>3207</v>
      </c>
      <c r="AS142" s="483" t="str">
        <f>IF(COUNTA(AG142)=1,LEFT(D142,3),"")</f>
        <v>5-5</v>
      </c>
      <c r="AT142" s="485" t="str">
        <f>IF(AND(COUNTA(O142)=1,COUNTA(P142)=1,COUNTA(AC142)=1,COUNTA(AF142)=1,COUNTA(AG142)=0),LEFT(D142,3),"")</f>
        <v/>
      </c>
      <c r="AU142" s="487" t="str">
        <f>IF(AND(COUNTA(O142)=1,COUNTA(P142)=1,COUNTA(AC142)=1,COUNTA(AF142)=0,COUNTA(AG142)=0),LEFT(D142,3),"")</f>
        <v/>
      </c>
      <c r="AV142" s="489" t="str">
        <f>IF(AND(COUNTA(P142)=0,COUNTA(AC142)=1),LEFT(D142,3),"")</f>
        <v/>
      </c>
      <c r="AW142" s="491" t="str">
        <f>IF(AND(COUNTA(P142)=1,COUNTA(AC142)=0),LEFT(D142,3),"")</f>
        <v/>
      </c>
      <c r="AX142" s="493" t="str">
        <f>IF(AND(COUNTA(P142)=0,COUNTA(AC142)=0),LEFT(D142,3),"")</f>
        <v/>
      </c>
      <c r="AY142" s="514" t="str">
        <f>IFERROR(VLOOKUP(功能_33[[#This Row],[功能代號]],SIT_FT_2021tmp!D:D,1,FALSE),"")</f>
        <v/>
      </c>
      <c r="AZ142" s="587">
        <v>44603</v>
      </c>
      <c r="BB142" s="514" t="s">
        <v>2453</v>
      </c>
      <c r="BC142" s="265" t="s">
        <v>2453</v>
      </c>
      <c r="BD142" s="593"/>
      <c r="BE142" s="265" t="str">
        <f>IF(AND(COUNTIF(AY142,"&gt;&lt;0")=1,COUNTA(M142)=1),LEFT(D142,3),"")</f>
        <v/>
      </c>
      <c r="BF142" s="265" t="str">
        <f>IF(AND(COUNTIF(AY142,"&gt;&lt;")=1,COUNTA(M142)=0),LEFT(D142,3),"")</f>
        <v/>
      </c>
      <c r="BG142" s="265" t="str">
        <f>IF(AND(COUNTIF(AY142,"&gt;&lt;0")=0,COUNTA(M142)=1),LEFT(D142,3),"")</f>
        <v>5-5</v>
      </c>
      <c r="BH142" s="265" t="str">
        <f>IF(AND(COUNTIF(AY142,"&gt;&lt;0")=0,COUNTA(M142)=0),LEFT(D142,3),"")</f>
        <v/>
      </c>
    </row>
    <row r="143" spans="3:60" ht="13.5" x14ac:dyDescent="0.3">
      <c r="C143" s="265" t="s">
        <v>69</v>
      </c>
      <c r="D143" s="265" t="s">
        <v>2472</v>
      </c>
      <c r="E143" s="264" t="s">
        <v>479</v>
      </c>
      <c r="F143" s="265" t="s">
        <v>480</v>
      </c>
      <c r="G143" s="265"/>
      <c r="H143" s="264" t="s">
        <v>452</v>
      </c>
      <c r="I143" s="264" t="s">
        <v>452</v>
      </c>
      <c r="J143" s="212" t="s">
        <v>453</v>
      </c>
      <c r="K143" s="212"/>
      <c r="L143" s="272">
        <v>44568</v>
      </c>
      <c r="M143" s="272">
        <v>44568</v>
      </c>
      <c r="N143" s="272">
        <v>44463</v>
      </c>
      <c r="O143" s="272">
        <v>44463</v>
      </c>
      <c r="P143" s="272">
        <f>IFERROR(IF(VLOOKUP(功能_33[[#This Row],[功能代號]],討論項目!A:H,8,FALSE)=0,"",VLOOKUP(功能_33[[#This Row],[功能代號]],討論項目!A:H,8,FALSE)),"")</f>
        <v>44468</v>
      </c>
      <c r="Q143" s="264" t="s">
        <v>1</v>
      </c>
      <c r="R143" s="264" t="s">
        <v>5</v>
      </c>
      <c r="S143" s="264" t="s">
        <v>5</v>
      </c>
      <c r="T143" s="265" t="s">
        <v>16</v>
      </c>
      <c r="X143" s="264"/>
      <c r="Z143" s="264"/>
      <c r="AA143" s="264"/>
      <c r="AB143" s="265" t="str">
        <f>VLOOKUP(功能_33[[#This Row],[User]],SKL放款!A:G,7,FALSE)</f>
        <v>放款服務課</v>
      </c>
      <c r="AC143" s="272">
        <v>44489</v>
      </c>
      <c r="AD143" s="272">
        <v>44477</v>
      </c>
      <c r="AE143" s="272">
        <f>IF(功能_33[[#This Row],[URS交二審]]=0,"",功能_33[[#This Row],[URS交二審]]+7)</f>
        <v>44484</v>
      </c>
      <c r="AF143" s="272">
        <f>IF(功能_33[[#This Row],[URS交二審]]=0,"",功能_33[[#This Row],[URS交二審]]+7)</f>
        <v>44484</v>
      </c>
      <c r="AG143" s="209">
        <v>44489</v>
      </c>
      <c r="AH143" s="272"/>
      <c r="AK143" s="272">
        <f>IFERROR(IF(VLOOKUP(功能_33[[#This Row],[功能代號]],E:U,11,FALSE)=0,"",VLOOKUP(功能_33[[#This Row],[功能代號]],E:U,11,FALSE)),"")</f>
        <v>44463</v>
      </c>
      <c r="AL143" s="272"/>
      <c r="AM143" s="272"/>
      <c r="AN143" s="265"/>
      <c r="AO143" s="272"/>
      <c r="AP143" s="264" t="s">
        <v>2680</v>
      </c>
      <c r="AQ143" s="265" t="s">
        <v>2682</v>
      </c>
      <c r="AR143" s="593" t="s">
        <v>3207</v>
      </c>
      <c r="AS143" s="483" t="str">
        <f>IF(COUNTA(AG143)=1,LEFT(D143,3),"")</f>
        <v>5-5</v>
      </c>
      <c r="AT143" s="485" t="str">
        <f>IF(AND(COUNTA(O143)=1,COUNTA(P143)=1,COUNTA(AC143)=1,COUNTA(AF143)=1,COUNTA(AG143)=0),LEFT(D143,3),"")</f>
        <v/>
      </c>
      <c r="AU143" s="487" t="str">
        <f>IF(AND(COUNTA(O143)=1,COUNTA(P143)=1,COUNTA(AC143)=1,COUNTA(AF143)=0,COUNTA(AG143)=0),LEFT(D143,3),"")</f>
        <v/>
      </c>
      <c r="AV143" s="489" t="str">
        <f>IF(AND(COUNTA(P143)=0,COUNTA(AC143)=1),LEFT(D143,3),"")</f>
        <v/>
      </c>
      <c r="AW143" s="491" t="str">
        <f>IF(AND(COUNTA(P143)=1,COUNTA(AC143)=0),LEFT(D143,3),"")</f>
        <v/>
      </c>
      <c r="AX143" s="493" t="str">
        <f>IF(AND(COUNTA(P143)=0,COUNTA(AC143)=0),LEFT(D143,3),"")</f>
        <v/>
      </c>
      <c r="AY143" s="514" t="str">
        <f>IFERROR(VLOOKUP(功能_33[[#This Row],[功能代號]],SIT_FT_2021tmp!D:D,1,FALSE),"")</f>
        <v/>
      </c>
      <c r="AZ143" s="587">
        <v>44587</v>
      </c>
      <c r="BA143" s="587">
        <v>44586</v>
      </c>
      <c r="BB143" s="514" t="s">
        <v>2425</v>
      </c>
      <c r="BC143" s="265" t="s">
        <v>2453</v>
      </c>
      <c r="BD143" s="593"/>
      <c r="BE143" s="265" t="str">
        <f>IF(AND(COUNTIF(AY143,"&gt;&lt;0")=1,COUNTA(M143)=1),LEFT(D143,3),"")</f>
        <v/>
      </c>
      <c r="BF143" s="265" t="str">
        <f>IF(AND(COUNTIF(AY143,"&gt;&lt;")=1,COUNTA(M143)=0),LEFT(D143,3),"")</f>
        <v/>
      </c>
      <c r="BG143" s="265" t="str">
        <f>IF(AND(COUNTIF(AY143,"&gt;&lt;0")=0,COUNTA(M143)=1),LEFT(D143,3),"")</f>
        <v>5-5</v>
      </c>
      <c r="BH143" s="265" t="str">
        <f>IF(AND(COUNTIF(AY143,"&gt;&lt;0")=0,COUNTA(M143)=0),LEFT(D143,3),"")</f>
        <v/>
      </c>
    </row>
    <row r="144" spans="3:60" ht="13.5" x14ac:dyDescent="0.3">
      <c r="C144" s="265" t="s">
        <v>69</v>
      </c>
      <c r="D144" s="265" t="s">
        <v>2472</v>
      </c>
      <c r="E144" s="264" t="s">
        <v>481</v>
      </c>
      <c r="F144" s="265" t="s">
        <v>482</v>
      </c>
      <c r="G144" s="265"/>
      <c r="H144" s="264" t="s">
        <v>452</v>
      </c>
      <c r="I144" s="264" t="s">
        <v>452</v>
      </c>
      <c r="J144" s="212" t="s">
        <v>453</v>
      </c>
      <c r="K144" s="212"/>
      <c r="L144" s="272">
        <v>44568</v>
      </c>
      <c r="M144" s="272">
        <v>44568</v>
      </c>
      <c r="N144" s="272">
        <v>44463</v>
      </c>
      <c r="O144" s="272">
        <v>44463</v>
      </c>
      <c r="P144" s="272">
        <v>44463</v>
      </c>
      <c r="Q144" s="264" t="s">
        <v>1</v>
      </c>
      <c r="R144" s="264" t="s">
        <v>5</v>
      </c>
      <c r="S144" s="264" t="s">
        <v>5</v>
      </c>
      <c r="T144" s="265" t="s">
        <v>16</v>
      </c>
      <c r="X144" s="264"/>
      <c r="Z144" s="264"/>
      <c r="AA144" s="264"/>
      <c r="AB144" s="265" t="str">
        <f>VLOOKUP(功能_33[[#This Row],[User]],SKL放款!A:G,7,FALSE)</f>
        <v>放款服務課</v>
      </c>
      <c r="AC144" s="272">
        <v>44489</v>
      </c>
      <c r="AD144" s="272">
        <v>44477</v>
      </c>
      <c r="AE144" s="272">
        <f>IF(功能_33[[#This Row],[URS交二審]]=0,"",功能_33[[#This Row],[URS交二審]]+7)</f>
        <v>44484</v>
      </c>
      <c r="AF144" s="272">
        <f>IF(功能_33[[#This Row],[URS交二審]]=0,"",功能_33[[#This Row],[URS交二審]]+7)</f>
        <v>44484</v>
      </c>
      <c r="AG144" s="209">
        <v>44489</v>
      </c>
      <c r="AH144" s="272"/>
      <c r="AK144" s="272">
        <f>IFERROR(IF(VLOOKUP(功能_33[[#This Row],[功能代號]],E:U,11,FALSE)=0,"",VLOOKUP(功能_33[[#This Row],[功能代號]],E:U,11,FALSE)),"")</f>
        <v>44463</v>
      </c>
      <c r="AL144" s="272"/>
      <c r="AM144" s="272"/>
      <c r="AN144" s="265"/>
      <c r="AO144" s="272"/>
      <c r="AP144" s="264" t="s">
        <v>2680</v>
      </c>
      <c r="AQ144" s="265" t="s">
        <v>2682</v>
      </c>
      <c r="AR144" s="593" t="s">
        <v>3207</v>
      </c>
      <c r="AS144" s="483" t="str">
        <f>IF(COUNTA(AG144)=1,LEFT(D144,3),"")</f>
        <v>5-5</v>
      </c>
      <c r="AT144" s="485" t="str">
        <f>IF(AND(COUNTA(O144)=1,COUNTA(P144)=1,COUNTA(AC144)=1,COUNTA(AF144)=1,COUNTA(AG144)=0),LEFT(D144,3),"")</f>
        <v/>
      </c>
      <c r="AU144" s="487" t="str">
        <f>IF(AND(COUNTA(O144)=1,COUNTA(P144)=1,COUNTA(AC144)=1,COUNTA(AF144)=0,COUNTA(AG144)=0),LEFT(D144,3),"")</f>
        <v/>
      </c>
      <c r="AV144" s="489" t="str">
        <f>IF(AND(COUNTA(P144)=0,COUNTA(AC144)=1),LEFT(D144,3),"")</f>
        <v/>
      </c>
      <c r="AW144" s="491" t="str">
        <f>IF(AND(COUNTA(P144)=1,COUNTA(AC144)=0),LEFT(D144,3),"")</f>
        <v/>
      </c>
      <c r="AX144" s="493" t="str">
        <f>IF(AND(COUNTA(P144)=0,COUNTA(AC144)=0),LEFT(D144,3),"")</f>
        <v/>
      </c>
      <c r="AY144" s="514" t="str">
        <f>IFERROR(VLOOKUP(功能_33[[#This Row],[功能代號]],SIT_FT_2021tmp!D:D,1,FALSE),"")</f>
        <v/>
      </c>
      <c r="AZ144" s="587">
        <v>44587</v>
      </c>
      <c r="BA144" s="587">
        <v>44586</v>
      </c>
      <c r="BB144" s="514" t="s">
        <v>2425</v>
      </c>
      <c r="BC144" s="265" t="s">
        <v>2453</v>
      </c>
      <c r="BD144" s="593"/>
      <c r="BE144" s="265" t="str">
        <f>IF(AND(COUNTIF(AY144,"&gt;&lt;0")=1,COUNTA(M144)=1),LEFT(D144,3),"")</f>
        <v/>
      </c>
      <c r="BF144" s="265" t="str">
        <f>IF(AND(COUNTIF(AY144,"&gt;&lt;")=1,COUNTA(M144)=0),LEFT(D144,3),"")</f>
        <v/>
      </c>
      <c r="BG144" s="265" t="str">
        <f>IF(AND(COUNTIF(AY144,"&gt;&lt;0")=0,COUNTA(M144)=1),LEFT(D144,3),"")</f>
        <v>5-5</v>
      </c>
      <c r="BH144" s="265" t="str">
        <f>IF(AND(COUNTIF(AY144,"&gt;&lt;0")=0,COUNTA(M144)=0),LEFT(D144,3),"")</f>
        <v/>
      </c>
    </row>
    <row r="145" spans="3:60" ht="13.5" x14ac:dyDescent="0.3">
      <c r="C145" s="265" t="s">
        <v>69</v>
      </c>
      <c r="D145" s="265" t="s">
        <v>2472</v>
      </c>
      <c r="E145" s="264" t="s">
        <v>483</v>
      </c>
      <c r="F145" s="265" t="s">
        <v>484</v>
      </c>
      <c r="G145" s="265"/>
      <c r="H145" s="264" t="s">
        <v>452</v>
      </c>
      <c r="I145" s="264" t="s">
        <v>452</v>
      </c>
      <c r="J145" s="212" t="s">
        <v>453</v>
      </c>
      <c r="K145" s="212"/>
      <c r="L145" s="272">
        <v>44568</v>
      </c>
      <c r="M145" s="272">
        <v>44568</v>
      </c>
      <c r="N145" s="272">
        <v>44466</v>
      </c>
      <c r="O145" s="272">
        <v>44463</v>
      </c>
      <c r="P145" s="272">
        <v>44463</v>
      </c>
      <c r="Q145" s="264" t="s">
        <v>1</v>
      </c>
      <c r="R145" s="264" t="s">
        <v>5</v>
      </c>
      <c r="S145" s="264" t="s">
        <v>5</v>
      </c>
      <c r="T145" s="265" t="s">
        <v>16</v>
      </c>
      <c r="X145" s="264"/>
      <c r="Z145" s="264"/>
      <c r="AA145" s="264"/>
      <c r="AB145" s="265" t="str">
        <f>VLOOKUP(功能_33[[#This Row],[User]],SKL放款!A:G,7,FALSE)</f>
        <v>放款服務課</v>
      </c>
      <c r="AC145" s="272">
        <v>44489</v>
      </c>
      <c r="AD145" s="272">
        <v>44477</v>
      </c>
      <c r="AE145" s="272">
        <f>IF(功能_33[[#This Row],[URS交二審]]=0,"",功能_33[[#This Row],[URS交二審]]+7)</f>
        <v>44484</v>
      </c>
      <c r="AF145" s="272">
        <f>IF(功能_33[[#This Row],[URS交二審]]=0,"",功能_33[[#This Row],[URS交二審]]+7)</f>
        <v>44484</v>
      </c>
      <c r="AG145" s="209">
        <v>44489</v>
      </c>
      <c r="AH145" s="272"/>
      <c r="AK145" s="272">
        <f>IFERROR(IF(VLOOKUP(功能_33[[#This Row],[功能代號]],E:U,11,FALSE)=0,"",VLOOKUP(功能_33[[#This Row],[功能代號]],E:U,11,FALSE)),"")</f>
        <v>44463</v>
      </c>
      <c r="AL145" s="272"/>
      <c r="AM145" s="272"/>
      <c r="AN145" s="265"/>
      <c r="AO145" s="272"/>
      <c r="AP145" s="264" t="s">
        <v>2680</v>
      </c>
      <c r="AQ145" s="265" t="s">
        <v>2682</v>
      </c>
      <c r="AR145" s="593" t="s">
        <v>3207</v>
      </c>
      <c r="AS145" s="483" t="str">
        <f>IF(COUNTA(AG145)=1,LEFT(D145,3),"")</f>
        <v>5-5</v>
      </c>
      <c r="AT145" s="485" t="str">
        <f>IF(AND(COUNTA(O145)=1,COUNTA(P145)=1,COUNTA(AC145)=1,COUNTA(AF145)=1,COUNTA(AG145)=0),LEFT(D145,3),"")</f>
        <v/>
      </c>
      <c r="AU145" s="487" t="str">
        <f>IF(AND(COUNTA(O145)=1,COUNTA(P145)=1,COUNTA(AC145)=1,COUNTA(AF145)=0,COUNTA(AG145)=0),LEFT(D145,3),"")</f>
        <v/>
      </c>
      <c r="AV145" s="489" t="str">
        <f>IF(AND(COUNTA(P145)=0,COUNTA(AC145)=1),LEFT(D145,3),"")</f>
        <v/>
      </c>
      <c r="AW145" s="491" t="str">
        <f>IF(AND(COUNTA(P145)=1,COUNTA(AC145)=0),LEFT(D145,3),"")</f>
        <v/>
      </c>
      <c r="AX145" s="493" t="str">
        <f>IF(AND(COUNTA(P145)=0,COUNTA(AC145)=0),LEFT(D145,3),"")</f>
        <v/>
      </c>
      <c r="AY145" s="514" t="str">
        <f>IFERROR(VLOOKUP(功能_33[[#This Row],[功能代號]],SIT_FT_2021tmp!D:D,1,FALSE),"")</f>
        <v/>
      </c>
      <c r="AZ145" s="587">
        <v>44587</v>
      </c>
      <c r="BA145" s="587">
        <v>44586</v>
      </c>
      <c r="BB145" s="514" t="s">
        <v>2425</v>
      </c>
      <c r="BC145" s="265" t="s">
        <v>2453</v>
      </c>
      <c r="BD145" s="593"/>
      <c r="BE145" s="265" t="str">
        <f>IF(AND(COUNTIF(AY145,"&gt;&lt;0")=1,COUNTA(M145)=1),LEFT(D145,3),"")</f>
        <v/>
      </c>
      <c r="BF145" s="265" t="str">
        <f>IF(AND(COUNTIF(AY145,"&gt;&lt;")=1,COUNTA(M145)=0),LEFT(D145,3),"")</f>
        <v/>
      </c>
      <c r="BG145" s="265" t="str">
        <f>IF(AND(COUNTIF(AY145,"&gt;&lt;0")=0,COUNTA(M145)=1),LEFT(D145,3),"")</f>
        <v>5-5</v>
      </c>
      <c r="BH145" s="265" t="str">
        <f>IF(AND(COUNTIF(AY145,"&gt;&lt;0")=0,COUNTA(M145)=0),LEFT(D145,3),"")</f>
        <v/>
      </c>
    </row>
    <row r="146" spans="3:60" ht="13.5" x14ac:dyDescent="0.3">
      <c r="C146" s="265" t="s">
        <v>69</v>
      </c>
      <c r="D146" s="265" t="s">
        <v>2472</v>
      </c>
      <c r="E146" s="264" t="s">
        <v>485</v>
      </c>
      <c r="F146" s="265" t="s">
        <v>486</v>
      </c>
      <c r="G146" s="265"/>
      <c r="H146" s="264" t="s">
        <v>452</v>
      </c>
      <c r="I146" s="264" t="s">
        <v>452</v>
      </c>
      <c r="J146" s="212" t="s">
        <v>453</v>
      </c>
      <c r="K146" s="212"/>
      <c r="L146" s="272">
        <v>44568</v>
      </c>
      <c r="M146" s="272">
        <v>44568</v>
      </c>
      <c r="N146" s="272">
        <v>44466</v>
      </c>
      <c r="O146" s="272">
        <v>44463</v>
      </c>
      <c r="P146" s="272">
        <v>44463</v>
      </c>
      <c r="Q146" s="264" t="s">
        <v>1</v>
      </c>
      <c r="R146" s="264" t="s">
        <v>5</v>
      </c>
      <c r="S146" s="264" t="s">
        <v>5</v>
      </c>
      <c r="T146" s="265" t="s">
        <v>16</v>
      </c>
      <c r="X146" s="264"/>
      <c r="Z146" s="264"/>
      <c r="AA146" s="264"/>
      <c r="AB146" s="265" t="str">
        <f>VLOOKUP(功能_33[[#This Row],[User]],SKL放款!A:G,7,FALSE)</f>
        <v>放款服務課</v>
      </c>
      <c r="AC146" s="272">
        <v>44489</v>
      </c>
      <c r="AD146" s="272">
        <v>44477</v>
      </c>
      <c r="AE146" s="272">
        <f>IF(功能_33[[#This Row],[URS交二審]]=0,"",功能_33[[#This Row],[URS交二審]]+7)</f>
        <v>44484</v>
      </c>
      <c r="AF146" s="272">
        <f>IF(功能_33[[#This Row],[URS交二審]]=0,"",功能_33[[#This Row],[URS交二審]]+7)</f>
        <v>44484</v>
      </c>
      <c r="AG146" s="209">
        <v>44489</v>
      </c>
      <c r="AH146" s="272"/>
      <c r="AK146" s="272">
        <f>IFERROR(IF(VLOOKUP(功能_33[[#This Row],[功能代號]],E:U,11,FALSE)=0,"",VLOOKUP(功能_33[[#This Row],[功能代號]],E:U,11,FALSE)),"")</f>
        <v>44463</v>
      </c>
      <c r="AL146" s="272"/>
      <c r="AM146" s="272"/>
      <c r="AN146" s="265"/>
      <c r="AO146" s="272"/>
      <c r="AP146" s="264" t="s">
        <v>2680</v>
      </c>
      <c r="AQ146" s="265" t="s">
        <v>2682</v>
      </c>
      <c r="AR146" s="593" t="s">
        <v>3207</v>
      </c>
      <c r="AS146" s="483" t="str">
        <f>IF(COUNTA(AG146)=1,LEFT(D146,3),"")</f>
        <v>5-5</v>
      </c>
      <c r="AT146" s="485" t="str">
        <f>IF(AND(COUNTA(O146)=1,COUNTA(P146)=1,COUNTA(AC146)=1,COUNTA(AF146)=1,COUNTA(AG146)=0),LEFT(D146,3),"")</f>
        <v/>
      </c>
      <c r="AU146" s="487" t="str">
        <f>IF(AND(COUNTA(O146)=1,COUNTA(P146)=1,COUNTA(AC146)=1,COUNTA(AF146)=0,COUNTA(AG146)=0),LEFT(D146,3),"")</f>
        <v/>
      </c>
      <c r="AV146" s="489" t="str">
        <f>IF(AND(COUNTA(P146)=0,COUNTA(AC146)=1),LEFT(D146,3),"")</f>
        <v/>
      </c>
      <c r="AW146" s="491" t="str">
        <f>IF(AND(COUNTA(P146)=1,COUNTA(AC146)=0),LEFT(D146,3),"")</f>
        <v/>
      </c>
      <c r="AX146" s="493" t="str">
        <f>IF(AND(COUNTA(P146)=0,COUNTA(AC146)=0),LEFT(D146,3),"")</f>
        <v/>
      </c>
      <c r="AY146" s="514" t="str">
        <f>IFERROR(VLOOKUP(功能_33[[#This Row],[功能代號]],SIT_FT_2021tmp!D:D,1,FALSE),"")</f>
        <v/>
      </c>
      <c r="AZ146" s="587">
        <v>44587</v>
      </c>
      <c r="BA146" s="587">
        <v>44585</v>
      </c>
      <c r="BB146" s="514" t="s">
        <v>2425</v>
      </c>
      <c r="BC146" s="265" t="s">
        <v>2453</v>
      </c>
      <c r="BD146" s="593"/>
      <c r="BE146" s="265" t="str">
        <f>IF(AND(COUNTIF(AY146,"&gt;&lt;0")=1,COUNTA(M146)=1),LEFT(D146,3),"")</f>
        <v/>
      </c>
      <c r="BF146" s="265" t="str">
        <f>IF(AND(COUNTIF(AY146,"&gt;&lt;")=1,COUNTA(M146)=0),LEFT(D146,3),"")</f>
        <v/>
      </c>
      <c r="BG146" s="265" t="str">
        <f>IF(AND(COUNTIF(AY146,"&gt;&lt;0")=0,COUNTA(M146)=1),LEFT(D146,3),"")</f>
        <v>5-5</v>
      </c>
      <c r="BH146" s="265" t="str">
        <f>IF(AND(COUNTIF(AY146,"&gt;&lt;0")=0,COUNTA(M146)=0),LEFT(D146,3),"")</f>
        <v/>
      </c>
    </row>
    <row r="147" spans="3:60" ht="13.5" x14ac:dyDescent="0.3">
      <c r="C147" s="265" t="s">
        <v>69</v>
      </c>
      <c r="D147" s="265" t="s">
        <v>2472</v>
      </c>
      <c r="E147" s="264" t="s">
        <v>487</v>
      </c>
      <c r="F147" s="265" t="s">
        <v>488</v>
      </c>
      <c r="G147" s="265"/>
      <c r="H147" s="264" t="s">
        <v>452</v>
      </c>
      <c r="I147" s="264" t="s">
        <v>452</v>
      </c>
      <c r="J147" s="212" t="s">
        <v>453</v>
      </c>
      <c r="K147" s="212"/>
      <c r="L147" s="272">
        <v>44568</v>
      </c>
      <c r="M147" s="272">
        <v>44568</v>
      </c>
      <c r="N147" s="272">
        <v>44466</v>
      </c>
      <c r="O147" s="272">
        <v>44463</v>
      </c>
      <c r="P147" s="272">
        <v>44463</v>
      </c>
      <c r="Q147" s="264" t="s">
        <v>1</v>
      </c>
      <c r="R147" s="264" t="s">
        <v>5</v>
      </c>
      <c r="S147" s="264" t="s">
        <v>5</v>
      </c>
      <c r="T147" s="265" t="s">
        <v>16</v>
      </c>
      <c r="X147" s="264"/>
      <c r="Z147" s="264"/>
      <c r="AA147" s="264"/>
      <c r="AB147" s="265" t="str">
        <f>VLOOKUP(功能_33[[#This Row],[User]],SKL放款!A:G,7,FALSE)</f>
        <v>放款服務課</v>
      </c>
      <c r="AC147" s="272">
        <v>44489</v>
      </c>
      <c r="AD147" s="272">
        <v>44477</v>
      </c>
      <c r="AE147" s="272">
        <f>IF(功能_33[[#This Row],[URS交二審]]=0,"",功能_33[[#This Row],[URS交二審]]+7)</f>
        <v>44484</v>
      </c>
      <c r="AF147" s="272">
        <f>IF(功能_33[[#This Row],[URS交二審]]=0,"",功能_33[[#This Row],[URS交二審]]+7)</f>
        <v>44484</v>
      </c>
      <c r="AG147" s="209">
        <v>44489</v>
      </c>
      <c r="AH147" s="272"/>
      <c r="AK147" s="272">
        <f>IFERROR(IF(VLOOKUP(功能_33[[#This Row],[功能代號]],E:U,11,FALSE)=0,"",VLOOKUP(功能_33[[#This Row],[功能代號]],E:U,11,FALSE)),"")</f>
        <v>44463</v>
      </c>
      <c r="AL147" s="272"/>
      <c r="AM147" s="272"/>
      <c r="AN147" s="265"/>
      <c r="AO147" s="272"/>
      <c r="AP147" s="264" t="s">
        <v>2680</v>
      </c>
      <c r="AQ147" s="265" t="s">
        <v>2682</v>
      </c>
      <c r="AR147" s="593" t="s">
        <v>3207</v>
      </c>
      <c r="AS147" s="483" t="str">
        <f>IF(COUNTA(AG147)=1,LEFT(D147,3),"")</f>
        <v>5-5</v>
      </c>
      <c r="AT147" s="485" t="str">
        <f>IF(AND(COUNTA(O147)=1,COUNTA(P147)=1,COUNTA(AC147)=1,COUNTA(AF147)=1,COUNTA(AG147)=0),LEFT(D147,3),"")</f>
        <v/>
      </c>
      <c r="AU147" s="487" t="str">
        <f>IF(AND(COUNTA(O147)=1,COUNTA(P147)=1,COUNTA(AC147)=1,COUNTA(AF147)=0,COUNTA(AG147)=0),LEFT(D147,3),"")</f>
        <v/>
      </c>
      <c r="AV147" s="489" t="str">
        <f>IF(AND(COUNTA(P147)=0,COUNTA(AC147)=1),LEFT(D147,3),"")</f>
        <v/>
      </c>
      <c r="AW147" s="491" t="str">
        <f>IF(AND(COUNTA(P147)=1,COUNTA(AC147)=0),LEFT(D147,3),"")</f>
        <v/>
      </c>
      <c r="AX147" s="493" t="str">
        <f>IF(AND(COUNTA(P147)=0,COUNTA(AC147)=0),LEFT(D147,3),"")</f>
        <v/>
      </c>
      <c r="AY147" s="514" t="str">
        <f>IFERROR(VLOOKUP(功能_33[[#This Row],[功能代號]],SIT_FT_2021tmp!D:D,1,FALSE),"")</f>
        <v/>
      </c>
      <c r="AZ147" s="587">
        <v>44603</v>
      </c>
      <c r="BB147" s="514" t="s">
        <v>2453</v>
      </c>
      <c r="BC147" s="265" t="s">
        <v>2453</v>
      </c>
      <c r="BD147" s="593"/>
      <c r="BE147" s="265" t="str">
        <f>IF(AND(COUNTIF(AY147,"&gt;&lt;0")=1,COUNTA(M147)=1),LEFT(D147,3),"")</f>
        <v/>
      </c>
      <c r="BF147" s="265" t="str">
        <f>IF(AND(COUNTIF(AY147,"&gt;&lt;")=1,COUNTA(M147)=0),LEFT(D147,3),"")</f>
        <v/>
      </c>
      <c r="BG147" s="265" t="str">
        <f>IF(AND(COUNTIF(AY147,"&gt;&lt;0")=0,COUNTA(M147)=1),LEFT(D147,3),"")</f>
        <v>5-5</v>
      </c>
      <c r="BH147" s="265" t="str">
        <f>IF(AND(COUNTIF(AY147,"&gt;&lt;0")=0,COUNTA(M147)=0),LEFT(D147,3),"")</f>
        <v/>
      </c>
    </row>
    <row r="148" spans="3:60" ht="13.5" x14ac:dyDescent="0.3">
      <c r="C148" s="265" t="s">
        <v>69</v>
      </c>
      <c r="D148" s="265" t="s">
        <v>2472</v>
      </c>
      <c r="E148" s="264" t="s">
        <v>489</v>
      </c>
      <c r="F148" s="265" t="s">
        <v>490</v>
      </c>
      <c r="G148" s="265"/>
      <c r="H148" s="264" t="s">
        <v>452</v>
      </c>
      <c r="I148" s="264" t="s">
        <v>452</v>
      </c>
      <c r="J148" s="212" t="s">
        <v>453</v>
      </c>
      <c r="K148" s="212"/>
      <c r="L148" s="272">
        <v>44568</v>
      </c>
      <c r="M148" s="272">
        <v>44568</v>
      </c>
      <c r="N148" s="272">
        <v>44466</v>
      </c>
      <c r="O148" s="272">
        <v>44463</v>
      </c>
      <c r="P148" s="272">
        <v>44463</v>
      </c>
      <c r="Q148" s="264" t="s">
        <v>1</v>
      </c>
      <c r="R148" s="264" t="s">
        <v>5</v>
      </c>
      <c r="S148" s="264" t="s">
        <v>5</v>
      </c>
      <c r="T148" s="265" t="s">
        <v>16</v>
      </c>
      <c r="X148" s="264"/>
      <c r="Z148" s="264"/>
      <c r="AA148" s="264"/>
      <c r="AB148" s="265" t="str">
        <f>VLOOKUP(功能_33[[#This Row],[User]],SKL放款!A:G,7,FALSE)</f>
        <v>放款服務課</v>
      </c>
      <c r="AC148" s="272">
        <v>44489</v>
      </c>
      <c r="AD148" s="272">
        <v>44477</v>
      </c>
      <c r="AE148" s="272">
        <f>IF(功能_33[[#This Row],[URS交二審]]=0,"",功能_33[[#This Row],[URS交二審]]+7)</f>
        <v>44484</v>
      </c>
      <c r="AF148" s="272">
        <f>IF(功能_33[[#This Row],[URS交二審]]=0,"",功能_33[[#This Row],[URS交二審]]+7)</f>
        <v>44484</v>
      </c>
      <c r="AG148" s="209">
        <v>44489</v>
      </c>
      <c r="AH148" s="272"/>
      <c r="AK148" s="272">
        <f>IFERROR(IF(VLOOKUP(功能_33[[#This Row],[功能代號]],E:U,11,FALSE)=0,"",VLOOKUP(功能_33[[#This Row],[功能代號]],E:U,11,FALSE)),"")</f>
        <v>44463</v>
      </c>
      <c r="AL148" s="272"/>
      <c r="AM148" s="272"/>
      <c r="AN148" s="265"/>
      <c r="AO148" s="272"/>
      <c r="AP148" s="264" t="s">
        <v>2680</v>
      </c>
      <c r="AQ148" s="265" t="s">
        <v>2682</v>
      </c>
      <c r="AR148" s="593" t="s">
        <v>3207</v>
      </c>
      <c r="AS148" s="483" t="str">
        <f>IF(COUNTA(AG148)=1,LEFT(D148,3),"")</f>
        <v>5-5</v>
      </c>
      <c r="AT148" s="485" t="str">
        <f>IF(AND(COUNTA(O148)=1,COUNTA(P148)=1,COUNTA(AC148)=1,COUNTA(AF148)=1,COUNTA(AG148)=0),LEFT(D148,3),"")</f>
        <v/>
      </c>
      <c r="AU148" s="487" t="str">
        <f>IF(AND(COUNTA(O148)=1,COUNTA(P148)=1,COUNTA(AC148)=1,COUNTA(AF148)=0,COUNTA(AG148)=0),LEFT(D148,3),"")</f>
        <v/>
      </c>
      <c r="AV148" s="489" t="str">
        <f>IF(AND(COUNTA(P148)=0,COUNTA(AC148)=1),LEFT(D148,3),"")</f>
        <v/>
      </c>
      <c r="AW148" s="491" t="str">
        <f>IF(AND(COUNTA(P148)=1,COUNTA(AC148)=0),LEFT(D148,3),"")</f>
        <v/>
      </c>
      <c r="AX148" s="493" t="str">
        <f>IF(AND(COUNTA(P148)=0,COUNTA(AC148)=0),LEFT(D148,3),"")</f>
        <v/>
      </c>
      <c r="AY148" s="514" t="str">
        <f>IFERROR(VLOOKUP(功能_33[[#This Row],[功能代號]],SIT_FT_2021tmp!D:D,1,FALSE),"")</f>
        <v/>
      </c>
      <c r="AZ148" s="587">
        <v>44587</v>
      </c>
      <c r="BA148" s="587">
        <v>44586</v>
      </c>
      <c r="BB148" s="514" t="s">
        <v>2425</v>
      </c>
      <c r="BC148" s="265" t="s">
        <v>2453</v>
      </c>
      <c r="BD148" s="593"/>
      <c r="BE148" s="265" t="str">
        <f>IF(AND(COUNTIF(AY148,"&gt;&lt;0")=1,COUNTA(M148)=1),LEFT(D148,3),"")</f>
        <v/>
      </c>
      <c r="BF148" s="265" t="str">
        <f>IF(AND(COUNTIF(AY148,"&gt;&lt;")=1,COUNTA(M148)=0),LEFT(D148,3),"")</f>
        <v/>
      </c>
      <c r="BG148" s="265" t="str">
        <f>IF(AND(COUNTIF(AY148,"&gt;&lt;0")=0,COUNTA(M148)=1),LEFT(D148,3),"")</f>
        <v>5-5</v>
      </c>
      <c r="BH148" s="265" t="str">
        <f>IF(AND(COUNTIF(AY148,"&gt;&lt;0")=0,COUNTA(M148)=0),LEFT(D148,3),"")</f>
        <v/>
      </c>
    </row>
    <row r="149" spans="3:60" ht="13.5" x14ac:dyDescent="0.3">
      <c r="C149" s="265" t="s">
        <v>69</v>
      </c>
      <c r="D149" s="265" t="s">
        <v>2472</v>
      </c>
      <c r="E149" s="264" t="s">
        <v>491</v>
      </c>
      <c r="F149" s="265" t="s">
        <v>492</v>
      </c>
      <c r="G149" s="265"/>
      <c r="H149" s="264" t="s">
        <v>452</v>
      </c>
      <c r="I149" s="264" t="s">
        <v>452</v>
      </c>
      <c r="J149" s="212" t="s">
        <v>453</v>
      </c>
      <c r="K149" s="212"/>
      <c r="L149" s="272">
        <v>44568</v>
      </c>
      <c r="M149" s="272">
        <v>44568</v>
      </c>
      <c r="N149" s="272">
        <v>44466</v>
      </c>
      <c r="O149" s="272">
        <v>44463</v>
      </c>
      <c r="P149" s="272">
        <v>44463</v>
      </c>
      <c r="Q149" s="264" t="s">
        <v>1</v>
      </c>
      <c r="R149" s="264" t="s">
        <v>5</v>
      </c>
      <c r="S149" s="264" t="s">
        <v>5</v>
      </c>
      <c r="T149" s="265" t="s">
        <v>16</v>
      </c>
      <c r="X149" s="264"/>
      <c r="Z149" s="264"/>
      <c r="AA149" s="264"/>
      <c r="AB149" s="265" t="str">
        <f>VLOOKUP(功能_33[[#This Row],[User]],SKL放款!A:G,7,FALSE)</f>
        <v>放款服務課</v>
      </c>
      <c r="AC149" s="272">
        <v>44489</v>
      </c>
      <c r="AD149" s="272">
        <v>44477</v>
      </c>
      <c r="AE149" s="272">
        <f>IF(功能_33[[#This Row],[URS交二審]]=0,"",功能_33[[#This Row],[URS交二審]]+7)</f>
        <v>44484</v>
      </c>
      <c r="AF149" s="272">
        <f>IF(功能_33[[#This Row],[URS交二審]]=0,"",功能_33[[#This Row],[URS交二審]]+7)</f>
        <v>44484</v>
      </c>
      <c r="AG149" s="209">
        <v>44489</v>
      </c>
      <c r="AH149" s="272"/>
      <c r="AK149" s="272">
        <f>IFERROR(IF(VLOOKUP(功能_33[[#This Row],[功能代號]],E:U,11,FALSE)=0,"",VLOOKUP(功能_33[[#This Row],[功能代號]],E:U,11,FALSE)),"")</f>
        <v>44463</v>
      </c>
      <c r="AL149" s="272"/>
      <c r="AM149" s="272"/>
      <c r="AN149" s="265"/>
      <c r="AO149" s="272"/>
      <c r="AP149" s="264" t="s">
        <v>2680</v>
      </c>
      <c r="AQ149" s="265" t="s">
        <v>2682</v>
      </c>
      <c r="AR149" s="593" t="s">
        <v>3207</v>
      </c>
      <c r="AS149" s="483" t="str">
        <f>IF(COUNTA(AG149)=1,LEFT(D149,3),"")</f>
        <v>5-5</v>
      </c>
      <c r="AT149" s="485" t="str">
        <f>IF(AND(COUNTA(O149)=1,COUNTA(P149)=1,COUNTA(AC149)=1,COUNTA(AF149)=1,COUNTA(AG149)=0),LEFT(D149,3),"")</f>
        <v/>
      </c>
      <c r="AU149" s="487" t="str">
        <f>IF(AND(COUNTA(O149)=1,COUNTA(P149)=1,COUNTA(AC149)=1,COUNTA(AF149)=0,COUNTA(AG149)=0),LEFT(D149,3),"")</f>
        <v/>
      </c>
      <c r="AV149" s="489" t="str">
        <f>IF(AND(COUNTA(P149)=0,COUNTA(AC149)=1),LEFT(D149,3),"")</f>
        <v/>
      </c>
      <c r="AW149" s="491" t="str">
        <f>IF(AND(COUNTA(P149)=1,COUNTA(AC149)=0),LEFT(D149,3),"")</f>
        <v/>
      </c>
      <c r="AX149" s="493" t="str">
        <f>IF(AND(COUNTA(P149)=0,COUNTA(AC149)=0),LEFT(D149,3),"")</f>
        <v/>
      </c>
      <c r="AY149" s="514" t="str">
        <f>IFERROR(VLOOKUP(功能_33[[#This Row],[功能代號]],SIT_FT_2021tmp!D:D,1,FALSE),"")</f>
        <v/>
      </c>
      <c r="AZ149" s="587">
        <v>44603</v>
      </c>
      <c r="BB149" s="514" t="s">
        <v>2453</v>
      </c>
      <c r="BC149" s="265" t="s">
        <v>2453</v>
      </c>
      <c r="BD149" s="593"/>
      <c r="BE149" s="265" t="str">
        <f>IF(AND(COUNTIF(AY149,"&gt;&lt;0")=1,COUNTA(M149)=1),LEFT(D149,3),"")</f>
        <v/>
      </c>
      <c r="BF149" s="265" t="str">
        <f>IF(AND(COUNTIF(AY149,"&gt;&lt;")=1,COUNTA(M149)=0),LEFT(D149,3),"")</f>
        <v/>
      </c>
      <c r="BG149" s="265" t="str">
        <f>IF(AND(COUNTIF(AY149,"&gt;&lt;0")=0,COUNTA(M149)=1),LEFT(D149,3),"")</f>
        <v>5-5</v>
      </c>
      <c r="BH149" s="265" t="str">
        <f>IF(AND(COUNTIF(AY149,"&gt;&lt;0")=0,COUNTA(M149)=0),LEFT(D149,3),"")</f>
        <v/>
      </c>
    </row>
    <row r="150" spans="3:60" ht="13.5" x14ac:dyDescent="0.3">
      <c r="C150" s="265" t="s">
        <v>69</v>
      </c>
      <c r="D150" s="265" t="s">
        <v>2472</v>
      </c>
      <c r="E150" s="264" t="s">
        <v>493</v>
      </c>
      <c r="F150" s="265" t="s">
        <v>494</v>
      </c>
      <c r="G150" s="265"/>
      <c r="H150" s="264" t="s">
        <v>452</v>
      </c>
      <c r="I150" s="264" t="s">
        <v>452</v>
      </c>
      <c r="J150" s="212" t="s">
        <v>453</v>
      </c>
      <c r="K150" s="212"/>
      <c r="L150" s="272">
        <v>44568</v>
      </c>
      <c r="M150" s="272">
        <v>44568</v>
      </c>
      <c r="N150" s="272">
        <v>44462</v>
      </c>
      <c r="O150" s="272">
        <v>44462</v>
      </c>
      <c r="P150" s="272">
        <f>IF(功能_33[[#This Row],[URS交二審]]=0,"",功能_33[[#This Row],[URS交二審]]+7)</f>
        <v>44484</v>
      </c>
      <c r="Q150" s="264" t="s">
        <v>1</v>
      </c>
      <c r="R150" s="264" t="s">
        <v>5</v>
      </c>
      <c r="S150" s="264" t="s">
        <v>5</v>
      </c>
      <c r="T150" s="265" t="s">
        <v>16</v>
      </c>
      <c r="X150" s="264"/>
      <c r="Z150" s="264"/>
      <c r="AA150" s="264"/>
      <c r="AB150" s="265" t="str">
        <f>VLOOKUP(功能_33[[#This Row],[User]],SKL放款!A:G,7,FALSE)</f>
        <v>放款服務課</v>
      </c>
      <c r="AC150" s="272">
        <v>44489</v>
      </c>
      <c r="AD150" s="272">
        <v>44477</v>
      </c>
      <c r="AE150" s="272">
        <f>IF(功能_33[[#This Row],[URS交二審]]=0,"",功能_33[[#This Row],[URS交二審]]+7)</f>
        <v>44484</v>
      </c>
      <c r="AF150" s="272">
        <f>IF(功能_33[[#This Row],[URS交二審]]=0,"",功能_33[[#This Row],[URS交二審]]+7)</f>
        <v>44484</v>
      </c>
      <c r="AG150" s="209">
        <v>44489</v>
      </c>
      <c r="AH150" s="272"/>
      <c r="AK150" s="272">
        <f>IFERROR(IF(VLOOKUP(功能_33[[#This Row],[功能代號]],E:U,11,FALSE)=0,"",VLOOKUP(功能_33[[#This Row],[功能代號]],E:U,11,FALSE)),"")</f>
        <v>44462</v>
      </c>
      <c r="AL150" s="272"/>
      <c r="AM150" s="272"/>
      <c r="AN150" s="265"/>
      <c r="AP150" s="264" t="s">
        <v>2680</v>
      </c>
      <c r="AQ150" s="265" t="s">
        <v>2682</v>
      </c>
      <c r="AR150" s="593" t="s">
        <v>3207</v>
      </c>
      <c r="AS150" s="483" t="str">
        <f>IF(COUNTA(AG150)=1,LEFT(D150,3),"")</f>
        <v>5-5</v>
      </c>
      <c r="AT150" s="485" t="str">
        <f>IF(AND(COUNTA(O150)=1,COUNTA(P150)=1,COUNTA(AC150)=1,COUNTA(AF150)=1,COUNTA(AG150)=0),LEFT(D150,3),"")</f>
        <v/>
      </c>
      <c r="AU150" s="487" t="str">
        <f>IF(AND(COUNTA(O150)=1,COUNTA(P150)=1,COUNTA(AC150)=1,COUNTA(AF150)=0,COUNTA(AG150)=0),LEFT(D150,3),"")</f>
        <v/>
      </c>
      <c r="AV150" s="489" t="str">
        <f>IF(AND(COUNTA(P150)=0,COUNTA(AC150)=1),LEFT(D150,3),"")</f>
        <v/>
      </c>
      <c r="AW150" s="491" t="str">
        <f>IF(AND(COUNTA(P150)=1,COUNTA(AC150)=0),LEFT(D150,3),"")</f>
        <v/>
      </c>
      <c r="AX150" s="493" t="str">
        <f>IF(AND(COUNTA(P150)=0,COUNTA(AC150)=0),LEFT(D150,3),"")</f>
        <v/>
      </c>
      <c r="AY150" s="514" t="str">
        <f>IFERROR(VLOOKUP(功能_33[[#This Row],[功能代號]],SIT_FT_2021tmp!D:D,1,FALSE),"")</f>
        <v/>
      </c>
      <c r="AZ150" s="587">
        <v>44587</v>
      </c>
      <c r="BA150" s="587">
        <v>44585</v>
      </c>
      <c r="BB150" s="514" t="s">
        <v>2425</v>
      </c>
      <c r="BC150" s="265" t="s">
        <v>2453</v>
      </c>
      <c r="BD150" s="593"/>
      <c r="BE150" s="265" t="str">
        <f>IF(AND(COUNTIF(AY150,"&gt;&lt;0")=1,COUNTA(M150)=1),LEFT(D150,3),"")</f>
        <v/>
      </c>
      <c r="BF150" s="265" t="str">
        <f>IF(AND(COUNTIF(AY150,"&gt;&lt;")=1,COUNTA(M150)=0),LEFT(D150,3),"")</f>
        <v/>
      </c>
      <c r="BG150" s="265" t="str">
        <f>IF(AND(COUNTIF(AY150,"&gt;&lt;0")=0,COUNTA(M150)=1),LEFT(D150,3),"")</f>
        <v>5-5</v>
      </c>
      <c r="BH150" s="265" t="str">
        <f>IF(AND(COUNTIF(AY150,"&gt;&lt;0")=0,COUNTA(M150)=0),LEFT(D150,3),"")</f>
        <v/>
      </c>
    </row>
    <row r="151" spans="3:60" ht="13.5" x14ac:dyDescent="0.3">
      <c r="C151" s="265" t="s">
        <v>69</v>
      </c>
      <c r="D151" s="265" t="s">
        <v>2472</v>
      </c>
      <c r="E151" s="264" t="s">
        <v>495</v>
      </c>
      <c r="F151" s="265" t="s">
        <v>496</v>
      </c>
      <c r="G151" s="265"/>
      <c r="H151" s="264" t="s">
        <v>452</v>
      </c>
      <c r="I151" s="264" t="s">
        <v>452</v>
      </c>
      <c r="J151" s="212" t="s">
        <v>453</v>
      </c>
      <c r="K151" s="212"/>
      <c r="L151" s="272">
        <v>44568</v>
      </c>
      <c r="M151" s="272">
        <v>44568</v>
      </c>
      <c r="N151" s="272">
        <v>44463</v>
      </c>
      <c r="O151" s="272">
        <v>44463</v>
      </c>
      <c r="P151" s="272">
        <f>IF(功能_33[[#This Row],[URS交二審]]=0,"",功能_33[[#This Row],[URS交二審]]+7)</f>
        <v>44484</v>
      </c>
      <c r="Q151" s="264" t="s">
        <v>1</v>
      </c>
      <c r="R151" s="264" t="s">
        <v>5</v>
      </c>
      <c r="S151" s="264" t="s">
        <v>5</v>
      </c>
      <c r="T151" s="265" t="s">
        <v>16</v>
      </c>
      <c r="X151" s="264"/>
      <c r="Z151" s="264"/>
      <c r="AA151" s="264"/>
      <c r="AB151" s="265" t="str">
        <f>VLOOKUP(功能_33[[#This Row],[User]],SKL放款!A:G,7,FALSE)</f>
        <v>放款服務課</v>
      </c>
      <c r="AC151" s="272">
        <v>44489</v>
      </c>
      <c r="AD151" s="272">
        <v>44477</v>
      </c>
      <c r="AE151" s="272">
        <f>IF(功能_33[[#This Row],[URS交二審]]=0,"",功能_33[[#This Row],[URS交二審]]+7)</f>
        <v>44484</v>
      </c>
      <c r="AF151" s="272">
        <f>IF(功能_33[[#This Row],[URS交二審]]=0,"",功能_33[[#This Row],[URS交二審]]+7)</f>
        <v>44484</v>
      </c>
      <c r="AG151" s="209">
        <v>44489</v>
      </c>
      <c r="AH151" s="272"/>
      <c r="AK151" s="272">
        <f>IFERROR(IF(VLOOKUP(功能_33[[#This Row],[功能代號]],E:U,11,FALSE)=0,"",VLOOKUP(功能_33[[#This Row],[功能代號]],E:U,11,FALSE)),"")</f>
        <v>44463</v>
      </c>
      <c r="AL151" s="272"/>
      <c r="AM151" s="272"/>
      <c r="AN151" s="265"/>
      <c r="AP151" s="264" t="s">
        <v>2680</v>
      </c>
      <c r="AQ151" s="265" t="s">
        <v>2682</v>
      </c>
      <c r="AR151" s="593" t="s">
        <v>3207</v>
      </c>
      <c r="AS151" s="483" t="str">
        <f>IF(COUNTA(AG151)=1,LEFT(D151,3),"")</f>
        <v>5-5</v>
      </c>
      <c r="AT151" s="485" t="str">
        <f>IF(AND(COUNTA(O151)=1,COUNTA(P151)=1,COUNTA(AC151)=1,COUNTA(AF151)=1,COUNTA(AG151)=0),LEFT(D151,3),"")</f>
        <v/>
      </c>
      <c r="AU151" s="487" t="str">
        <f>IF(AND(COUNTA(O151)=1,COUNTA(P151)=1,COUNTA(AC151)=1,COUNTA(AF151)=0,COUNTA(AG151)=0),LEFT(D151,3),"")</f>
        <v/>
      </c>
      <c r="AV151" s="489" t="str">
        <f>IF(AND(COUNTA(P151)=0,COUNTA(AC151)=1),LEFT(D151,3),"")</f>
        <v/>
      </c>
      <c r="AW151" s="491" t="str">
        <f>IF(AND(COUNTA(P151)=1,COUNTA(AC151)=0),LEFT(D151,3),"")</f>
        <v/>
      </c>
      <c r="AX151" s="493" t="str">
        <f>IF(AND(COUNTA(P151)=0,COUNTA(AC151)=0),LEFT(D151,3),"")</f>
        <v/>
      </c>
      <c r="AY151" s="514" t="str">
        <f>IFERROR(VLOOKUP(功能_33[[#This Row],[功能代號]],SIT_FT_2021tmp!D:D,1,FALSE),"")</f>
        <v/>
      </c>
      <c r="AZ151" s="587">
        <v>44587</v>
      </c>
      <c r="BA151" s="587">
        <v>44586</v>
      </c>
      <c r="BB151" s="514" t="s">
        <v>2425</v>
      </c>
      <c r="BC151" s="265" t="s">
        <v>2453</v>
      </c>
      <c r="BD151" s="593"/>
      <c r="BE151" s="265" t="str">
        <f>IF(AND(COUNTIF(AY151,"&gt;&lt;0")=1,COUNTA(M151)=1),LEFT(D151,3),"")</f>
        <v/>
      </c>
      <c r="BF151" s="265" t="str">
        <f>IF(AND(COUNTIF(AY151,"&gt;&lt;")=1,COUNTA(M151)=0),LEFT(D151,3),"")</f>
        <v/>
      </c>
      <c r="BG151" s="265" t="str">
        <f>IF(AND(COUNTIF(AY151,"&gt;&lt;0")=0,COUNTA(M151)=1),LEFT(D151,3),"")</f>
        <v>5-5</v>
      </c>
      <c r="BH151" s="265" t="str">
        <f>IF(AND(COUNTIF(AY151,"&gt;&lt;0")=0,COUNTA(M151)=0),LEFT(D151,3),"")</f>
        <v/>
      </c>
    </row>
    <row r="152" spans="3:60" ht="13.5" x14ac:dyDescent="0.3">
      <c r="C152" s="265" t="s">
        <v>69</v>
      </c>
      <c r="D152" s="265" t="s">
        <v>2472</v>
      </c>
      <c r="E152" s="264" t="s">
        <v>497</v>
      </c>
      <c r="F152" s="265" t="s">
        <v>498</v>
      </c>
      <c r="G152" s="265"/>
      <c r="H152" s="264" t="s">
        <v>452</v>
      </c>
      <c r="I152" s="264" t="s">
        <v>452</v>
      </c>
      <c r="J152" s="212" t="s">
        <v>453</v>
      </c>
      <c r="K152" s="212"/>
      <c r="L152" s="272">
        <v>44568</v>
      </c>
      <c r="M152" s="272">
        <v>44568</v>
      </c>
      <c r="N152" s="272">
        <v>44463</v>
      </c>
      <c r="O152" s="272">
        <v>44463</v>
      </c>
      <c r="P152" s="272">
        <f>IF(功能_33[[#This Row],[URS交二審]]=0,"",功能_33[[#This Row],[URS交二審]]+7)</f>
        <v>44484</v>
      </c>
      <c r="Q152" s="264" t="s">
        <v>1</v>
      </c>
      <c r="R152" s="264" t="s">
        <v>5</v>
      </c>
      <c r="S152" s="264" t="s">
        <v>5</v>
      </c>
      <c r="T152" s="265" t="s">
        <v>16</v>
      </c>
      <c r="X152" s="264"/>
      <c r="Z152" s="264"/>
      <c r="AA152" s="264"/>
      <c r="AB152" s="265" t="str">
        <f>VLOOKUP(功能_33[[#This Row],[User]],SKL放款!A:G,7,FALSE)</f>
        <v>放款服務課</v>
      </c>
      <c r="AC152" s="272">
        <v>44489</v>
      </c>
      <c r="AD152" s="272">
        <v>44477</v>
      </c>
      <c r="AE152" s="272">
        <f>IF(功能_33[[#This Row],[URS交二審]]=0,"",功能_33[[#This Row],[URS交二審]]+7)</f>
        <v>44484</v>
      </c>
      <c r="AF152" s="272">
        <f>IF(功能_33[[#This Row],[URS交二審]]=0,"",功能_33[[#This Row],[URS交二審]]+7)</f>
        <v>44484</v>
      </c>
      <c r="AG152" s="209">
        <v>44489</v>
      </c>
      <c r="AH152" s="272"/>
      <c r="AK152" s="272">
        <f>IFERROR(IF(VLOOKUP(功能_33[[#This Row],[功能代號]],E:U,11,FALSE)=0,"",VLOOKUP(功能_33[[#This Row],[功能代號]],E:U,11,FALSE)),"")</f>
        <v>44463</v>
      </c>
      <c r="AL152" s="272"/>
      <c r="AM152" s="272"/>
      <c r="AN152" s="265"/>
      <c r="AP152" s="264" t="s">
        <v>2680</v>
      </c>
      <c r="AQ152" s="265" t="s">
        <v>2682</v>
      </c>
      <c r="AR152" s="593" t="s">
        <v>3207</v>
      </c>
      <c r="AS152" s="483" t="str">
        <f>IF(COUNTA(AG152)=1,LEFT(D152,3),"")</f>
        <v>5-5</v>
      </c>
      <c r="AT152" s="485" t="str">
        <f>IF(AND(COUNTA(O152)=1,COUNTA(P152)=1,COUNTA(AC152)=1,COUNTA(AF152)=1,COUNTA(AG152)=0),LEFT(D152,3),"")</f>
        <v/>
      </c>
      <c r="AU152" s="487" t="str">
        <f>IF(AND(COUNTA(O152)=1,COUNTA(P152)=1,COUNTA(AC152)=1,COUNTA(AF152)=0,COUNTA(AG152)=0),LEFT(D152,3),"")</f>
        <v/>
      </c>
      <c r="AV152" s="489" t="str">
        <f>IF(AND(COUNTA(P152)=0,COUNTA(AC152)=1),LEFT(D152,3),"")</f>
        <v/>
      </c>
      <c r="AW152" s="491" t="str">
        <f>IF(AND(COUNTA(P152)=1,COUNTA(AC152)=0),LEFT(D152,3),"")</f>
        <v/>
      </c>
      <c r="AX152" s="493" t="str">
        <f>IF(AND(COUNTA(P152)=0,COUNTA(AC152)=0),LEFT(D152,3),"")</f>
        <v/>
      </c>
      <c r="AY152" s="514" t="str">
        <f>IFERROR(VLOOKUP(功能_33[[#This Row],[功能代號]],SIT_FT_2021tmp!D:D,1,FALSE),"")</f>
        <v/>
      </c>
      <c r="AZ152" s="587">
        <v>44587</v>
      </c>
      <c r="BA152" s="587">
        <v>44586</v>
      </c>
      <c r="BB152" s="514" t="s">
        <v>2425</v>
      </c>
      <c r="BC152" s="265" t="s">
        <v>2453</v>
      </c>
      <c r="BD152" s="593"/>
      <c r="BE152" s="265" t="str">
        <f>IF(AND(COUNTIF(AY152,"&gt;&lt;0")=1,COUNTA(M152)=1),LEFT(D152,3),"")</f>
        <v/>
      </c>
      <c r="BF152" s="265" t="str">
        <f>IF(AND(COUNTIF(AY152,"&gt;&lt;")=1,COUNTA(M152)=0),LEFT(D152,3),"")</f>
        <v/>
      </c>
      <c r="BG152" s="265" t="str">
        <f>IF(AND(COUNTIF(AY152,"&gt;&lt;0")=0,COUNTA(M152)=1),LEFT(D152,3),"")</f>
        <v>5-5</v>
      </c>
      <c r="BH152" s="265" t="str">
        <f>IF(AND(COUNTIF(AY152,"&gt;&lt;0")=0,COUNTA(M152)=0),LEFT(D152,3),"")</f>
        <v/>
      </c>
    </row>
    <row r="153" spans="3:60" ht="13.5" x14ac:dyDescent="0.3">
      <c r="C153" s="265" t="s">
        <v>69</v>
      </c>
      <c r="D153" s="265" t="s">
        <v>2472</v>
      </c>
      <c r="E153" s="264" t="s">
        <v>499</v>
      </c>
      <c r="F153" s="265" t="s">
        <v>500</v>
      </c>
      <c r="G153" s="265"/>
      <c r="H153" s="264" t="s">
        <v>452</v>
      </c>
      <c r="I153" s="264" t="s">
        <v>452</v>
      </c>
      <c r="J153" s="212" t="s">
        <v>453</v>
      </c>
      <c r="K153" s="212"/>
      <c r="L153" s="272">
        <v>44568</v>
      </c>
      <c r="M153" s="272">
        <v>44568</v>
      </c>
      <c r="N153" s="272">
        <v>44466</v>
      </c>
      <c r="O153" s="272">
        <v>44463</v>
      </c>
      <c r="P153" s="272">
        <v>44463</v>
      </c>
      <c r="Q153" s="264" t="s">
        <v>1</v>
      </c>
      <c r="R153" s="264" t="s">
        <v>5</v>
      </c>
      <c r="S153" s="264" t="s">
        <v>5</v>
      </c>
      <c r="T153" s="265" t="s">
        <v>16</v>
      </c>
      <c r="X153" s="264"/>
      <c r="Z153" s="264"/>
      <c r="AA153" s="264"/>
      <c r="AB153" s="265" t="str">
        <f>VLOOKUP(功能_33[[#This Row],[User]],SKL放款!A:G,7,FALSE)</f>
        <v>放款服務課</v>
      </c>
      <c r="AC153" s="272">
        <v>44489</v>
      </c>
      <c r="AD153" s="272">
        <v>44477</v>
      </c>
      <c r="AE153" s="272">
        <f>IF(功能_33[[#This Row],[URS交二審]]=0,"",功能_33[[#This Row],[URS交二審]]+7)</f>
        <v>44484</v>
      </c>
      <c r="AF153" s="272">
        <f>IF(功能_33[[#This Row],[URS交二審]]=0,"",功能_33[[#This Row],[URS交二審]]+7)</f>
        <v>44484</v>
      </c>
      <c r="AG153" s="209">
        <v>44489</v>
      </c>
      <c r="AH153" s="272"/>
      <c r="AK153" s="272">
        <f>IFERROR(IF(VLOOKUP(功能_33[[#This Row],[功能代號]],E:U,11,FALSE)=0,"",VLOOKUP(功能_33[[#This Row],[功能代號]],E:U,11,FALSE)),"")</f>
        <v>44463</v>
      </c>
      <c r="AL153" s="272"/>
      <c r="AM153" s="272"/>
      <c r="AN153" s="265"/>
      <c r="AO153" s="272"/>
      <c r="AP153" s="264" t="s">
        <v>2680</v>
      </c>
      <c r="AQ153" s="265" t="s">
        <v>2682</v>
      </c>
      <c r="AR153" s="593" t="s">
        <v>3207</v>
      </c>
      <c r="AS153" s="483" t="str">
        <f>IF(COUNTA(AG153)=1,LEFT(D153,3),"")</f>
        <v>5-5</v>
      </c>
      <c r="AT153" s="485" t="str">
        <f>IF(AND(COUNTA(O153)=1,COUNTA(P153)=1,COUNTA(AC153)=1,COUNTA(AF153)=1,COUNTA(AG153)=0),LEFT(D153,3),"")</f>
        <v/>
      </c>
      <c r="AU153" s="487" t="str">
        <f>IF(AND(COUNTA(O153)=1,COUNTA(P153)=1,COUNTA(AC153)=1,COUNTA(AF153)=0,COUNTA(AG153)=0),LEFT(D153,3),"")</f>
        <v/>
      </c>
      <c r="AV153" s="489" t="str">
        <f>IF(AND(COUNTA(P153)=0,COUNTA(AC153)=1),LEFT(D153,3),"")</f>
        <v/>
      </c>
      <c r="AW153" s="491" t="str">
        <f>IF(AND(COUNTA(P153)=1,COUNTA(AC153)=0),LEFT(D153,3),"")</f>
        <v/>
      </c>
      <c r="AX153" s="493" t="str">
        <f>IF(AND(COUNTA(P153)=0,COUNTA(AC153)=0),LEFT(D153,3),"")</f>
        <v/>
      </c>
      <c r="AY153" s="514" t="str">
        <f>IFERROR(VLOOKUP(功能_33[[#This Row],[功能代號]],SIT_FT_2021tmp!D:D,1,FALSE),"")</f>
        <v/>
      </c>
      <c r="AZ153" s="587">
        <v>44603</v>
      </c>
      <c r="BB153" s="514" t="s">
        <v>2453</v>
      </c>
      <c r="BC153" s="265" t="s">
        <v>2453</v>
      </c>
      <c r="BD153" s="593"/>
      <c r="BE153" s="265" t="str">
        <f>IF(AND(COUNTIF(AY153,"&gt;&lt;0")=1,COUNTA(M153)=1),LEFT(D153,3),"")</f>
        <v/>
      </c>
      <c r="BF153" s="265" t="str">
        <f>IF(AND(COUNTIF(AY153,"&gt;&lt;")=1,COUNTA(M153)=0),LEFT(D153,3),"")</f>
        <v/>
      </c>
      <c r="BG153" s="265" t="str">
        <f>IF(AND(COUNTIF(AY153,"&gt;&lt;0")=0,COUNTA(M153)=1),LEFT(D153,3),"")</f>
        <v>5-5</v>
      </c>
      <c r="BH153" s="265" t="str">
        <f>IF(AND(COUNTIF(AY153,"&gt;&lt;0")=0,COUNTA(M153)=0),LEFT(D153,3),"")</f>
        <v/>
      </c>
    </row>
    <row r="154" spans="3:60" ht="13.5" x14ac:dyDescent="0.3">
      <c r="C154" s="265" t="s">
        <v>69</v>
      </c>
      <c r="D154" s="265" t="s">
        <v>2472</v>
      </c>
      <c r="E154" s="264" t="s">
        <v>501</v>
      </c>
      <c r="F154" s="265" t="s">
        <v>502</v>
      </c>
      <c r="G154" s="265"/>
      <c r="H154" s="264" t="s">
        <v>452</v>
      </c>
      <c r="I154" s="264" t="s">
        <v>452</v>
      </c>
      <c r="J154" s="212" t="s">
        <v>453</v>
      </c>
      <c r="K154" s="212"/>
      <c r="L154" s="272">
        <v>44568</v>
      </c>
      <c r="M154" s="272">
        <v>44568</v>
      </c>
      <c r="N154" s="272">
        <v>44466</v>
      </c>
      <c r="O154" s="272">
        <v>44463</v>
      </c>
      <c r="P154" s="272">
        <f>IFERROR(IF(VLOOKUP(功能_33[[#This Row],[功能代號]],討論項目!A:H,8,FALSE)=0,"",VLOOKUP(功能_33[[#This Row],[功能代號]],討論項目!A:H,8,FALSE)),"")</f>
        <v>44473</v>
      </c>
      <c r="Q154" s="264" t="s">
        <v>1</v>
      </c>
      <c r="R154" s="264" t="s">
        <v>5</v>
      </c>
      <c r="S154" s="264" t="s">
        <v>5</v>
      </c>
      <c r="T154" s="265" t="s">
        <v>16</v>
      </c>
      <c r="X154" s="264"/>
      <c r="Z154" s="264"/>
      <c r="AA154" s="264"/>
      <c r="AB154" s="265" t="str">
        <f>VLOOKUP(功能_33[[#This Row],[User]],SKL放款!A:G,7,FALSE)</f>
        <v>放款服務課</v>
      </c>
      <c r="AC154" s="272">
        <v>44489</v>
      </c>
      <c r="AD154" s="272">
        <v>44477</v>
      </c>
      <c r="AE154" s="272">
        <f>IF(功能_33[[#This Row],[URS交二審]]=0,"",功能_33[[#This Row],[URS交二審]]+7)</f>
        <v>44484</v>
      </c>
      <c r="AF154" s="272">
        <f>IF(功能_33[[#This Row],[URS交二審]]=0,"",功能_33[[#This Row],[URS交二審]]+7)</f>
        <v>44484</v>
      </c>
      <c r="AG154" s="209">
        <v>44489</v>
      </c>
      <c r="AH154" s="272"/>
      <c r="AK154" s="272">
        <f>IFERROR(IF(VLOOKUP(功能_33[[#This Row],[功能代號]],E:U,11,FALSE)=0,"",VLOOKUP(功能_33[[#This Row],[功能代號]],E:U,11,FALSE)),"")</f>
        <v>44463</v>
      </c>
      <c r="AL154" s="272"/>
      <c r="AM154" s="272"/>
      <c r="AN154" s="265"/>
      <c r="AO154" s="272"/>
      <c r="AP154" s="264" t="s">
        <v>2680</v>
      </c>
      <c r="AQ154" s="265" t="s">
        <v>2682</v>
      </c>
      <c r="AR154" s="593" t="s">
        <v>3207</v>
      </c>
      <c r="AS154" s="483" t="str">
        <f>IF(COUNTA(AG154)=1,LEFT(D154,3),"")</f>
        <v>5-5</v>
      </c>
      <c r="AT154" s="485" t="str">
        <f>IF(AND(COUNTA(O154)=1,COUNTA(P154)=1,COUNTA(AC154)=1,COUNTA(AF154)=1,COUNTA(AG154)=0),LEFT(D154,3),"")</f>
        <v/>
      </c>
      <c r="AU154" s="487" t="str">
        <f>IF(AND(COUNTA(O154)=1,COUNTA(P154)=1,COUNTA(AC154)=1,COUNTA(AF154)=0,COUNTA(AG154)=0),LEFT(D154,3),"")</f>
        <v/>
      </c>
      <c r="AV154" s="489" t="str">
        <f>IF(AND(COUNTA(P154)=0,COUNTA(AC154)=1),LEFT(D154,3),"")</f>
        <v/>
      </c>
      <c r="AW154" s="491" t="str">
        <f>IF(AND(COUNTA(P154)=1,COUNTA(AC154)=0),LEFT(D154,3),"")</f>
        <v/>
      </c>
      <c r="AX154" s="493" t="str">
        <f>IF(AND(COUNTA(P154)=0,COUNTA(AC154)=0),LEFT(D154,3),"")</f>
        <v/>
      </c>
      <c r="AY154" s="514" t="str">
        <f>IFERROR(VLOOKUP(功能_33[[#This Row],[功能代號]],SIT_FT_2021tmp!D:D,1,FALSE),"")</f>
        <v/>
      </c>
      <c r="AZ154" s="587">
        <v>44603</v>
      </c>
      <c r="BB154" s="514" t="s">
        <v>2453</v>
      </c>
      <c r="BC154" s="265" t="s">
        <v>2453</v>
      </c>
      <c r="BD154" s="593"/>
      <c r="BE154" s="265" t="str">
        <f>IF(AND(COUNTIF(AY154,"&gt;&lt;0")=1,COUNTA(M154)=1),LEFT(D154,3),"")</f>
        <v/>
      </c>
      <c r="BF154" s="265" t="str">
        <f>IF(AND(COUNTIF(AY154,"&gt;&lt;")=1,COUNTA(M154)=0),LEFT(D154,3),"")</f>
        <v/>
      </c>
      <c r="BG154" s="265" t="str">
        <f>IF(AND(COUNTIF(AY154,"&gt;&lt;0")=0,COUNTA(M154)=1),LEFT(D154,3),"")</f>
        <v>5-5</v>
      </c>
      <c r="BH154" s="265" t="str">
        <f>IF(AND(COUNTIF(AY154,"&gt;&lt;0")=0,COUNTA(M154)=0),LEFT(D154,3),"")</f>
        <v/>
      </c>
    </row>
    <row r="155" spans="3:60" ht="13.5" x14ac:dyDescent="0.3">
      <c r="C155" s="265" t="s">
        <v>69</v>
      </c>
      <c r="D155" s="265" t="s">
        <v>2472</v>
      </c>
      <c r="E155" s="264" t="s">
        <v>503</v>
      </c>
      <c r="F155" s="265" t="s">
        <v>504</v>
      </c>
      <c r="G155" s="265"/>
      <c r="H155" s="264" t="s">
        <v>452</v>
      </c>
      <c r="I155" s="264" t="s">
        <v>452</v>
      </c>
      <c r="J155" s="212" t="s">
        <v>453</v>
      </c>
      <c r="K155" s="212"/>
      <c r="L155" s="272">
        <v>44568</v>
      </c>
      <c r="M155" s="272">
        <v>44568</v>
      </c>
      <c r="N155" s="272">
        <v>44466</v>
      </c>
      <c r="O155" s="272">
        <v>44463</v>
      </c>
      <c r="P155" s="272">
        <f>IFERROR(IF(VLOOKUP(功能_33[[#This Row],[功能代號]],討論項目!A:H,8,FALSE)=0,"",VLOOKUP(功能_33[[#This Row],[功能代號]],討論項目!A:H,8,FALSE)),"")</f>
        <v>44473</v>
      </c>
      <c r="Q155" s="264" t="s">
        <v>1</v>
      </c>
      <c r="R155" s="264" t="s">
        <v>5</v>
      </c>
      <c r="S155" s="264" t="s">
        <v>5</v>
      </c>
      <c r="T155" s="265" t="s">
        <v>16</v>
      </c>
      <c r="X155" s="264"/>
      <c r="Z155" s="264"/>
      <c r="AA155" s="264"/>
      <c r="AB155" s="265" t="str">
        <f>VLOOKUP(功能_33[[#This Row],[User]],SKL放款!A:G,7,FALSE)</f>
        <v>放款服務課</v>
      </c>
      <c r="AC155" s="272">
        <v>44489</v>
      </c>
      <c r="AD155" s="272">
        <v>44477</v>
      </c>
      <c r="AE155" s="272">
        <f>IF(功能_33[[#This Row],[URS交二審]]=0,"",功能_33[[#This Row],[URS交二審]]+7)</f>
        <v>44484</v>
      </c>
      <c r="AF155" s="272">
        <f>IF(功能_33[[#This Row],[URS交二審]]=0,"",功能_33[[#This Row],[URS交二審]]+7)</f>
        <v>44484</v>
      </c>
      <c r="AG155" s="209">
        <v>44489</v>
      </c>
      <c r="AH155" s="272"/>
      <c r="AK155" s="272">
        <f>IFERROR(IF(VLOOKUP(功能_33[[#This Row],[功能代號]],E:U,11,FALSE)=0,"",VLOOKUP(功能_33[[#This Row],[功能代號]],E:U,11,FALSE)),"")</f>
        <v>44463</v>
      </c>
      <c r="AL155" s="272"/>
      <c r="AM155" s="272"/>
      <c r="AN155" s="265"/>
      <c r="AO155" s="272"/>
      <c r="AP155" s="264" t="s">
        <v>2680</v>
      </c>
      <c r="AQ155" s="265" t="s">
        <v>2682</v>
      </c>
      <c r="AR155" s="593" t="s">
        <v>3207</v>
      </c>
      <c r="AS155" s="483" t="str">
        <f>IF(COUNTA(AG155)=1,LEFT(D155,3),"")</f>
        <v>5-5</v>
      </c>
      <c r="AT155" s="485" t="str">
        <f>IF(AND(COUNTA(O155)=1,COUNTA(P155)=1,COUNTA(AC155)=1,COUNTA(AF155)=1,COUNTA(AG155)=0),LEFT(D155,3),"")</f>
        <v/>
      </c>
      <c r="AU155" s="487" t="str">
        <f>IF(AND(COUNTA(O155)=1,COUNTA(P155)=1,COUNTA(AC155)=1,COUNTA(AF155)=0,COUNTA(AG155)=0),LEFT(D155,3),"")</f>
        <v/>
      </c>
      <c r="AV155" s="489" t="str">
        <f>IF(AND(COUNTA(P155)=0,COUNTA(AC155)=1),LEFT(D155,3),"")</f>
        <v/>
      </c>
      <c r="AW155" s="491" t="str">
        <f>IF(AND(COUNTA(P155)=1,COUNTA(AC155)=0),LEFT(D155,3),"")</f>
        <v/>
      </c>
      <c r="AX155" s="493" t="str">
        <f>IF(AND(COUNTA(P155)=0,COUNTA(AC155)=0),LEFT(D155,3),"")</f>
        <v/>
      </c>
      <c r="AY155" s="514" t="str">
        <f>IFERROR(VLOOKUP(功能_33[[#This Row],[功能代號]],SIT_FT_2021tmp!D:D,1,FALSE),"")</f>
        <v/>
      </c>
      <c r="AZ155" s="587">
        <v>44603</v>
      </c>
      <c r="BB155" s="514" t="s">
        <v>2453</v>
      </c>
      <c r="BC155" s="265" t="s">
        <v>2453</v>
      </c>
      <c r="BD155" s="593"/>
      <c r="BE155" s="265" t="str">
        <f>IF(AND(COUNTIF(AY155,"&gt;&lt;0")=1,COUNTA(M155)=1),LEFT(D155,3),"")</f>
        <v/>
      </c>
      <c r="BF155" s="265" t="str">
        <f>IF(AND(COUNTIF(AY155,"&gt;&lt;")=1,COUNTA(M155)=0),LEFT(D155,3),"")</f>
        <v/>
      </c>
      <c r="BG155" s="265" t="str">
        <f>IF(AND(COUNTIF(AY155,"&gt;&lt;0")=0,COUNTA(M155)=1),LEFT(D155,3),"")</f>
        <v>5-5</v>
      </c>
      <c r="BH155" s="265" t="str">
        <f>IF(AND(COUNTIF(AY155,"&gt;&lt;0")=0,COUNTA(M155)=0),LEFT(D155,3),"")</f>
        <v/>
      </c>
    </row>
    <row r="156" spans="3:60" ht="13.5" x14ac:dyDescent="0.3">
      <c r="C156" s="265" t="s">
        <v>69</v>
      </c>
      <c r="D156" s="265" t="s">
        <v>2468</v>
      </c>
      <c r="E156" s="264" t="s">
        <v>954</v>
      </c>
      <c r="F156" s="265" t="s">
        <v>955</v>
      </c>
      <c r="G156" s="265"/>
      <c r="H156" s="264" t="s">
        <v>166</v>
      </c>
      <c r="I156" s="264" t="s">
        <v>287</v>
      </c>
      <c r="J156" s="271" t="s">
        <v>2753</v>
      </c>
      <c r="K156" s="271"/>
      <c r="L156" s="272">
        <v>44575</v>
      </c>
      <c r="M156" s="272">
        <v>44572</v>
      </c>
      <c r="N156" s="272">
        <v>44504</v>
      </c>
      <c r="O156" s="272">
        <v>44505</v>
      </c>
      <c r="P156" s="272">
        <v>44513</v>
      </c>
      <c r="Q156" s="264" t="s">
        <v>2</v>
      </c>
      <c r="R156" s="264" t="s">
        <v>5</v>
      </c>
      <c r="S156" s="264" t="s">
        <v>5</v>
      </c>
      <c r="X156" s="264"/>
      <c r="Z156" s="264"/>
      <c r="AA156" s="264"/>
      <c r="AB156" s="265" t="str">
        <f>VLOOKUP(功能_33[[#This Row],[User]],SKL放款!A:G,7,FALSE)</f>
        <v>放款服務課</v>
      </c>
      <c r="AC156" s="272">
        <v>44513</v>
      </c>
      <c r="AD156" s="272" t="s">
        <v>2394</v>
      </c>
      <c r="AE156" s="272">
        <v>44543</v>
      </c>
      <c r="AF156" s="272">
        <v>44543</v>
      </c>
      <c r="AG156" s="209">
        <v>44544</v>
      </c>
      <c r="AH156" s="272"/>
      <c r="AI156" s="272"/>
      <c r="AJ156" s="322"/>
      <c r="AK156" s="272">
        <f>IFERROR(IF(VLOOKUP(功能_33[[#This Row],[功能代號]],E:U,11,FALSE)=0,"",VLOOKUP(功能_33[[#This Row],[功能代號]],E:U,11,FALSE)),"")</f>
        <v>44505</v>
      </c>
      <c r="AL156" s="272"/>
      <c r="AM156" s="272"/>
      <c r="AN156" s="265"/>
      <c r="AO156" s="272"/>
      <c r="AP156" s="276" t="s">
        <v>956</v>
      </c>
      <c r="AQ156" s="277" t="s">
        <v>957</v>
      </c>
      <c r="AR156" s="593" t="s">
        <v>3207</v>
      </c>
      <c r="AS156" s="483" t="str">
        <f>IF(COUNTA(AG156)=1,LEFT(D156,3),"")</f>
        <v>5-1</v>
      </c>
      <c r="AT156" s="485" t="str">
        <f>IF(AND(COUNTA(O156)=1,COUNTA(P156)=1,COUNTA(AC156)=1,COUNTA(AF156)=1,COUNTA(AG156)=0),LEFT(D156,3),"")</f>
        <v/>
      </c>
      <c r="AU156" s="487" t="str">
        <f>IF(AND(COUNTA(O156)=1,COUNTA(P156)=1,COUNTA(AC156)=1,COUNTA(AF156)=0,COUNTA(AG156)=0),LEFT(D156,3),"")</f>
        <v/>
      </c>
      <c r="AV156" s="489" t="str">
        <f>IF(AND(COUNTA(P156)=0,COUNTA(AC156)=1),LEFT(D156,3),"")</f>
        <v/>
      </c>
      <c r="AW156" s="491" t="str">
        <f>IF(AND(COUNTA(P156)=1,COUNTA(AC156)=0),LEFT(D156,3),"")</f>
        <v/>
      </c>
      <c r="AX156" s="493" t="str">
        <f>IF(AND(COUNTA(P156)=0,COUNTA(AC156)=0),LEFT(D156,3),"")</f>
        <v/>
      </c>
      <c r="AY156" s="514" t="str">
        <f>IFERROR(VLOOKUP(功能_33[[#This Row],[功能代號]],SIT_FT_2021tmp!D:D,1,FALSE),"")</f>
        <v/>
      </c>
      <c r="AZ156" s="587">
        <v>44610</v>
      </c>
      <c r="BB156" s="514" t="s">
        <v>2453</v>
      </c>
      <c r="BC156" s="265" t="s">
        <v>2453</v>
      </c>
      <c r="BD156" s="593"/>
      <c r="BE156" s="265" t="str">
        <f>IF(AND(COUNTIF(AY156,"&gt;&lt;0")=1,COUNTA(M156)=1),LEFT(D156,3),"")</f>
        <v/>
      </c>
      <c r="BF156" s="265" t="str">
        <f>IF(AND(COUNTIF(AY156,"&gt;&lt;")=1,COUNTA(M156)=0),LEFT(D156,3),"")</f>
        <v/>
      </c>
      <c r="BG156" s="265" t="str">
        <f>IF(AND(COUNTIF(AY156,"&gt;&lt;0")=0,COUNTA(M156)=1),LEFT(D156,3),"")</f>
        <v>5-1</v>
      </c>
      <c r="BH156" s="265" t="str">
        <f>IF(AND(COUNTIF(AY156,"&gt;&lt;0")=0,COUNTA(M156)=0),LEFT(D156,3),"")</f>
        <v/>
      </c>
    </row>
    <row r="157" spans="3:60" ht="27" x14ac:dyDescent="0.3">
      <c r="C157" s="265" t="s">
        <v>69</v>
      </c>
      <c r="D157" s="265" t="s">
        <v>2468</v>
      </c>
      <c r="E157" s="264" t="s">
        <v>958</v>
      </c>
      <c r="F157" s="265" t="s">
        <v>959</v>
      </c>
      <c r="G157" s="265"/>
      <c r="H157" s="264" t="s">
        <v>166</v>
      </c>
      <c r="I157" s="264" t="s">
        <v>287</v>
      </c>
      <c r="J157" s="271" t="s">
        <v>3087</v>
      </c>
      <c r="K157" s="604" t="s">
        <v>3092</v>
      </c>
      <c r="L157" s="272">
        <v>44575</v>
      </c>
      <c r="M157" s="272">
        <v>44572</v>
      </c>
      <c r="N157" s="272">
        <v>44504</v>
      </c>
      <c r="O157" s="272">
        <v>44505</v>
      </c>
      <c r="P157" s="272">
        <v>44513</v>
      </c>
      <c r="Q157" s="264" t="s">
        <v>2</v>
      </c>
      <c r="R157" s="264" t="s">
        <v>5</v>
      </c>
      <c r="S157" s="264" t="s">
        <v>5</v>
      </c>
      <c r="X157" s="264"/>
      <c r="Z157" s="264"/>
      <c r="AA157" s="264"/>
      <c r="AB157" s="265" t="str">
        <f>VLOOKUP(功能_33[[#This Row],[User]],SKL放款!A:G,7,FALSE)</f>
        <v>放款服務課</v>
      </c>
      <c r="AC157" s="272">
        <v>44513</v>
      </c>
      <c r="AD157" s="272" t="s">
        <v>2394</v>
      </c>
      <c r="AE157" s="272">
        <v>44543</v>
      </c>
      <c r="AF157" s="272">
        <v>44543</v>
      </c>
      <c r="AG157" s="209" t="s">
        <v>3101</v>
      </c>
      <c r="AH157" s="272"/>
      <c r="AI157" s="272"/>
      <c r="AJ157" s="322"/>
      <c r="AK157" s="272">
        <f>IFERROR(IF(VLOOKUP(功能_33[[#This Row],[功能代號]],E:U,11,FALSE)=0,"",VLOOKUP(功能_33[[#This Row],[功能代號]],E:U,11,FALSE)),"")</f>
        <v>44505</v>
      </c>
      <c r="AL157" s="272"/>
      <c r="AM157" s="272"/>
      <c r="AN157" s="265"/>
      <c r="AO157" s="272"/>
      <c r="AP157" s="276" t="s">
        <v>956</v>
      </c>
      <c r="AQ157" s="277" t="s">
        <v>957</v>
      </c>
      <c r="AR157" s="593" t="s">
        <v>3207</v>
      </c>
      <c r="AS157" s="483" t="str">
        <f>IF(COUNTA(AG157)=1,LEFT(D157,3),"")</f>
        <v>5-1</v>
      </c>
      <c r="AT157" s="485" t="str">
        <f>IF(AND(COUNTA(O157)=1,COUNTA(P157)=1,COUNTA(AC157)=1,COUNTA(AF157)=1,COUNTA(AG157)=0),LEFT(D157,3),"")</f>
        <v/>
      </c>
      <c r="AU157" s="487" t="str">
        <f>IF(AND(COUNTA(O157)=1,COUNTA(P157)=1,COUNTA(AC157)=1,COUNTA(AF157)=0,COUNTA(AG157)=0),LEFT(D157,3),"")</f>
        <v/>
      </c>
      <c r="AV157" s="489" t="str">
        <f>IF(AND(COUNTA(P157)=0,COUNTA(AC157)=1),LEFT(D157,3),"")</f>
        <v/>
      </c>
      <c r="AW157" s="491" t="str">
        <f>IF(AND(COUNTA(P157)=1,COUNTA(AC157)=0),LEFT(D157,3),"")</f>
        <v/>
      </c>
      <c r="AX157" s="493" t="str">
        <f>IF(AND(COUNTA(P157)=0,COUNTA(AC157)=0),LEFT(D157,3),"")</f>
        <v/>
      </c>
      <c r="AY157" s="514" t="str">
        <f>IFERROR(VLOOKUP(功能_33[[#This Row],[功能代號]],SIT_FT_2021tmp!D:D,1,FALSE),"")</f>
        <v/>
      </c>
      <c r="AZ157" s="587">
        <v>44610</v>
      </c>
      <c r="BB157" s="514" t="s">
        <v>2453</v>
      </c>
      <c r="BC157" s="265" t="s">
        <v>2453</v>
      </c>
      <c r="BD157" s="593"/>
      <c r="BE157" s="265" t="str">
        <f>IF(AND(COUNTIF(AY157,"&gt;&lt;0")=1,COUNTA(M157)=1),LEFT(D157,3),"")</f>
        <v/>
      </c>
      <c r="BF157" s="265" t="str">
        <f>IF(AND(COUNTIF(AY157,"&gt;&lt;")=1,COUNTA(M157)=0),LEFT(D157,3),"")</f>
        <v/>
      </c>
      <c r="BG157" s="265" t="str">
        <f>IF(AND(COUNTIF(AY157,"&gt;&lt;0")=0,COUNTA(M157)=1),LEFT(D157,3),"")</f>
        <v>5-1</v>
      </c>
      <c r="BH157" s="265" t="str">
        <f>IF(AND(COUNTIF(AY157,"&gt;&lt;0")=0,COUNTA(M157)=0),LEFT(D157,3),"")</f>
        <v/>
      </c>
    </row>
    <row r="158" spans="3:60" ht="13.5" x14ac:dyDescent="0.3">
      <c r="C158" s="265" t="s">
        <v>69</v>
      </c>
      <c r="D158" s="265" t="s">
        <v>2468</v>
      </c>
      <c r="E158" s="264" t="s">
        <v>960</v>
      </c>
      <c r="F158" s="265" t="s">
        <v>961</v>
      </c>
      <c r="G158" s="265"/>
      <c r="H158" s="264" t="s">
        <v>166</v>
      </c>
      <c r="I158" s="264" t="s">
        <v>287</v>
      </c>
      <c r="J158" s="271" t="s">
        <v>2753</v>
      </c>
      <c r="K158" s="271"/>
      <c r="L158" s="272">
        <v>44575</v>
      </c>
      <c r="M158" s="272">
        <v>44572</v>
      </c>
      <c r="N158" s="272">
        <v>44504</v>
      </c>
      <c r="O158" s="272">
        <v>44505</v>
      </c>
      <c r="P158" s="272">
        <v>44513</v>
      </c>
      <c r="Q158" s="264" t="s">
        <v>2</v>
      </c>
      <c r="R158" s="264" t="s">
        <v>5</v>
      </c>
      <c r="S158" s="264" t="s">
        <v>5</v>
      </c>
      <c r="X158" s="264"/>
      <c r="Z158" s="264"/>
      <c r="AA158" s="264"/>
      <c r="AB158" s="265" t="str">
        <f>VLOOKUP(功能_33[[#This Row],[User]],SKL放款!A:G,7,FALSE)</f>
        <v>放款服務課</v>
      </c>
      <c r="AC158" s="272">
        <v>44513</v>
      </c>
      <c r="AD158" s="272" t="s">
        <v>2394</v>
      </c>
      <c r="AE158" s="272">
        <v>44543</v>
      </c>
      <c r="AF158" s="272">
        <v>44543</v>
      </c>
      <c r="AG158" s="209">
        <v>44544</v>
      </c>
      <c r="AH158" s="272"/>
      <c r="AI158" s="272"/>
      <c r="AJ158" s="322"/>
      <c r="AK158" s="272">
        <f>IFERROR(IF(VLOOKUP(功能_33[[#This Row],[功能代號]],E:U,11,FALSE)=0,"",VLOOKUP(功能_33[[#This Row],[功能代號]],E:U,11,FALSE)),"")</f>
        <v>44505</v>
      </c>
      <c r="AL158" s="272"/>
      <c r="AM158" s="272"/>
      <c r="AN158" s="265"/>
      <c r="AO158" s="272"/>
      <c r="AP158" s="276" t="s">
        <v>962</v>
      </c>
      <c r="AQ158" s="277" t="s">
        <v>963</v>
      </c>
      <c r="AR158" s="593" t="s">
        <v>3207</v>
      </c>
      <c r="AS158" s="483" t="str">
        <f>IF(COUNTA(AG158)=1,LEFT(D158,3),"")</f>
        <v>5-1</v>
      </c>
      <c r="AT158" s="485" t="str">
        <f>IF(AND(COUNTA(O158)=1,COUNTA(P158)=1,COUNTA(AC158)=1,COUNTA(AF158)=1,COUNTA(AG158)=0),LEFT(D158,3),"")</f>
        <v/>
      </c>
      <c r="AU158" s="487" t="str">
        <f>IF(AND(COUNTA(O158)=1,COUNTA(P158)=1,COUNTA(AC158)=1,COUNTA(AF158)=0,COUNTA(AG158)=0),LEFT(D158,3),"")</f>
        <v/>
      </c>
      <c r="AV158" s="489" t="str">
        <f>IF(AND(COUNTA(P158)=0,COUNTA(AC158)=1),LEFT(D158,3),"")</f>
        <v/>
      </c>
      <c r="AW158" s="491" t="str">
        <f>IF(AND(COUNTA(P158)=1,COUNTA(AC158)=0),LEFT(D158,3),"")</f>
        <v/>
      </c>
      <c r="AX158" s="493" t="str">
        <f>IF(AND(COUNTA(P158)=0,COUNTA(AC158)=0),LEFT(D158,3),"")</f>
        <v/>
      </c>
      <c r="AY158" s="514" t="str">
        <f>IFERROR(VLOOKUP(功能_33[[#This Row],[功能代號]],SIT_FT_2021tmp!D:D,1,FALSE),"")</f>
        <v/>
      </c>
      <c r="AZ158" s="587">
        <v>44610</v>
      </c>
      <c r="BB158" s="514" t="s">
        <v>2453</v>
      </c>
      <c r="BC158" s="265" t="s">
        <v>2453</v>
      </c>
      <c r="BD158" s="593"/>
      <c r="BE158" s="265" t="str">
        <f>IF(AND(COUNTIF(AY158,"&gt;&lt;0")=1,COUNTA(M158)=1),LEFT(D158,3),"")</f>
        <v/>
      </c>
      <c r="BF158" s="265" t="str">
        <f>IF(AND(COUNTIF(AY158,"&gt;&lt;")=1,COUNTA(M158)=0),LEFT(D158,3),"")</f>
        <v/>
      </c>
      <c r="BG158" s="265" t="str">
        <f>IF(AND(COUNTIF(AY158,"&gt;&lt;0")=0,COUNTA(M158)=1),LEFT(D158,3),"")</f>
        <v>5-1</v>
      </c>
      <c r="BH158" s="265" t="str">
        <f>IF(AND(COUNTIF(AY158,"&gt;&lt;0")=0,COUNTA(M158)=0),LEFT(D158,3),"")</f>
        <v/>
      </c>
    </row>
    <row r="159" spans="3:60" ht="13.5" x14ac:dyDescent="0.3">
      <c r="C159" s="265" t="s">
        <v>69</v>
      </c>
      <c r="D159" s="265" t="s">
        <v>2467</v>
      </c>
      <c r="E159" s="264" t="s">
        <v>933</v>
      </c>
      <c r="F159" s="251" t="s">
        <v>934</v>
      </c>
      <c r="G159" s="251"/>
      <c r="H159" s="264" t="s">
        <v>166</v>
      </c>
      <c r="I159" s="264" t="s">
        <v>287</v>
      </c>
      <c r="J159" s="271" t="s">
        <v>2753</v>
      </c>
      <c r="K159" s="271"/>
      <c r="L159" s="272">
        <v>44575</v>
      </c>
      <c r="M159" s="272">
        <v>44572</v>
      </c>
      <c r="N159" s="272">
        <v>44503</v>
      </c>
      <c r="O159" s="272">
        <v>44503</v>
      </c>
      <c r="P159" s="272">
        <v>44533</v>
      </c>
      <c r="Q159" s="264" t="s">
        <v>2</v>
      </c>
      <c r="R159" s="264" t="s">
        <v>15</v>
      </c>
      <c r="S159" s="264" t="s">
        <v>15</v>
      </c>
      <c r="X159" s="264"/>
      <c r="Z159" s="264"/>
      <c r="AA159" s="264"/>
      <c r="AB159" s="265" t="str">
        <f>VLOOKUP(功能_33[[#This Row],[User]],SKL放款!A:G,7,FALSE)</f>
        <v>放款服務課</v>
      </c>
      <c r="AC159" s="272">
        <v>44533</v>
      </c>
      <c r="AD159" s="272" t="s">
        <v>2394</v>
      </c>
      <c r="AE159" s="209" t="s">
        <v>2677</v>
      </c>
      <c r="AF159" s="272">
        <v>44544</v>
      </c>
      <c r="AG159" s="209">
        <v>44544</v>
      </c>
      <c r="AH159" s="272"/>
      <c r="AI159" s="272"/>
      <c r="AJ159" s="322"/>
      <c r="AK159" s="272">
        <f>IFERROR(IF(VLOOKUP(功能_33[[#This Row],[功能代號]],E:U,11,FALSE)=0,"",VLOOKUP(功能_33[[#This Row],[功能代號]],E:U,11,FALSE)),"")</f>
        <v>44503</v>
      </c>
      <c r="AL159" s="272"/>
      <c r="AM159" s="272"/>
      <c r="AN159" s="265"/>
      <c r="AO159" s="272"/>
      <c r="AP159" s="264" t="s">
        <v>163</v>
      </c>
      <c r="AQ159" s="264" t="s">
        <v>163</v>
      </c>
      <c r="AR159" s="593" t="s">
        <v>3207</v>
      </c>
      <c r="AS159" s="483" t="str">
        <f>IF(COUNTA(AG159)=1,LEFT(D159,3),"")</f>
        <v>5-7</v>
      </c>
      <c r="AT159" s="485" t="str">
        <f>IF(AND(COUNTA(O159)=1,COUNTA(P159)=1,COUNTA(AC159)=1,COUNTA(AF159)=1,COUNTA(AG159)=0),LEFT(D159,3),"")</f>
        <v/>
      </c>
      <c r="AU159" s="487" t="str">
        <f>IF(AND(COUNTA(O159)=1,COUNTA(P159)=1,COUNTA(AC159)=1,COUNTA(AF159)=0,COUNTA(AG159)=0),LEFT(D159,3),"")</f>
        <v/>
      </c>
      <c r="AV159" s="489" t="str">
        <f>IF(AND(COUNTA(P159)=0,COUNTA(AC159)=1),LEFT(D159,3),"")</f>
        <v/>
      </c>
      <c r="AW159" s="491" t="str">
        <f>IF(AND(COUNTA(P159)=1,COUNTA(AC159)=0),LEFT(D159,3),"")</f>
        <v/>
      </c>
      <c r="AX159" s="493" t="str">
        <f>IF(AND(COUNTA(P159)=0,COUNTA(AC159)=0),LEFT(D159,3),"")</f>
        <v/>
      </c>
      <c r="AY159" s="514" t="str">
        <f>IFERROR(VLOOKUP(功能_33[[#This Row],[功能代號]],SIT_FT_2021tmp!D:D,1,FALSE),"")</f>
        <v/>
      </c>
      <c r="AZ159" s="587">
        <v>44610</v>
      </c>
      <c r="BB159" s="514" t="s">
        <v>2453</v>
      </c>
      <c r="BC159" s="265" t="s">
        <v>2453</v>
      </c>
      <c r="BD159" s="593"/>
      <c r="BE159" s="265" t="str">
        <f>IF(AND(COUNTIF(AY159,"&gt;&lt;0")=1,COUNTA(M159)=1),LEFT(D159,3),"")</f>
        <v/>
      </c>
      <c r="BF159" s="265" t="str">
        <f>IF(AND(COUNTIF(AY159,"&gt;&lt;")=1,COUNTA(M159)=0),LEFT(D159,3),"")</f>
        <v/>
      </c>
      <c r="BG159" s="265" t="str">
        <f>IF(AND(COUNTIF(AY159,"&gt;&lt;0")=0,COUNTA(M159)=1),LEFT(D159,3),"")</f>
        <v>5-7</v>
      </c>
      <c r="BH159" s="265" t="str">
        <f>IF(AND(COUNTIF(AY159,"&gt;&lt;0")=0,COUNTA(M159)=0),LEFT(D159,3),"")</f>
        <v/>
      </c>
    </row>
    <row r="160" spans="3:60" ht="13.5" x14ac:dyDescent="0.3">
      <c r="C160" s="265" t="s">
        <v>69</v>
      </c>
      <c r="D160" s="265" t="s">
        <v>2467</v>
      </c>
      <c r="E160" s="264" t="s">
        <v>935</v>
      </c>
      <c r="F160" s="265" t="s">
        <v>936</v>
      </c>
      <c r="G160" s="265"/>
      <c r="H160" s="264" t="s">
        <v>166</v>
      </c>
      <c r="I160" s="264" t="s">
        <v>287</v>
      </c>
      <c r="J160" s="271" t="s">
        <v>3087</v>
      </c>
      <c r="K160" s="209" t="s">
        <v>3093</v>
      </c>
      <c r="L160" s="272">
        <v>44575</v>
      </c>
      <c r="M160" s="272">
        <v>44572</v>
      </c>
      <c r="N160" s="272">
        <v>44503</v>
      </c>
      <c r="O160" s="272">
        <v>44503</v>
      </c>
      <c r="P160" s="272">
        <v>44533</v>
      </c>
      <c r="Q160" s="264" t="s">
        <v>2</v>
      </c>
      <c r="R160" s="264" t="s">
        <v>15</v>
      </c>
      <c r="S160" s="264" t="s">
        <v>15</v>
      </c>
      <c r="X160" s="264"/>
      <c r="Z160" s="264"/>
      <c r="AA160" s="264"/>
      <c r="AB160" s="265" t="str">
        <f>VLOOKUP(功能_33[[#This Row],[User]],SKL放款!A:G,7,FALSE)</f>
        <v>放款服務課</v>
      </c>
      <c r="AC160" s="272">
        <v>44533</v>
      </c>
      <c r="AD160" s="272" t="s">
        <v>2394</v>
      </c>
      <c r="AE160" s="209" t="s">
        <v>2697</v>
      </c>
      <c r="AF160" s="272">
        <v>44544</v>
      </c>
      <c r="AG160" s="209" t="s">
        <v>3101</v>
      </c>
      <c r="AH160" s="272"/>
      <c r="AI160" s="272"/>
      <c r="AJ160" s="322"/>
      <c r="AK160" s="272">
        <f>IFERROR(IF(VLOOKUP(功能_33[[#This Row],[功能代號]],E:U,11,FALSE)=0,"",VLOOKUP(功能_33[[#This Row],[功能代號]],E:U,11,FALSE)),"")</f>
        <v>44503</v>
      </c>
      <c r="AL160" s="272"/>
      <c r="AM160" s="272"/>
      <c r="AN160" s="265"/>
      <c r="AO160" s="272"/>
      <c r="AP160" s="264" t="s">
        <v>163</v>
      </c>
      <c r="AQ160" s="264" t="s">
        <v>163</v>
      </c>
      <c r="AR160" s="593" t="s">
        <v>3207</v>
      </c>
      <c r="AS160" s="483" t="str">
        <f>IF(COUNTA(AG160)=1,LEFT(D160,3),"")</f>
        <v>5-7</v>
      </c>
      <c r="AT160" s="485" t="str">
        <f>IF(AND(COUNTA(O160)=1,COUNTA(P160)=1,COUNTA(AC160)=1,COUNTA(AF160)=1,COUNTA(AG160)=0),LEFT(D160,3),"")</f>
        <v/>
      </c>
      <c r="AU160" s="487" t="str">
        <f>IF(AND(COUNTA(O160)=1,COUNTA(P160)=1,COUNTA(AC160)=1,COUNTA(AF160)=0,COUNTA(AG160)=0),LEFT(D160,3),"")</f>
        <v/>
      </c>
      <c r="AV160" s="489" t="str">
        <f>IF(AND(COUNTA(P160)=0,COUNTA(AC160)=1),LEFT(D160,3),"")</f>
        <v/>
      </c>
      <c r="AW160" s="491" t="str">
        <f>IF(AND(COUNTA(P160)=1,COUNTA(AC160)=0),LEFT(D160,3),"")</f>
        <v/>
      </c>
      <c r="AX160" s="493" t="str">
        <f>IF(AND(COUNTA(P160)=0,COUNTA(AC160)=0),LEFT(D160,3),"")</f>
        <v/>
      </c>
      <c r="AY160" s="514" t="str">
        <f>IFERROR(VLOOKUP(功能_33[[#This Row],[功能代號]],SIT_FT_2021tmp!D:D,1,FALSE),"")</f>
        <v/>
      </c>
      <c r="AZ160" s="587">
        <v>44610</v>
      </c>
      <c r="BB160" s="514" t="s">
        <v>2453</v>
      </c>
      <c r="BC160" s="265" t="s">
        <v>2453</v>
      </c>
      <c r="BD160" s="593"/>
      <c r="BE160" s="265" t="str">
        <f>IF(AND(COUNTIF(AY160,"&gt;&lt;0")=1,COUNTA(M160)=1),LEFT(D160,3),"")</f>
        <v/>
      </c>
      <c r="BF160" s="265" t="str">
        <f>IF(AND(COUNTIF(AY160,"&gt;&lt;")=1,COUNTA(M160)=0),LEFT(D160,3),"")</f>
        <v/>
      </c>
      <c r="BG160" s="265" t="str">
        <f>IF(AND(COUNTIF(AY160,"&gt;&lt;0")=0,COUNTA(M160)=1),LEFT(D160,3),"")</f>
        <v>5-7</v>
      </c>
      <c r="BH160" s="265" t="str">
        <f>IF(AND(COUNTIF(AY160,"&gt;&lt;0")=0,COUNTA(M160)=0),LEFT(D160,3),"")</f>
        <v/>
      </c>
    </row>
    <row r="161" spans="3:60" ht="13.5" x14ac:dyDescent="0.3">
      <c r="C161" s="265" t="s">
        <v>69</v>
      </c>
      <c r="D161" s="265" t="s">
        <v>2467</v>
      </c>
      <c r="E161" s="264" t="s">
        <v>937</v>
      </c>
      <c r="F161" s="265" t="s">
        <v>938</v>
      </c>
      <c r="G161" s="265"/>
      <c r="H161" s="264" t="s">
        <v>166</v>
      </c>
      <c r="I161" s="264" t="s">
        <v>287</v>
      </c>
      <c r="J161" s="271" t="s">
        <v>2753</v>
      </c>
      <c r="K161" s="271"/>
      <c r="L161" s="272">
        <v>44575</v>
      </c>
      <c r="M161" s="272">
        <v>44572</v>
      </c>
      <c r="N161" s="272">
        <v>44503</v>
      </c>
      <c r="O161" s="272">
        <v>44503</v>
      </c>
      <c r="P161" s="272">
        <v>44533</v>
      </c>
      <c r="Q161" s="264" t="s">
        <v>2</v>
      </c>
      <c r="R161" s="264" t="s">
        <v>15</v>
      </c>
      <c r="S161" s="264" t="s">
        <v>15</v>
      </c>
      <c r="X161" s="264"/>
      <c r="Z161" s="264"/>
      <c r="AA161" s="264"/>
      <c r="AB161" s="265" t="str">
        <f>VLOOKUP(功能_33[[#This Row],[User]],SKL放款!A:G,7,FALSE)</f>
        <v>放款服務課</v>
      </c>
      <c r="AC161" s="272">
        <v>44533</v>
      </c>
      <c r="AD161" s="272" t="s">
        <v>2394</v>
      </c>
      <c r="AE161" s="209" t="s">
        <v>2677</v>
      </c>
      <c r="AF161" s="272">
        <v>44539</v>
      </c>
      <c r="AG161" s="209">
        <v>44544</v>
      </c>
      <c r="AH161" s="272"/>
      <c r="AI161" s="272"/>
      <c r="AJ161" s="322"/>
      <c r="AK161" s="272">
        <f>IFERROR(IF(VLOOKUP(功能_33[[#This Row],[功能代號]],E:U,11,FALSE)=0,"",VLOOKUP(功能_33[[#This Row],[功能代號]],E:U,11,FALSE)),"")</f>
        <v>44503</v>
      </c>
      <c r="AL161" s="272"/>
      <c r="AM161" s="272"/>
      <c r="AN161" s="265"/>
      <c r="AO161" s="272"/>
      <c r="AP161" s="264" t="s">
        <v>163</v>
      </c>
      <c r="AQ161" s="264" t="s">
        <v>163</v>
      </c>
      <c r="AR161" s="593" t="s">
        <v>3207</v>
      </c>
      <c r="AS161" s="483" t="str">
        <f>IF(COUNTA(AG161)=1,LEFT(D161,3),"")</f>
        <v>5-7</v>
      </c>
      <c r="AT161" s="485" t="str">
        <f>IF(AND(COUNTA(O161)=1,COUNTA(P161)=1,COUNTA(AC161)=1,COUNTA(AF161)=1,COUNTA(AG161)=0),LEFT(D161,3),"")</f>
        <v/>
      </c>
      <c r="AU161" s="487" t="str">
        <f>IF(AND(COUNTA(O161)=1,COUNTA(P161)=1,COUNTA(AC161)=1,COUNTA(AF161)=0,COUNTA(AG161)=0),LEFT(D161,3),"")</f>
        <v/>
      </c>
      <c r="AV161" s="489" t="str">
        <f>IF(AND(COUNTA(P161)=0,COUNTA(AC161)=1),LEFT(D161,3),"")</f>
        <v/>
      </c>
      <c r="AW161" s="491" t="str">
        <f>IF(AND(COUNTA(P161)=1,COUNTA(AC161)=0),LEFT(D161,3),"")</f>
        <v/>
      </c>
      <c r="AX161" s="493" t="str">
        <f>IF(AND(COUNTA(P161)=0,COUNTA(AC161)=0),LEFT(D161,3),"")</f>
        <v/>
      </c>
      <c r="AY161" s="514" t="str">
        <f>IFERROR(VLOOKUP(功能_33[[#This Row],[功能代號]],SIT_FT_2021tmp!D:D,1,FALSE),"")</f>
        <v/>
      </c>
      <c r="AZ161" s="587">
        <v>44610</v>
      </c>
      <c r="BB161" s="514" t="s">
        <v>2453</v>
      </c>
      <c r="BC161" s="265" t="s">
        <v>2453</v>
      </c>
      <c r="BD161" s="593"/>
      <c r="BE161" s="265" t="str">
        <f>IF(AND(COUNTIF(AY161,"&gt;&lt;0")=1,COUNTA(M161)=1),LEFT(D161,3),"")</f>
        <v/>
      </c>
      <c r="BF161" s="265" t="str">
        <f>IF(AND(COUNTIF(AY161,"&gt;&lt;")=1,COUNTA(M161)=0),LEFT(D161,3),"")</f>
        <v/>
      </c>
      <c r="BG161" s="265" t="str">
        <f>IF(AND(COUNTIF(AY161,"&gt;&lt;0")=0,COUNTA(M161)=1),LEFT(D161,3),"")</f>
        <v>5-7</v>
      </c>
      <c r="BH161" s="265" t="str">
        <f>IF(AND(COUNTIF(AY161,"&gt;&lt;0")=0,COUNTA(M161)=0),LEFT(D161,3),"")</f>
        <v/>
      </c>
    </row>
    <row r="162" spans="3:60" ht="13.5" x14ac:dyDescent="0.3">
      <c r="C162" s="265" t="s">
        <v>69</v>
      </c>
      <c r="D162" s="265" t="s">
        <v>2467</v>
      </c>
      <c r="E162" s="264" t="s">
        <v>939</v>
      </c>
      <c r="F162" s="265" t="s">
        <v>940</v>
      </c>
      <c r="G162" s="265"/>
      <c r="H162" s="264" t="s">
        <v>166</v>
      </c>
      <c r="I162" s="264" t="s">
        <v>287</v>
      </c>
      <c r="J162" s="271" t="s">
        <v>2753</v>
      </c>
      <c r="K162" s="271"/>
      <c r="L162" s="272">
        <v>44575</v>
      </c>
      <c r="M162" s="272">
        <v>44572</v>
      </c>
      <c r="N162" s="272">
        <v>44503</v>
      </c>
      <c r="O162" s="272">
        <v>44503</v>
      </c>
      <c r="P162" s="272">
        <v>44533</v>
      </c>
      <c r="Q162" s="264" t="s">
        <v>2</v>
      </c>
      <c r="R162" s="264" t="s">
        <v>15</v>
      </c>
      <c r="S162" s="264" t="s">
        <v>15</v>
      </c>
      <c r="X162" s="264"/>
      <c r="Z162" s="264"/>
      <c r="AA162" s="264"/>
      <c r="AB162" s="265" t="str">
        <f>VLOOKUP(功能_33[[#This Row],[User]],SKL放款!A:G,7,FALSE)</f>
        <v>放款服務課</v>
      </c>
      <c r="AC162" s="272">
        <v>44533</v>
      </c>
      <c r="AD162" s="272" t="s">
        <v>2394</v>
      </c>
      <c r="AE162" s="209" t="s">
        <v>2677</v>
      </c>
      <c r="AF162" s="272">
        <v>44539</v>
      </c>
      <c r="AG162" s="209">
        <v>44544</v>
      </c>
      <c r="AH162" s="272"/>
      <c r="AI162" s="272"/>
      <c r="AJ162" s="322"/>
      <c r="AK162" s="272">
        <f>IFERROR(IF(VLOOKUP(功能_33[[#This Row],[功能代號]],E:U,11,FALSE)=0,"",VLOOKUP(功能_33[[#This Row],[功能代號]],E:U,11,FALSE)),"")</f>
        <v>44503</v>
      </c>
      <c r="AL162" s="272"/>
      <c r="AM162" s="272"/>
      <c r="AN162" s="265"/>
      <c r="AO162" s="272"/>
      <c r="AP162" s="264" t="s">
        <v>163</v>
      </c>
      <c r="AQ162" s="264" t="s">
        <v>163</v>
      </c>
      <c r="AR162" s="593" t="s">
        <v>3207</v>
      </c>
      <c r="AS162" s="483" t="str">
        <f>IF(COUNTA(AG162)=1,LEFT(D162,3),"")</f>
        <v>5-7</v>
      </c>
      <c r="AT162" s="485" t="str">
        <f>IF(AND(COUNTA(O162)=1,COUNTA(P162)=1,COUNTA(AC162)=1,COUNTA(AF162)=1,COUNTA(AG162)=0),LEFT(D162,3),"")</f>
        <v/>
      </c>
      <c r="AU162" s="487" t="str">
        <f>IF(AND(COUNTA(O162)=1,COUNTA(P162)=1,COUNTA(AC162)=1,COUNTA(AF162)=0,COUNTA(AG162)=0),LEFT(D162,3),"")</f>
        <v/>
      </c>
      <c r="AV162" s="489" t="str">
        <f>IF(AND(COUNTA(P162)=0,COUNTA(AC162)=1),LEFT(D162,3),"")</f>
        <v/>
      </c>
      <c r="AW162" s="491" t="str">
        <f>IF(AND(COUNTA(P162)=1,COUNTA(AC162)=0),LEFT(D162,3),"")</f>
        <v/>
      </c>
      <c r="AX162" s="493" t="str">
        <f>IF(AND(COUNTA(P162)=0,COUNTA(AC162)=0),LEFT(D162,3),"")</f>
        <v/>
      </c>
      <c r="AY162" s="514" t="str">
        <f>IFERROR(VLOOKUP(功能_33[[#This Row],[功能代號]],SIT_FT_2021tmp!D:D,1,FALSE),"")</f>
        <v/>
      </c>
      <c r="AZ162" s="587">
        <v>44610</v>
      </c>
      <c r="BB162" s="514" t="s">
        <v>2453</v>
      </c>
      <c r="BC162" s="265" t="s">
        <v>2453</v>
      </c>
      <c r="BD162" s="593"/>
      <c r="BE162" s="265" t="str">
        <f>IF(AND(COUNTIF(AY162,"&gt;&lt;0")=1,COUNTA(M162)=1),LEFT(D162,3),"")</f>
        <v/>
      </c>
      <c r="BF162" s="265" t="str">
        <f>IF(AND(COUNTIF(AY162,"&gt;&lt;")=1,COUNTA(M162)=0),LEFT(D162,3),"")</f>
        <v/>
      </c>
      <c r="BG162" s="265" t="str">
        <f>IF(AND(COUNTIF(AY162,"&gt;&lt;0")=0,COUNTA(M162)=1),LEFT(D162,3),"")</f>
        <v>5-7</v>
      </c>
      <c r="BH162" s="265" t="str">
        <f>IF(AND(COUNTIF(AY162,"&gt;&lt;0")=0,COUNTA(M162)=0),LEFT(D162,3),"")</f>
        <v/>
      </c>
    </row>
    <row r="163" spans="3:60" ht="13.5" x14ac:dyDescent="0.3">
      <c r="C163" s="265" t="s">
        <v>70</v>
      </c>
      <c r="D163" s="265" t="s">
        <v>2460</v>
      </c>
      <c r="E163" s="264" t="s">
        <v>387</v>
      </c>
      <c r="F163" s="265" t="s">
        <v>388</v>
      </c>
      <c r="G163" s="265"/>
      <c r="H163" s="264" t="s">
        <v>166</v>
      </c>
      <c r="I163" s="264" t="s">
        <v>287</v>
      </c>
      <c r="J163" s="212" t="s">
        <v>2853</v>
      </c>
      <c r="K163" s="212"/>
      <c r="L163" s="272">
        <v>44574</v>
      </c>
      <c r="M163" s="272">
        <v>44571</v>
      </c>
      <c r="N163" s="272">
        <v>44452</v>
      </c>
      <c r="O163" s="272">
        <v>44452</v>
      </c>
      <c r="P163" s="272">
        <v>44540</v>
      </c>
      <c r="Q163" s="264" t="s">
        <v>6</v>
      </c>
      <c r="R163" s="264" t="s">
        <v>5</v>
      </c>
      <c r="S163" s="264" t="s">
        <v>5</v>
      </c>
      <c r="X163" s="264"/>
      <c r="Z163" s="264"/>
      <c r="AA163" s="264"/>
      <c r="AB163" s="265" t="str">
        <f>VLOOKUP(功能_33[[#This Row],[User]],SKL放款!A:G,7,FALSE)</f>
        <v>放款服務課</v>
      </c>
      <c r="AC163" s="272">
        <v>44540</v>
      </c>
      <c r="AD163" s="272" t="s">
        <v>107</v>
      </c>
      <c r="AE163" s="272">
        <v>44546</v>
      </c>
      <c r="AF163" s="272">
        <v>44546</v>
      </c>
      <c r="AG163" s="209">
        <v>44550</v>
      </c>
      <c r="AH163" s="272"/>
      <c r="AI163" s="272"/>
      <c r="AJ163" s="322"/>
      <c r="AK163" s="272">
        <f>IFERROR(IF(VLOOKUP(功能_33[[#This Row],[功能代號]],E:U,11,FALSE)=0,"",VLOOKUP(功能_33[[#This Row],[功能代號]],E:U,11,FALSE)),"")</f>
        <v>44452</v>
      </c>
      <c r="AL163" s="272"/>
      <c r="AM163" s="272"/>
      <c r="AN163" s="265"/>
      <c r="AO163" s="211" t="s">
        <v>390</v>
      </c>
      <c r="AP163" s="264" t="s">
        <v>2603</v>
      </c>
      <c r="AQ163" s="264" t="s">
        <v>163</v>
      </c>
      <c r="AR163" s="593" t="s">
        <v>3207</v>
      </c>
      <c r="AS163" s="483" t="str">
        <f>IF(COUNTA(AG163)=1,LEFT(D163,3),"")</f>
        <v>6-1</v>
      </c>
      <c r="AT163" s="485" t="str">
        <f>IF(AND(COUNTA(O163)=1,COUNTA(P163)=1,COUNTA(AC163)=1,COUNTA(AF163)=1,COUNTA(AG163)=0),LEFT(D163,3),"")</f>
        <v/>
      </c>
      <c r="AU163" s="487" t="str">
        <f>IF(AND(COUNTA(O163)=1,COUNTA(P163)=1,COUNTA(AC163)=1,COUNTA(AF163)=0,COUNTA(AG163)=0),LEFT(D163,3),"")</f>
        <v/>
      </c>
      <c r="AV163" s="489" t="str">
        <f>IF(AND(COUNTA(P163)=0,COUNTA(AC163)=1),LEFT(D163,3),"")</f>
        <v/>
      </c>
      <c r="AW163" s="491" t="str">
        <f>IF(AND(COUNTA(P163)=1,COUNTA(AC163)=0),LEFT(D163,3),"")</f>
        <v/>
      </c>
      <c r="AX163" s="493" t="str">
        <f>IF(AND(COUNTA(P163)=0,COUNTA(AC163)=0),LEFT(D163,3),"")</f>
        <v/>
      </c>
      <c r="AY163" s="514" t="str">
        <f>IFERROR(VLOOKUP(功能_33[[#This Row],[功能代號]],SIT_FT_2021tmp!D:D,1,FALSE),"")</f>
        <v>L6101</v>
      </c>
      <c r="AZ163" s="587">
        <v>44532</v>
      </c>
      <c r="BA163" s="587">
        <v>44532</v>
      </c>
      <c r="BB163" s="514" t="s">
        <v>3000</v>
      </c>
      <c r="BC163" s="265" t="s">
        <v>3026</v>
      </c>
      <c r="BD163" s="593"/>
      <c r="BE163" s="264" t="str">
        <f>IF(AND(COUNTIF(AY163,"&gt;&lt;0")=1,COUNTA(M163)=1),LEFT(D163,3),"")</f>
        <v>6-1</v>
      </c>
      <c r="BF163" s="264" t="str">
        <f>IF(AND(COUNTIF(AY163,"&gt;&lt;")=1,COUNTA(M163)=0),LEFT(D163,3),"")</f>
        <v/>
      </c>
      <c r="BG163" s="264" t="str">
        <f>IF(AND(COUNTIF(AY163,"&gt;&lt;0")=0,COUNTA(M163)=1),LEFT(D163,3),"")</f>
        <v/>
      </c>
      <c r="BH163" s="264" t="str">
        <f>IF(AND(COUNTIF(AY163,"&gt;&lt;0")=0,COUNTA(M163)=0),LEFT(D163,3),"")</f>
        <v/>
      </c>
    </row>
    <row r="164" spans="3:60" ht="13.5" x14ac:dyDescent="0.3">
      <c r="C164" s="265" t="s">
        <v>70</v>
      </c>
      <c r="D164" s="213" t="s">
        <v>2460</v>
      </c>
      <c r="E164" s="264" t="s">
        <v>773</v>
      </c>
      <c r="F164" s="265" t="s">
        <v>774</v>
      </c>
      <c r="G164" s="265" t="s">
        <v>775</v>
      </c>
      <c r="H164" s="264" t="s">
        <v>166</v>
      </c>
      <c r="I164" s="264" t="s">
        <v>287</v>
      </c>
      <c r="J164" s="212" t="s">
        <v>2853</v>
      </c>
      <c r="K164" s="212"/>
      <c r="L164" s="272">
        <v>44574</v>
      </c>
      <c r="M164" s="272">
        <v>44571</v>
      </c>
      <c r="N164" s="272">
        <v>44487</v>
      </c>
      <c r="O164" s="272">
        <v>44487</v>
      </c>
      <c r="P164" s="272">
        <v>44494</v>
      </c>
      <c r="Q164" s="264" t="s">
        <v>6</v>
      </c>
      <c r="R164" s="264" t="s">
        <v>5</v>
      </c>
      <c r="S164" s="264" t="s">
        <v>5</v>
      </c>
      <c r="X164" s="264"/>
      <c r="Z164" s="264"/>
      <c r="AA164" s="264"/>
      <c r="AB164" s="265" t="str">
        <f>VLOOKUP(功能_33[[#This Row],[User]],SKL放款!A:G,7,FALSE)</f>
        <v>放款服務課</v>
      </c>
      <c r="AC164" s="272">
        <v>44494</v>
      </c>
      <c r="AD164" s="272" t="s">
        <v>107</v>
      </c>
      <c r="AE164" s="272">
        <v>44546</v>
      </c>
      <c r="AF164" s="272">
        <v>44546</v>
      </c>
      <c r="AG164" s="209">
        <v>44550</v>
      </c>
      <c r="AH164" s="272"/>
      <c r="AI164" s="272"/>
      <c r="AJ164" s="322"/>
      <c r="AK164" s="272">
        <f>IFERROR(IF(VLOOKUP(功能_33[[#This Row],[功能代號]],E:U,11,FALSE)=0,"",VLOOKUP(功能_33[[#This Row],[功能代號]],E:U,11,FALSE)),"")</f>
        <v>44487</v>
      </c>
      <c r="AL164" s="272"/>
      <c r="AM164" s="272"/>
      <c r="AN164" s="265"/>
      <c r="AP164" s="264" t="s">
        <v>163</v>
      </c>
      <c r="AQ164" s="264" t="s">
        <v>163</v>
      </c>
      <c r="AR164" s="593" t="s">
        <v>3207</v>
      </c>
      <c r="AS164" s="483" t="str">
        <f>IF(COUNTA(AG164)=1,LEFT(D164,3),"")</f>
        <v>6-1</v>
      </c>
      <c r="AT164" s="485" t="str">
        <f>IF(AND(COUNTA(O164)=1,COUNTA(P164)=1,COUNTA(AC164)=1,COUNTA(AF164)=1,COUNTA(AG164)=0),LEFT(D164,3),"")</f>
        <v/>
      </c>
      <c r="AU164" s="487" t="str">
        <f>IF(AND(COUNTA(O164)=1,COUNTA(P164)=1,COUNTA(AC164)=1,COUNTA(AF164)=0,COUNTA(AG164)=0),LEFT(D164,3),"")</f>
        <v/>
      </c>
      <c r="AV164" s="489" t="str">
        <f>IF(AND(COUNTA(P164)=0,COUNTA(AC164)=1),LEFT(D164,3),"")</f>
        <v/>
      </c>
      <c r="AW164" s="491" t="str">
        <f>IF(AND(COUNTA(P164)=1,COUNTA(AC164)=0),LEFT(D164,3),"")</f>
        <v/>
      </c>
      <c r="AX164" s="493" t="str">
        <f>IF(AND(COUNTA(P164)=0,COUNTA(AC164)=0),LEFT(D164,3),"")</f>
        <v/>
      </c>
      <c r="AY164" s="514" t="str">
        <f>IFERROR(VLOOKUP(功能_33[[#This Row],[功能代號]],SIT_FT_2021tmp!D:D,1,FALSE),"")</f>
        <v/>
      </c>
      <c r="AZ164" s="587">
        <v>44610</v>
      </c>
      <c r="BB164" s="514" t="s">
        <v>2453</v>
      </c>
      <c r="BC164" s="265" t="s">
        <v>2453</v>
      </c>
      <c r="BD164" s="593"/>
      <c r="BE164" s="265" t="str">
        <f>IF(AND(COUNTIF(AY164,"&gt;&lt;0")=1,COUNTA(M164)=1),LEFT(D164,3),"")</f>
        <v/>
      </c>
      <c r="BF164" s="265" t="str">
        <f>IF(AND(COUNTIF(AY164,"&gt;&lt;")=1,COUNTA(M164)=0),LEFT(D164,3),"")</f>
        <v/>
      </c>
      <c r="BG164" s="265" t="str">
        <f>IF(AND(COUNTIF(AY164,"&gt;&lt;0")=0,COUNTA(M164)=1),LEFT(D164,3),"")</f>
        <v>6-1</v>
      </c>
      <c r="BH164" s="265" t="str">
        <f>IF(AND(COUNTIF(AY164,"&gt;&lt;0")=0,COUNTA(M164)=0),LEFT(D164,3),"")</f>
        <v/>
      </c>
    </row>
    <row r="165" spans="3:60" ht="13.5" x14ac:dyDescent="0.3">
      <c r="C165" s="265" t="s">
        <v>70</v>
      </c>
      <c r="D165" s="407" t="s">
        <v>2460</v>
      </c>
      <c r="E165" s="264" t="s">
        <v>1097</v>
      </c>
      <c r="F165" s="265" t="s">
        <v>1098</v>
      </c>
      <c r="G165" s="265"/>
      <c r="H165" s="264" t="s">
        <v>110</v>
      </c>
      <c r="I165" s="264" t="s">
        <v>287</v>
      </c>
      <c r="J165" s="212" t="s">
        <v>2853</v>
      </c>
      <c r="K165" s="212"/>
      <c r="L165" s="272">
        <v>44574</v>
      </c>
      <c r="M165" s="272">
        <v>44571</v>
      </c>
      <c r="N165" s="272">
        <v>44529</v>
      </c>
      <c r="O165" s="272">
        <v>44529</v>
      </c>
      <c r="P165" s="272">
        <v>44533</v>
      </c>
      <c r="Q165" s="264" t="s">
        <v>6</v>
      </c>
      <c r="R165" s="264" t="s">
        <v>145</v>
      </c>
      <c r="S165" s="264" t="s">
        <v>145</v>
      </c>
      <c r="X165" s="264"/>
      <c r="Z165" s="264"/>
      <c r="AA165" s="264"/>
      <c r="AB165" s="265" t="str">
        <f>VLOOKUP(功能_33[[#This Row],[User]],SKL放款!A:G,7,FALSE)</f>
        <v>放款服務課</v>
      </c>
      <c r="AC165" s="272">
        <v>44533</v>
      </c>
      <c r="AD165" s="272" t="s">
        <v>2557</v>
      </c>
      <c r="AE165" s="272">
        <v>44533</v>
      </c>
      <c r="AF165" s="272">
        <v>44533</v>
      </c>
      <c r="AG165" s="209">
        <v>44550</v>
      </c>
      <c r="AH165" s="272"/>
      <c r="AI165" s="272"/>
      <c r="AJ165" s="322"/>
      <c r="AK165" s="272">
        <f>IFERROR(IF(VLOOKUP(功能_33[[#This Row],[功能代號]],E:U,11,FALSE)=0,"",VLOOKUP(功能_33[[#This Row],[功能代號]],E:U,11,FALSE)),"")</f>
        <v>44529</v>
      </c>
      <c r="AL165" s="272"/>
      <c r="AM165" s="272"/>
      <c r="AN165" s="265"/>
      <c r="AO165" s="272"/>
      <c r="AP165" s="264" t="s">
        <v>163</v>
      </c>
      <c r="AQ165" s="264" t="s">
        <v>163</v>
      </c>
      <c r="AR165" s="593" t="s">
        <v>3207</v>
      </c>
      <c r="AS165" s="483" t="str">
        <f>IF(COUNTA(AG165)=1,LEFT(D165,3),"")</f>
        <v>6-1</v>
      </c>
      <c r="AT165" s="485" t="str">
        <f>IF(AND(COUNTA(O165)=1,COUNTA(P165)=1,COUNTA(AC165)=1,COUNTA(AF165)=1,COUNTA(AG165)=0),LEFT(D165,3),"")</f>
        <v/>
      </c>
      <c r="AU165" s="487" t="str">
        <f>IF(AND(COUNTA(O165)=1,COUNTA(P165)=1,COUNTA(AC165)=1,COUNTA(AF165)=0,COUNTA(AG165)=0),LEFT(D165,3),"")</f>
        <v/>
      </c>
      <c r="AV165" s="489" t="str">
        <f>IF(AND(COUNTA(P165)=0,COUNTA(AC165)=1),LEFT(D165,3),"")</f>
        <v/>
      </c>
      <c r="AW165" s="491" t="str">
        <f>IF(AND(COUNTA(P165)=1,COUNTA(AC165)=0),LEFT(D165,3),"")</f>
        <v/>
      </c>
      <c r="AX165" s="493" t="str">
        <f>IF(AND(COUNTA(P165)=0,COUNTA(AC165)=0),LEFT(D165,3),"")</f>
        <v/>
      </c>
      <c r="AY165" s="514" t="str">
        <f>IFERROR(VLOOKUP(功能_33[[#This Row],[功能代號]],SIT_FT_2021tmp!D:D,1,FALSE),"")</f>
        <v>L6104</v>
      </c>
      <c r="AZ165" s="587">
        <v>44517</v>
      </c>
      <c r="BA165" s="587">
        <v>44517</v>
      </c>
      <c r="BB165" s="514" t="s">
        <v>3073</v>
      </c>
      <c r="BC165" s="265" t="s">
        <v>3033</v>
      </c>
      <c r="BD165" s="593"/>
      <c r="BE165" s="264" t="str">
        <f>IF(AND(COUNTIF(AY165,"&gt;&lt;0")=1,COUNTA(M165)=1),LEFT(D165,3),"")</f>
        <v>6-1</v>
      </c>
      <c r="BF165" s="264" t="str">
        <f>IF(AND(COUNTIF(AY165,"&gt;&lt;")=1,COUNTA(M165)=0),LEFT(D165,3),"")</f>
        <v/>
      </c>
      <c r="BG165" s="264" t="str">
        <f>IF(AND(COUNTIF(AY165,"&gt;&lt;0")=0,COUNTA(M165)=1),LEFT(D165,3),"")</f>
        <v/>
      </c>
      <c r="BH165" s="264" t="str">
        <f>IF(AND(COUNTIF(AY165,"&gt;&lt;0")=0,COUNTA(M165)=0),LEFT(D165,3),"")</f>
        <v/>
      </c>
    </row>
    <row r="166" spans="3:60" ht="13.5" x14ac:dyDescent="0.3">
      <c r="C166" s="265" t="s">
        <v>70</v>
      </c>
      <c r="D166" s="265" t="s">
        <v>2460</v>
      </c>
      <c r="E166" s="264" t="s">
        <v>1086</v>
      </c>
      <c r="F166" s="265" t="s">
        <v>1087</v>
      </c>
      <c r="G166" s="265"/>
      <c r="H166" s="264" t="s">
        <v>166</v>
      </c>
      <c r="I166" s="264" t="s">
        <v>287</v>
      </c>
      <c r="J166" s="212" t="s">
        <v>2853</v>
      </c>
      <c r="K166" s="212"/>
      <c r="L166" s="272">
        <v>44574</v>
      </c>
      <c r="M166" s="272">
        <v>44571</v>
      </c>
      <c r="N166" s="272">
        <v>44529</v>
      </c>
      <c r="O166" s="272">
        <v>44533</v>
      </c>
      <c r="P166" s="272">
        <v>44533</v>
      </c>
      <c r="Q166" s="264" t="s">
        <v>6</v>
      </c>
      <c r="R166" s="264" t="s">
        <v>145</v>
      </c>
      <c r="S166" s="264" t="s">
        <v>145</v>
      </c>
      <c r="X166" s="264"/>
      <c r="Z166" s="264"/>
      <c r="AA166" s="264"/>
      <c r="AB166" s="265" t="str">
        <f>VLOOKUP(功能_33[[#This Row],[User]],SKL放款!A:G,7,FALSE)</f>
        <v>放款服務課</v>
      </c>
      <c r="AC166" s="272">
        <v>44533</v>
      </c>
      <c r="AD166" s="272" t="s">
        <v>2557</v>
      </c>
      <c r="AE166" s="272">
        <v>44533</v>
      </c>
      <c r="AF166" s="272">
        <v>44533</v>
      </c>
      <c r="AG166" s="209">
        <v>44550</v>
      </c>
      <c r="AH166" s="272"/>
      <c r="AI166" s="272"/>
      <c r="AJ166" s="322"/>
      <c r="AK166" s="272">
        <f>IFERROR(IF(VLOOKUP(功能_33[[#This Row],[功能代號]],E:U,11,FALSE)=0,"",VLOOKUP(功能_33[[#This Row],[功能代號]],E:U,11,FALSE)),"")</f>
        <v>44533</v>
      </c>
      <c r="AL166" s="272"/>
      <c r="AM166" s="272"/>
      <c r="AN166" s="265"/>
      <c r="AO166" s="272"/>
      <c r="AP166" s="264" t="s">
        <v>163</v>
      </c>
      <c r="AQ166" s="264" t="s">
        <v>163</v>
      </c>
      <c r="AR166" s="593" t="s">
        <v>3207</v>
      </c>
      <c r="AS166" s="483" t="str">
        <f>IF(COUNTA(AG166)=1,LEFT(D166,3),"")</f>
        <v>6-1</v>
      </c>
      <c r="AT166" s="485" t="str">
        <f>IF(AND(COUNTA(O166)=1,COUNTA(P166)=1,COUNTA(AC166)=1,COUNTA(AF166)=1,COUNTA(AG166)=0),LEFT(D166,3),"")</f>
        <v/>
      </c>
      <c r="AU166" s="487" t="str">
        <f>IF(AND(COUNTA(O166)=1,COUNTA(P166)=1,COUNTA(AC166)=1,COUNTA(AF166)=0,COUNTA(AG166)=0),LEFT(D166,3),"")</f>
        <v/>
      </c>
      <c r="AV166" s="489" t="str">
        <f>IF(AND(COUNTA(P166)=0,COUNTA(AC166)=1),LEFT(D166,3),"")</f>
        <v/>
      </c>
      <c r="AW166" s="491" t="str">
        <f>IF(AND(COUNTA(P166)=1,COUNTA(AC166)=0),LEFT(D166,3),"")</f>
        <v/>
      </c>
      <c r="AX166" s="493" t="str">
        <f>IF(AND(COUNTA(P166)=0,COUNTA(AC166)=0),LEFT(D166,3),"")</f>
        <v/>
      </c>
      <c r="AY166" s="514" t="str">
        <f>IFERROR(VLOOKUP(功能_33[[#This Row],[功能代號]],SIT_FT_2021tmp!D:D,1,FALSE),"")</f>
        <v>L6103</v>
      </c>
      <c r="AZ166" s="587">
        <v>44517</v>
      </c>
      <c r="BA166" s="587">
        <v>44517</v>
      </c>
      <c r="BB166" s="514" t="s">
        <v>3073</v>
      </c>
      <c r="BC166" s="265" t="s">
        <v>3033</v>
      </c>
      <c r="BD166" s="593"/>
      <c r="BE166" s="264" t="str">
        <f>IF(AND(COUNTIF(AY166,"&gt;&lt;0")=1,COUNTA(M166)=1),LEFT(D166,3),"")</f>
        <v>6-1</v>
      </c>
      <c r="BF166" s="264" t="str">
        <f>IF(AND(COUNTIF(AY166,"&gt;&lt;")=1,COUNTA(M166)=0),LEFT(D166,3),"")</f>
        <v/>
      </c>
      <c r="BG166" s="264" t="str">
        <f>IF(AND(COUNTIF(AY166,"&gt;&lt;0")=0,COUNTA(M166)=1),LEFT(D166,3),"")</f>
        <v/>
      </c>
      <c r="BH166" s="264" t="str">
        <f>IF(AND(COUNTIF(AY166,"&gt;&lt;0")=0,COUNTA(M166)=0),LEFT(D166,3),"")</f>
        <v/>
      </c>
    </row>
    <row r="167" spans="3:60" ht="13.5" x14ac:dyDescent="0.3">
      <c r="C167" s="265" t="s">
        <v>70</v>
      </c>
      <c r="D167" s="265" t="s">
        <v>2461</v>
      </c>
      <c r="E167" s="264" t="s">
        <v>752</v>
      </c>
      <c r="F167" s="265" t="s">
        <v>753</v>
      </c>
      <c r="G167" s="265"/>
      <c r="H167" s="264" t="s">
        <v>166</v>
      </c>
      <c r="I167" s="264" t="s">
        <v>287</v>
      </c>
      <c r="J167" s="212" t="s">
        <v>389</v>
      </c>
      <c r="K167" s="212"/>
      <c r="L167" s="272">
        <v>44574</v>
      </c>
      <c r="M167" s="272">
        <v>44571</v>
      </c>
      <c r="N167" s="272">
        <v>44487</v>
      </c>
      <c r="O167" s="272">
        <v>44487</v>
      </c>
      <c r="P167" s="272">
        <v>44487</v>
      </c>
      <c r="Q167" s="264" t="s">
        <v>6</v>
      </c>
      <c r="R167" s="264" t="s">
        <v>145</v>
      </c>
      <c r="S167" s="264" t="s">
        <v>145</v>
      </c>
      <c r="X167" s="264"/>
      <c r="Z167" s="264"/>
      <c r="AA167" s="264"/>
      <c r="AB167" s="265" t="str">
        <f>VLOOKUP(功能_33[[#This Row],[User]],SKL放款!A:G,7,FALSE)</f>
        <v>放款服務課</v>
      </c>
      <c r="AC167" s="272">
        <v>44533</v>
      </c>
      <c r="AD167" s="272" t="s">
        <v>168</v>
      </c>
      <c r="AE167" s="272">
        <v>44529</v>
      </c>
      <c r="AF167" s="272">
        <v>44529</v>
      </c>
      <c r="AG167" s="209">
        <v>44544</v>
      </c>
      <c r="AH167" s="272"/>
      <c r="AI167" s="272"/>
      <c r="AJ167" s="322"/>
      <c r="AK167" s="272">
        <f>IFERROR(IF(VLOOKUP(功能_33[[#This Row],[功能代號]],E:U,11,FALSE)=0,"",VLOOKUP(功能_33[[#This Row],[功能代號]],E:U,11,FALSE)),"")</f>
        <v>44487</v>
      </c>
      <c r="AL167" s="272"/>
      <c r="AM167" s="272"/>
      <c r="AN167" s="265"/>
      <c r="AO167" s="272"/>
      <c r="AP167" s="276" t="s">
        <v>754</v>
      </c>
      <c r="AQ167" s="277" t="s">
        <v>755</v>
      </c>
      <c r="AR167" s="593" t="s">
        <v>3207</v>
      </c>
      <c r="AS167" s="483" t="str">
        <f>IF(COUNTA(AG167)=1,LEFT(D167,3),"")</f>
        <v>6-2</v>
      </c>
      <c r="AT167" s="485" t="str">
        <f>IF(AND(COUNTA(O167)=1,COUNTA(P167)=1,COUNTA(AC167)=1,COUNTA(AF167)=1,COUNTA(AG167)=0),LEFT(D167,3),"")</f>
        <v/>
      </c>
      <c r="AU167" s="487" t="str">
        <f>IF(AND(COUNTA(O167)=1,COUNTA(P167)=1,COUNTA(AC167)=1,COUNTA(AF167)=0,COUNTA(AG167)=0),LEFT(D167,3),"")</f>
        <v/>
      </c>
      <c r="AV167" s="489" t="str">
        <f>IF(AND(COUNTA(P167)=0,COUNTA(AC167)=1),LEFT(D167,3),"")</f>
        <v/>
      </c>
      <c r="AW167" s="491" t="str">
        <f>IF(AND(COUNTA(P167)=1,COUNTA(AC167)=0),LEFT(D167,3),"")</f>
        <v/>
      </c>
      <c r="AX167" s="493" t="str">
        <f>IF(AND(COUNTA(P167)=0,COUNTA(AC167)=0),LEFT(D167,3),"")</f>
        <v/>
      </c>
      <c r="AY167" s="514" t="str">
        <f>IFERROR(VLOOKUP(功能_33[[#This Row],[功能代號]],SIT_FT_2021tmp!D:D,1,FALSE),"")</f>
        <v>L6201</v>
      </c>
      <c r="AZ167" s="587">
        <v>44546</v>
      </c>
      <c r="BA167" s="587">
        <v>44546</v>
      </c>
      <c r="BB167" s="514" t="s">
        <v>3000</v>
      </c>
      <c r="BC167" s="265" t="s">
        <v>3028</v>
      </c>
      <c r="BD167" s="593"/>
      <c r="BE167" s="264" t="str">
        <f>IF(AND(COUNTIF(AY167,"&gt;&lt;0")=1,COUNTA(M167)=1),LEFT(D167,3),"")</f>
        <v>6-2</v>
      </c>
      <c r="BF167" s="264" t="str">
        <f>IF(AND(COUNTIF(AY167,"&gt;&lt;")=1,COUNTA(M167)=0),LEFT(D167,3),"")</f>
        <v/>
      </c>
      <c r="BG167" s="264" t="str">
        <f>IF(AND(COUNTIF(AY167,"&gt;&lt;0")=0,COUNTA(M167)=1),LEFT(D167,3),"")</f>
        <v/>
      </c>
      <c r="BH167" s="264" t="str">
        <f>IF(AND(COUNTIF(AY167,"&gt;&lt;0")=0,COUNTA(M167)=0),LEFT(D167,3),"")</f>
        <v/>
      </c>
    </row>
    <row r="168" spans="3:60" ht="13.5" x14ac:dyDescent="0.3">
      <c r="C168" s="265" t="s">
        <v>70</v>
      </c>
      <c r="D168" s="265" t="s">
        <v>2461</v>
      </c>
      <c r="E168" s="264" t="s">
        <v>756</v>
      </c>
      <c r="F168" s="265" t="s">
        <v>757</v>
      </c>
      <c r="G168" s="265"/>
      <c r="H168" s="264" t="s">
        <v>166</v>
      </c>
      <c r="I168" s="264" t="s">
        <v>287</v>
      </c>
      <c r="J168" s="212" t="s">
        <v>389</v>
      </c>
      <c r="K168" s="212"/>
      <c r="L168" s="272">
        <v>44573</v>
      </c>
      <c r="M168" s="272">
        <v>44571</v>
      </c>
      <c r="N168" s="272">
        <v>44487</v>
      </c>
      <c r="O168" s="272">
        <v>44487</v>
      </c>
      <c r="P168" s="272">
        <v>44487</v>
      </c>
      <c r="Q168" s="264" t="s">
        <v>6</v>
      </c>
      <c r="R168" s="264" t="s">
        <v>5</v>
      </c>
      <c r="S168" s="264" t="s">
        <v>5</v>
      </c>
      <c r="X168" s="264"/>
      <c r="Z168" s="264"/>
      <c r="AA168" s="264"/>
      <c r="AB168" s="265" t="str">
        <f>VLOOKUP(功能_33[[#This Row],[User]],SKL放款!A:G,7,FALSE)</f>
        <v>放款服務課</v>
      </c>
      <c r="AC168" s="272">
        <v>44533</v>
      </c>
      <c r="AD168" s="272" t="s">
        <v>168</v>
      </c>
      <c r="AE168" s="272">
        <v>44529</v>
      </c>
      <c r="AF168" s="272">
        <v>44529</v>
      </c>
      <c r="AG168" s="209">
        <v>44544</v>
      </c>
      <c r="AH168" s="272"/>
      <c r="AI168" s="272"/>
      <c r="AJ168" s="322"/>
      <c r="AK168" s="272">
        <f>IFERROR(IF(VLOOKUP(功能_33[[#This Row],[功能代號]],E:U,11,FALSE)=0,"",VLOOKUP(功能_33[[#This Row],[功能代號]],E:U,11,FALSE)),"")</f>
        <v>44487</v>
      </c>
      <c r="AL168" s="272"/>
      <c r="AM168" s="272"/>
      <c r="AN168" s="265"/>
      <c r="AO168" s="272"/>
      <c r="AP168" s="264" t="s">
        <v>163</v>
      </c>
      <c r="AQ168" s="264" t="s">
        <v>163</v>
      </c>
      <c r="AR168" s="593" t="s">
        <v>3207</v>
      </c>
      <c r="AS168" s="483" t="str">
        <f>IF(COUNTA(AG168)=1,LEFT(D168,3),"")</f>
        <v>6-2</v>
      </c>
      <c r="AT168" s="485" t="str">
        <f>IF(AND(COUNTA(O168)=1,COUNTA(P168)=1,COUNTA(AC168)=1,COUNTA(AF168)=1,COUNTA(AG168)=0),LEFT(D168,3),"")</f>
        <v/>
      </c>
      <c r="AU168" s="487" t="str">
        <f>IF(AND(COUNTA(O168)=1,COUNTA(P168)=1,COUNTA(AC168)=1,COUNTA(AF168)=0,COUNTA(AG168)=0),LEFT(D168,3),"")</f>
        <v/>
      </c>
      <c r="AV168" s="489" t="str">
        <f>IF(AND(COUNTA(P168)=0,COUNTA(AC168)=1),LEFT(D168,3),"")</f>
        <v/>
      </c>
      <c r="AW168" s="491" t="str">
        <f>IF(AND(COUNTA(P168)=1,COUNTA(AC168)=0),LEFT(D168,3),"")</f>
        <v/>
      </c>
      <c r="AX168" s="493" t="str">
        <f>IF(AND(COUNTA(P168)=0,COUNTA(AC168)=0),LEFT(D168,3),"")</f>
        <v/>
      </c>
      <c r="AY168" s="514" t="str">
        <f>IFERROR(VLOOKUP(功能_33[[#This Row],[功能代號]],SIT_FT_2021tmp!D:D,1,FALSE),"")</f>
        <v>L6901</v>
      </c>
      <c r="AZ168" s="587">
        <v>44517</v>
      </c>
      <c r="BA168" s="587">
        <v>44517</v>
      </c>
      <c r="BB168" s="514" t="s">
        <v>3073</v>
      </c>
      <c r="BC168" s="265" t="s">
        <v>3034</v>
      </c>
      <c r="BD168" s="593"/>
      <c r="BE168" s="264" t="str">
        <f>IF(AND(COUNTIF(AY168,"&gt;&lt;0")=1,COUNTA(M168)=1),LEFT(D168,3),"")</f>
        <v>6-2</v>
      </c>
      <c r="BF168" s="264" t="str">
        <f>IF(AND(COUNTIF(AY168,"&gt;&lt;")=1,COUNTA(M168)=0),LEFT(D168,3),"")</f>
        <v/>
      </c>
      <c r="BG168" s="264" t="str">
        <f>IF(AND(COUNTIF(AY168,"&gt;&lt;0")=0,COUNTA(M168)=1),LEFT(D168,3),"")</f>
        <v/>
      </c>
      <c r="BH168" s="264" t="str">
        <f>IF(AND(COUNTIF(AY168,"&gt;&lt;0")=0,COUNTA(M168)=0),LEFT(D168,3),"")</f>
        <v/>
      </c>
    </row>
    <row r="169" spans="3:60" ht="13.5" x14ac:dyDescent="0.3">
      <c r="C169" s="265" t="s">
        <v>70</v>
      </c>
      <c r="D169" s="265" t="s">
        <v>2461</v>
      </c>
      <c r="E169" s="264" t="s">
        <v>758</v>
      </c>
      <c r="F169" s="265" t="s">
        <v>759</v>
      </c>
      <c r="G169" s="265"/>
      <c r="H169" s="264" t="s">
        <v>166</v>
      </c>
      <c r="I169" s="264" t="s">
        <v>287</v>
      </c>
      <c r="J169" s="212" t="s">
        <v>389</v>
      </c>
      <c r="K169" s="212"/>
      <c r="L169" s="272">
        <v>44573</v>
      </c>
      <c r="M169" s="272">
        <v>44571</v>
      </c>
      <c r="N169" s="272">
        <v>44487</v>
      </c>
      <c r="O169" s="272">
        <v>44487</v>
      </c>
      <c r="P169" s="272">
        <v>44487</v>
      </c>
      <c r="Q169" s="264" t="s">
        <v>6</v>
      </c>
      <c r="R169" s="264" t="s">
        <v>5</v>
      </c>
      <c r="S169" s="264" t="s">
        <v>5</v>
      </c>
      <c r="X169" s="264"/>
      <c r="Z169" s="264"/>
      <c r="AA169" s="264"/>
      <c r="AB169" s="265" t="str">
        <f>VLOOKUP(功能_33[[#This Row],[User]],SKL放款!A:G,7,FALSE)</f>
        <v>放款服務課</v>
      </c>
      <c r="AC169" s="272">
        <v>44533</v>
      </c>
      <c r="AD169" s="272" t="s">
        <v>168</v>
      </c>
      <c r="AE169" s="272">
        <v>44529</v>
      </c>
      <c r="AF169" s="272">
        <v>44529</v>
      </c>
      <c r="AG169" s="209">
        <v>44544</v>
      </c>
      <c r="AH169" s="272"/>
      <c r="AI169" s="272"/>
      <c r="AJ169" s="322"/>
      <c r="AK169" s="272">
        <f>IFERROR(IF(VLOOKUP(功能_33[[#This Row],[功能代號]],E:U,11,FALSE)=0,"",VLOOKUP(功能_33[[#This Row],[功能代號]],E:U,11,FALSE)),"")</f>
        <v>44487</v>
      </c>
      <c r="AL169" s="272"/>
      <c r="AM169" s="272"/>
      <c r="AN169" s="265"/>
      <c r="AO169" s="272"/>
      <c r="AP169" s="264" t="s">
        <v>163</v>
      </c>
      <c r="AQ169" s="264" t="s">
        <v>163</v>
      </c>
      <c r="AR169" s="593" t="s">
        <v>3207</v>
      </c>
      <c r="AS169" s="483" t="str">
        <f>IF(COUNTA(AG169)=1,LEFT(D169,3),"")</f>
        <v>6-2</v>
      </c>
      <c r="AT169" s="485" t="str">
        <f>IF(AND(COUNTA(O169)=1,COUNTA(P169)=1,COUNTA(AC169)=1,COUNTA(AF169)=1,COUNTA(AG169)=0),LEFT(D169,3),"")</f>
        <v/>
      </c>
      <c r="AU169" s="487" t="str">
        <f>IF(AND(COUNTA(O169)=1,COUNTA(P169)=1,COUNTA(AC169)=1,COUNTA(AF169)=0,COUNTA(AG169)=0),LEFT(D169,3),"")</f>
        <v/>
      </c>
      <c r="AV169" s="489" t="str">
        <f>IF(AND(COUNTA(P169)=0,COUNTA(AC169)=1),LEFT(D169,3),"")</f>
        <v/>
      </c>
      <c r="AW169" s="491" t="str">
        <f>IF(AND(COUNTA(P169)=1,COUNTA(AC169)=0),LEFT(D169,3),"")</f>
        <v/>
      </c>
      <c r="AX169" s="493" t="str">
        <f>IF(AND(COUNTA(P169)=0,COUNTA(AC169)=0),LEFT(D169,3),"")</f>
        <v/>
      </c>
      <c r="AY169" s="514" t="str">
        <f>IFERROR(VLOOKUP(功能_33[[#This Row],[功能代號]],SIT_FT_2021tmp!D:D,1,FALSE),"")</f>
        <v>L6902</v>
      </c>
      <c r="AZ169" s="587">
        <v>44517</v>
      </c>
      <c r="BA169" s="587">
        <v>44517</v>
      </c>
      <c r="BB169" s="514" t="s">
        <v>3073</v>
      </c>
      <c r="BC169" s="265" t="s">
        <v>3034</v>
      </c>
      <c r="BD169" s="593"/>
      <c r="BE169" s="264" t="str">
        <f>IF(AND(COUNTIF(AY169,"&gt;&lt;0")=1,COUNTA(M169)=1),LEFT(D169,3),"")</f>
        <v>6-2</v>
      </c>
      <c r="BF169" s="264" t="str">
        <f>IF(AND(COUNTIF(AY169,"&gt;&lt;")=1,COUNTA(M169)=0),LEFT(D169,3),"")</f>
        <v/>
      </c>
      <c r="BG169" s="264" t="str">
        <f>IF(AND(COUNTIF(AY169,"&gt;&lt;0")=0,COUNTA(M169)=1),LEFT(D169,3),"")</f>
        <v/>
      </c>
      <c r="BH169" s="264" t="str">
        <f>IF(AND(COUNTIF(AY169,"&gt;&lt;0")=0,COUNTA(M169)=0),LEFT(D169,3),"")</f>
        <v/>
      </c>
    </row>
    <row r="170" spans="3:60" ht="13.5" x14ac:dyDescent="0.3">
      <c r="C170" s="265" t="s">
        <v>70</v>
      </c>
      <c r="D170" s="265" t="s">
        <v>2461</v>
      </c>
      <c r="E170" s="264" t="s">
        <v>760</v>
      </c>
      <c r="F170" s="265" t="s">
        <v>761</v>
      </c>
      <c r="G170" s="265"/>
      <c r="H170" s="264" t="s">
        <v>166</v>
      </c>
      <c r="I170" s="264" t="s">
        <v>287</v>
      </c>
      <c r="J170" s="212" t="s">
        <v>389</v>
      </c>
      <c r="K170" s="212"/>
      <c r="L170" s="272">
        <v>44573</v>
      </c>
      <c r="M170" s="272">
        <v>44571</v>
      </c>
      <c r="N170" s="272">
        <v>44487</v>
      </c>
      <c r="O170" s="272">
        <v>44487</v>
      </c>
      <c r="P170" s="272">
        <v>44487</v>
      </c>
      <c r="Q170" s="264" t="s">
        <v>6</v>
      </c>
      <c r="R170" s="264" t="s">
        <v>145</v>
      </c>
      <c r="S170" s="264" t="s">
        <v>145</v>
      </c>
      <c r="X170" s="264"/>
      <c r="Z170" s="264"/>
      <c r="AA170" s="264"/>
      <c r="AB170" s="265" t="str">
        <f>VLOOKUP(功能_33[[#This Row],[User]],SKL放款!A:G,7,FALSE)</f>
        <v>放款服務課</v>
      </c>
      <c r="AC170" s="272">
        <v>44533</v>
      </c>
      <c r="AD170" s="272" t="s">
        <v>168</v>
      </c>
      <c r="AE170" s="272">
        <v>44529</v>
      </c>
      <c r="AF170" s="272">
        <v>44529</v>
      </c>
      <c r="AG170" s="209">
        <v>44544</v>
      </c>
      <c r="AH170" s="272"/>
      <c r="AI170" s="272"/>
      <c r="AJ170" s="322"/>
      <c r="AK170" s="272">
        <f>IFERROR(IF(VLOOKUP(功能_33[[#This Row],[功能代號]],E:U,11,FALSE)=0,"",VLOOKUP(功能_33[[#This Row],[功能代號]],E:U,11,FALSE)),"")</f>
        <v>44487</v>
      </c>
      <c r="AL170" s="272"/>
      <c r="AM170" s="272"/>
      <c r="AN170" s="265"/>
      <c r="AO170" s="272"/>
      <c r="AP170" s="264" t="s">
        <v>163</v>
      </c>
      <c r="AQ170" s="264" t="s">
        <v>163</v>
      </c>
      <c r="AR170" s="593" t="s">
        <v>3207</v>
      </c>
      <c r="AS170" s="483" t="str">
        <f>IF(COUNTA(AG170)=1,LEFT(D170,3),"")</f>
        <v>6-2</v>
      </c>
      <c r="AT170" s="485" t="str">
        <f>IF(AND(COUNTA(O170)=1,COUNTA(P170)=1,COUNTA(AC170)=1,COUNTA(AF170)=1,COUNTA(AG170)=0),LEFT(D170,3),"")</f>
        <v/>
      </c>
      <c r="AU170" s="487" t="str">
        <f>IF(AND(COUNTA(O170)=1,COUNTA(P170)=1,COUNTA(AC170)=1,COUNTA(AF170)=0,COUNTA(AG170)=0),LEFT(D170,3),"")</f>
        <v/>
      </c>
      <c r="AV170" s="489" t="str">
        <f>IF(AND(COUNTA(P170)=0,COUNTA(AC170)=1),LEFT(D170,3),"")</f>
        <v/>
      </c>
      <c r="AW170" s="491" t="str">
        <f>IF(AND(COUNTA(P170)=1,COUNTA(AC170)=0),LEFT(D170,3),"")</f>
        <v/>
      </c>
      <c r="AX170" s="493" t="str">
        <f>IF(AND(COUNTA(P170)=0,COUNTA(AC170)=0),LEFT(D170,3),"")</f>
        <v/>
      </c>
      <c r="AY170" s="514" t="str">
        <f>IFERROR(VLOOKUP(功能_33[[#This Row],[功能代號]],SIT_FT_2021tmp!D:D,1,FALSE),"")</f>
        <v>L6903</v>
      </c>
      <c r="AZ170" s="587">
        <v>44517</v>
      </c>
      <c r="BA170" s="587">
        <v>44517</v>
      </c>
      <c r="BB170" s="514" t="s">
        <v>3073</v>
      </c>
      <c r="BC170" s="265" t="s">
        <v>3034</v>
      </c>
      <c r="BD170" s="593"/>
      <c r="BE170" s="264" t="str">
        <f>IF(AND(COUNTIF(AY170,"&gt;&lt;0")=1,COUNTA(M170)=1),LEFT(D170,3),"")</f>
        <v>6-2</v>
      </c>
      <c r="BF170" s="264" t="str">
        <f>IF(AND(COUNTIF(AY170,"&gt;&lt;")=1,COUNTA(M170)=0),LEFT(D170,3),"")</f>
        <v/>
      </c>
      <c r="BG170" s="264" t="str">
        <f>IF(AND(COUNTIF(AY170,"&gt;&lt;0")=0,COUNTA(M170)=1),LEFT(D170,3),"")</f>
        <v/>
      </c>
      <c r="BH170" s="264" t="str">
        <f>IF(AND(COUNTIF(AY170,"&gt;&lt;0")=0,COUNTA(M170)=0),LEFT(D170,3),"")</f>
        <v/>
      </c>
    </row>
    <row r="171" spans="3:60" ht="40.5" x14ac:dyDescent="0.3">
      <c r="C171" s="265" t="s">
        <v>70</v>
      </c>
      <c r="D171" s="265" t="s">
        <v>2461</v>
      </c>
      <c r="E171" s="264" t="s">
        <v>762</v>
      </c>
      <c r="F171" s="265" t="s">
        <v>763</v>
      </c>
      <c r="G171" s="265"/>
      <c r="H171" s="264" t="s">
        <v>166</v>
      </c>
      <c r="I171" s="264" t="s">
        <v>287</v>
      </c>
      <c r="J171" s="212" t="s">
        <v>389</v>
      </c>
      <c r="K171" s="212"/>
      <c r="L171" s="272">
        <v>44573</v>
      </c>
      <c r="M171" s="272">
        <v>44571</v>
      </c>
      <c r="N171" s="272">
        <v>44487</v>
      </c>
      <c r="O171" s="272">
        <v>44487</v>
      </c>
      <c r="P171" s="272">
        <v>44487</v>
      </c>
      <c r="Q171" s="264" t="s">
        <v>6</v>
      </c>
      <c r="R171" s="264" t="s">
        <v>5</v>
      </c>
      <c r="S171" s="264" t="s">
        <v>5</v>
      </c>
      <c r="X171" s="264"/>
      <c r="Z171" s="264"/>
      <c r="AA171" s="264"/>
      <c r="AB171" s="265" t="str">
        <f>VLOOKUP(功能_33[[#This Row],[User]],SKL放款!A:G,7,FALSE)</f>
        <v>放款服務課</v>
      </c>
      <c r="AC171" s="272">
        <v>44533</v>
      </c>
      <c r="AD171" s="272" t="s">
        <v>168</v>
      </c>
      <c r="AE171" s="272">
        <v>44529</v>
      </c>
      <c r="AF171" s="272">
        <v>44529</v>
      </c>
      <c r="AG171" s="209">
        <v>44544</v>
      </c>
      <c r="AH171" s="272"/>
      <c r="AI171" s="272"/>
      <c r="AJ171" s="322"/>
      <c r="AK171" s="272">
        <f>IFERROR(IF(VLOOKUP(功能_33[[#This Row],[功能代號]],E:U,11,FALSE)=0,"",VLOOKUP(功能_33[[#This Row],[功能代號]],E:U,11,FALSE)),"")</f>
        <v>44487</v>
      </c>
      <c r="AL171" s="272"/>
      <c r="AM171" s="272"/>
      <c r="AN171" s="265"/>
      <c r="AO171" s="272"/>
      <c r="AP171" s="281" t="s">
        <v>2674</v>
      </c>
      <c r="AQ171" s="206" t="s">
        <v>2675</v>
      </c>
      <c r="AR171" s="593" t="s">
        <v>3207</v>
      </c>
      <c r="AS171" s="483" t="str">
        <f>IF(COUNTA(AG171)=1,LEFT(D171,3),"")</f>
        <v>6-2</v>
      </c>
      <c r="AT171" s="485" t="str">
        <f>IF(AND(COUNTA(O171)=1,COUNTA(P171)=1,COUNTA(AC171)=1,COUNTA(AF171)=1,COUNTA(AG171)=0),LEFT(D171,3),"")</f>
        <v/>
      </c>
      <c r="AU171" s="487" t="str">
        <f>IF(AND(COUNTA(O171)=1,COUNTA(P171)=1,COUNTA(AC171)=1,COUNTA(AF171)=0,COUNTA(AG171)=0),LEFT(D171,3),"")</f>
        <v/>
      </c>
      <c r="AV171" s="489" t="str">
        <f>IF(AND(COUNTA(P171)=0,COUNTA(AC171)=1),LEFT(D171,3),"")</f>
        <v/>
      </c>
      <c r="AW171" s="491" t="str">
        <f>IF(AND(COUNTA(P171)=1,COUNTA(AC171)=0),LEFT(D171,3),"")</f>
        <v/>
      </c>
      <c r="AX171" s="493" t="str">
        <f>IF(AND(COUNTA(P171)=0,COUNTA(AC171)=0),LEFT(D171,3),"")</f>
        <v/>
      </c>
      <c r="AY171" s="514" t="str">
        <f>IFERROR(VLOOKUP(功能_33[[#This Row],[功能代號]],SIT_FT_2021tmp!D:D,1,FALSE),"")</f>
        <v>L6904</v>
      </c>
      <c r="AZ171" s="587">
        <v>44529</v>
      </c>
      <c r="BA171" s="587">
        <v>44529</v>
      </c>
      <c r="BB171" s="514" t="s">
        <v>3073</v>
      </c>
      <c r="BC171" s="265" t="s">
        <v>3035</v>
      </c>
      <c r="BD171" s="593"/>
      <c r="BE171" s="264" t="str">
        <f>IF(AND(COUNTIF(AY171,"&gt;&lt;0")=1,COUNTA(M171)=1),LEFT(D171,3),"")</f>
        <v>6-2</v>
      </c>
      <c r="BF171" s="264" t="str">
        <f>IF(AND(COUNTIF(AY171,"&gt;&lt;")=1,COUNTA(M171)=0),LEFT(D171,3),"")</f>
        <v/>
      </c>
      <c r="BG171" s="264" t="str">
        <f>IF(AND(COUNTIF(AY171,"&gt;&lt;0")=0,COUNTA(M171)=1),LEFT(D171,3),"")</f>
        <v/>
      </c>
      <c r="BH171" s="264" t="str">
        <f>IF(AND(COUNTIF(AY171,"&gt;&lt;0")=0,COUNTA(M171)=0),LEFT(D171,3),"")</f>
        <v/>
      </c>
    </row>
    <row r="172" spans="3:60" ht="13.5" x14ac:dyDescent="0.3">
      <c r="C172" s="265" t="s">
        <v>70</v>
      </c>
      <c r="D172" s="265" t="s">
        <v>2461</v>
      </c>
      <c r="E172" s="264" t="s">
        <v>764</v>
      </c>
      <c r="F172" s="265" t="s">
        <v>765</v>
      </c>
      <c r="G172" s="265"/>
      <c r="H172" s="264" t="s">
        <v>166</v>
      </c>
      <c r="I172" s="264" t="s">
        <v>287</v>
      </c>
      <c r="J172" s="212" t="s">
        <v>389</v>
      </c>
      <c r="K172" s="212"/>
      <c r="L172" s="272">
        <v>44573</v>
      </c>
      <c r="M172" s="272">
        <v>44571</v>
      </c>
      <c r="N172" s="272">
        <v>44487</v>
      </c>
      <c r="O172" s="272">
        <v>44487</v>
      </c>
      <c r="P172" s="272">
        <v>44494</v>
      </c>
      <c r="Q172" s="264" t="s">
        <v>6</v>
      </c>
      <c r="R172" s="264" t="s">
        <v>5</v>
      </c>
      <c r="S172" s="264" t="s">
        <v>5</v>
      </c>
      <c r="X172" s="264"/>
      <c r="Z172" s="264"/>
      <c r="AA172" s="264"/>
      <c r="AB172" s="265" t="str">
        <f>VLOOKUP(功能_33[[#This Row],[User]],SKL放款!A:G,7,FALSE)</f>
        <v>放款服務課</v>
      </c>
      <c r="AC172" s="272">
        <v>44494</v>
      </c>
      <c r="AD172" s="272" t="s">
        <v>107</v>
      </c>
      <c r="AE172" s="272" t="s">
        <v>2585</v>
      </c>
      <c r="AF172" s="272">
        <v>44544</v>
      </c>
      <c r="AG172" s="209">
        <v>44544</v>
      </c>
      <c r="AH172" s="272"/>
      <c r="AI172" s="272"/>
      <c r="AJ172" s="322"/>
      <c r="AK172" s="272">
        <f>IFERROR(IF(VLOOKUP(功能_33[[#This Row],[功能代號]],E:U,11,FALSE)=0,"",VLOOKUP(功能_33[[#This Row],[功能代號]],E:U,11,FALSE)),"")</f>
        <v>44487</v>
      </c>
      <c r="AL172" s="272"/>
      <c r="AM172" s="272"/>
      <c r="AN172" s="265"/>
      <c r="AO172" s="211" t="s">
        <v>766</v>
      </c>
      <c r="AP172" s="264" t="s">
        <v>163</v>
      </c>
      <c r="AQ172" s="264" t="s">
        <v>163</v>
      </c>
      <c r="AR172" s="593" t="s">
        <v>3207</v>
      </c>
      <c r="AS172" s="483" t="str">
        <f>IF(COUNTA(AG172)=1,LEFT(D172,3),"")</f>
        <v>6-2</v>
      </c>
      <c r="AT172" s="485" t="str">
        <f>IF(AND(COUNTA(O172)=1,COUNTA(P172)=1,COUNTA(AC172)=1,COUNTA(AF172)=1,COUNTA(AG172)=0),LEFT(D172,3),"")</f>
        <v/>
      </c>
      <c r="AU172" s="487" t="str">
        <f>IF(AND(COUNTA(O172)=1,COUNTA(P172)=1,COUNTA(AC172)=1,COUNTA(AF172)=0,COUNTA(AG172)=0),LEFT(D172,3),"")</f>
        <v/>
      </c>
      <c r="AV172" s="489" t="str">
        <f>IF(AND(COUNTA(P172)=0,COUNTA(AC172)=1),LEFT(D172,3),"")</f>
        <v/>
      </c>
      <c r="AW172" s="491" t="str">
        <f>IF(AND(COUNTA(P172)=1,COUNTA(AC172)=0),LEFT(D172,3),"")</f>
        <v/>
      </c>
      <c r="AX172" s="493" t="str">
        <f>IF(AND(COUNTA(P172)=0,COUNTA(AC172)=0),LEFT(D172,3),"")</f>
        <v/>
      </c>
      <c r="AY172" s="514" t="str">
        <f>IFERROR(VLOOKUP(功能_33[[#This Row],[功能代號]],SIT_FT_2021tmp!D:D,1,FALSE),"")</f>
        <v>L6905</v>
      </c>
      <c r="AZ172" s="587">
        <v>44529</v>
      </c>
      <c r="BA172" s="587">
        <v>44529</v>
      </c>
      <c r="BB172" s="514" t="s">
        <v>3073</v>
      </c>
      <c r="BC172" s="265" t="s">
        <v>3035</v>
      </c>
      <c r="BD172" s="593"/>
      <c r="BE172" s="264" t="str">
        <f>IF(AND(COUNTIF(AY172,"&gt;&lt;0")=1,COUNTA(M172)=1),LEFT(D172,3),"")</f>
        <v>6-2</v>
      </c>
      <c r="BF172" s="264" t="str">
        <f>IF(AND(COUNTIF(AY172,"&gt;&lt;")=1,COUNTA(M172)=0),LEFT(D172,3),"")</f>
        <v/>
      </c>
      <c r="BG172" s="264" t="str">
        <f>IF(AND(COUNTIF(AY172,"&gt;&lt;0")=0,COUNTA(M172)=1),LEFT(D172,3),"")</f>
        <v/>
      </c>
      <c r="BH172" s="264" t="str">
        <f>IF(AND(COUNTIF(AY172,"&gt;&lt;0")=0,COUNTA(M172)=0),LEFT(D172,3),"")</f>
        <v/>
      </c>
    </row>
    <row r="173" spans="3:60" ht="13.5" x14ac:dyDescent="0.3">
      <c r="C173" s="265" t="s">
        <v>70</v>
      </c>
      <c r="D173" s="265" t="s">
        <v>2461</v>
      </c>
      <c r="E173" s="264" t="s">
        <v>767</v>
      </c>
      <c r="F173" s="265" t="s">
        <v>768</v>
      </c>
      <c r="G173" s="265"/>
      <c r="H173" s="264" t="s">
        <v>166</v>
      </c>
      <c r="I173" s="264" t="s">
        <v>287</v>
      </c>
      <c r="J173" s="212" t="s">
        <v>389</v>
      </c>
      <c r="K173" s="212"/>
      <c r="L173" s="272">
        <v>44573</v>
      </c>
      <c r="M173" s="272">
        <v>44571</v>
      </c>
      <c r="N173" s="272">
        <v>44487</v>
      </c>
      <c r="O173" s="272">
        <v>44487</v>
      </c>
      <c r="P173" s="272">
        <v>44487</v>
      </c>
      <c r="Q173" s="264" t="s">
        <v>6</v>
      </c>
      <c r="R173" s="264" t="s">
        <v>145</v>
      </c>
      <c r="S173" s="264" t="s">
        <v>145</v>
      </c>
      <c r="X173" s="264"/>
      <c r="Z173" s="264"/>
      <c r="AA173" s="264"/>
      <c r="AB173" s="265" t="str">
        <f>VLOOKUP(功能_33[[#This Row],[User]],SKL放款!A:G,7,FALSE)</f>
        <v>放款服務課</v>
      </c>
      <c r="AC173" s="272">
        <v>44533</v>
      </c>
      <c r="AD173" s="272" t="s">
        <v>168</v>
      </c>
      <c r="AE173" s="272">
        <v>44529</v>
      </c>
      <c r="AF173" s="272">
        <v>44529</v>
      </c>
      <c r="AG173" s="209">
        <v>44544</v>
      </c>
      <c r="AH173" s="272"/>
      <c r="AI173" s="272"/>
      <c r="AJ173" s="322"/>
      <c r="AK173" s="272">
        <f>IFERROR(IF(VLOOKUP(功能_33[[#This Row],[功能代號]],E:U,11,FALSE)=0,"",VLOOKUP(功能_33[[#This Row],[功能代號]],E:U,11,FALSE)),"")</f>
        <v>44487</v>
      </c>
      <c r="AL173" s="272"/>
      <c r="AM173" s="272"/>
      <c r="AN173" s="265"/>
      <c r="AO173" s="272"/>
      <c r="AP173" s="264" t="s">
        <v>163</v>
      </c>
      <c r="AQ173" s="264" t="s">
        <v>163</v>
      </c>
      <c r="AR173" s="593" t="s">
        <v>3207</v>
      </c>
      <c r="AS173" s="483" t="str">
        <f>IF(COUNTA(AG173)=1,LEFT(D173,3),"")</f>
        <v>6-2</v>
      </c>
      <c r="AT173" s="485" t="str">
        <f>IF(AND(COUNTA(O173)=1,COUNTA(P173)=1,COUNTA(AC173)=1,COUNTA(AF173)=1,COUNTA(AG173)=0),LEFT(D173,3),"")</f>
        <v/>
      </c>
      <c r="AU173" s="487" t="str">
        <f>IF(AND(COUNTA(O173)=1,COUNTA(P173)=1,COUNTA(AC173)=1,COUNTA(AF173)=0,COUNTA(AG173)=0),LEFT(D173,3),"")</f>
        <v/>
      </c>
      <c r="AV173" s="489" t="str">
        <f>IF(AND(COUNTA(P173)=0,COUNTA(AC173)=1),LEFT(D173,3),"")</f>
        <v/>
      </c>
      <c r="AW173" s="491" t="str">
        <f>IF(AND(COUNTA(P173)=1,COUNTA(AC173)=0),LEFT(D173,3),"")</f>
        <v/>
      </c>
      <c r="AX173" s="493" t="str">
        <f>IF(AND(COUNTA(P173)=0,COUNTA(AC173)=0),LEFT(D173,3),"")</f>
        <v/>
      </c>
      <c r="AY173" s="514" t="str">
        <f>IFERROR(VLOOKUP(功能_33[[#This Row],[功能代號]],SIT_FT_2021tmp!D:D,1,FALSE),"")</f>
        <v>L6906</v>
      </c>
      <c r="AZ173" s="587">
        <v>44517</v>
      </c>
      <c r="BA173" s="587">
        <v>44517</v>
      </c>
      <c r="BB173" s="514" t="s">
        <v>3073</v>
      </c>
      <c r="BC173" s="265" t="s">
        <v>3034</v>
      </c>
      <c r="BD173" s="593"/>
      <c r="BE173" s="264" t="str">
        <f>IF(AND(COUNTIF(AY173,"&gt;&lt;0")=1,COUNTA(M173)=1),LEFT(D173,3),"")</f>
        <v>6-2</v>
      </c>
      <c r="BF173" s="264" t="str">
        <f>IF(AND(COUNTIF(AY173,"&gt;&lt;")=1,COUNTA(M173)=0),LEFT(D173,3),"")</f>
        <v/>
      </c>
      <c r="BG173" s="264" t="str">
        <f>IF(AND(COUNTIF(AY173,"&gt;&lt;0")=0,COUNTA(M173)=1),LEFT(D173,3),"")</f>
        <v/>
      </c>
      <c r="BH173" s="264" t="str">
        <f>IF(AND(COUNTIF(AY173,"&gt;&lt;0")=0,COUNTA(M173)=0),LEFT(D173,3),"")</f>
        <v/>
      </c>
    </row>
    <row r="174" spans="3:60" ht="13.5" x14ac:dyDescent="0.3">
      <c r="C174" s="265" t="s">
        <v>70</v>
      </c>
      <c r="D174" s="265" t="s">
        <v>2461</v>
      </c>
      <c r="E174" s="264" t="s">
        <v>769</v>
      </c>
      <c r="F174" s="265" t="s">
        <v>770</v>
      </c>
      <c r="G174" s="265"/>
      <c r="H174" s="264" t="s">
        <v>166</v>
      </c>
      <c r="I174" s="264" t="s">
        <v>287</v>
      </c>
      <c r="J174" s="212" t="s">
        <v>389</v>
      </c>
      <c r="K174" s="212"/>
      <c r="L174" s="272">
        <v>44573</v>
      </c>
      <c r="M174" s="272">
        <v>44571</v>
      </c>
      <c r="N174" s="272">
        <v>44487</v>
      </c>
      <c r="O174" s="272">
        <v>44487</v>
      </c>
      <c r="P174" s="272">
        <v>44487</v>
      </c>
      <c r="Q174" s="264" t="s">
        <v>1</v>
      </c>
      <c r="R174" s="264" t="s">
        <v>5</v>
      </c>
      <c r="S174" s="264" t="s">
        <v>5</v>
      </c>
      <c r="X174" s="264"/>
      <c r="Z174" s="264"/>
      <c r="AA174" s="264"/>
      <c r="AB174" s="265" t="str">
        <f>VLOOKUP(功能_33[[#This Row],[User]],SKL放款!A:G,7,FALSE)</f>
        <v>放款服務課</v>
      </c>
      <c r="AC174" s="272">
        <v>44533</v>
      </c>
      <c r="AD174" s="272" t="s">
        <v>168</v>
      </c>
      <c r="AE174" s="272">
        <v>44529</v>
      </c>
      <c r="AF174" s="272">
        <v>44529</v>
      </c>
      <c r="AG174" s="209">
        <v>44544</v>
      </c>
      <c r="AH174" s="272"/>
      <c r="AI174" s="272"/>
      <c r="AJ174" s="322"/>
      <c r="AK174" s="272">
        <f>IFERROR(IF(VLOOKUP(功能_33[[#This Row],[功能代號]],E:U,11,FALSE)=0,"",VLOOKUP(功能_33[[#This Row],[功能代號]],E:U,11,FALSE)),"")</f>
        <v>44487</v>
      </c>
      <c r="AL174" s="272"/>
      <c r="AM174" s="272"/>
      <c r="AN174" s="265"/>
      <c r="AO174" s="272"/>
      <c r="AP174" s="264" t="s">
        <v>163</v>
      </c>
      <c r="AQ174" s="264" t="s">
        <v>163</v>
      </c>
      <c r="AR174" s="593" t="s">
        <v>3207</v>
      </c>
      <c r="AS174" s="483" t="str">
        <f>IF(COUNTA(AG174)=1,LEFT(D174,3),"")</f>
        <v>6-2</v>
      </c>
      <c r="AT174" s="485" t="str">
        <f>IF(AND(COUNTA(O174)=1,COUNTA(P174)=1,COUNTA(AC174)=1,COUNTA(AF174)=1,COUNTA(AG174)=0),LEFT(D174,3),"")</f>
        <v/>
      </c>
      <c r="AU174" s="487" t="str">
        <f>IF(AND(COUNTA(O174)=1,COUNTA(P174)=1,COUNTA(AC174)=1,COUNTA(AF174)=0,COUNTA(AG174)=0),LEFT(D174,3),"")</f>
        <v/>
      </c>
      <c r="AV174" s="489" t="str">
        <f>IF(AND(COUNTA(P174)=0,COUNTA(AC174)=1),LEFT(D174,3),"")</f>
        <v/>
      </c>
      <c r="AW174" s="491" t="str">
        <f>IF(AND(COUNTA(P174)=1,COUNTA(AC174)=0),LEFT(D174,3),"")</f>
        <v/>
      </c>
      <c r="AX174" s="493" t="str">
        <f>IF(AND(COUNTA(P174)=0,COUNTA(AC174)=0),LEFT(D174,3),"")</f>
        <v/>
      </c>
      <c r="AY174" s="514" t="str">
        <f>IFERROR(VLOOKUP(功能_33[[#This Row],[功能代號]],SIT_FT_2021tmp!D:D,1,FALSE),"")</f>
        <v>L6907</v>
      </c>
      <c r="AZ174" s="587">
        <v>44517</v>
      </c>
      <c r="BA174" s="587">
        <v>44517</v>
      </c>
      <c r="BB174" s="514" t="s">
        <v>3073</v>
      </c>
      <c r="BC174" s="265" t="s">
        <v>3034</v>
      </c>
      <c r="BD174" s="593"/>
      <c r="BE174" s="264" t="str">
        <f>IF(AND(COUNTIF(AY174,"&gt;&lt;0")=1,COUNTA(M174)=1),LEFT(D174,3),"")</f>
        <v>6-2</v>
      </c>
      <c r="BF174" s="264" t="str">
        <f>IF(AND(COUNTIF(AY174,"&gt;&lt;")=1,COUNTA(M174)=0),LEFT(D174,3),"")</f>
        <v/>
      </c>
      <c r="BG174" s="264" t="str">
        <f>IF(AND(COUNTIF(AY174,"&gt;&lt;0")=0,COUNTA(M174)=1),LEFT(D174,3),"")</f>
        <v/>
      </c>
      <c r="BH174" s="264" t="str">
        <f>IF(AND(COUNTIF(AY174,"&gt;&lt;0")=0,COUNTA(M174)=0),LEFT(D174,3),"")</f>
        <v/>
      </c>
    </row>
    <row r="175" spans="3:60" ht="13.5" x14ac:dyDescent="0.3">
      <c r="C175" s="265" t="s">
        <v>70</v>
      </c>
      <c r="D175" s="265" t="s">
        <v>2461</v>
      </c>
      <c r="E175" s="264" t="s">
        <v>771</v>
      </c>
      <c r="F175" s="265" t="s">
        <v>772</v>
      </c>
      <c r="G175" s="265"/>
      <c r="H175" s="264" t="s">
        <v>166</v>
      </c>
      <c r="I175" s="264" t="s">
        <v>287</v>
      </c>
      <c r="J175" s="212" t="s">
        <v>389</v>
      </c>
      <c r="K175" s="212"/>
      <c r="L175" s="272">
        <v>44573</v>
      </c>
      <c r="M175" s="272">
        <v>44571</v>
      </c>
      <c r="N175" s="272">
        <v>44487</v>
      </c>
      <c r="O175" s="272">
        <v>44487</v>
      </c>
      <c r="P175" s="272">
        <v>44494</v>
      </c>
      <c r="Q175" s="264" t="s">
        <v>6</v>
      </c>
      <c r="R175" s="264" t="s">
        <v>5</v>
      </c>
      <c r="S175" s="264" t="s">
        <v>5</v>
      </c>
      <c r="X175" s="264"/>
      <c r="Z175" s="264"/>
      <c r="AA175" s="264"/>
      <c r="AB175" s="265" t="str">
        <f>VLOOKUP(功能_33[[#This Row],[User]],SKL放款!A:G,7,FALSE)</f>
        <v>放款服務課</v>
      </c>
      <c r="AC175" s="272">
        <v>44494</v>
      </c>
      <c r="AD175" s="272" t="s">
        <v>107</v>
      </c>
      <c r="AE175" s="272" t="s">
        <v>2585</v>
      </c>
      <c r="AF175" s="272">
        <v>44544</v>
      </c>
      <c r="AG175" s="209">
        <v>44544</v>
      </c>
      <c r="AH175" s="272"/>
      <c r="AI175" s="272"/>
      <c r="AJ175" s="322"/>
      <c r="AK175" s="272">
        <f>IFERROR(IF(VLOOKUP(功能_33[[#This Row],[功能代號]],E:U,11,FALSE)=0,"",VLOOKUP(功能_33[[#This Row],[功能代號]],E:U,11,FALSE)),"")</f>
        <v>44487</v>
      </c>
      <c r="AL175" s="272"/>
      <c r="AM175" s="272"/>
      <c r="AN175" s="265"/>
      <c r="AO175" s="211" t="s">
        <v>766</v>
      </c>
      <c r="AP175" s="264" t="s">
        <v>163</v>
      </c>
      <c r="AQ175" s="264" t="s">
        <v>163</v>
      </c>
      <c r="AR175" s="593" t="s">
        <v>3207</v>
      </c>
      <c r="AS175" s="483" t="str">
        <f>IF(COUNTA(AG175)=1,LEFT(D175,3),"")</f>
        <v>6-2</v>
      </c>
      <c r="AT175" s="485" t="str">
        <f>IF(AND(COUNTA(O175)=1,COUNTA(P175)=1,COUNTA(AC175)=1,COUNTA(AF175)=1,COUNTA(AG175)=0),LEFT(D175,3),"")</f>
        <v/>
      </c>
      <c r="AU175" s="487" t="str">
        <f>IF(AND(COUNTA(O175)=1,COUNTA(P175)=1,COUNTA(AC175)=1,COUNTA(AF175)=0,COUNTA(AG175)=0),LEFT(D175,3),"")</f>
        <v/>
      </c>
      <c r="AV175" s="489" t="str">
        <f>IF(AND(COUNTA(P175)=0,COUNTA(AC175)=1),LEFT(D175,3),"")</f>
        <v/>
      </c>
      <c r="AW175" s="491" t="str">
        <f>IF(AND(COUNTA(P175)=1,COUNTA(AC175)=0),LEFT(D175,3),"")</f>
        <v/>
      </c>
      <c r="AX175" s="493" t="str">
        <f>IF(AND(COUNTA(P175)=0,COUNTA(AC175)=0),LEFT(D175,3),"")</f>
        <v/>
      </c>
      <c r="AY175" s="514" t="str">
        <f>IFERROR(VLOOKUP(功能_33[[#This Row],[功能代號]],SIT_FT_2021tmp!D:D,1,FALSE),"")</f>
        <v>L6908</v>
      </c>
      <c r="AZ175" s="587">
        <v>44517</v>
      </c>
      <c r="BA175" s="587">
        <v>44517</v>
      </c>
      <c r="BB175" s="514" t="s">
        <v>3073</v>
      </c>
      <c r="BC175" s="265" t="s">
        <v>3034</v>
      </c>
      <c r="BD175" s="593"/>
      <c r="BE175" s="264" t="str">
        <f>IF(AND(COUNTIF(AY175,"&gt;&lt;0")=1,COUNTA(M175)=1),LEFT(D175,3),"")</f>
        <v>6-2</v>
      </c>
      <c r="BF175" s="264" t="str">
        <f>IF(AND(COUNTIF(AY175,"&gt;&lt;")=1,COUNTA(M175)=0),LEFT(D175,3),"")</f>
        <v/>
      </c>
      <c r="BG175" s="264" t="str">
        <f>IF(AND(COUNTIF(AY175,"&gt;&lt;0")=0,COUNTA(M175)=1),LEFT(D175,3),"")</f>
        <v/>
      </c>
      <c r="BH175" s="264" t="str">
        <f>IF(AND(COUNTIF(AY175,"&gt;&lt;0")=0,COUNTA(M175)=0),LEFT(D175,3),"")</f>
        <v/>
      </c>
    </row>
    <row r="176" spans="3:60" ht="13.5" x14ac:dyDescent="0.3">
      <c r="C176" s="265" t="s">
        <v>70</v>
      </c>
      <c r="D176" s="265" t="s">
        <v>2462</v>
      </c>
      <c r="E176" s="264" t="s">
        <v>514</v>
      </c>
      <c r="F176" s="265" t="s">
        <v>515</v>
      </c>
      <c r="G176" s="265"/>
      <c r="H176" s="264" t="s">
        <v>166</v>
      </c>
      <c r="I176" s="264" t="s">
        <v>287</v>
      </c>
      <c r="J176" s="212" t="s">
        <v>389</v>
      </c>
      <c r="K176" s="212"/>
      <c r="L176" s="272">
        <v>44572</v>
      </c>
      <c r="M176" s="272">
        <v>44568</v>
      </c>
      <c r="N176" s="272">
        <v>44515</v>
      </c>
      <c r="O176" s="272">
        <v>44466</v>
      </c>
      <c r="P176" s="272">
        <v>44472</v>
      </c>
      <c r="Q176" s="264" t="s">
        <v>6</v>
      </c>
      <c r="R176" s="264" t="s">
        <v>15</v>
      </c>
      <c r="S176" s="264" t="s">
        <v>15</v>
      </c>
      <c r="X176" s="264"/>
      <c r="Z176" s="264"/>
      <c r="AA176" s="264"/>
      <c r="AB176" s="265" t="str">
        <f>VLOOKUP(功能_33[[#This Row],[User]],SKL放款!A:G,7,FALSE)</f>
        <v>放款服務課</v>
      </c>
      <c r="AC176" s="272">
        <v>44472</v>
      </c>
      <c r="AD176" s="272" t="s">
        <v>107</v>
      </c>
      <c r="AE176" s="209" t="s">
        <v>2676</v>
      </c>
      <c r="AF176" s="272">
        <v>44539</v>
      </c>
      <c r="AG176" s="209">
        <v>44544</v>
      </c>
      <c r="AH176" s="272"/>
      <c r="AI176" s="272"/>
      <c r="AJ176" s="322"/>
      <c r="AK176" s="272">
        <f>IFERROR(IF(VLOOKUP(功能_33[[#This Row],[功能代號]],E:U,11,FALSE)=0,"",VLOOKUP(功能_33[[#This Row],[功能代號]],E:U,11,FALSE)),"")</f>
        <v>44466</v>
      </c>
      <c r="AL176" s="272"/>
      <c r="AM176" s="272"/>
      <c r="AN176" s="265"/>
      <c r="AO176" s="272"/>
      <c r="AP176" s="264" t="s">
        <v>163</v>
      </c>
      <c r="AQ176" s="264" t="s">
        <v>163</v>
      </c>
      <c r="AR176" s="593" t="s">
        <v>3207</v>
      </c>
      <c r="AS176" s="483" t="str">
        <f>IF(COUNTA(AG176)=1,LEFT(D176,3),"")</f>
        <v>6-3</v>
      </c>
      <c r="AT176" s="485" t="str">
        <f>IF(AND(COUNTA(O176)=1,COUNTA(P176)=1,COUNTA(AC176)=1,COUNTA(AF176)=1,COUNTA(AG176)=0),LEFT(D176,3),"")</f>
        <v/>
      </c>
      <c r="AU176" s="487" t="str">
        <f>IF(AND(COUNTA(O176)=1,COUNTA(P176)=1,COUNTA(AC176)=1,COUNTA(AF176)=0,COUNTA(AG176)=0),LEFT(D176,3),"")</f>
        <v/>
      </c>
      <c r="AV176" s="489" t="str">
        <f>IF(AND(COUNTA(P176)=0,COUNTA(AC176)=1),LEFT(D176,3),"")</f>
        <v/>
      </c>
      <c r="AW176" s="491" t="str">
        <f>IF(AND(COUNTA(P176)=1,COUNTA(AC176)=0),LEFT(D176,3),"")</f>
        <v/>
      </c>
      <c r="AX176" s="493" t="str">
        <f>IF(AND(COUNTA(P176)=0,COUNTA(AC176)=0),LEFT(D176,3),"")</f>
        <v/>
      </c>
      <c r="AY176" s="514" t="str">
        <f>IFERROR(VLOOKUP(功能_33[[#This Row],[功能代號]],SIT_FT_2021tmp!D:D,1,FALSE),"")</f>
        <v>L6030</v>
      </c>
      <c r="AZ176" s="587">
        <v>44512</v>
      </c>
      <c r="BA176" s="587">
        <v>44512</v>
      </c>
      <c r="BB176" s="514" t="s">
        <v>3000</v>
      </c>
      <c r="BC176" s="265" t="s">
        <v>3036</v>
      </c>
      <c r="BD176" s="593"/>
      <c r="BE176" s="264" t="str">
        <f>IF(AND(COUNTIF(AY176,"&gt;&lt;0")=1,COUNTA(M176)=1),LEFT(D176,3),"")</f>
        <v>6-3</v>
      </c>
      <c r="BF176" s="264" t="str">
        <f>IF(AND(COUNTIF(AY176,"&gt;&lt;")=1,COUNTA(M176)=0),LEFT(D176,3),"")</f>
        <v/>
      </c>
      <c r="BG176" s="264" t="str">
        <f>IF(AND(COUNTIF(AY176,"&gt;&lt;0")=0,COUNTA(M176)=1),LEFT(D176,3),"")</f>
        <v/>
      </c>
      <c r="BH176" s="264" t="str">
        <f>IF(AND(COUNTIF(AY176,"&gt;&lt;0")=0,COUNTA(M176)=0),LEFT(D176,3),"")</f>
        <v/>
      </c>
    </row>
    <row r="177" spans="1:60" ht="13.5" x14ac:dyDescent="0.3">
      <c r="C177" s="265" t="s">
        <v>70</v>
      </c>
      <c r="D177" s="265" t="s">
        <v>2462</v>
      </c>
      <c r="E177" s="264" t="s">
        <v>516</v>
      </c>
      <c r="F177" s="265" t="s">
        <v>517</v>
      </c>
      <c r="G177" s="265"/>
      <c r="H177" s="264" t="s">
        <v>166</v>
      </c>
      <c r="I177" s="264" t="s">
        <v>287</v>
      </c>
      <c r="J177" s="212" t="s">
        <v>389</v>
      </c>
      <c r="K177" s="212"/>
      <c r="L177" s="272">
        <v>44572</v>
      </c>
      <c r="M177" s="272">
        <v>44568</v>
      </c>
      <c r="N177" s="272">
        <v>44515</v>
      </c>
      <c r="O177" s="272">
        <v>44466</v>
      </c>
      <c r="P177" s="272">
        <v>44472</v>
      </c>
      <c r="Q177" s="264" t="s">
        <v>6</v>
      </c>
      <c r="R177" s="264" t="s">
        <v>15</v>
      </c>
      <c r="S177" s="264" t="s">
        <v>15</v>
      </c>
      <c r="X177" s="264"/>
      <c r="Z177" s="264"/>
      <c r="AA177" s="264"/>
      <c r="AB177" s="265" t="str">
        <f>VLOOKUP(功能_33[[#This Row],[User]],SKL放款!A:G,7,FALSE)</f>
        <v>放款服務課</v>
      </c>
      <c r="AC177" s="272">
        <v>44472</v>
      </c>
      <c r="AD177" s="272" t="s">
        <v>2557</v>
      </c>
      <c r="AE177" s="209" t="s">
        <v>2676</v>
      </c>
      <c r="AF177" s="272">
        <v>44539</v>
      </c>
      <c r="AG177" s="209">
        <v>44544</v>
      </c>
      <c r="AH177" s="272"/>
      <c r="AI177" s="272"/>
      <c r="AJ177" s="322"/>
      <c r="AK177" s="272">
        <f>IFERROR(IF(VLOOKUP(功能_33[[#This Row],[功能代號]],E:U,11,FALSE)=0,"",VLOOKUP(功能_33[[#This Row],[功能代號]],E:U,11,FALSE)),"")</f>
        <v>44466</v>
      </c>
      <c r="AL177" s="272"/>
      <c r="AM177" s="272"/>
      <c r="AN177" s="265"/>
      <c r="AO177" s="272"/>
      <c r="AP177" s="264" t="s">
        <v>163</v>
      </c>
      <c r="AQ177" s="264" t="s">
        <v>163</v>
      </c>
      <c r="AR177" s="593" t="s">
        <v>3207</v>
      </c>
      <c r="AS177" s="483" t="str">
        <f>IF(COUNTA(AG177)=1,LEFT(D177,3),"")</f>
        <v>6-3</v>
      </c>
      <c r="AT177" s="485" t="str">
        <f>IF(AND(COUNTA(O177)=1,COUNTA(P177)=1,COUNTA(AC177)=1,COUNTA(AF177)=1,COUNTA(AG177)=0),LEFT(D177,3),"")</f>
        <v/>
      </c>
      <c r="AU177" s="487" t="str">
        <f>IF(AND(COUNTA(O177)=1,COUNTA(P177)=1,COUNTA(AC177)=1,COUNTA(AF177)=0,COUNTA(AG177)=0),LEFT(D177,3),"")</f>
        <v/>
      </c>
      <c r="AV177" s="489" t="str">
        <f>IF(AND(COUNTA(P177)=0,COUNTA(AC177)=1),LEFT(D177,3),"")</f>
        <v/>
      </c>
      <c r="AW177" s="491" t="str">
        <f>IF(AND(COUNTA(P177)=1,COUNTA(AC177)=0),LEFT(D177,3),"")</f>
        <v/>
      </c>
      <c r="AX177" s="493" t="str">
        <f>IF(AND(COUNTA(P177)=0,COUNTA(AC177)=0),LEFT(D177,3),"")</f>
        <v/>
      </c>
      <c r="AY177" s="514" t="str">
        <f>IFERROR(VLOOKUP(功能_33[[#This Row],[功能代號]],SIT_FT_2021tmp!D:D,1,FALSE),"")</f>
        <v>L6310</v>
      </c>
      <c r="AZ177" s="587">
        <v>44512</v>
      </c>
      <c r="BA177" s="587">
        <v>44512</v>
      </c>
      <c r="BB177" s="514" t="s">
        <v>3000</v>
      </c>
      <c r="BC177" s="265" t="s">
        <v>3036</v>
      </c>
      <c r="BD177" s="593"/>
      <c r="BE177" s="264" t="str">
        <f>IF(AND(COUNTIF(AY177,"&gt;&lt;0")=1,COUNTA(M177)=1),LEFT(D177,3),"")</f>
        <v>6-3</v>
      </c>
      <c r="BF177" s="264" t="str">
        <f>IF(AND(COUNTIF(AY177,"&gt;&lt;")=1,COUNTA(M177)=0),LEFT(D177,3),"")</f>
        <v/>
      </c>
      <c r="BG177" s="264" t="str">
        <f>IF(AND(COUNTIF(AY177,"&gt;&lt;0")=0,COUNTA(M177)=1),LEFT(D177,3),"")</f>
        <v/>
      </c>
      <c r="BH177" s="264" t="str">
        <f>IF(AND(COUNTIF(AY177,"&gt;&lt;0")=0,COUNTA(M177)=0),LEFT(D177,3),"")</f>
        <v/>
      </c>
    </row>
    <row r="178" spans="1:60" ht="13.5" x14ac:dyDescent="0.3">
      <c r="C178" s="265" t="s">
        <v>70</v>
      </c>
      <c r="D178" s="265" t="s">
        <v>2462</v>
      </c>
      <c r="E178" s="264" t="s">
        <v>814</v>
      </c>
      <c r="F178" s="265" t="s">
        <v>815</v>
      </c>
      <c r="G178" s="265"/>
      <c r="H178" s="264" t="s">
        <v>166</v>
      </c>
      <c r="I178" s="264" t="s">
        <v>287</v>
      </c>
      <c r="J178" s="212" t="s">
        <v>389</v>
      </c>
      <c r="K178" s="212"/>
      <c r="L178" s="272">
        <v>44572</v>
      </c>
      <c r="M178" s="272">
        <v>44568</v>
      </c>
      <c r="N178" s="272">
        <v>44489</v>
      </c>
      <c r="O178" s="272">
        <v>44489</v>
      </c>
      <c r="P178" s="272">
        <v>44494</v>
      </c>
      <c r="Q178" s="264" t="s">
        <v>6</v>
      </c>
      <c r="R178" s="264" t="s">
        <v>145</v>
      </c>
      <c r="S178" s="264" t="s">
        <v>145</v>
      </c>
      <c r="X178" s="264"/>
      <c r="Z178" s="264"/>
      <c r="AA178" s="264"/>
      <c r="AB178" s="265" t="str">
        <f>VLOOKUP(功能_33[[#This Row],[User]],SKL放款!A:G,7,FALSE)</f>
        <v>放款服務課</v>
      </c>
      <c r="AC178" s="272">
        <v>44494</v>
      </c>
      <c r="AD178" s="272" t="s">
        <v>107</v>
      </c>
      <c r="AE178" s="272" t="s">
        <v>2585</v>
      </c>
      <c r="AF178" s="272">
        <v>44544</v>
      </c>
      <c r="AG178" s="209">
        <v>44544</v>
      </c>
      <c r="AH178" s="272"/>
      <c r="AI178" s="272"/>
      <c r="AJ178" s="322"/>
      <c r="AK178" s="272">
        <f>IFERROR(IF(VLOOKUP(功能_33[[#This Row],[功能代號]],E:U,11,FALSE)=0,"",VLOOKUP(功能_33[[#This Row],[功能代號]],E:U,11,FALSE)),"")</f>
        <v>44489</v>
      </c>
      <c r="AL178" s="272"/>
      <c r="AM178" s="272"/>
      <c r="AN178" s="265"/>
      <c r="AO178" s="272"/>
      <c r="AP178" s="264" t="s">
        <v>163</v>
      </c>
      <c r="AQ178" s="264" t="s">
        <v>163</v>
      </c>
      <c r="AR178" s="593" t="s">
        <v>3207</v>
      </c>
      <c r="AS178" s="483" t="str">
        <f>IF(COUNTA(AG178)=1,LEFT(D178,3),"")</f>
        <v>6-3</v>
      </c>
      <c r="AT178" s="485" t="str">
        <f>IF(AND(COUNTA(O178)=1,COUNTA(P178)=1,COUNTA(AC178)=1,COUNTA(AF178)=1,COUNTA(AG178)=0),LEFT(D178,3),"")</f>
        <v/>
      </c>
      <c r="AU178" s="487" t="str">
        <f>IF(AND(COUNTA(O178)=1,COUNTA(P178)=1,COUNTA(AC178)=1,COUNTA(AF178)=0,COUNTA(AG178)=0),LEFT(D178,3),"")</f>
        <v/>
      </c>
      <c r="AV178" s="489" t="str">
        <f>IF(AND(COUNTA(P178)=0,COUNTA(AC178)=1),LEFT(D178,3),"")</f>
        <v/>
      </c>
      <c r="AW178" s="491" t="str">
        <f>IF(AND(COUNTA(P178)=1,COUNTA(AC178)=0),LEFT(D178,3),"")</f>
        <v/>
      </c>
      <c r="AX178" s="493" t="str">
        <f>IF(AND(COUNTA(P178)=0,COUNTA(AC178)=0),LEFT(D178,3),"")</f>
        <v/>
      </c>
      <c r="AY178" s="514" t="str">
        <f>IFERROR(VLOOKUP(功能_33[[#This Row],[功能代號]],SIT_FT_2021tmp!D:D,1,FALSE),"")</f>
        <v>L6031</v>
      </c>
      <c r="AZ178" s="587">
        <v>44512</v>
      </c>
      <c r="BA178" s="587">
        <v>44512</v>
      </c>
      <c r="BB178" s="514" t="s">
        <v>3000</v>
      </c>
      <c r="BC178" s="265" t="s">
        <v>3037</v>
      </c>
      <c r="BD178" s="593"/>
      <c r="BE178" s="264" t="str">
        <f>IF(AND(COUNTIF(AY178,"&gt;&lt;0")=1,COUNTA(M178)=1),LEFT(D178,3),"")</f>
        <v>6-3</v>
      </c>
      <c r="BF178" s="264" t="str">
        <f>IF(AND(COUNTIF(AY178,"&gt;&lt;")=1,COUNTA(M178)=0),LEFT(D178,3),"")</f>
        <v/>
      </c>
      <c r="BG178" s="264" t="str">
        <f>IF(AND(COUNTIF(AY178,"&gt;&lt;0")=0,COUNTA(M178)=1),LEFT(D178,3),"")</f>
        <v/>
      </c>
      <c r="BH178" s="264" t="str">
        <f>IF(AND(COUNTIF(AY178,"&gt;&lt;0")=0,COUNTA(M178)=0),LEFT(D178,3),"")</f>
        <v/>
      </c>
    </row>
    <row r="179" spans="1:60" ht="13.5" x14ac:dyDescent="0.3">
      <c r="C179" s="265" t="s">
        <v>70</v>
      </c>
      <c r="D179" s="265" t="s">
        <v>2462</v>
      </c>
      <c r="E179" s="264" t="s">
        <v>816</v>
      </c>
      <c r="F179" s="265" t="s">
        <v>817</v>
      </c>
      <c r="G179" s="265"/>
      <c r="H179" s="264" t="s">
        <v>166</v>
      </c>
      <c r="I179" s="264" t="s">
        <v>287</v>
      </c>
      <c r="J179" s="212" t="s">
        <v>389</v>
      </c>
      <c r="K179" s="212"/>
      <c r="L179" s="272">
        <v>44572</v>
      </c>
      <c r="M179" s="272">
        <v>44568</v>
      </c>
      <c r="N179" s="272">
        <v>44489</v>
      </c>
      <c r="O179" s="272">
        <v>44489</v>
      </c>
      <c r="P179" s="272">
        <v>44494</v>
      </c>
      <c r="Q179" s="264" t="s">
        <v>6</v>
      </c>
      <c r="R179" s="264" t="s">
        <v>145</v>
      </c>
      <c r="S179" s="264" t="s">
        <v>145</v>
      </c>
      <c r="X179" s="264"/>
      <c r="Z179" s="264"/>
      <c r="AA179" s="264"/>
      <c r="AB179" s="265" t="str">
        <f>VLOOKUP(功能_33[[#This Row],[User]],SKL放款!A:G,7,FALSE)</f>
        <v>放款服務課</v>
      </c>
      <c r="AC179" s="272">
        <v>44494</v>
      </c>
      <c r="AD179" s="272" t="s">
        <v>107</v>
      </c>
      <c r="AE179" s="272" t="s">
        <v>2585</v>
      </c>
      <c r="AF179" s="272">
        <v>44544</v>
      </c>
      <c r="AG179" s="209">
        <v>44544</v>
      </c>
      <c r="AH179" s="272"/>
      <c r="AI179" s="272"/>
      <c r="AJ179" s="322"/>
      <c r="AK179" s="272">
        <f>IFERROR(IF(VLOOKUP(功能_33[[#This Row],[功能代號]],E:U,11,FALSE)=0,"",VLOOKUP(功能_33[[#This Row],[功能代號]],E:U,11,FALSE)),"")</f>
        <v>44489</v>
      </c>
      <c r="AL179" s="272"/>
      <c r="AM179" s="272"/>
      <c r="AN179" s="265"/>
      <c r="AO179" s="272"/>
      <c r="AP179" s="264" t="s">
        <v>163</v>
      </c>
      <c r="AQ179" s="264" t="s">
        <v>163</v>
      </c>
      <c r="AR179" s="593" t="s">
        <v>3207</v>
      </c>
      <c r="AS179" s="483" t="str">
        <f>IF(COUNTA(AG179)=1,LEFT(D179,3),"")</f>
        <v>6-3</v>
      </c>
      <c r="AT179" s="485" t="str">
        <f>IF(AND(COUNTA(O179)=1,COUNTA(P179)=1,COUNTA(AC179)=1,COUNTA(AF179)=1,COUNTA(AG179)=0),LEFT(D179,3),"")</f>
        <v/>
      </c>
      <c r="AU179" s="487" t="str">
        <f>IF(AND(COUNTA(O179)=1,COUNTA(P179)=1,COUNTA(AC179)=1,COUNTA(AF179)=0,COUNTA(AG179)=0),LEFT(D179,3),"")</f>
        <v/>
      </c>
      <c r="AV179" s="489" t="str">
        <f>IF(AND(COUNTA(P179)=0,COUNTA(AC179)=1),LEFT(D179,3),"")</f>
        <v/>
      </c>
      <c r="AW179" s="491" t="str">
        <f>IF(AND(COUNTA(P179)=1,COUNTA(AC179)=0),LEFT(D179,3),"")</f>
        <v/>
      </c>
      <c r="AX179" s="493" t="str">
        <f>IF(AND(COUNTA(P179)=0,COUNTA(AC179)=0),LEFT(D179,3),"")</f>
        <v/>
      </c>
      <c r="AY179" s="514" t="str">
        <f>IFERROR(VLOOKUP(功能_33[[#This Row],[功能代號]],SIT_FT_2021tmp!D:D,1,FALSE),"")</f>
        <v>L6032</v>
      </c>
      <c r="AZ179" s="587">
        <v>44512</v>
      </c>
      <c r="BA179" s="587">
        <v>44512</v>
      </c>
      <c r="BB179" s="514" t="s">
        <v>3000</v>
      </c>
      <c r="BC179" s="265" t="s">
        <v>3037</v>
      </c>
      <c r="BD179" s="593"/>
      <c r="BE179" s="264" t="str">
        <f>IF(AND(COUNTIF(AY179,"&gt;&lt;0")=1,COUNTA(M179)=1),LEFT(D179,3),"")</f>
        <v>6-3</v>
      </c>
      <c r="BF179" s="264" t="str">
        <f>IF(AND(COUNTIF(AY179,"&gt;&lt;")=1,COUNTA(M179)=0),LEFT(D179,3),"")</f>
        <v/>
      </c>
      <c r="BG179" s="264" t="str">
        <f>IF(AND(COUNTIF(AY179,"&gt;&lt;0")=0,COUNTA(M179)=1),LEFT(D179,3),"")</f>
        <v/>
      </c>
      <c r="BH179" s="264" t="str">
        <f>IF(AND(COUNTIF(AY179,"&gt;&lt;0")=0,COUNTA(M179)=0),LEFT(D179,3),"")</f>
        <v/>
      </c>
    </row>
    <row r="180" spans="1:60" ht="13.5" x14ac:dyDescent="0.3">
      <c r="C180" s="265" t="s">
        <v>70</v>
      </c>
      <c r="D180" s="265" t="s">
        <v>2462</v>
      </c>
      <c r="E180" s="264" t="s">
        <v>818</v>
      </c>
      <c r="F180" s="265" t="s">
        <v>819</v>
      </c>
      <c r="G180" s="265"/>
      <c r="H180" s="264" t="s">
        <v>166</v>
      </c>
      <c r="I180" s="264" t="s">
        <v>287</v>
      </c>
      <c r="J180" s="212" t="s">
        <v>389</v>
      </c>
      <c r="K180" s="212"/>
      <c r="L180" s="272">
        <v>44572</v>
      </c>
      <c r="M180" s="272">
        <v>44568</v>
      </c>
      <c r="N180" s="272">
        <v>44489</v>
      </c>
      <c r="O180" s="272">
        <v>44489</v>
      </c>
      <c r="P180" s="272">
        <v>44494</v>
      </c>
      <c r="Q180" s="264" t="s">
        <v>6</v>
      </c>
      <c r="R180" s="264" t="s">
        <v>145</v>
      </c>
      <c r="S180" s="264" t="s">
        <v>145</v>
      </c>
      <c r="X180" s="264"/>
      <c r="Z180" s="264"/>
      <c r="AA180" s="264"/>
      <c r="AB180" s="265" t="str">
        <f>VLOOKUP(功能_33[[#This Row],[User]],SKL放款!A:G,7,FALSE)</f>
        <v>放款服務課</v>
      </c>
      <c r="AC180" s="272">
        <v>44494</v>
      </c>
      <c r="AD180" s="272" t="s">
        <v>107</v>
      </c>
      <c r="AE180" s="272" t="s">
        <v>2585</v>
      </c>
      <c r="AF180" s="272">
        <v>44544</v>
      </c>
      <c r="AG180" s="209">
        <v>44544</v>
      </c>
      <c r="AH180" s="272"/>
      <c r="AI180" s="272"/>
      <c r="AJ180" s="322"/>
      <c r="AK180" s="272">
        <f>IFERROR(IF(VLOOKUP(功能_33[[#This Row],[功能代號]],E:U,11,FALSE)=0,"",VLOOKUP(功能_33[[#This Row],[功能代號]],E:U,11,FALSE)),"")</f>
        <v>44489</v>
      </c>
      <c r="AL180" s="272"/>
      <c r="AM180" s="272"/>
      <c r="AN180" s="265"/>
      <c r="AO180" s="272"/>
      <c r="AP180" s="264" t="s">
        <v>163</v>
      </c>
      <c r="AQ180" s="264" t="s">
        <v>163</v>
      </c>
      <c r="AR180" s="593" t="s">
        <v>3207</v>
      </c>
      <c r="AS180" s="483" t="str">
        <f>IF(COUNTA(AG180)=1,LEFT(D180,3),"")</f>
        <v>6-3</v>
      </c>
      <c r="AT180" s="485" t="str">
        <f>IF(AND(COUNTA(O180)=1,COUNTA(P180)=1,COUNTA(AC180)=1,COUNTA(AF180)=1,COUNTA(AG180)=0),LEFT(D180,3),"")</f>
        <v/>
      </c>
      <c r="AU180" s="487" t="str">
        <f>IF(AND(COUNTA(O180)=1,COUNTA(P180)=1,COUNTA(AC180)=1,COUNTA(AF180)=0,COUNTA(AG180)=0),LEFT(D180,3),"")</f>
        <v/>
      </c>
      <c r="AV180" s="489" t="str">
        <f>IF(AND(COUNTA(P180)=0,COUNTA(AC180)=1),LEFT(D180,3),"")</f>
        <v/>
      </c>
      <c r="AW180" s="491" t="str">
        <f>IF(AND(COUNTA(P180)=1,COUNTA(AC180)=0),LEFT(D180,3),"")</f>
        <v/>
      </c>
      <c r="AX180" s="493" t="str">
        <f>IF(AND(COUNTA(P180)=0,COUNTA(AC180)=0),LEFT(D180,3),"")</f>
        <v/>
      </c>
      <c r="AY180" s="514" t="str">
        <f>IFERROR(VLOOKUP(功能_33[[#This Row],[功能代號]],SIT_FT_2021tmp!D:D,1,FALSE),"")</f>
        <v>L6301</v>
      </c>
      <c r="AZ180" s="587">
        <v>44512</v>
      </c>
      <c r="BA180" s="587">
        <v>44512</v>
      </c>
      <c r="BB180" s="514" t="s">
        <v>3000</v>
      </c>
      <c r="BC180" s="265" t="s">
        <v>3037</v>
      </c>
      <c r="BD180" s="593"/>
      <c r="BE180" s="264" t="str">
        <f>IF(AND(COUNTIF(AY180,"&gt;&lt;0")=1,COUNTA(M180)=1),LEFT(D180,3),"")</f>
        <v>6-3</v>
      </c>
      <c r="BF180" s="264" t="str">
        <f>IF(AND(COUNTIF(AY180,"&gt;&lt;")=1,COUNTA(M180)=0),LEFT(D180,3),"")</f>
        <v/>
      </c>
      <c r="BG180" s="264" t="str">
        <f>IF(AND(COUNTIF(AY180,"&gt;&lt;0")=0,COUNTA(M180)=1),LEFT(D180,3),"")</f>
        <v/>
      </c>
      <c r="BH180" s="264" t="str">
        <f>IF(AND(COUNTIF(AY180,"&gt;&lt;0")=0,COUNTA(M180)=0),LEFT(D180,3),"")</f>
        <v/>
      </c>
    </row>
    <row r="181" spans="1:60" ht="13.5" x14ac:dyDescent="0.3">
      <c r="C181" s="265" t="s">
        <v>70</v>
      </c>
      <c r="D181" s="265" t="s">
        <v>2462</v>
      </c>
      <c r="E181" s="264" t="s">
        <v>820</v>
      </c>
      <c r="F181" s="265" t="s">
        <v>821</v>
      </c>
      <c r="G181" s="265"/>
      <c r="H181" s="264" t="s">
        <v>166</v>
      </c>
      <c r="I181" s="264" t="s">
        <v>287</v>
      </c>
      <c r="J181" s="212" t="s">
        <v>389</v>
      </c>
      <c r="K181" s="212"/>
      <c r="L181" s="272">
        <v>44572</v>
      </c>
      <c r="M181" s="272">
        <v>44568</v>
      </c>
      <c r="N181" s="272">
        <v>44489</v>
      </c>
      <c r="O181" s="272">
        <v>44489</v>
      </c>
      <c r="P181" s="272">
        <v>44494</v>
      </c>
      <c r="Q181" s="264" t="s">
        <v>6</v>
      </c>
      <c r="R181" s="264" t="s">
        <v>145</v>
      </c>
      <c r="S181" s="264" t="s">
        <v>145</v>
      </c>
      <c r="X181" s="264"/>
      <c r="Z181" s="264"/>
      <c r="AA181" s="264"/>
      <c r="AB181" s="265" t="str">
        <f>VLOOKUP(功能_33[[#This Row],[User]],SKL放款!A:G,7,FALSE)</f>
        <v>放款服務課</v>
      </c>
      <c r="AC181" s="272">
        <v>44494</v>
      </c>
      <c r="AD181" s="272" t="s">
        <v>107</v>
      </c>
      <c r="AE181" s="272" t="s">
        <v>2585</v>
      </c>
      <c r="AF181" s="272">
        <v>44544</v>
      </c>
      <c r="AG181" s="209">
        <v>44544</v>
      </c>
      <c r="AH181" s="272"/>
      <c r="AI181" s="272"/>
      <c r="AJ181" s="322"/>
      <c r="AK181" s="272">
        <f>IFERROR(IF(VLOOKUP(功能_33[[#This Row],[功能代號]],E:U,11,FALSE)=0,"",VLOOKUP(功能_33[[#This Row],[功能代號]],E:U,11,FALSE)),"")</f>
        <v>44489</v>
      </c>
      <c r="AL181" s="272"/>
      <c r="AM181" s="272"/>
      <c r="AN181" s="265"/>
      <c r="AO181" s="272"/>
      <c r="AP181" s="264" t="s">
        <v>163</v>
      </c>
      <c r="AQ181" s="264" t="s">
        <v>163</v>
      </c>
      <c r="AR181" s="593" t="s">
        <v>3208</v>
      </c>
      <c r="AS181" s="483" t="str">
        <f>IF(COUNTA(AG181)=1,LEFT(D181,3),"")</f>
        <v>6-3</v>
      </c>
      <c r="AT181" s="485" t="str">
        <f>IF(AND(COUNTA(O181)=1,COUNTA(P181)=1,COUNTA(AC181)=1,COUNTA(AF181)=1,COUNTA(AG181)=0),LEFT(D181,3),"")</f>
        <v/>
      </c>
      <c r="AU181" s="487" t="str">
        <f>IF(AND(COUNTA(O181)=1,COUNTA(P181)=1,COUNTA(AC181)=1,COUNTA(AF181)=0,COUNTA(AG181)=0),LEFT(D181,3),"")</f>
        <v/>
      </c>
      <c r="AV181" s="489" t="str">
        <f>IF(AND(COUNTA(P181)=0,COUNTA(AC181)=1),LEFT(D181,3),"")</f>
        <v/>
      </c>
      <c r="AW181" s="491" t="str">
        <f>IF(AND(COUNTA(P181)=1,COUNTA(AC181)=0),LEFT(D181,3),"")</f>
        <v/>
      </c>
      <c r="AX181" s="493" t="str">
        <f>IF(AND(COUNTA(P181)=0,COUNTA(AC181)=0),LEFT(D181,3),"")</f>
        <v/>
      </c>
      <c r="AY181" s="514" t="str">
        <f>IFERROR(VLOOKUP(功能_33[[#This Row],[功能代號]],SIT_FT_2021tmp!D:D,1,FALSE),"")</f>
        <v>L6302</v>
      </c>
      <c r="AZ181" s="587">
        <v>44512</v>
      </c>
      <c r="BA181" s="587">
        <v>44512</v>
      </c>
      <c r="BB181" s="514" t="s">
        <v>3000</v>
      </c>
      <c r="BC181" s="265" t="s">
        <v>3037</v>
      </c>
      <c r="BD181" s="593"/>
      <c r="BE181" s="264" t="str">
        <f>IF(AND(COUNTIF(AY181,"&gt;&lt;0")=1,COUNTA(M181)=1),LEFT(D181,3),"")</f>
        <v>6-3</v>
      </c>
      <c r="BF181" s="264" t="str">
        <f>IF(AND(COUNTIF(AY181,"&gt;&lt;")=1,COUNTA(M181)=0),LEFT(D181,3),"")</f>
        <v/>
      </c>
      <c r="BG181" s="264" t="str">
        <f>IF(AND(COUNTIF(AY181,"&gt;&lt;0")=0,COUNTA(M181)=1),LEFT(D181,3),"")</f>
        <v/>
      </c>
      <c r="BH181" s="264" t="str">
        <f>IF(AND(COUNTIF(AY181,"&gt;&lt;0")=0,COUNTA(M181)=0),LEFT(D181,3),"")</f>
        <v/>
      </c>
    </row>
    <row r="182" spans="1:60" ht="13.5" x14ac:dyDescent="0.3">
      <c r="C182" s="265" t="s">
        <v>70</v>
      </c>
      <c r="D182" s="407" t="s">
        <v>2463</v>
      </c>
      <c r="E182" s="264" t="s">
        <v>1074</v>
      </c>
      <c r="F182" s="251" t="s">
        <v>1075</v>
      </c>
      <c r="G182" s="265"/>
      <c r="H182" s="264" t="s">
        <v>110</v>
      </c>
      <c r="I182" s="264" t="s">
        <v>287</v>
      </c>
      <c r="J182" s="212" t="s">
        <v>2946</v>
      </c>
      <c r="K182" s="251" t="s">
        <v>2985</v>
      </c>
      <c r="L182" s="272">
        <v>44571</v>
      </c>
      <c r="M182" s="272">
        <v>44567</v>
      </c>
      <c r="N182" s="272">
        <v>44529</v>
      </c>
      <c r="O182" s="272">
        <v>44529</v>
      </c>
      <c r="P182" s="272">
        <v>44533</v>
      </c>
      <c r="Q182" s="264" t="s">
        <v>6</v>
      </c>
      <c r="R182" s="264" t="s">
        <v>5</v>
      </c>
      <c r="S182" s="264" t="s">
        <v>5</v>
      </c>
      <c r="X182" s="264"/>
      <c r="Z182" s="264"/>
      <c r="AA182" s="264"/>
      <c r="AB182" s="265" t="str">
        <f>VLOOKUP(功能_33[[#This Row],[User]],SKL放款!A:G,7,FALSE)</f>
        <v>放款服務課</v>
      </c>
      <c r="AC182" s="272">
        <v>44533</v>
      </c>
      <c r="AD182" s="272" t="s">
        <v>107</v>
      </c>
      <c r="AE182" s="272" t="s">
        <v>2585</v>
      </c>
      <c r="AF182" s="272">
        <v>44544</v>
      </c>
      <c r="AG182" s="209" t="s">
        <v>2965</v>
      </c>
      <c r="AH182" s="272"/>
      <c r="AI182" s="272"/>
      <c r="AJ182" s="322"/>
      <c r="AK182" s="272">
        <f>IFERROR(IF(VLOOKUP(功能_33[[#This Row],[功能代號]],E:U,11,FALSE)=0,"",VLOOKUP(功能_33[[#This Row],[功能代號]],E:U,11,FALSE)),"")</f>
        <v>44529</v>
      </c>
      <c r="AL182" s="272"/>
      <c r="AM182" s="272"/>
      <c r="AN182" s="265"/>
      <c r="AO182" s="272">
        <v>44491</v>
      </c>
      <c r="AP182" s="264" t="s">
        <v>163</v>
      </c>
      <c r="AQ182" s="264" t="s">
        <v>163</v>
      </c>
      <c r="AR182" s="593" t="s">
        <v>3207</v>
      </c>
      <c r="AS182" s="483" t="str">
        <f>IF(COUNTA(AG182)=1,LEFT(D182,3),"")</f>
        <v>6-4</v>
      </c>
      <c r="AT182" s="485" t="str">
        <f>IF(AND(COUNTA(O182)=1,COUNTA(P182)=1,COUNTA(AC182)=1,COUNTA(AF182)=1,COUNTA(AG182)=0),LEFT(D182,3),"")</f>
        <v/>
      </c>
      <c r="AU182" s="487" t="str">
        <f>IF(AND(COUNTA(O182)=1,COUNTA(P182)=1,COUNTA(AC182)=1,COUNTA(AF182)=0,COUNTA(AG182)=0),LEFT(D182,3),"")</f>
        <v/>
      </c>
      <c r="AV182" s="489" t="str">
        <f>IF(AND(COUNTA(P182)=0,COUNTA(AC182)=1),LEFT(D182,3),"")</f>
        <v/>
      </c>
      <c r="AW182" s="491" t="str">
        <f>IF(AND(COUNTA(P182)=1,COUNTA(AC182)=0),LEFT(D182,3),"")</f>
        <v/>
      </c>
      <c r="AX182" s="493" t="str">
        <f>IF(AND(COUNTA(P182)=0,COUNTA(AC182)=0),LEFT(D182,3),"")</f>
        <v/>
      </c>
      <c r="AY182" s="514" t="str">
        <f>IFERROR(VLOOKUP(功能_33[[#This Row],[功能代號]],SIT_FT_2021tmp!D:D,1,FALSE),"")</f>
        <v>L6042</v>
      </c>
      <c r="AZ182" s="587">
        <v>44512</v>
      </c>
      <c r="BA182" s="587">
        <v>44512</v>
      </c>
      <c r="BB182" s="514" t="s">
        <v>3073</v>
      </c>
      <c r="BC182" s="265" t="s">
        <v>3038</v>
      </c>
      <c r="BD182" s="593"/>
      <c r="BE182" s="264" t="str">
        <f>IF(AND(COUNTIF(AY182,"&gt;&lt;0")=1,COUNTA(M182)=1),LEFT(D182,3),"")</f>
        <v>6-4</v>
      </c>
      <c r="BF182" s="264" t="str">
        <f>IF(AND(COUNTIF(AY182,"&gt;&lt;")=1,COUNTA(M182)=0),LEFT(D182,3),"")</f>
        <v/>
      </c>
      <c r="BG182" s="264" t="str">
        <f>IF(AND(COUNTIF(AY182,"&gt;&lt;0")=0,COUNTA(M182)=1),LEFT(D182,3),"")</f>
        <v/>
      </c>
      <c r="BH182" s="264" t="str">
        <f>IF(AND(COUNTIF(AY182,"&gt;&lt;0")=0,COUNTA(M182)=0),LEFT(D182,3),"")</f>
        <v/>
      </c>
    </row>
    <row r="183" spans="1:60" ht="13.5" x14ac:dyDescent="0.3">
      <c r="C183" s="265" t="s">
        <v>70</v>
      </c>
      <c r="D183" s="407" t="s">
        <v>2463</v>
      </c>
      <c r="E183" s="264" t="s">
        <v>1076</v>
      </c>
      <c r="F183" s="251" t="s">
        <v>1077</v>
      </c>
      <c r="G183" s="265"/>
      <c r="H183" s="264" t="s">
        <v>110</v>
      </c>
      <c r="I183" s="264" t="s">
        <v>287</v>
      </c>
      <c r="J183" s="212" t="s">
        <v>2946</v>
      </c>
      <c r="K183" s="251" t="s">
        <v>2987</v>
      </c>
      <c r="L183" s="272">
        <v>44571</v>
      </c>
      <c r="M183" s="272">
        <v>44567</v>
      </c>
      <c r="N183" s="272">
        <v>44529</v>
      </c>
      <c r="O183" s="272">
        <v>44529</v>
      </c>
      <c r="P183" s="272">
        <v>44533</v>
      </c>
      <c r="Q183" s="264" t="s">
        <v>6</v>
      </c>
      <c r="R183" s="264" t="s">
        <v>5</v>
      </c>
      <c r="S183" s="264" t="s">
        <v>5</v>
      </c>
      <c r="X183" s="264"/>
      <c r="Z183" s="264"/>
      <c r="AA183" s="264"/>
      <c r="AB183" s="265" t="str">
        <f>VLOOKUP(功能_33[[#This Row],[User]],SKL放款!A:G,7,FALSE)</f>
        <v>放款服務課</v>
      </c>
      <c r="AC183" s="272">
        <v>44533</v>
      </c>
      <c r="AD183" s="272" t="s">
        <v>107</v>
      </c>
      <c r="AE183" s="272" t="s">
        <v>2585</v>
      </c>
      <c r="AF183" s="272">
        <v>44544</v>
      </c>
      <c r="AG183" s="209" t="s">
        <v>2965</v>
      </c>
      <c r="AH183" s="272"/>
      <c r="AI183" s="272"/>
      <c r="AJ183" s="322"/>
      <c r="AK183" s="272">
        <f>IFERROR(IF(VLOOKUP(功能_33[[#This Row],[功能代號]],E:U,11,FALSE)=0,"",VLOOKUP(功能_33[[#This Row],[功能代號]],E:U,11,FALSE)),"")</f>
        <v>44529</v>
      </c>
      <c r="AL183" s="272"/>
      <c r="AM183" s="272"/>
      <c r="AN183" s="265"/>
      <c r="AO183" s="272"/>
      <c r="AP183" s="264" t="s">
        <v>163</v>
      </c>
      <c r="AQ183" s="264" t="s">
        <v>163</v>
      </c>
      <c r="AR183" s="593" t="s">
        <v>3207</v>
      </c>
      <c r="AS183" s="483" t="str">
        <f>IF(COUNTA(AG183)=1,LEFT(D183,3),"")</f>
        <v>6-4</v>
      </c>
      <c r="AT183" s="485" t="str">
        <f>IF(AND(COUNTA(O183)=1,COUNTA(P183)=1,COUNTA(AC183)=1,COUNTA(AF183)=1,COUNTA(AG183)=0),LEFT(D183,3),"")</f>
        <v/>
      </c>
      <c r="AU183" s="487" t="str">
        <f>IF(AND(COUNTA(O183)=1,COUNTA(P183)=1,COUNTA(AC183)=1,COUNTA(AF183)=0,COUNTA(AG183)=0),LEFT(D183,3),"")</f>
        <v/>
      </c>
      <c r="AV183" s="489" t="str">
        <f>IF(AND(COUNTA(P183)=0,COUNTA(AC183)=1),LEFT(D183,3),"")</f>
        <v/>
      </c>
      <c r="AW183" s="491" t="str">
        <f>IF(AND(COUNTA(P183)=1,COUNTA(AC183)=0),LEFT(D183,3),"")</f>
        <v/>
      </c>
      <c r="AX183" s="493" t="str">
        <f>IF(AND(COUNTA(P183)=0,COUNTA(AC183)=0),LEFT(D183,3),"")</f>
        <v/>
      </c>
      <c r="AY183" s="514" t="str">
        <f>IFERROR(VLOOKUP(功能_33[[#This Row],[功能代號]],SIT_FT_2021tmp!D:D,1,FALSE),"")</f>
        <v>L6402</v>
      </c>
      <c r="AZ183" s="587">
        <v>44512</v>
      </c>
      <c r="BA183" s="587">
        <v>44512</v>
      </c>
      <c r="BB183" s="514" t="s">
        <v>3073</v>
      </c>
      <c r="BC183" s="265" t="s">
        <v>3038</v>
      </c>
      <c r="BD183" s="593"/>
      <c r="BE183" s="264" t="str">
        <f>IF(AND(COUNTIF(AY183,"&gt;&lt;0")=1,COUNTA(M183)=1),LEFT(D183,3),"")</f>
        <v>6-4</v>
      </c>
      <c r="BF183" s="264" t="str">
        <f>IF(AND(COUNTIF(AY183,"&gt;&lt;")=1,COUNTA(M183)=0),LEFT(D183,3),"")</f>
        <v/>
      </c>
      <c r="BG183" s="264" t="str">
        <f>IF(AND(COUNTIF(AY183,"&gt;&lt;0")=0,COUNTA(M183)=1),LEFT(D183,3),"")</f>
        <v/>
      </c>
      <c r="BH183" s="264" t="str">
        <f>IF(AND(COUNTIF(AY183,"&gt;&lt;0")=0,COUNTA(M183)=0),LEFT(D183,3),"")</f>
        <v/>
      </c>
    </row>
    <row r="184" spans="1:60" ht="13.5" x14ac:dyDescent="0.3">
      <c r="C184" s="265" t="s">
        <v>70</v>
      </c>
      <c r="D184" s="407" t="s">
        <v>2463</v>
      </c>
      <c r="E184" s="264" t="s">
        <v>1082</v>
      </c>
      <c r="F184" s="251" t="s">
        <v>1083</v>
      </c>
      <c r="G184" s="265"/>
      <c r="H184" s="264" t="s">
        <v>110</v>
      </c>
      <c r="I184" s="264" t="s">
        <v>287</v>
      </c>
      <c r="J184" s="212" t="s">
        <v>2946</v>
      </c>
      <c r="K184" s="251" t="s">
        <v>2985</v>
      </c>
      <c r="L184" s="272">
        <v>44571</v>
      </c>
      <c r="M184" s="272">
        <v>44568</v>
      </c>
      <c r="N184" s="272">
        <v>44529</v>
      </c>
      <c r="O184" s="272">
        <v>44529</v>
      </c>
      <c r="P184" s="272">
        <v>44533</v>
      </c>
      <c r="Q184" s="264" t="s">
        <v>6</v>
      </c>
      <c r="R184" s="264" t="s">
        <v>5</v>
      </c>
      <c r="S184" s="264" t="s">
        <v>5</v>
      </c>
      <c r="X184" s="264"/>
      <c r="Z184" s="264"/>
      <c r="AA184" s="264"/>
      <c r="AB184" s="265" t="str">
        <f>VLOOKUP(功能_33[[#This Row],[User]],SKL放款!A:G,7,FALSE)</f>
        <v>放款服務課</v>
      </c>
      <c r="AC184" s="272">
        <v>44533</v>
      </c>
      <c r="AD184" s="272" t="s">
        <v>2557</v>
      </c>
      <c r="AE184" s="272" t="s">
        <v>2585</v>
      </c>
      <c r="AF184" s="272">
        <v>44544</v>
      </c>
      <c r="AG184" s="209" t="s">
        <v>2965</v>
      </c>
      <c r="AH184" s="272"/>
      <c r="AI184" s="272"/>
      <c r="AJ184" s="322"/>
      <c r="AK184" s="272">
        <f>IFERROR(IF(VLOOKUP(功能_33[[#This Row],[功能代號]],E:U,11,FALSE)=0,"",VLOOKUP(功能_33[[#This Row],[功能代號]],E:U,11,FALSE)),"")</f>
        <v>44529</v>
      </c>
      <c r="AL184" s="272"/>
      <c r="AM184" s="272"/>
      <c r="AN184" s="265"/>
      <c r="AO184" s="272"/>
      <c r="AP184" s="264" t="s">
        <v>163</v>
      </c>
      <c r="AQ184" s="264" t="s">
        <v>163</v>
      </c>
      <c r="AR184" s="593" t="s">
        <v>3207</v>
      </c>
      <c r="AS184" s="483" t="str">
        <f>IF(COUNTA(AG184)=1,LEFT(D184,3),"")</f>
        <v>6-4</v>
      </c>
      <c r="AT184" s="485" t="str">
        <f>IF(AND(COUNTA(O184)=1,COUNTA(P184)=1,COUNTA(AC184)=1,COUNTA(AF184)=1,COUNTA(AG184)=0),LEFT(D184,3),"")</f>
        <v/>
      </c>
      <c r="AU184" s="487" t="str">
        <f>IF(AND(COUNTA(O184)=1,COUNTA(P184)=1,COUNTA(AC184)=1,COUNTA(AF184)=0,COUNTA(AG184)=0),LEFT(D184,3),"")</f>
        <v/>
      </c>
      <c r="AV184" s="489" t="str">
        <f>IF(AND(COUNTA(P184)=0,COUNTA(AC184)=1),LEFT(D184,3),"")</f>
        <v/>
      </c>
      <c r="AW184" s="491" t="str">
        <f>IF(AND(COUNTA(P184)=1,COUNTA(AC184)=0),LEFT(D184,3),"")</f>
        <v/>
      </c>
      <c r="AX184" s="493" t="str">
        <f>IF(AND(COUNTA(P184)=0,COUNTA(AC184)=0),LEFT(D184,3),"")</f>
        <v/>
      </c>
      <c r="AY184" s="514" t="str">
        <f>IFERROR(VLOOKUP(功能_33[[#This Row],[功能代號]],SIT_FT_2021tmp!D:D,1,FALSE),"")</f>
        <v>L6043</v>
      </c>
      <c r="AZ184" s="587">
        <v>44512</v>
      </c>
      <c r="BA184" s="587">
        <v>44512</v>
      </c>
      <c r="BB184" s="514" t="s">
        <v>3073</v>
      </c>
      <c r="BC184" s="265" t="s">
        <v>3039</v>
      </c>
      <c r="BD184" s="593"/>
      <c r="BE184" s="264" t="str">
        <f>IF(AND(COUNTIF(AY184,"&gt;&lt;0")=1,COUNTA(M184)=1),LEFT(D184,3),"")</f>
        <v>6-4</v>
      </c>
      <c r="BF184" s="264" t="str">
        <f>IF(AND(COUNTIF(AY184,"&gt;&lt;")=1,COUNTA(M184)=0),LEFT(D184,3),"")</f>
        <v/>
      </c>
      <c r="BG184" s="264" t="str">
        <f>IF(AND(COUNTIF(AY184,"&gt;&lt;0")=0,COUNTA(M184)=1),LEFT(D184,3),"")</f>
        <v/>
      </c>
      <c r="BH184" s="264" t="str">
        <f>IF(AND(COUNTIF(AY184,"&gt;&lt;0")=0,COUNTA(M184)=0),LEFT(D184,3),"")</f>
        <v/>
      </c>
    </row>
    <row r="185" spans="1:60" ht="13.5" x14ac:dyDescent="0.3">
      <c r="C185" s="265" t="s">
        <v>70</v>
      </c>
      <c r="D185" s="407" t="s">
        <v>2463</v>
      </c>
      <c r="E185" s="264" t="s">
        <v>1084</v>
      </c>
      <c r="F185" s="265" t="s">
        <v>1085</v>
      </c>
      <c r="G185" s="265"/>
      <c r="H185" s="264" t="s">
        <v>110</v>
      </c>
      <c r="I185" s="264" t="s">
        <v>287</v>
      </c>
      <c r="J185" s="212" t="s">
        <v>2857</v>
      </c>
      <c r="K185" s="212"/>
      <c r="L185" s="272">
        <v>44571</v>
      </c>
      <c r="M185" s="272">
        <v>44568</v>
      </c>
      <c r="N185" s="272">
        <v>44529</v>
      </c>
      <c r="O185" s="272">
        <v>44529</v>
      </c>
      <c r="P185" s="272">
        <v>44533</v>
      </c>
      <c r="Q185" s="264" t="s">
        <v>6</v>
      </c>
      <c r="R185" s="264" t="s">
        <v>5</v>
      </c>
      <c r="S185" s="264" t="s">
        <v>5</v>
      </c>
      <c r="X185" s="264"/>
      <c r="Z185" s="264"/>
      <c r="AA185" s="264"/>
      <c r="AB185" s="265" t="str">
        <f>VLOOKUP(功能_33[[#This Row],[User]],SKL放款!A:G,7,FALSE)</f>
        <v>放款服務課</v>
      </c>
      <c r="AC185" s="272">
        <v>44533</v>
      </c>
      <c r="AD185" s="272" t="s">
        <v>2557</v>
      </c>
      <c r="AE185" s="272" t="s">
        <v>2585</v>
      </c>
      <c r="AF185" s="272">
        <v>44544</v>
      </c>
      <c r="AG185" s="209">
        <v>44544</v>
      </c>
      <c r="AH185" s="272"/>
      <c r="AI185" s="272"/>
      <c r="AJ185" s="322"/>
      <c r="AK185" s="272">
        <f>IFERROR(IF(VLOOKUP(功能_33[[#This Row],[功能代號]],E:U,11,FALSE)=0,"",VLOOKUP(功能_33[[#This Row],[功能代號]],E:U,11,FALSE)),"")</f>
        <v>44529</v>
      </c>
      <c r="AL185" s="272"/>
      <c r="AM185" s="272"/>
      <c r="AN185" s="265"/>
      <c r="AO185" s="272"/>
      <c r="AP185" s="264" t="s">
        <v>163</v>
      </c>
      <c r="AQ185" s="264" t="s">
        <v>163</v>
      </c>
      <c r="AR185" s="593" t="s">
        <v>3207</v>
      </c>
      <c r="AS185" s="483" t="str">
        <f>IF(COUNTA(AG185)=1,LEFT(D185,3),"")</f>
        <v>6-4</v>
      </c>
      <c r="AT185" s="485" t="str">
        <f>IF(AND(COUNTA(O185)=1,COUNTA(P185)=1,COUNTA(AC185)=1,COUNTA(AF185)=1,COUNTA(AG185)=0),LEFT(D185,3),"")</f>
        <v/>
      </c>
      <c r="AU185" s="487" t="str">
        <f>IF(AND(COUNTA(O185)=1,COUNTA(P185)=1,COUNTA(AC185)=1,COUNTA(AF185)=0,COUNTA(AG185)=0),LEFT(D185,3),"")</f>
        <v/>
      </c>
      <c r="AV185" s="489" t="str">
        <f>IF(AND(COUNTA(P185)=0,COUNTA(AC185)=1),LEFT(D185,3),"")</f>
        <v/>
      </c>
      <c r="AW185" s="491" t="str">
        <f>IF(AND(COUNTA(P185)=1,COUNTA(AC185)=0),LEFT(D185,3),"")</f>
        <v/>
      </c>
      <c r="AX185" s="493" t="str">
        <f>IF(AND(COUNTA(P185)=0,COUNTA(AC185)=0),LEFT(D185,3),"")</f>
        <v/>
      </c>
      <c r="AY185" s="514" t="str">
        <f>IFERROR(VLOOKUP(功能_33[[#This Row],[功能代號]],SIT_FT_2021tmp!D:D,1,FALSE),"")</f>
        <v>L6403</v>
      </c>
      <c r="AZ185" s="587">
        <v>44512</v>
      </c>
      <c r="BA185" s="587">
        <v>44512</v>
      </c>
      <c r="BB185" s="514" t="s">
        <v>3073</v>
      </c>
      <c r="BC185" s="265" t="s">
        <v>3039</v>
      </c>
      <c r="BD185" s="593"/>
      <c r="BE185" s="264" t="str">
        <f>IF(AND(COUNTIF(AY185,"&gt;&lt;0")=1,COUNTA(M185)=1),LEFT(D185,3),"")</f>
        <v>6-4</v>
      </c>
      <c r="BF185" s="264" t="str">
        <f>IF(AND(COUNTIF(AY185,"&gt;&lt;")=1,COUNTA(M185)=0),LEFT(D185,3),"")</f>
        <v/>
      </c>
      <c r="BG185" s="264" t="str">
        <f>IF(AND(COUNTIF(AY185,"&gt;&lt;0")=0,COUNTA(M185)=1),LEFT(D185,3),"")</f>
        <v/>
      </c>
      <c r="BH185" s="264" t="str">
        <f>IF(AND(COUNTIF(AY185,"&gt;&lt;0")=0,COUNTA(M185)=0),LEFT(D185,3),"")</f>
        <v/>
      </c>
    </row>
    <row r="186" spans="1:60" ht="13.5" x14ac:dyDescent="0.3">
      <c r="C186" s="265" t="s">
        <v>70</v>
      </c>
      <c r="D186" s="407" t="s">
        <v>2463</v>
      </c>
      <c r="E186" s="264" t="s">
        <v>1093</v>
      </c>
      <c r="F186" s="265" t="s">
        <v>1094</v>
      </c>
      <c r="G186" s="265"/>
      <c r="H186" s="264" t="s">
        <v>110</v>
      </c>
      <c r="I186" s="264" t="s">
        <v>287</v>
      </c>
      <c r="J186" s="212" t="s">
        <v>2946</v>
      </c>
      <c r="K186" s="251" t="s">
        <v>2985</v>
      </c>
      <c r="L186" s="272">
        <v>44571</v>
      </c>
      <c r="M186" s="272">
        <v>44567</v>
      </c>
      <c r="N186" s="272">
        <v>44529</v>
      </c>
      <c r="O186" s="272">
        <v>44529</v>
      </c>
      <c r="P186" s="272">
        <v>44533</v>
      </c>
      <c r="Q186" s="264" t="s">
        <v>6</v>
      </c>
      <c r="R186" s="264" t="s">
        <v>5</v>
      </c>
      <c r="S186" s="264" t="s">
        <v>5</v>
      </c>
      <c r="X186" s="264"/>
      <c r="Z186" s="264"/>
      <c r="AA186" s="264"/>
      <c r="AB186" s="265" t="str">
        <f>VLOOKUP(功能_33[[#This Row],[User]],SKL放款!A:G,7,FALSE)</f>
        <v>放款服務課</v>
      </c>
      <c r="AC186" s="272">
        <v>44533</v>
      </c>
      <c r="AD186" s="272" t="s">
        <v>107</v>
      </c>
      <c r="AE186" s="272" t="s">
        <v>2585</v>
      </c>
      <c r="AF186" s="272">
        <v>44544</v>
      </c>
      <c r="AG186" s="209" t="s">
        <v>2965</v>
      </c>
      <c r="AH186" s="272"/>
      <c r="AI186" s="272"/>
      <c r="AJ186" s="322"/>
      <c r="AK186" s="272">
        <f>IFERROR(IF(VLOOKUP(功能_33[[#This Row],[功能代號]],E:U,11,FALSE)=0,"",VLOOKUP(功能_33[[#This Row],[功能代號]],E:U,11,FALSE)),"")</f>
        <v>44529</v>
      </c>
      <c r="AL186" s="272"/>
      <c r="AM186" s="272"/>
      <c r="AN186" s="265"/>
      <c r="AO186" s="272"/>
      <c r="AP186" s="264" t="s">
        <v>163</v>
      </c>
      <c r="AQ186" s="264" t="s">
        <v>163</v>
      </c>
      <c r="AR186" s="593" t="s">
        <v>3207</v>
      </c>
      <c r="AS186" s="483" t="str">
        <f>IF(COUNTA(AG186)=1,LEFT(D186,3),"")</f>
        <v>6-4</v>
      </c>
      <c r="AT186" s="485" t="str">
        <f>IF(AND(COUNTA(O186)=1,COUNTA(P186)=1,COUNTA(AC186)=1,COUNTA(AF186)=1,COUNTA(AG186)=0),LEFT(D186,3),"")</f>
        <v/>
      </c>
      <c r="AU186" s="487" t="str">
        <f>IF(AND(COUNTA(O186)=1,COUNTA(P186)=1,COUNTA(AC186)=1,COUNTA(AF186)=0,COUNTA(AG186)=0),LEFT(D186,3),"")</f>
        <v/>
      </c>
      <c r="AV186" s="489" t="str">
        <f>IF(AND(COUNTA(P186)=0,COUNTA(AC186)=1),LEFT(D186,3),"")</f>
        <v/>
      </c>
      <c r="AW186" s="491" t="str">
        <f>IF(AND(COUNTA(P186)=1,COUNTA(AC186)=0),LEFT(D186,3),"")</f>
        <v/>
      </c>
      <c r="AX186" s="493" t="str">
        <f>IF(AND(COUNTA(P186)=0,COUNTA(AC186)=0),LEFT(D186,3),"")</f>
        <v/>
      </c>
      <c r="AY186" s="514" t="str">
        <f>IFERROR(VLOOKUP(功能_33[[#This Row],[功能代號]],SIT_FT_2021tmp!D:D,1,FALSE),"")</f>
        <v>L6041</v>
      </c>
      <c r="AZ186" s="587">
        <v>44517</v>
      </c>
      <c r="BA186" s="587">
        <v>44517</v>
      </c>
      <c r="BB186" s="514" t="s">
        <v>3073</v>
      </c>
      <c r="BC186" s="265" t="s">
        <v>3033</v>
      </c>
      <c r="BD186" s="593"/>
      <c r="BE186" s="264" t="str">
        <f>IF(AND(COUNTIF(AY186,"&gt;&lt;0")=1,COUNTA(M186)=1),LEFT(D186,3),"")</f>
        <v>6-4</v>
      </c>
      <c r="BF186" s="264" t="str">
        <f>IF(AND(COUNTIF(AY186,"&gt;&lt;")=1,COUNTA(M186)=0),LEFT(D186,3),"")</f>
        <v/>
      </c>
      <c r="BG186" s="264" t="str">
        <f>IF(AND(COUNTIF(AY186,"&gt;&lt;0")=0,COUNTA(M186)=1),LEFT(D186,3),"")</f>
        <v/>
      </c>
      <c r="BH186" s="264" t="str">
        <f>IF(AND(COUNTIF(AY186,"&gt;&lt;0")=0,COUNTA(M186)=0),LEFT(D186,3),"")</f>
        <v/>
      </c>
    </row>
    <row r="187" spans="1:60" ht="13.5" x14ac:dyDescent="0.3">
      <c r="C187" s="265" t="s">
        <v>70</v>
      </c>
      <c r="D187" s="407" t="s">
        <v>2463</v>
      </c>
      <c r="E187" s="264" t="s">
        <v>1095</v>
      </c>
      <c r="F187" s="265" t="s">
        <v>1096</v>
      </c>
      <c r="G187" s="265"/>
      <c r="H187" s="264" t="s">
        <v>110</v>
      </c>
      <c r="I187" s="264" t="s">
        <v>287</v>
      </c>
      <c r="J187" s="212" t="s">
        <v>2946</v>
      </c>
      <c r="K187" s="251" t="s">
        <v>2986</v>
      </c>
      <c r="L187" s="272">
        <v>44571</v>
      </c>
      <c r="M187" s="272">
        <v>44567</v>
      </c>
      <c r="N187" s="272">
        <v>44529</v>
      </c>
      <c r="O187" s="272">
        <v>44520</v>
      </c>
      <c r="P187" s="272">
        <v>44533</v>
      </c>
      <c r="Q187" s="264" t="s">
        <v>6</v>
      </c>
      <c r="R187" s="264" t="s">
        <v>145</v>
      </c>
      <c r="S187" s="264" t="s">
        <v>145</v>
      </c>
      <c r="X187" s="264"/>
      <c r="Z187" s="264"/>
      <c r="AA187" s="264"/>
      <c r="AB187" s="265" t="str">
        <f>VLOOKUP(功能_33[[#This Row],[User]],SKL放款!A:G,7,FALSE)</f>
        <v>放款服務課</v>
      </c>
      <c r="AC187" s="272">
        <v>44533</v>
      </c>
      <c r="AD187" s="272" t="s">
        <v>107</v>
      </c>
      <c r="AE187" s="272" t="s">
        <v>2585</v>
      </c>
      <c r="AF187" s="272">
        <v>44544</v>
      </c>
      <c r="AG187" s="209" t="s">
        <v>2972</v>
      </c>
      <c r="AH187" s="272"/>
      <c r="AI187" s="272"/>
      <c r="AJ187" s="322"/>
      <c r="AK187" s="272">
        <f>IFERROR(IF(VLOOKUP(功能_33[[#This Row],[功能代號]],E:U,11,FALSE)=0,"",VLOOKUP(功能_33[[#This Row],[功能代號]],E:U,11,FALSE)),"")</f>
        <v>44520</v>
      </c>
      <c r="AL187" s="272"/>
      <c r="AM187" s="272"/>
      <c r="AN187" s="265"/>
      <c r="AO187" s="272"/>
      <c r="AP187" s="264" t="s">
        <v>163</v>
      </c>
      <c r="AQ187" s="264" t="s">
        <v>163</v>
      </c>
      <c r="AR187" s="593" t="s">
        <v>3207</v>
      </c>
      <c r="AS187" s="483" t="str">
        <f>IF(COUNTA(AG187)=1,LEFT(D187,3),"")</f>
        <v>6-4</v>
      </c>
      <c r="AT187" s="485" t="str">
        <f>IF(AND(COUNTA(O187)=1,COUNTA(P187)=1,COUNTA(AC187)=1,COUNTA(AF187)=1,COUNTA(AG187)=0),LEFT(D187,3),"")</f>
        <v/>
      </c>
      <c r="AU187" s="487" t="str">
        <f>IF(AND(COUNTA(O187)=1,COUNTA(P187)=1,COUNTA(AC187)=1,COUNTA(AF187)=0,COUNTA(AG187)=0),LEFT(D187,3),"")</f>
        <v/>
      </c>
      <c r="AV187" s="489" t="str">
        <f>IF(AND(COUNTA(P187)=0,COUNTA(AC187)=1),LEFT(D187,3),"")</f>
        <v/>
      </c>
      <c r="AW187" s="491" t="str">
        <f>IF(AND(COUNTA(P187)=1,COUNTA(AC187)=0),LEFT(D187,3),"")</f>
        <v/>
      </c>
      <c r="AX187" s="493" t="str">
        <f>IF(AND(COUNTA(P187)=0,COUNTA(AC187)=0),LEFT(D187,3),"")</f>
        <v/>
      </c>
      <c r="AY187" s="514" t="str">
        <f>IFERROR(VLOOKUP(功能_33[[#This Row],[功能代號]],SIT_FT_2021tmp!D:D,1,FALSE),"")</f>
        <v>L6401</v>
      </c>
      <c r="AZ187" s="587">
        <v>44517</v>
      </c>
      <c r="BA187" s="587">
        <v>44517</v>
      </c>
      <c r="BB187" s="514" t="s">
        <v>3073</v>
      </c>
      <c r="BC187" s="265" t="s">
        <v>3033</v>
      </c>
      <c r="BD187" s="593"/>
      <c r="BE187" s="264" t="str">
        <f>IF(AND(COUNTIF(AY187,"&gt;&lt;0")=1,COUNTA(M187)=1),LEFT(D187,3),"")</f>
        <v>6-4</v>
      </c>
      <c r="BF187" s="264" t="str">
        <f>IF(AND(COUNTIF(AY187,"&gt;&lt;")=1,COUNTA(M187)=0),LEFT(D187,3),"")</f>
        <v/>
      </c>
      <c r="BG187" s="264" t="str">
        <f>IF(AND(COUNTIF(AY187,"&gt;&lt;0")=0,COUNTA(M187)=1),LEFT(D187,3),"")</f>
        <v/>
      </c>
      <c r="BH187" s="264" t="str">
        <f>IF(AND(COUNTIF(AY187,"&gt;&lt;0")=0,COUNTA(M187)=0),LEFT(D187,3),"")</f>
        <v/>
      </c>
    </row>
    <row r="188" spans="1:60" ht="13.5" x14ac:dyDescent="0.3">
      <c r="A188" s="535"/>
      <c r="B188" s="360"/>
      <c r="C188" s="265" t="s">
        <v>70</v>
      </c>
      <c r="D188" s="407" t="s">
        <v>2463</v>
      </c>
      <c r="E188" s="264" t="s">
        <v>2850</v>
      </c>
      <c r="F188" s="265" t="s">
        <v>2851</v>
      </c>
      <c r="G188" s="257" t="s">
        <v>2852</v>
      </c>
      <c r="H188" s="264" t="s">
        <v>110</v>
      </c>
      <c r="I188" s="264" t="s">
        <v>287</v>
      </c>
      <c r="J188" s="212" t="s">
        <v>2853</v>
      </c>
      <c r="K188" s="212"/>
      <c r="L188" s="272">
        <v>44568</v>
      </c>
      <c r="M188" s="272">
        <v>44567</v>
      </c>
      <c r="N188" s="272">
        <v>44529</v>
      </c>
      <c r="O188" s="272">
        <v>44520</v>
      </c>
      <c r="P188" s="272">
        <v>44533</v>
      </c>
      <c r="Q188" s="264" t="s">
        <v>6</v>
      </c>
      <c r="R188" s="264" t="s">
        <v>145</v>
      </c>
      <c r="S188" s="264" t="s">
        <v>145</v>
      </c>
      <c r="X188" s="264"/>
      <c r="Z188" s="264"/>
      <c r="AA188" s="264"/>
      <c r="AB188" s="360" t="str">
        <f>VLOOKUP(功能_33[[#This Row],[User]],SKL放款!A:G,7,FALSE)</f>
        <v>放款服務課</v>
      </c>
      <c r="AC188" s="272">
        <v>44533</v>
      </c>
      <c r="AD188" s="272" t="s">
        <v>2443</v>
      </c>
      <c r="AE188" s="272" t="s">
        <v>2585</v>
      </c>
      <c r="AF188" s="272">
        <v>44544</v>
      </c>
      <c r="AG188" s="209">
        <v>44550</v>
      </c>
      <c r="AH188" s="259"/>
      <c r="AI188" s="259"/>
      <c r="AJ188" s="259"/>
      <c r="AK188" s="259">
        <f>IFERROR(IF(VLOOKUP(功能_33[[#This Row],[功能代號]],E:U,11,FALSE)=0,"",VLOOKUP(功能_33[[#This Row],[功能代號]],E:U,11,FALSE)),"")</f>
        <v>44520</v>
      </c>
      <c r="AL188" s="259"/>
      <c r="AM188" s="259"/>
      <c r="AN188" s="360"/>
      <c r="AP188" s="264" t="s">
        <v>163</v>
      </c>
      <c r="AQ188" s="264" t="s">
        <v>163</v>
      </c>
      <c r="AR188" s="593" t="s">
        <v>3207</v>
      </c>
      <c r="AS188" s="536" t="str">
        <f>IF(COUNTA(AG188)=1,LEFT(D188,3),"")</f>
        <v>6-4</v>
      </c>
      <c r="AT188" s="485" t="str">
        <f>IF(AND(COUNTA(O188)=1,COUNTA(P188)=1,COUNTA(AC188)=1,COUNTA(AF188)=1,COUNTA(AG188)=0),LEFT(D188,3),"")</f>
        <v/>
      </c>
      <c r="AU188" s="487" t="str">
        <f>IF(AND(COUNTA(O188)=1,COUNTA(P188)=1,COUNTA(AC188)=1,COUNTA(AF188)=0,COUNTA(AG188)=0),LEFT(D188,3),"")</f>
        <v/>
      </c>
      <c r="AV188" s="489" t="str">
        <f>IF(AND(COUNTA(P188)=0,COUNTA(AC188)=1),LEFT(D188,3),"")</f>
        <v/>
      </c>
      <c r="AW188" s="491" t="str">
        <f>IF(AND(COUNTA(P188)=1,COUNTA(AC188)=0),LEFT(D188,3),"")</f>
        <v/>
      </c>
      <c r="AX188" s="493" t="str">
        <f>IF(AND(COUNTA(P188)=0,COUNTA(AC188)=0),LEFT(D188,3),"")</f>
        <v/>
      </c>
      <c r="AY188" s="514" t="str">
        <f>IFERROR(VLOOKUP(功能_33[[#This Row],[功能代號]],SIT_FT_2021tmp!D:D,1,FALSE),"")</f>
        <v>L6943</v>
      </c>
      <c r="AZ188" s="587">
        <v>44512</v>
      </c>
      <c r="BA188" s="587">
        <v>44512</v>
      </c>
      <c r="BB188" s="514" t="s">
        <v>3073</v>
      </c>
      <c r="BC188" s="265" t="s">
        <v>3039</v>
      </c>
      <c r="BD188" s="593"/>
      <c r="BE188" s="264" t="str">
        <f>IF(AND(COUNTIF(AY188,"&gt;&lt;0")=1,COUNTA(M188)=1),LEFT(D188,3),"")</f>
        <v>6-4</v>
      </c>
      <c r="BF188" s="264" t="str">
        <f>IF(AND(COUNTIF(AY188,"&gt;&lt;")=1,COUNTA(M188)=0),LEFT(D188,3),"")</f>
        <v/>
      </c>
      <c r="BG188" s="264" t="str">
        <f>IF(AND(COUNTIF(AY188,"&gt;&lt;0")=0,COUNTA(M188)=1),LEFT(D188,3),"")</f>
        <v/>
      </c>
      <c r="BH188" s="264" t="str">
        <f>IF(AND(COUNTIF(AY188,"&gt;&lt;0")=0,COUNTA(M188)=0),LEFT(D188,3),"")</f>
        <v/>
      </c>
    </row>
    <row r="189" spans="1:60" ht="13.5" x14ac:dyDescent="0.3">
      <c r="C189" s="265" t="s">
        <v>70</v>
      </c>
      <c r="D189" s="407" t="s">
        <v>2463</v>
      </c>
      <c r="E189" s="264" t="s">
        <v>1099</v>
      </c>
      <c r="F189" s="265" t="s">
        <v>1100</v>
      </c>
      <c r="G189" s="265"/>
      <c r="H189" s="264" t="s">
        <v>110</v>
      </c>
      <c r="I189" s="264" t="s">
        <v>287</v>
      </c>
      <c r="J189" s="212" t="s">
        <v>2946</v>
      </c>
      <c r="K189" s="251" t="s">
        <v>2984</v>
      </c>
      <c r="L189" s="272">
        <v>44568</v>
      </c>
      <c r="M189" s="272">
        <v>44567</v>
      </c>
      <c r="N189" s="272">
        <v>44529</v>
      </c>
      <c r="O189" s="272">
        <v>44529</v>
      </c>
      <c r="P189" s="272">
        <v>44533</v>
      </c>
      <c r="Q189" s="264" t="s">
        <v>6</v>
      </c>
      <c r="R189" s="264" t="s">
        <v>5</v>
      </c>
      <c r="S189" s="264" t="s">
        <v>5</v>
      </c>
      <c r="X189" s="264"/>
      <c r="Z189" s="264"/>
      <c r="AA189" s="264"/>
      <c r="AB189" s="265" t="str">
        <f>VLOOKUP(功能_33[[#This Row],[User]],SKL放款!A:G,7,FALSE)</f>
        <v>放款服務課</v>
      </c>
      <c r="AC189" s="272">
        <v>44533</v>
      </c>
      <c r="AD189" s="272" t="s">
        <v>2557</v>
      </c>
      <c r="AE189" s="272" t="s">
        <v>2585</v>
      </c>
      <c r="AF189" s="272">
        <v>44544</v>
      </c>
      <c r="AG189" s="209" t="s">
        <v>2972</v>
      </c>
      <c r="AH189" s="272"/>
      <c r="AI189" s="272"/>
      <c r="AJ189" s="322"/>
      <c r="AK189" s="272">
        <f>IFERROR(IF(VLOOKUP(功能_33[[#This Row],[功能代號]],E:U,11,FALSE)=0,"",VLOOKUP(功能_33[[#This Row],[功能代號]],E:U,11,FALSE)),"")</f>
        <v>44529</v>
      </c>
      <c r="AL189" s="272"/>
      <c r="AM189" s="272"/>
      <c r="AN189" s="265"/>
      <c r="AO189" s="272"/>
      <c r="AP189" s="264" t="s">
        <v>163</v>
      </c>
      <c r="AQ189" s="264" t="s">
        <v>163</v>
      </c>
      <c r="AR189" s="593" t="s">
        <v>3207</v>
      </c>
      <c r="AS189" s="483" t="str">
        <f>IF(COUNTA(AG189)=1,LEFT(D189,3),"")</f>
        <v>6-4</v>
      </c>
      <c r="AT189" s="485" t="str">
        <f>IF(AND(COUNTA(O189)=1,COUNTA(P189)=1,COUNTA(AC189)=1,COUNTA(AF189)=1,COUNTA(AG189)=0),LEFT(D189,3),"")</f>
        <v/>
      </c>
      <c r="AU189" s="487" t="str">
        <f>IF(AND(COUNTA(O189)=1,COUNTA(P189)=1,COUNTA(AC189)=1,COUNTA(AF189)=0,COUNTA(AG189)=0),LEFT(D189,3),"")</f>
        <v/>
      </c>
      <c r="AV189" s="489" t="str">
        <f>IF(AND(COUNTA(P189)=0,COUNTA(AC189)=1),LEFT(D189,3),"")</f>
        <v/>
      </c>
      <c r="AW189" s="491" t="str">
        <f>IF(AND(COUNTA(P189)=1,COUNTA(AC189)=0),LEFT(D189,3),"")</f>
        <v/>
      </c>
      <c r="AX189" s="493" t="str">
        <f>IF(AND(COUNTA(P189)=0,COUNTA(AC189)=0),LEFT(D189,3),"")</f>
        <v/>
      </c>
      <c r="AY189" s="514" t="str">
        <f>IFERROR(VLOOKUP(功能_33[[#This Row],[功能代號]],SIT_FT_2021tmp!D:D,1,FALSE),"")</f>
        <v>L6044</v>
      </c>
      <c r="AZ189" s="587">
        <v>44517</v>
      </c>
      <c r="BA189" s="587">
        <v>44517</v>
      </c>
      <c r="BB189" s="514" t="s">
        <v>3073</v>
      </c>
      <c r="BC189" s="265" t="s">
        <v>3033</v>
      </c>
      <c r="BD189" s="593"/>
      <c r="BE189" s="264" t="str">
        <f>IF(AND(COUNTIF(AY189,"&gt;&lt;0")=1,COUNTA(M189)=1),LEFT(D189,3),"")</f>
        <v>6-4</v>
      </c>
      <c r="BF189" s="264" t="str">
        <f>IF(AND(COUNTIF(AY189,"&gt;&lt;")=1,COUNTA(M189)=0),LEFT(D189,3),"")</f>
        <v/>
      </c>
      <c r="BG189" s="264" t="str">
        <f>IF(AND(COUNTIF(AY189,"&gt;&lt;0")=0,COUNTA(M189)=1),LEFT(D189,3),"")</f>
        <v/>
      </c>
      <c r="BH189" s="264" t="str">
        <f>IF(AND(COUNTIF(AY189,"&gt;&lt;0")=0,COUNTA(M189)=0),LEFT(D189,3),"")</f>
        <v/>
      </c>
    </row>
    <row r="190" spans="1:60" ht="13.5" x14ac:dyDescent="0.3">
      <c r="C190" s="265" t="s">
        <v>70</v>
      </c>
      <c r="D190" s="407" t="s">
        <v>2463</v>
      </c>
      <c r="E190" s="264" t="s">
        <v>3274</v>
      </c>
      <c r="F190" s="265" t="s">
        <v>3275</v>
      </c>
      <c r="G190" s="265" t="s">
        <v>3277</v>
      </c>
      <c r="H190" s="264" t="s">
        <v>110</v>
      </c>
      <c r="I190" s="264" t="s">
        <v>287</v>
      </c>
      <c r="J190" s="212" t="s">
        <v>3276</v>
      </c>
      <c r="K190" s="251"/>
      <c r="L190" s="272">
        <v>44587</v>
      </c>
      <c r="M190" s="272">
        <v>44587</v>
      </c>
      <c r="N190" s="272">
        <v>44529</v>
      </c>
      <c r="O190" s="272">
        <v>44529</v>
      </c>
      <c r="P190" s="272">
        <v>44533</v>
      </c>
      <c r="Q190" s="264" t="s">
        <v>2</v>
      </c>
      <c r="R190" s="264" t="e">
        <v>#N/A</v>
      </c>
      <c r="S190" s="664" t="s">
        <v>145</v>
      </c>
      <c r="X190" s="264"/>
      <c r="Z190" s="264"/>
      <c r="AA190" s="264"/>
      <c r="AB190" s="265" t="str">
        <f>VLOOKUP(功能_33[[#This Row],[User]],SKL放款!A:G,7,FALSE)</f>
        <v>放款服務課</v>
      </c>
      <c r="AC190" s="272">
        <v>44533</v>
      </c>
      <c r="AD190" s="272" t="s">
        <v>2557</v>
      </c>
      <c r="AE190" s="272" t="s">
        <v>2585</v>
      </c>
      <c r="AF190" s="272">
        <v>44544</v>
      </c>
      <c r="AG190" s="209"/>
      <c r="AH190" s="272"/>
      <c r="AI190" s="272"/>
      <c r="AJ190" s="322"/>
      <c r="AK190" s="272">
        <f>IFERROR(IF(VLOOKUP(功能_33[[#This Row],[功能代號]],E:U,11,FALSE)=0,"",VLOOKUP(功能_33[[#This Row],[功能代號]],E:U,11,FALSE)),"")</f>
        <v>44529</v>
      </c>
      <c r="AL190" s="272"/>
      <c r="AM190" s="272"/>
      <c r="AN190" s="265"/>
      <c r="AO190" s="272"/>
      <c r="AP190" s="264" t="s">
        <v>163</v>
      </c>
      <c r="AQ190" s="264" t="s">
        <v>163</v>
      </c>
      <c r="AR190" s="593" t="s">
        <v>3207</v>
      </c>
      <c r="AS190" s="483" t="str">
        <f>IF(COUNTA(AG190)=1,LEFT(D190,3),"")</f>
        <v/>
      </c>
      <c r="AT190" s="485" t="str">
        <f>IF(AND(COUNTA(O190)=1,COUNTA(P190)=1,COUNTA(AC190)=1,COUNTA(AF190)=1,COUNTA(AG190)=0),LEFT(D190,3),"")</f>
        <v>6-4</v>
      </c>
      <c r="AU190" s="487" t="str">
        <f>IF(AND(COUNTA(O190)=1,COUNTA(P190)=1,COUNTA(AC190)=1,COUNTA(AF190)=0,COUNTA(AG190)=0),LEFT(D190,3),"")</f>
        <v/>
      </c>
      <c r="AV190" s="489" t="str">
        <f>IF(AND(COUNTA(P190)=0,COUNTA(AC190)=1),LEFT(D190,3),"")</f>
        <v/>
      </c>
      <c r="AW190" s="491" t="str">
        <f>IF(AND(COUNTA(P190)=1,COUNTA(AC190)=0),LEFT(D190,3),"")</f>
        <v/>
      </c>
      <c r="AX190" s="493" t="str">
        <f>IF(AND(COUNTA(P190)=0,COUNTA(AC190)=0),LEFT(D190,3),"")</f>
        <v/>
      </c>
      <c r="AY190" s="514" t="str">
        <f>IFERROR(VLOOKUP(功能_33[[#This Row],[功能代號]],SIT_FT_2021tmp!D:D,1,FALSE),"")</f>
        <v/>
      </c>
      <c r="AZ190" s="587">
        <v>44610</v>
      </c>
      <c r="BB190" s="514"/>
      <c r="BD190" s="593"/>
      <c r="BE190" s="264" t="str">
        <f>IF(AND(COUNTIF(AY190,"&gt;&lt;0")=1,COUNTA(M190)=1),LEFT(D190,3),"")</f>
        <v/>
      </c>
      <c r="BF190" s="264" t="str">
        <f>IF(AND(COUNTIF(AY190,"&gt;&lt;")=1,COUNTA(M190)=0),LEFT(D190,3),"")</f>
        <v/>
      </c>
      <c r="BG190" s="264" t="str">
        <f>IF(AND(COUNTIF(AY190,"&gt;&lt;0")=0,COUNTA(M190)=1),LEFT(D190,3),"")</f>
        <v>6-4</v>
      </c>
      <c r="BH190" s="264" t="str">
        <f>IF(AND(COUNTIF(AY190,"&gt;&lt;0")=0,COUNTA(M190)=0),LEFT(D190,3),"")</f>
        <v/>
      </c>
    </row>
    <row r="191" spans="1:60" ht="13.5" x14ac:dyDescent="0.3">
      <c r="C191" s="265" t="s">
        <v>70</v>
      </c>
      <c r="D191" s="407" t="s">
        <v>2463</v>
      </c>
      <c r="E191" s="264" t="s">
        <v>1101</v>
      </c>
      <c r="F191" s="265" t="s">
        <v>1102</v>
      </c>
      <c r="G191" s="265"/>
      <c r="H191" s="264" t="s">
        <v>166</v>
      </c>
      <c r="I191" s="264" t="s">
        <v>287</v>
      </c>
      <c r="J191" s="212" t="s">
        <v>389</v>
      </c>
      <c r="K191" s="212"/>
      <c r="L191" s="272">
        <v>44568</v>
      </c>
      <c r="M191" s="272">
        <v>44567</v>
      </c>
      <c r="N191" s="272">
        <v>44529</v>
      </c>
      <c r="O191" s="272">
        <v>44529</v>
      </c>
      <c r="P191" s="272">
        <v>44538</v>
      </c>
      <c r="Q191" s="264" t="s">
        <v>6</v>
      </c>
      <c r="R191" s="264" t="s">
        <v>145</v>
      </c>
      <c r="S191" s="264" t="s">
        <v>145</v>
      </c>
      <c r="X191" s="264"/>
      <c r="Z191" s="264"/>
      <c r="AA191" s="264"/>
      <c r="AB191" s="265" t="str">
        <f>VLOOKUP(功能_33[[#This Row],[User]],SKL放款!A:G,7,FALSE)</f>
        <v>放款服務課</v>
      </c>
      <c r="AC191" s="272">
        <v>44533</v>
      </c>
      <c r="AD191" s="272" t="s">
        <v>107</v>
      </c>
      <c r="AE191" s="272" t="s">
        <v>2585</v>
      </c>
      <c r="AF191" s="272">
        <v>44544</v>
      </c>
      <c r="AG191" s="209">
        <v>44544</v>
      </c>
      <c r="AH191" s="272"/>
      <c r="AI191" s="272"/>
      <c r="AJ191" s="322"/>
      <c r="AK191" s="272">
        <f>IFERROR(IF(VLOOKUP(功能_33[[#This Row],[功能代號]],E:U,11,FALSE)=0,"",VLOOKUP(功能_33[[#This Row],[功能代號]],E:U,11,FALSE)),"")</f>
        <v>44529</v>
      </c>
      <c r="AL191" s="272"/>
      <c r="AM191" s="272"/>
      <c r="AN191" s="265"/>
      <c r="AO191" s="272"/>
      <c r="AP191" s="264" t="s">
        <v>163</v>
      </c>
      <c r="AQ191" s="264" t="s">
        <v>163</v>
      </c>
      <c r="AR191" s="593" t="s">
        <v>3207</v>
      </c>
      <c r="AS191" s="483" t="str">
        <f>IF(COUNTA(AG191)=1,LEFT(D191,3),"")</f>
        <v>6-4</v>
      </c>
      <c r="AT191" s="485" t="str">
        <f>IF(AND(COUNTA(O191)=1,COUNTA(P191)=1,COUNTA(AC191)=1,COUNTA(AF191)=1,COUNTA(AG191)=0),LEFT(D191,3),"")</f>
        <v/>
      </c>
      <c r="AU191" s="487" t="str">
        <f>IF(AND(COUNTA(O191)=1,COUNTA(P191)=1,COUNTA(AC191)=1,COUNTA(AF191)=0,COUNTA(AG191)=0),LEFT(D191,3),"")</f>
        <v/>
      </c>
      <c r="AV191" s="489" t="str">
        <f>IF(AND(COUNTA(P191)=0,COUNTA(AC191)=1),LEFT(D191,3),"")</f>
        <v/>
      </c>
      <c r="AW191" s="491" t="str">
        <f>IF(AND(COUNTA(P191)=1,COUNTA(AC191)=0),LEFT(D191,3),"")</f>
        <v/>
      </c>
      <c r="AX191" s="493" t="str">
        <f>IF(AND(COUNTA(P191)=0,COUNTA(AC191)=0),LEFT(D191,3),"")</f>
        <v/>
      </c>
      <c r="AY191" s="514" t="str">
        <f>IFERROR(VLOOKUP(功能_33[[#This Row],[功能代號]],SIT_FT_2021tmp!D:D,1,FALSE),"")</f>
        <v>L6932</v>
      </c>
      <c r="AZ191" s="587">
        <v>44512</v>
      </c>
      <c r="BA191" s="587">
        <v>44512</v>
      </c>
      <c r="BB191" s="514" t="s">
        <v>3000</v>
      </c>
      <c r="BC191" s="265" t="s">
        <v>3040</v>
      </c>
      <c r="BD191" s="593"/>
      <c r="BE191" s="264" t="str">
        <f>IF(AND(COUNTIF(AY191,"&gt;&lt;0")=1,COUNTA(M191)=1),LEFT(D191,3),"")</f>
        <v>6-4</v>
      </c>
      <c r="BF191" s="264" t="str">
        <f>IF(AND(COUNTIF(AY191,"&gt;&lt;")=1,COUNTA(M191)=0),LEFT(D191,3),"")</f>
        <v/>
      </c>
      <c r="BG191" s="264" t="str">
        <f>IF(AND(COUNTIF(AY191,"&gt;&lt;0")=0,COUNTA(M191)=1),LEFT(D191,3),"")</f>
        <v/>
      </c>
      <c r="BH191" s="264" t="str">
        <f>IF(AND(COUNTIF(AY191,"&gt;&lt;0")=0,COUNTA(M191)=0),LEFT(D191,3),"")</f>
        <v/>
      </c>
    </row>
    <row r="192" spans="1:60" ht="13.5" x14ac:dyDescent="0.3">
      <c r="A192" s="535"/>
      <c r="B192" s="360"/>
      <c r="C192" s="265" t="s">
        <v>70</v>
      </c>
      <c r="D192" s="407" t="s">
        <v>2466</v>
      </c>
      <c r="E192" s="264" t="s">
        <v>2854</v>
      </c>
      <c r="F192" s="257" t="s">
        <v>140</v>
      </c>
      <c r="G192" s="257" t="s">
        <v>2858</v>
      </c>
      <c r="H192" s="264" t="s">
        <v>110</v>
      </c>
      <c r="I192" s="264" t="s">
        <v>3278</v>
      </c>
      <c r="J192" s="212" t="s">
        <v>2853</v>
      </c>
      <c r="K192" s="212"/>
      <c r="L192" s="272">
        <v>44575</v>
      </c>
      <c r="M192" s="272">
        <v>44574</v>
      </c>
      <c r="N192" s="272">
        <v>44399</v>
      </c>
      <c r="O192" s="272">
        <v>44400</v>
      </c>
      <c r="P192" s="272">
        <v>44412</v>
      </c>
      <c r="Q192" s="556" t="s">
        <v>4</v>
      </c>
      <c r="R192" s="556" t="s">
        <v>5</v>
      </c>
      <c r="S192" s="556" t="s">
        <v>5</v>
      </c>
      <c r="X192" s="264"/>
      <c r="Z192" s="264"/>
      <c r="AA192" s="264"/>
      <c r="AB192" s="360" t="s">
        <v>1400</v>
      </c>
      <c r="AC192" s="272">
        <v>44470</v>
      </c>
      <c r="AD192" s="272">
        <v>44463</v>
      </c>
      <c r="AE192" s="258">
        <v>44468</v>
      </c>
      <c r="AF192" s="259">
        <v>44468</v>
      </c>
      <c r="AG192" s="583">
        <v>44550</v>
      </c>
      <c r="AH192" s="259" t="s">
        <v>1</v>
      </c>
      <c r="AI192" s="259">
        <v>44483.56527777778</v>
      </c>
      <c r="AJ192" s="259">
        <v>44487.745833333327</v>
      </c>
      <c r="AK192" s="259" t="s">
        <v>5</v>
      </c>
      <c r="AL192" s="259"/>
      <c r="AM192" s="259"/>
      <c r="AN192" s="360"/>
      <c r="AP192" s="556" t="s">
        <v>141</v>
      </c>
      <c r="AQ192" s="360" t="s">
        <v>142</v>
      </c>
      <c r="AR192" s="593" t="s">
        <v>3207</v>
      </c>
      <c r="AS192" s="536" t="str">
        <f>IF(COUNTA(AG192)=1,LEFT(D192,3),"")</f>
        <v>6-7</v>
      </c>
      <c r="AT192" s="485" t="str">
        <f>IF(AND(COUNTA(O192)=1,COUNTA(P192)=1,COUNTA(AC192)=1,COUNTA(AF192)=1,COUNTA(AG192)=0),LEFT(D192,3),"")</f>
        <v/>
      </c>
      <c r="AU192" s="487" t="str">
        <f>IF(AND(COUNTA(O192)=1,COUNTA(P192)=1,COUNTA(AC192)=1,COUNTA(AF192)=0,COUNTA(AG192)=0),LEFT(D192,3),"")</f>
        <v/>
      </c>
      <c r="AV192" s="489" t="str">
        <f>IF(AND(COUNTA(P192)=0,COUNTA(AC192)=1),LEFT(D192,3),"")</f>
        <v/>
      </c>
      <c r="AW192" s="491" t="str">
        <f>IF(AND(COUNTA(P192)=1,COUNTA(AC192)=0),LEFT(D192,3),"")</f>
        <v/>
      </c>
      <c r="AX192" s="493" t="str">
        <f>IF(AND(COUNTA(P192)=0,COUNTA(AC192)=0),LEFT(D192,3),"")</f>
        <v/>
      </c>
      <c r="AY192" s="514" t="str">
        <f>IFERROR(VLOOKUP(功能_33[[#This Row],[功能代號]],SIT_FT_2021tmp!D:D,1,FALSE),"")</f>
        <v>L6088</v>
      </c>
      <c r="AZ192" s="587">
        <v>44512</v>
      </c>
      <c r="BA192" s="587">
        <v>44512</v>
      </c>
      <c r="BB192" s="514" t="s">
        <v>3000</v>
      </c>
      <c r="BC192" s="265" t="s">
        <v>3036</v>
      </c>
      <c r="BD192" s="593"/>
      <c r="BE192" s="264" t="str">
        <f>IF(AND(COUNTIF(AY192,"&gt;&lt;0")=1,COUNTA(M192)=1),LEFT(D192,3),"")</f>
        <v>6-7</v>
      </c>
      <c r="BF192" s="264" t="str">
        <f>IF(AND(COUNTIF(AY192,"&gt;&lt;")=1,COUNTA(M192)=0),LEFT(D192,3),"")</f>
        <v/>
      </c>
      <c r="BG192" s="264" t="str">
        <f>IF(AND(COUNTIF(AY192,"&gt;&lt;0")=0,COUNTA(M192)=1),LEFT(D192,3),"")</f>
        <v/>
      </c>
      <c r="BH192" s="264" t="str">
        <f>IF(AND(COUNTIF(AY192,"&gt;&lt;0")=0,COUNTA(M192)=0),LEFT(D192,3),"")</f>
        <v/>
      </c>
    </row>
    <row r="193" spans="3:60" ht="13.5" x14ac:dyDescent="0.3">
      <c r="C193" s="265" t="s">
        <v>68</v>
      </c>
      <c r="D193" s="265" t="s">
        <v>596</v>
      </c>
      <c r="E193" s="214" t="s">
        <v>597</v>
      </c>
      <c r="F193" s="265" t="s">
        <v>598</v>
      </c>
      <c r="G193" s="265"/>
      <c r="H193" s="264" t="s">
        <v>166</v>
      </c>
      <c r="I193" s="264" t="s">
        <v>2433</v>
      </c>
      <c r="J193" s="212" t="s">
        <v>2586</v>
      </c>
      <c r="K193" s="212"/>
      <c r="L193" s="272">
        <v>44575</v>
      </c>
      <c r="M193" s="272">
        <v>44573</v>
      </c>
      <c r="N193" s="272">
        <v>44468</v>
      </c>
      <c r="O193" s="272">
        <v>44468</v>
      </c>
      <c r="P193" s="272">
        <v>44533</v>
      </c>
      <c r="Q193" s="264" t="s">
        <v>6</v>
      </c>
      <c r="R193" s="264" t="s">
        <v>15</v>
      </c>
      <c r="S193" s="264" t="s">
        <v>15</v>
      </c>
      <c r="X193" s="264"/>
      <c r="Z193" s="264"/>
      <c r="AA193" s="264"/>
      <c r="AB193" s="265" t="str">
        <f>VLOOKUP(功能_33[[#This Row],[User]],SKL放款!A:G,7,FALSE)</f>
        <v>放款服務課</v>
      </c>
      <c r="AC193" s="272">
        <v>44533</v>
      </c>
      <c r="AD193" s="272" t="s">
        <v>2394</v>
      </c>
      <c r="AE193" s="272">
        <v>44531</v>
      </c>
      <c r="AF193" s="272">
        <v>44531</v>
      </c>
      <c r="AG193" s="209">
        <v>44539</v>
      </c>
      <c r="AH193" s="272"/>
      <c r="AI193" s="272"/>
      <c r="AJ193" s="322"/>
      <c r="AK193" s="272">
        <f>IFERROR(IF(VLOOKUP(功能_33[[#This Row],[功能代號]],E:U,11,FALSE)=0,"",VLOOKUP(功能_33[[#This Row],[功能代號]],E:U,11,FALSE)),"")</f>
        <v>44468</v>
      </c>
      <c r="AL193" s="272"/>
      <c r="AM193" s="272"/>
      <c r="AN193" s="265"/>
      <c r="AO193" s="272"/>
      <c r="AP193" s="264" t="s">
        <v>2627</v>
      </c>
      <c r="AQ193" s="264" t="s">
        <v>163</v>
      </c>
      <c r="AR193" s="593" t="s">
        <v>3207</v>
      </c>
      <c r="AS193" s="483" t="str">
        <f>IF(COUNTA(AG193)=1,LEFT(D193,3),"")</f>
        <v>4-5</v>
      </c>
      <c r="AT193" s="485" t="str">
        <f>IF(AND(COUNTA(O193)=1,COUNTA(P193)=1,COUNTA(AC193)=1,COUNTA(AF193)=1,COUNTA(AG193)=0),LEFT(D193,3),"")</f>
        <v/>
      </c>
      <c r="AU193" s="487" t="str">
        <f>IF(AND(COUNTA(O193)=1,COUNTA(P193)=1,COUNTA(AC193)=1,COUNTA(AF193)=0,COUNTA(AG193)=0),LEFT(D193,3),"")</f>
        <v/>
      </c>
      <c r="AV193" s="489" t="str">
        <f>IF(AND(COUNTA(P193)=0,COUNTA(AC193)=1),LEFT(D193,3),"")</f>
        <v/>
      </c>
      <c r="AW193" s="491" t="str">
        <f>IF(AND(COUNTA(P193)=1,COUNTA(AC193)=0),LEFT(D193,3),"")</f>
        <v/>
      </c>
      <c r="AX193" s="493" t="str">
        <f>IF(AND(COUNTA(P193)=0,COUNTA(AC193)=0),LEFT(D193,3),"")</f>
        <v/>
      </c>
      <c r="AY193" s="514" t="str">
        <f>IFERROR(VLOOKUP(功能_33[[#This Row],[功能代號]],SIT_FT_2021tmp!D:D,1,FALSE),"")</f>
        <v>L4500</v>
      </c>
      <c r="AZ193" s="587">
        <v>44559</v>
      </c>
      <c r="BA193" s="587">
        <v>44559</v>
      </c>
      <c r="BB193" s="514" t="s">
        <v>3000</v>
      </c>
      <c r="BC193" s="265" t="s">
        <v>3041</v>
      </c>
      <c r="BD193" s="593"/>
      <c r="BE193" s="264" t="str">
        <f>IF(AND(COUNTIF(AY193,"&gt;&lt;0")=1,COUNTA(M193)=1),LEFT(D193,3),"")</f>
        <v>4-5</v>
      </c>
      <c r="BF193" s="264" t="str">
        <f>IF(AND(COUNTIF(AY193,"&gt;&lt;")=1,COUNTA(M193)=0),LEFT(D193,3),"")</f>
        <v/>
      </c>
      <c r="BG193" s="264" t="str">
        <f>IF(AND(COUNTIF(AY193,"&gt;&lt;0")=0,COUNTA(M193)=1),LEFT(D193,3),"")</f>
        <v/>
      </c>
      <c r="BH193" s="264" t="str">
        <f>IF(AND(COUNTIF(AY193,"&gt;&lt;0")=0,COUNTA(M193)=0),LEFT(D193,3),"")</f>
        <v/>
      </c>
    </row>
    <row r="194" spans="3:60" ht="13.5" x14ac:dyDescent="0.3">
      <c r="C194" s="265" t="s">
        <v>68</v>
      </c>
      <c r="D194" s="265" t="s">
        <v>596</v>
      </c>
      <c r="E194" s="214" t="s">
        <v>599</v>
      </c>
      <c r="F194" s="265" t="s">
        <v>600</v>
      </c>
      <c r="G194" s="265"/>
      <c r="H194" s="264" t="s">
        <v>166</v>
      </c>
      <c r="I194" s="264" t="s">
        <v>2433</v>
      </c>
      <c r="J194" s="212" t="s">
        <v>2586</v>
      </c>
      <c r="K194" s="212"/>
      <c r="L194" s="272">
        <v>44575</v>
      </c>
      <c r="M194" s="272">
        <v>44573</v>
      </c>
      <c r="N194" s="272">
        <v>44468</v>
      </c>
      <c r="O194" s="272">
        <v>44468</v>
      </c>
      <c r="P194" s="272">
        <v>44533</v>
      </c>
      <c r="Q194" s="264" t="s">
        <v>6</v>
      </c>
      <c r="R194" s="264" t="s">
        <v>15</v>
      </c>
      <c r="S194" s="264" t="s">
        <v>15</v>
      </c>
      <c r="X194" s="264"/>
      <c r="Z194" s="264"/>
      <c r="AA194" s="264"/>
      <c r="AB194" s="265" t="str">
        <f>VLOOKUP(功能_33[[#This Row],[User]],SKL放款!A:G,7,FALSE)</f>
        <v>放款服務課</v>
      </c>
      <c r="AC194" s="272">
        <v>44533</v>
      </c>
      <c r="AD194" s="272" t="s">
        <v>168</v>
      </c>
      <c r="AE194" s="272">
        <v>44531</v>
      </c>
      <c r="AF194" s="272">
        <v>44531</v>
      </c>
      <c r="AG194" s="209">
        <v>44539</v>
      </c>
      <c r="AH194" s="272"/>
      <c r="AI194" s="272"/>
      <c r="AJ194" s="322"/>
      <c r="AK194" s="272">
        <f>IFERROR(IF(VLOOKUP(功能_33[[#This Row],[功能代號]],E:U,11,FALSE)=0,"",VLOOKUP(功能_33[[#This Row],[功能代號]],E:U,11,FALSE)),"")</f>
        <v>44468</v>
      </c>
      <c r="AL194" s="272"/>
      <c r="AM194" s="272"/>
      <c r="AN194" s="265"/>
      <c r="AO194" s="272"/>
      <c r="AP194" s="214" t="s">
        <v>2615</v>
      </c>
      <c r="AQ194" s="265" t="s">
        <v>2616</v>
      </c>
      <c r="AR194" s="593" t="s">
        <v>3207</v>
      </c>
      <c r="AS194" s="483" t="str">
        <f>IF(COUNTA(AG194)=1,LEFT(D194,3),"")</f>
        <v>4-5</v>
      </c>
      <c r="AT194" s="485" t="str">
        <f>IF(AND(COUNTA(O194)=1,COUNTA(P194)=1,COUNTA(AC194)=1,COUNTA(AF194)=1,COUNTA(AG194)=0),LEFT(D194,3),"")</f>
        <v/>
      </c>
      <c r="AU194" s="487" t="str">
        <f>IF(AND(COUNTA(O194)=1,COUNTA(P194)=1,COUNTA(AC194)=1,COUNTA(AF194)=0,COUNTA(AG194)=0),LEFT(D194,3),"")</f>
        <v/>
      </c>
      <c r="AV194" s="489" t="str">
        <f>IF(AND(COUNTA(P194)=0,COUNTA(AC194)=1),LEFT(D194,3),"")</f>
        <v/>
      </c>
      <c r="AW194" s="491" t="str">
        <f>IF(AND(COUNTA(P194)=1,COUNTA(AC194)=0),LEFT(D194,3),"")</f>
        <v/>
      </c>
      <c r="AX194" s="493" t="str">
        <f>IF(AND(COUNTA(P194)=0,COUNTA(AC194)=0),LEFT(D194,3),"")</f>
        <v/>
      </c>
      <c r="AY194" s="514" t="str">
        <f>IFERROR(VLOOKUP(功能_33[[#This Row],[功能代號]],SIT_FT_2021tmp!D:D,1,FALSE),"")</f>
        <v>L4950</v>
      </c>
      <c r="AZ194" s="587">
        <v>44559</v>
      </c>
      <c r="BA194" s="587">
        <v>44559</v>
      </c>
      <c r="BB194" s="514" t="s">
        <v>3000</v>
      </c>
      <c r="BC194" s="265" t="s">
        <v>3041</v>
      </c>
      <c r="BD194" s="593"/>
      <c r="BE194" s="264" t="str">
        <f>IF(AND(COUNTIF(AY194,"&gt;&lt;0")=1,COUNTA(M194)=1),LEFT(D194,3),"")</f>
        <v>4-5</v>
      </c>
      <c r="BF194" s="264" t="str">
        <f>IF(AND(COUNTIF(AY194,"&gt;&lt;")=1,COUNTA(M194)=0),LEFT(D194,3),"")</f>
        <v/>
      </c>
      <c r="BG194" s="264" t="str">
        <f>IF(AND(COUNTIF(AY194,"&gt;&lt;0")=0,COUNTA(M194)=1),LEFT(D194,3),"")</f>
        <v/>
      </c>
      <c r="BH194" s="264" t="str">
        <f>IF(AND(COUNTIF(AY194,"&gt;&lt;0")=0,COUNTA(M194)=0),LEFT(D194,3),"")</f>
        <v/>
      </c>
    </row>
    <row r="195" spans="3:60" ht="40.5" x14ac:dyDescent="0.3">
      <c r="C195" s="265" t="s">
        <v>68</v>
      </c>
      <c r="D195" s="265" t="s">
        <v>596</v>
      </c>
      <c r="E195" s="214" t="s">
        <v>601</v>
      </c>
      <c r="F195" s="265" t="s">
        <v>602</v>
      </c>
      <c r="G195" s="265"/>
      <c r="H195" s="264" t="s">
        <v>166</v>
      </c>
      <c r="I195" s="264" t="s">
        <v>2433</v>
      </c>
      <c r="J195" s="212" t="s">
        <v>2586</v>
      </c>
      <c r="K195" s="212"/>
      <c r="L195" s="272">
        <v>44579</v>
      </c>
      <c r="M195" s="272">
        <v>44578</v>
      </c>
      <c r="N195" s="272">
        <v>44468</v>
      </c>
      <c r="O195" s="272">
        <v>44468</v>
      </c>
      <c r="P195" s="272">
        <v>44533</v>
      </c>
      <c r="Q195" s="264" t="s">
        <v>6</v>
      </c>
      <c r="R195" s="264" t="s">
        <v>15</v>
      </c>
      <c r="S195" s="264" t="s">
        <v>15</v>
      </c>
      <c r="X195" s="264"/>
      <c r="Z195" s="264"/>
      <c r="AA195" s="264"/>
      <c r="AB195" s="265" t="str">
        <f>VLOOKUP(功能_33[[#This Row],[User]],SKL放款!A:G,7,FALSE)</f>
        <v>放款服務課</v>
      </c>
      <c r="AC195" s="272">
        <v>44533</v>
      </c>
      <c r="AD195" s="272" t="s">
        <v>107</v>
      </c>
      <c r="AE195" s="272">
        <v>44531</v>
      </c>
      <c r="AF195" s="272">
        <v>44531</v>
      </c>
      <c r="AG195" s="209">
        <v>44539</v>
      </c>
      <c r="AH195" s="272"/>
      <c r="AI195" s="272"/>
      <c r="AJ195" s="322"/>
      <c r="AK195" s="272">
        <f>IFERROR(IF(VLOOKUP(功能_33[[#This Row],[功能代號]],E:U,11,FALSE)=0,"",VLOOKUP(功能_33[[#This Row],[功能代號]],E:U,11,FALSE)),"")</f>
        <v>44468</v>
      </c>
      <c r="AL195" s="272"/>
      <c r="AM195" s="272"/>
      <c r="AN195" s="265"/>
      <c r="AO195" s="272"/>
      <c r="AP195" s="281" t="s">
        <v>2617</v>
      </c>
      <c r="AQ195" s="206" t="s">
        <v>2618</v>
      </c>
      <c r="AR195" s="593" t="s">
        <v>3207</v>
      </c>
      <c r="AS195" s="483" t="str">
        <f>IF(COUNTA(AG195)=1,LEFT(D195,3),"")</f>
        <v>4-5</v>
      </c>
      <c r="AT195" s="485" t="str">
        <f>IF(AND(COUNTA(O195)=1,COUNTA(P195)=1,COUNTA(AC195)=1,COUNTA(AF195)=1,COUNTA(AG195)=0),LEFT(D195,3),"")</f>
        <v/>
      </c>
      <c r="AU195" s="487" t="str">
        <f>IF(AND(COUNTA(O195)=1,COUNTA(P195)=1,COUNTA(AC195)=1,COUNTA(AF195)=0,COUNTA(AG195)=0),LEFT(D195,3),"")</f>
        <v/>
      </c>
      <c r="AV195" s="489" t="str">
        <f>IF(AND(COUNTA(P195)=0,COUNTA(AC195)=1),LEFT(D195,3),"")</f>
        <v/>
      </c>
      <c r="AW195" s="491" t="str">
        <f>IF(AND(COUNTA(P195)=1,COUNTA(AC195)=0),LEFT(D195,3),"")</f>
        <v/>
      </c>
      <c r="AX195" s="493" t="str">
        <f>IF(AND(COUNTA(P195)=0,COUNTA(AC195)=0),LEFT(D195,3),"")</f>
        <v/>
      </c>
      <c r="AY195" s="514" t="str">
        <f>IFERROR(VLOOKUP(功能_33[[#This Row],[功能代號]],SIT_FT_2021tmp!D:D,1,FALSE),"")</f>
        <v>L4510</v>
      </c>
      <c r="AZ195" s="587">
        <v>44559</v>
      </c>
      <c r="BA195" s="587">
        <v>44559</v>
      </c>
      <c r="BB195" s="514" t="s">
        <v>3000</v>
      </c>
      <c r="BC195" s="265" t="s">
        <v>3041</v>
      </c>
      <c r="BD195" s="593"/>
      <c r="BE195" s="264" t="str">
        <f>IF(AND(COUNTIF(AY195,"&gt;&lt;0")=1,COUNTA(M195)=1),LEFT(D195,3),"")</f>
        <v>4-5</v>
      </c>
      <c r="BF195" s="264" t="str">
        <f>IF(AND(COUNTIF(AY195,"&gt;&lt;")=1,COUNTA(M195)=0),LEFT(D195,3),"")</f>
        <v/>
      </c>
      <c r="BG195" s="264" t="str">
        <f>IF(AND(COUNTIF(AY195,"&gt;&lt;0")=0,COUNTA(M195)=1),LEFT(D195,3),"")</f>
        <v/>
      </c>
      <c r="BH195" s="264" t="str">
        <f>IF(AND(COUNTIF(AY195,"&gt;&lt;0")=0,COUNTA(M195)=0),LEFT(D195,3),"")</f>
        <v/>
      </c>
    </row>
    <row r="196" spans="3:60" ht="13.5" x14ac:dyDescent="0.3">
      <c r="C196" s="265" t="s">
        <v>68</v>
      </c>
      <c r="D196" s="265" t="s">
        <v>596</v>
      </c>
      <c r="E196" s="214" t="s">
        <v>603</v>
      </c>
      <c r="F196" s="265" t="s">
        <v>604</v>
      </c>
      <c r="G196" s="265"/>
      <c r="H196" s="264" t="s">
        <v>166</v>
      </c>
      <c r="I196" s="264" t="s">
        <v>2433</v>
      </c>
      <c r="J196" s="212" t="s">
        <v>2586</v>
      </c>
      <c r="K196" s="212"/>
      <c r="L196" s="272">
        <v>44575</v>
      </c>
      <c r="M196" s="272">
        <v>44573</v>
      </c>
      <c r="N196" s="272">
        <v>44468</v>
      </c>
      <c r="O196" s="272">
        <v>44468</v>
      </c>
      <c r="P196" s="272">
        <v>44533</v>
      </c>
      <c r="Q196" s="264" t="s">
        <v>6</v>
      </c>
      <c r="R196" s="264" t="s">
        <v>15</v>
      </c>
      <c r="S196" s="264" t="s">
        <v>15</v>
      </c>
      <c r="X196" s="264"/>
      <c r="Z196" s="264"/>
      <c r="AA196" s="264"/>
      <c r="AB196" s="265" t="str">
        <f>VLOOKUP(功能_33[[#This Row],[User]],SKL放款!A:G,7,FALSE)</f>
        <v>放款服務課</v>
      </c>
      <c r="AC196" s="272">
        <v>44533</v>
      </c>
      <c r="AD196" s="272" t="s">
        <v>168</v>
      </c>
      <c r="AE196" s="272">
        <v>44531</v>
      </c>
      <c r="AF196" s="272">
        <v>44531</v>
      </c>
      <c r="AG196" s="209">
        <v>44539</v>
      </c>
      <c r="AH196" s="272"/>
      <c r="AI196" s="272"/>
      <c r="AJ196" s="322"/>
      <c r="AK196" s="272">
        <f>IFERROR(IF(VLOOKUP(功能_33[[#This Row],[功能代號]],E:U,11,FALSE)=0,"",VLOOKUP(功能_33[[#This Row],[功能代號]],E:U,11,FALSE)),"")</f>
        <v>44468</v>
      </c>
      <c r="AL196" s="272"/>
      <c r="AM196" s="272"/>
      <c r="AN196" s="265"/>
      <c r="AO196" s="272"/>
      <c r="AP196" s="214" t="s">
        <v>2619</v>
      </c>
      <c r="AQ196" s="265" t="s">
        <v>2620</v>
      </c>
      <c r="AR196" s="593" t="s">
        <v>3207</v>
      </c>
      <c r="AS196" s="483" t="str">
        <f>IF(COUNTA(AG196)=1,LEFT(D196,3),"")</f>
        <v>4-5</v>
      </c>
      <c r="AT196" s="485" t="str">
        <f>IF(AND(COUNTA(O196)=1,COUNTA(P196)=1,COUNTA(AC196)=1,COUNTA(AF196)=1,COUNTA(AG196)=0),LEFT(D196,3),"")</f>
        <v/>
      </c>
      <c r="AU196" s="487" t="str">
        <f>IF(AND(COUNTA(O196)=1,COUNTA(P196)=1,COUNTA(AC196)=1,COUNTA(AF196)=0,COUNTA(AG196)=0),LEFT(D196,3),"")</f>
        <v/>
      </c>
      <c r="AV196" s="489" t="str">
        <f>IF(AND(COUNTA(P196)=0,COUNTA(AC196)=1),LEFT(D196,3),"")</f>
        <v/>
      </c>
      <c r="AW196" s="491" t="str">
        <f>IF(AND(COUNTA(P196)=1,COUNTA(AC196)=0),LEFT(D196,3),"")</f>
        <v/>
      </c>
      <c r="AX196" s="493" t="str">
        <f>IF(AND(COUNTA(P196)=0,COUNTA(AC196)=0),LEFT(D196,3),"")</f>
        <v/>
      </c>
      <c r="AY196" s="514" t="str">
        <f>IFERROR(VLOOKUP(功能_33[[#This Row],[功能代號]],SIT_FT_2021tmp!D:D,1,FALSE),"")</f>
        <v>L4951</v>
      </c>
      <c r="AZ196" s="587">
        <v>44559</v>
      </c>
      <c r="BA196" s="587">
        <v>44559</v>
      </c>
      <c r="BB196" s="514" t="s">
        <v>3000</v>
      </c>
      <c r="BC196" s="265" t="s">
        <v>3041</v>
      </c>
      <c r="BD196" s="593"/>
      <c r="BE196" s="264" t="str">
        <f>IF(AND(COUNTIF(AY196,"&gt;&lt;0")=1,COUNTA(M196)=1),LEFT(D196,3),"")</f>
        <v>4-5</v>
      </c>
      <c r="BF196" s="264" t="str">
        <f>IF(AND(COUNTIF(AY196,"&gt;&lt;")=1,COUNTA(M196)=0),LEFT(D196,3),"")</f>
        <v/>
      </c>
      <c r="BG196" s="264" t="str">
        <f>IF(AND(COUNTIF(AY196,"&gt;&lt;0")=0,COUNTA(M196)=1),LEFT(D196,3),"")</f>
        <v/>
      </c>
      <c r="BH196" s="264" t="str">
        <f>IF(AND(COUNTIF(AY196,"&gt;&lt;0")=0,COUNTA(M196)=0),LEFT(D196,3),"")</f>
        <v/>
      </c>
    </row>
    <row r="197" spans="3:60" ht="13.5" x14ac:dyDescent="0.3">
      <c r="C197" s="265" t="s">
        <v>68</v>
      </c>
      <c r="D197" s="265" t="s">
        <v>596</v>
      </c>
      <c r="E197" s="214" t="s">
        <v>605</v>
      </c>
      <c r="F197" s="265" t="s">
        <v>606</v>
      </c>
      <c r="G197" s="265"/>
      <c r="H197" s="264" t="s">
        <v>166</v>
      </c>
      <c r="I197" s="264" t="s">
        <v>2433</v>
      </c>
      <c r="J197" s="212" t="s">
        <v>2586</v>
      </c>
      <c r="K197" s="212"/>
      <c r="L197" s="272">
        <v>44575</v>
      </c>
      <c r="M197" s="272">
        <v>44573</v>
      </c>
      <c r="N197" s="272">
        <v>44468</v>
      </c>
      <c r="O197" s="272">
        <v>44468</v>
      </c>
      <c r="P197" s="272">
        <v>44533</v>
      </c>
      <c r="Q197" s="264" t="s">
        <v>6</v>
      </c>
      <c r="R197" s="264" t="s">
        <v>15</v>
      </c>
      <c r="S197" s="264" t="s">
        <v>15</v>
      </c>
      <c r="X197" s="264"/>
      <c r="Z197" s="264"/>
      <c r="AA197" s="264"/>
      <c r="AB197" s="265" t="str">
        <f>VLOOKUP(功能_33[[#This Row],[User]],SKL放款!A:G,7,FALSE)</f>
        <v>放款服務課</v>
      </c>
      <c r="AC197" s="272">
        <v>44533</v>
      </c>
      <c r="AD197" s="272" t="s">
        <v>168</v>
      </c>
      <c r="AE197" s="272">
        <v>44531</v>
      </c>
      <c r="AF197" s="272">
        <v>44531</v>
      </c>
      <c r="AG197" s="209">
        <v>44539</v>
      </c>
      <c r="AH197" s="272"/>
      <c r="AI197" s="272"/>
      <c r="AJ197" s="322"/>
      <c r="AK197" s="272">
        <f>IFERROR(IF(VLOOKUP(功能_33[[#This Row],[功能代號]],E:U,11,FALSE)=0,"",VLOOKUP(功能_33[[#This Row],[功能代號]],E:U,11,FALSE)),"")</f>
        <v>44468</v>
      </c>
      <c r="AL197" s="272"/>
      <c r="AM197" s="272"/>
      <c r="AN197" s="265"/>
      <c r="AO197" s="272"/>
      <c r="AP197" s="214" t="s">
        <v>2621</v>
      </c>
      <c r="AQ197" s="265" t="s">
        <v>2622</v>
      </c>
      <c r="AR197" s="593" t="s">
        <v>3207</v>
      </c>
      <c r="AS197" s="483" t="str">
        <f>IF(COUNTA(AG197)=1,LEFT(D197,3),"")</f>
        <v>4-5</v>
      </c>
      <c r="AT197" s="485" t="str">
        <f>IF(AND(COUNTA(O197)=1,COUNTA(P197)=1,COUNTA(AC197)=1,COUNTA(AF197)=1,COUNTA(AG197)=0),LEFT(D197,3),"")</f>
        <v/>
      </c>
      <c r="AU197" s="487" t="str">
        <f>IF(AND(COUNTA(O197)=1,COUNTA(P197)=1,COUNTA(AC197)=1,COUNTA(AF197)=0,COUNTA(AG197)=0),LEFT(D197,3),"")</f>
        <v/>
      </c>
      <c r="AV197" s="489" t="str">
        <f>IF(AND(COUNTA(P197)=0,COUNTA(AC197)=1),LEFT(D197,3),"")</f>
        <v/>
      </c>
      <c r="AW197" s="491" t="str">
        <f>IF(AND(COUNTA(P197)=1,COUNTA(AC197)=0),LEFT(D197,3),"")</f>
        <v/>
      </c>
      <c r="AX197" s="493" t="str">
        <f>IF(AND(COUNTA(P197)=0,COUNTA(AC197)=0),LEFT(D197,3),"")</f>
        <v/>
      </c>
      <c r="AY197" s="514" t="str">
        <f>IFERROR(VLOOKUP(功能_33[[#This Row],[功能代號]],SIT_FT_2021tmp!D:D,1,FALSE),"")</f>
        <v>L4512</v>
      </c>
      <c r="AZ197" s="587">
        <v>44559</v>
      </c>
      <c r="BA197" s="587">
        <v>44559</v>
      </c>
      <c r="BB197" s="514" t="s">
        <v>3000</v>
      </c>
      <c r="BC197" s="265" t="s">
        <v>3041</v>
      </c>
      <c r="BD197" s="593"/>
      <c r="BE197" s="264" t="str">
        <f>IF(AND(COUNTIF(AY197,"&gt;&lt;0")=1,COUNTA(M197)=1),LEFT(D197,3),"")</f>
        <v>4-5</v>
      </c>
      <c r="BF197" s="264" t="str">
        <f>IF(AND(COUNTIF(AY197,"&gt;&lt;")=1,COUNTA(M197)=0),LEFT(D197,3),"")</f>
        <v/>
      </c>
      <c r="BG197" s="264" t="str">
        <f>IF(AND(COUNTIF(AY197,"&gt;&lt;0")=0,COUNTA(M197)=1),LEFT(D197,3),"")</f>
        <v/>
      </c>
      <c r="BH197" s="264" t="str">
        <f>IF(AND(COUNTIF(AY197,"&gt;&lt;0")=0,COUNTA(M197)=0),LEFT(D197,3),"")</f>
        <v/>
      </c>
    </row>
    <row r="198" spans="3:60" ht="40.5" x14ac:dyDescent="0.3">
      <c r="C198" s="265" t="s">
        <v>68</v>
      </c>
      <c r="D198" s="265" t="s">
        <v>596</v>
      </c>
      <c r="E198" s="214" t="s">
        <v>607</v>
      </c>
      <c r="F198" s="265" t="s">
        <v>608</v>
      </c>
      <c r="G198" s="265"/>
      <c r="H198" s="264" t="s">
        <v>166</v>
      </c>
      <c r="I198" s="264" t="s">
        <v>2433</v>
      </c>
      <c r="J198" s="212" t="s">
        <v>2586</v>
      </c>
      <c r="K198" s="212"/>
      <c r="L198" s="272">
        <v>44579</v>
      </c>
      <c r="M198" s="272">
        <v>44578</v>
      </c>
      <c r="N198" s="272">
        <v>44468</v>
      </c>
      <c r="O198" s="272">
        <v>44468</v>
      </c>
      <c r="P198" s="272">
        <v>44533</v>
      </c>
      <c r="Q198" s="264" t="s">
        <v>6</v>
      </c>
      <c r="R198" s="264" t="s">
        <v>15</v>
      </c>
      <c r="S198" s="264" t="s">
        <v>15</v>
      </c>
      <c r="X198" s="264"/>
      <c r="Z198" s="264"/>
      <c r="AA198" s="264"/>
      <c r="AB198" s="265" t="str">
        <f>VLOOKUP(功能_33[[#This Row],[User]],SKL放款!A:G,7,FALSE)</f>
        <v>放款服務課</v>
      </c>
      <c r="AC198" s="272">
        <v>44533</v>
      </c>
      <c r="AD198" s="272" t="s">
        <v>107</v>
      </c>
      <c r="AE198" s="272">
        <v>44531</v>
      </c>
      <c r="AF198" s="272">
        <v>44531</v>
      </c>
      <c r="AG198" s="209">
        <v>44539</v>
      </c>
      <c r="AH198" s="272"/>
      <c r="AI198" s="272"/>
      <c r="AJ198" s="322"/>
      <c r="AK198" s="272">
        <f>IFERROR(IF(VLOOKUP(功能_33[[#This Row],[功能代號]],E:U,11,FALSE)=0,"",VLOOKUP(功能_33[[#This Row],[功能代號]],E:U,11,FALSE)),"")</f>
        <v>44468</v>
      </c>
      <c r="AL198" s="272"/>
      <c r="AM198" s="272"/>
      <c r="AN198" s="265"/>
      <c r="AO198" s="272"/>
      <c r="AP198" s="281" t="s">
        <v>2623</v>
      </c>
      <c r="AQ198" s="206" t="s">
        <v>2624</v>
      </c>
      <c r="AR198" s="593" t="s">
        <v>3207</v>
      </c>
      <c r="AS198" s="483" t="str">
        <f>IF(COUNTA(AG198)=1,LEFT(D198,3),"")</f>
        <v>4-5</v>
      </c>
      <c r="AT198" s="485" t="str">
        <f>IF(AND(COUNTA(O198)=1,COUNTA(P198)=1,COUNTA(AC198)=1,COUNTA(AF198)=1,COUNTA(AG198)=0),LEFT(D198,3),"")</f>
        <v/>
      </c>
      <c r="AU198" s="487" t="str">
        <f>IF(AND(COUNTA(O198)=1,COUNTA(P198)=1,COUNTA(AC198)=1,COUNTA(AF198)=0,COUNTA(AG198)=0),LEFT(D198,3),"")</f>
        <v/>
      </c>
      <c r="AV198" s="489" t="str">
        <f>IF(AND(COUNTA(P198)=0,COUNTA(AC198)=1),LEFT(D198,3),"")</f>
        <v/>
      </c>
      <c r="AW198" s="491" t="str">
        <f>IF(AND(COUNTA(P198)=1,COUNTA(AC198)=0),LEFT(D198,3),"")</f>
        <v/>
      </c>
      <c r="AX198" s="493" t="str">
        <f>IF(AND(COUNTA(P198)=0,COUNTA(AC198)=0),LEFT(D198,3),"")</f>
        <v/>
      </c>
      <c r="AY198" s="514" t="str">
        <f>IFERROR(VLOOKUP(功能_33[[#This Row],[功能代號]],SIT_FT_2021tmp!D:D,1,FALSE),"")</f>
        <v>L4511</v>
      </c>
      <c r="AZ198" s="587">
        <v>44559</v>
      </c>
      <c r="BA198" s="587">
        <v>44559</v>
      </c>
      <c r="BB198" s="514" t="s">
        <v>3000</v>
      </c>
      <c r="BC198" s="265" t="s">
        <v>3041</v>
      </c>
      <c r="BD198" s="593"/>
      <c r="BE198" s="264" t="str">
        <f>IF(AND(COUNTIF(AY198,"&gt;&lt;0")=1,COUNTA(M198)=1),LEFT(D198,3),"")</f>
        <v>4-5</v>
      </c>
      <c r="BF198" s="264" t="str">
        <f>IF(AND(COUNTIF(AY198,"&gt;&lt;")=1,COUNTA(M198)=0),LEFT(D198,3),"")</f>
        <v/>
      </c>
      <c r="BG198" s="264" t="str">
        <f>IF(AND(COUNTIF(AY198,"&gt;&lt;0")=0,COUNTA(M198)=1),LEFT(D198,3),"")</f>
        <v/>
      </c>
      <c r="BH198" s="264" t="str">
        <f>IF(AND(COUNTIF(AY198,"&gt;&lt;0")=0,COUNTA(M198)=0),LEFT(D198,3),"")</f>
        <v/>
      </c>
    </row>
    <row r="199" spans="3:60" ht="94.5" x14ac:dyDescent="0.3">
      <c r="C199" s="265" t="s">
        <v>68</v>
      </c>
      <c r="D199" s="265" t="s">
        <v>382</v>
      </c>
      <c r="E199" s="264" t="s">
        <v>609</v>
      </c>
      <c r="F199" s="265" t="s">
        <v>610</v>
      </c>
      <c r="G199" s="265"/>
      <c r="H199" s="264" t="s">
        <v>166</v>
      </c>
      <c r="I199" s="264" t="s">
        <v>2433</v>
      </c>
      <c r="J199" s="212" t="s">
        <v>2586</v>
      </c>
      <c r="K199" s="212"/>
      <c r="L199" s="272">
        <v>44580</v>
      </c>
      <c r="M199" s="272">
        <v>44579</v>
      </c>
      <c r="N199" s="272">
        <v>44469</v>
      </c>
      <c r="O199" s="272">
        <v>44468</v>
      </c>
      <c r="P199" s="272">
        <v>44523</v>
      </c>
      <c r="Q199" s="264" t="s">
        <v>2</v>
      </c>
      <c r="R199" s="264" t="s">
        <v>5</v>
      </c>
      <c r="S199" s="264" t="s">
        <v>5</v>
      </c>
      <c r="X199" s="264"/>
      <c r="Z199" s="264"/>
      <c r="AA199" s="264"/>
      <c r="AB199" s="265" t="str">
        <f>VLOOKUP(功能_33[[#This Row],[User]],SKL放款!A:G,7,FALSE)</f>
        <v>放款服務課</v>
      </c>
      <c r="AC199" s="272">
        <v>44533</v>
      </c>
      <c r="AD199" s="272" t="s">
        <v>107</v>
      </c>
      <c r="AE199" s="272">
        <v>44523</v>
      </c>
      <c r="AF199" s="272">
        <v>44525</v>
      </c>
      <c r="AG199" s="209">
        <v>44539</v>
      </c>
      <c r="AH199" s="272"/>
      <c r="AI199" s="272"/>
      <c r="AJ199" s="322"/>
      <c r="AK199" s="272">
        <f>IFERROR(IF(VLOOKUP(功能_33[[#This Row],[功能代號]],E:U,11,FALSE)=0,"",VLOOKUP(功能_33[[#This Row],[功能代號]],E:U,11,FALSE)),"")</f>
        <v>44468</v>
      </c>
      <c r="AL199" s="272"/>
      <c r="AM199" s="272"/>
      <c r="AN199" s="265"/>
      <c r="AO199" s="211" t="s">
        <v>611</v>
      </c>
      <c r="AP199" s="281" t="s">
        <v>2638</v>
      </c>
      <c r="AQ199" s="206" t="s">
        <v>2639</v>
      </c>
      <c r="AR199" s="593" t="s">
        <v>3207</v>
      </c>
      <c r="AS199" s="483" t="str">
        <f>IF(COUNTA(AG199)=1,LEFT(D199,3),"")</f>
        <v>4-2</v>
      </c>
      <c r="AT199" s="485" t="str">
        <f>IF(AND(COUNTA(O199)=1,COUNTA(P199)=1,COUNTA(AC199)=1,COUNTA(AF199)=1,COUNTA(AG199)=0),LEFT(D199,3),"")</f>
        <v/>
      </c>
      <c r="AU199" s="487" t="str">
        <f>IF(AND(COUNTA(O199)=1,COUNTA(P199)=1,COUNTA(AC199)=1,COUNTA(AF199)=0,COUNTA(AG199)=0),LEFT(D199,3),"")</f>
        <v/>
      </c>
      <c r="AV199" s="489" t="str">
        <f>IF(AND(COUNTA(P199)=0,COUNTA(AC199)=1),LEFT(D199,3),"")</f>
        <v/>
      </c>
      <c r="AW199" s="491" t="str">
        <f>IF(AND(COUNTA(P199)=1,COUNTA(AC199)=0),LEFT(D199,3),"")</f>
        <v/>
      </c>
      <c r="AX199" s="493" t="str">
        <f>IF(AND(COUNTA(P199)=0,COUNTA(AC199)=0),LEFT(D199,3),"")</f>
        <v/>
      </c>
      <c r="AY199" s="514" t="str">
        <f>IFERROR(VLOOKUP(功能_33[[#This Row],[功能代號]],SIT_FT_2021tmp!D:D,1,FALSE),"")</f>
        <v>L4200</v>
      </c>
      <c r="AZ199" s="587">
        <v>44559</v>
      </c>
      <c r="BA199" s="587">
        <v>44559</v>
      </c>
      <c r="BB199" s="514" t="s">
        <v>3000</v>
      </c>
      <c r="BC199" s="265" t="s">
        <v>3041</v>
      </c>
      <c r="BD199" s="593"/>
      <c r="BE199" s="264" t="str">
        <f>IF(AND(COUNTIF(AY199,"&gt;&lt;0")=1,COUNTA(M199)=1),LEFT(D199,3),"")</f>
        <v>4-2</v>
      </c>
      <c r="BF199" s="264" t="str">
        <f>IF(AND(COUNTIF(AY199,"&gt;&lt;")=1,COUNTA(M199)=0),LEFT(D199,3),"")</f>
        <v/>
      </c>
      <c r="BG199" s="264" t="str">
        <f>IF(AND(COUNTIF(AY199,"&gt;&lt;0")=0,COUNTA(M199)=1),LEFT(D199,3),"")</f>
        <v/>
      </c>
      <c r="BH199" s="264" t="str">
        <f>IF(AND(COUNTIF(AY199,"&gt;&lt;0")=0,COUNTA(M199)=0),LEFT(D199,3),"")</f>
        <v/>
      </c>
    </row>
    <row r="200" spans="3:60" ht="27" x14ac:dyDescent="0.3">
      <c r="C200" s="265" t="s">
        <v>68</v>
      </c>
      <c r="D200" s="265" t="s">
        <v>596</v>
      </c>
      <c r="E200" s="214" t="s">
        <v>612</v>
      </c>
      <c r="F200" s="265" t="s">
        <v>613</v>
      </c>
      <c r="G200" s="265"/>
      <c r="H200" s="264" t="s">
        <v>166</v>
      </c>
      <c r="I200" s="264" t="s">
        <v>2433</v>
      </c>
      <c r="J200" s="212" t="s">
        <v>2963</v>
      </c>
      <c r="K200" s="584" t="s">
        <v>2994</v>
      </c>
      <c r="L200" s="272">
        <v>44580</v>
      </c>
      <c r="M200" s="272">
        <v>44579</v>
      </c>
      <c r="N200" s="272">
        <v>44473</v>
      </c>
      <c r="O200" s="272">
        <v>44468</v>
      </c>
      <c r="P200" s="215">
        <v>44550</v>
      </c>
      <c r="Q200" s="264" t="s">
        <v>6</v>
      </c>
      <c r="R200" s="264" t="s">
        <v>15</v>
      </c>
      <c r="S200" s="264" t="s">
        <v>15</v>
      </c>
      <c r="X200" s="264"/>
      <c r="Z200" s="264"/>
      <c r="AA200" s="264"/>
      <c r="AB200" s="265" t="str">
        <f>VLOOKUP(功能_33[[#This Row],[User]],SKL放款!A:G,7,FALSE)</f>
        <v>放款服務課</v>
      </c>
      <c r="AC200" s="215">
        <v>44550</v>
      </c>
      <c r="AD200" s="272" t="s">
        <v>107</v>
      </c>
      <c r="AE200" s="272">
        <v>44531</v>
      </c>
      <c r="AF200" s="272">
        <v>44531</v>
      </c>
      <c r="AG200" s="209" t="s">
        <v>2966</v>
      </c>
      <c r="AH200" s="272"/>
      <c r="AI200" s="272"/>
      <c r="AJ200" s="322"/>
      <c r="AK200" s="272">
        <f>IFERROR(IF(VLOOKUP(功能_33[[#This Row],[功能代號]],E:U,11,FALSE)=0,"",VLOOKUP(功能_33[[#This Row],[功能代號]],E:U,11,FALSE)),"")</f>
        <v>44468</v>
      </c>
      <c r="AL200" s="272"/>
      <c r="AM200" s="272"/>
      <c r="AN200" s="265"/>
      <c r="AO200" s="272"/>
      <c r="AP200" s="207" t="s">
        <v>2625</v>
      </c>
      <c r="AQ200" s="265" t="s">
        <v>2626</v>
      </c>
      <c r="AR200" s="593" t="s">
        <v>3207</v>
      </c>
      <c r="AS200" s="483" t="str">
        <f>IF(COUNTA(AG200)=1,LEFT(D200,3),"")</f>
        <v>4-5</v>
      </c>
      <c r="AT200" s="485" t="str">
        <f>IF(AND(COUNTA(O200)=1,COUNTA(P200)=1,COUNTA(AC200)=1,COUNTA(AF200)=1,COUNTA(AG200)=0),LEFT(D200,3),"")</f>
        <v/>
      </c>
      <c r="AU200" s="487" t="str">
        <f>IF(AND(COUNTA(O200)=1,COUNTA(P200)=1,COUNTA(AC200)=1,COUNTA(AF200)=0,COUNTA(AG200)=0),LEFT(D200,3),"")</f>
        <v/>
      </c>
      <c r="AV200" s="489" t="str">
        <f>IF(AND(COUNTA(P200)=0,COUNTA(AC200)=1),LEFT(D200,3),"")</f>
        <v/>
      </c>
      <c r="AW200" s="491" t="str">
        <f>IF(AND(COUNTA(P200)=1,COUNTA(AC200)=0),LEFT(D200,3),"")</f>
        <v/>
      </c>
      <c r="AX200" s="493" t="str">
        <f>IF(AND(COUNTA(P200)=0,COUNTA(AC200)=0),LEFT(D200,3),"")</f>
        <v/>
      </c>
      <c r="AY200" s="514" t="str">
        <f>IFERROR(VLOOKUP(功能_33[[#This Row],[功能代號]],SIT_FT_2021tmp!D:D,1,FALSE),"")</f>
        <v>L4520</v>
      </c>
      <c r="AZ200" s="587">
        <v>44559</v>
      </c>
      <c r="BA200" s="587">
        <v>44559</v>
      </c>
      <c r="BB200" s="514" t="s">
        <v>3000</v>
      </c>
      <c r="BC200" s="265" t="s">
        <v>3041</v>
      </c>
      <c r="BD200" s="593"/>
      <c r="BE200" s="264" t="str">
        <f>IF(AND(COUNTIF(AY200,"&gt;&lt;0")=1,COUNTA(M200)=1),LEFT(D200,3),"")</f>
        <v>4-5</v>
      </c>
      <c r="BF200" s="264" t="str">
        <f>IF(AND(COUNTIF(AY200,"&gt;&lt;")=1,COUNTA(M200)=0),LEFT(D200,3),"")</f>
        <v/>
      </c>
      <c r="BG200" s="264" t="str">
        <f>IF(AND(COUNTIF(AY200,"&gt;&lt;0")=0,COUNTA(M200)=1),LEFT(D200,3),"")</f>
        <v/>
      </c>
      <c r="BH200" s="264" t="str">
        <f>IF(AND(COUNTIF(AY200,"&gt;&lt;0")=0,COUNTA(M200)=0),LEFT(D200,3),"")</f>
        <v/>
      </c>
    </row>
    <row r="201" spans="3:60" ht="13.5" x14ac:dyDescent="0.3">
      <c r="C201" s="265" t="s">
        <v>68</v>
      </c>
      <c r="D201" s="265" t="s">
        <v>614</v>
      </c>
      <c r="E201" s="264" t="s">
        <v>615</v>
      </c>
      <c r="F201" s="265" t="s">
        <v>616</v>
      </c>
      <c r="G201" s="265"/>
      <c r="H201" s="264" t="s">
        <v>166</v>
      </c>
      <c r="I201" s="264" t="s">
        <v>2433</v>
      </c>
      <c r="J201" s="212" t="s">
        <v>2586</v>
      </c>
      <c r="K201" s="212"/>
      <c r="L201" s="272">
        <v>44580</v>
      </c>
      <c r="M201" s="272">
        <v>44579</v>
      </c>
      <c r="N201" s="272">
        <v>44473</v>
      </c>
      <c r="O201" s="272">
        <v>44468</v>
      </c>
      <c r="P201" s="272">
        <v>44379</v>
      </c>
      <c r="Q201" s="264" t="s">
        <v>2</v>
      </c>
      <c r="R201" s="264" t="s">
        <v>15</v>
      </c>
      <c r="S201" s="264" t="s">
        <v>15</v>
      </c>
      <c r="X201" s="264"/>
      <c r="Z201" s="264"/>
      <c r="AA201" s="264"/>
      <c r="AB201" s="265" t="str">
        <f>VLOOKUP(功能_33[[#This Row],[User]],SKL放款!A:G,7,FALSE)</f>
        <v>放款服務課</v>
      </c>
      <c r="AC201" s="272">
        <v>44533</v>
      </c>
      <c r="AD201" s="272" t="s">
        <v>168</v>
      </c>
      <c r="AE201" s="272">
        <v>44531</v>
      </c>
      <c r="AF201" s="272">
        <v>44531</v>
      </c>
      <c r="AG201" s="209">
        <v>44539</v>
      </c>
      <c r="AH201" s="272"/>
      <c r="AI201" s="272"/>
      <c r="AJ201" s="322"/>
      <c r="AK201" s="272">
        <f>IFERROR(IF(VLOOKUP(功能_33[[#This Row],[功能代號]],E:U,11,FALSE)=0,"",VLOOKUP(功能_33[[#This Row],[功能代號]],E:U,11,FALSE)),"")</f>
        <v>44468</v>
      </c>
      <c r="AL201" s="272"/>
      <c r="AM201" s="272"/>
      <c r="AN201" s="265"/>
      <c r="AO201" s="272"/>
      <c r="AP201" s="264" t="s">
        <v>2603</v>
      </c>
      <c r="AQ201" s="264" t="s">
        <v>163</v>
      </c>
      <c r="AR201" s="593" t="s">
        <v>3207</v>
      </c>
      <c r="AS201" s="483" t="str">
        <f>IF(COUNTA(AG201)=1,LEFT(D201,3),"")</f>
        <v>4-5</v>
      </c>
      <c r="AT201" s="485" t="str">
        <f>IF(AND(COUNTA(O201)=1,COUNTA(P201)=1,COUNTA(AC201)=1,COUNTA(AF201)=1,COUNTA(AG201)=0),LEFT(D201,3),"")</f>
        <v/>
      </c>
      <c r="AU201" s="487" t="str">
        <f>IF(AND(COUNTA(O201)=1,COUNTA(P201)=1,COUNTA(AC201)=1,COUNTA(AF201)=0,COUNTA(AG201)=0),LEFT(D201,3),"")</f>
        <v/>
      </c>
      <c r="AV201" s="489" t="str">
        <f>IF(AND(COUNTA(P201)=0,COUNTA(AC201)=1),LEFT(D201,3),"")</f>
        <v/>
      </c>
      <c r="AW201" s="491" t="str">
        <f>IF(AND(COUNTA(P201)=1,COUNTA(AC201)=0),LEFT(D201,3),"")</f>
        <v/>
      </c>
      <c r="AX201" s="493" t="str">
        <f>IF(AND(COUNTA(P201)=0,COUNTA(AC201)=0),LEFT(D201,3),"")</f>
        <v/>
      </c>
      <c r="AY201" s="514" t="str">
        <f>IFERROR(VLOOKUP(功能_33[[#This Row],[功能代號]],SIT_FT_2021tmp!D:D,1,FALSE),"")</f>
        <v>L4204</v>
      </c>
      <c r="AZ201" s="587">
        <v>44559</v>
      </c>
      <c r="BA201" s="587">
        <v>44559</v>
      </c>
      <c r="BB201" s="514" t="s">
        <v>3000</v>
      </c>
      <c r="BC201" s="265" t="s">
        <v>3041</v>
      </c>
      <c r="BD201" s="593"/>
      <c r="BE201" s="264" t="str">
        <f>IF(AND(COUNTIF(AY201,"&gt;&lt;0")=1,COUNTA(M201)=1),LEFT(D201,3),"")</f>
        <v>4-5</v>
      </c>
      <c r="BF201" s="264" t="str">
        <f>IF(AND(COUNTIF(AY201,"&gt;&lt;")=1,COUNTA(M201)=0),LEFT(D201,3),"")</f>
        <v/>
      </c>
      <c r="BG201" s="264" t="str">
        <f>IF(AND(COUNTIF(AY201,"&gt;&lt;0")=0,COUNTA(M201)=1),LEFT(D201,3),"")</f>
        <v/>
      </c>
      <c r="BH201" s="264" t="str">
        <f>IF(AND(COUNTIF(AY201,"&gt;&lt;0")=0,COUNTA(M201)=0),LEFT(D201,3),"")</f>
        <v/>
      </c>
    </row>
    <row r="202" spans="3:60" ht="13.5" x14ac:dyDescent="0.3">
      <c r="C202" s="265" t="s">
        <v>68</v>
      </c>
      <c r="D202" s="265" t="s">
        <v>382</v>
      </c>
      <c r="E202" s="264" t="s">
        <v>617</v>
      </c>
      <c r="F202" s="265" t="s">
        <v>618</v>
      </c>
      <c r="G202" s="265"/>
      <c r="H202" s="264" t="s">
        <v>166</v>
      </c>
      <c r="I202" s="264" t="s">
        <v>2433</v>
      </c>
      <c r="J202" s="212" t="s">
        <v>2586</v>
      </c>
      <c r="K202" s="212"/>
      <c r="L202" s="272">
        <v>44580</v>
      </c>
      <c r="M202" s="272">
        <v>44579</v>
      </c>
      <c r="N202" s="272">
        <v>44470</v>
      </c>
      <c r="O202" s="272">
        <v>44470</v>
      </c>
      <c r="P202" s="272">
        <v>44523</v>
      </c>
      <c r="Q202" s="264" t="s">
        <v>2</v>
      </c>
      <c r="R202" s="264" t="s">
        <v>15</v>
      </c>
      <c r="S202" s="264" t="s">
        <v>15</v>
      </c>
      <c r="X202" s="264"/>
      <c r="Z202" s="264"/>
      <c r="AA202" s="264"/>
      <c r="AB202" s="265" t="str">
        <f>VLOOKUP(功能_33[[#This Row],[User]],SKL放款!A:G,7,FALSE)</f>
        <v>放款服務課</v>
      </c>
      <c r="AC202" s="272">
        <v>44533</v>
      </c>
      <c r="AD202" s="272">
        <v>44524</v>
      </c>
      <c r="AE202" s="272">
        <v>44524</v>
      </c>
      <c r="AF202" s="272">
        <v>44524</v>
      </c>
      <c r="AG202" s="209">
        <v>44539</v>
      </c>
      <c r="AH202" s="272"/>
      <c r="AI202" s="272"/>
      <c r="AJ202" s="322"/>
      <c r="AK202" s="272">
        <f>IFERROR(IF(VLOOKUP(功能_33[[#This Row],[功能代號]],E:U,11,FALSE)=0,"",VLOOKUP(功能_33[[#This Row],[功能代號]],E:U,11,FALSE)),"")</f>
        <v>44470</v>
      </c>
      <c r="AL202" s="272"/>
      <c r="AM202" s="272"/>
      <c r="AN202" s="265"/>
      <c r="AO202" s="272"/>
      <c r="AP202" s="264" t="s">
        <v>2603</v>
      </c>
      <c r="AQ202" s="264" t="s">
        <v>163</v>
      </c>
      <c r="AR202" s="593" t="s">
        <v>3207</v>
      </c>
      <c r="AS202" s="483" t="str">
        <f>IF(COUNTA(AG202)=1,LEFT(D202,3),"")</f>
        <v>4-2</v>
      </c>
      <c r="AT202" s="485" t="str">
        <f>IF(AND(COUNTA(O202)=1,COUNTA(P202)=1,COUNTA(AC202)=1,COUNTA(AF202)=1,COUNTA(AG202)=0),LEFT(D202,3),"")</f>
        <v/>
      </c>
      <c r="AU202" s="487" t="str">
        <f>IF(AND(COUNTA(O202)=1,COUNTA(P202)=1,COUNTA(AC202)=1,COUNTA(AF202)=0,COUNTA(AG202)=0),LEFT(D202,3),"")</f>
        <v/>
      </c>
      <c r="AV202" s="489" t="str">
        <f>IF(AND(COUNTA(P202)=0,COUNTA(AC202)=1),LEFT(D202,3),"")</f>
        <v/>
      </c>
      <c r="AW202" s="491" t="str">
        <f>IF(AND(COUNTA(P202)=1,COUNTA(AC202)=0),LEFT(D202,3),"")</f>
        <v/>
      </c>
      <c r="AX202" s="493" t="str">
        <f>IF(AND(COUNTA(P202)=0,COUNTA(AC202)=0),LEFT(D202,3),"")</f>
        <v/>
      </c>
      <c r="AY202" s="514" t="str">
        <f>IFERROR(VLOOKUP(功能_33[[#This Row],[功能代號]],SIT_FT_2021tmp!D:D,1,FALSE),"")</f>
        <v>L4205</v>
      </c>
      <c r="AZ202" s="587">
        <v>44539</v>
      </c>
      <c r="BA202" s="587">
        <v>44539</v>
      </c>
      <c r="BB202" s="514" t="s">
        <v>3000</v>
      </c>
      <c r="BC202" s="265" t="s">
        <v>3027</v>
      </c>
      <c r="BD202" s="593"/>
      <c r="BE202" s="264" t="str">
        <f>IF(AND(COUNTIF(AY202,"&gt;&lt;0")=1,COUNTA(M202)=1),LEFT(D202,3),"")</f>
        <v>4-2</v>
      </c>
      <c r="BF202" s="264" t="str">
        <f>IF(AND(COUNTIF(AY202,"&gt;&lt;")=1,COUNTA(M202)=0),LEFT(D202,3),"")</f>
        <v/>
      </c>
      <c r="BG202" s="264" t="str">
        <f>IF(AND(COUNTIF(AY202,"&gt;&lt;0")=0,COUNTA(M202)=1),LEFT(D202,3),"")</f>
        <v/>
      </c>
      <c r="BH202" s="264" t="str">
        <f>IF(AND(COUNTIF(AY202,"&gt;&lt;0")=0,COUNTA(M202)=0),LEFT(D202,3),"")</f>
        <v/>
      </c>
    </row>
    <row r="203" spans="3:60" ht="121.5" x14ac:dyDescent="0.3">
      <c r="C203" s="265" t="s">
        <v>68</v>
      </c>
      <c r="D203" s="265" t="s">
        <v>382</v>
      </c>
      <c r="E203" s="264" t="s">
        <v>619</v>
      </c>
      <c r="F203" s="265" t="s">
        <v>620</v>
      </c>
      <c r="G203" s="265"/>
      <c r="H203" s="264" t="s">
        <v>166</v>
      </c>
      <c r="I203" s="264" t="s">
        <v>2433</v>
      </c>
      <c r="J203" s="212" t="s">
        <v>2586</v>
      </c>
      <c r="K203" s="212"/>
      <c r="L203" s="272">
        <v>44581</v>
      </c>
      <c r="M203" s="272">
        <v>44575</v>
      </c>
      <c r="N203" s="272">
        <v>44469</v>
      </c>
      <c r="O203" s="245">
        <v>44484</v>
      </c>
      <c r="P203" s="272">
        <v>44523</v>
      </c>
      <c r="Q203" s="264" t="s">
        <v>2</v>
      </c>
      <c r="R203" s="264" t="s">
        <v>5</v>
      </c>
      <c r="S203" s="264" t="s">
        <v>5</v>
      </c>
      <c r="T203" s="265" t="s">
        <v>14</v>
      </c>
      <c r="X203" s="264"/>
      <c r="Z203" s="264"/>
      <c r="AA203" s="264"/>
      <c r="AB203" s="265" t="str">
        <f>VLOOKUP(功能_33[[#This Row],[User]],SKL放款!A:G,7,FALSE)</f>
        <v>放款服務課</v>
      </c>
      <c r="AC203" s="272">
        <v>44533</v>
      </c>
      <c r="AD203" s="272" t="s">
        <v>107</v>
      </c>
      <c r="AE203" s="272">
        <v>44523</v>
      </c>
      <c r="AF203" s="272">
        <v>44525</v>
      </c>
      <c r="AG203" s="209">
        <v>44539</v>
      </c>
      <c r="AH203" s="272"/>
      <c r="AI203" s="272"/>
      <c r="AJ203" s="322"/>
      <c r="AK203" s="272">
        <f>IFERROR(IF(VLOOKUP(功能_33[[#This Row],[功能代號]],E:U,11,FALSE)=0,"",VLOOKUP(功能_33[[#This Row],[功能代號]],E:U,11,FALSE)),"")</f>
        <v>44484</v>
      </c>
      <c r="AL203" s="272"/>
      <c r="AM203" s="272"/>
      <c r="AN203" s="265"/>
      <c r="AO203" s="211" t="s">
        <v>621</v>
      </c>
      <c r="AP203" s="281" t="s">
        <v>2640</v>
      </c>
      <c r="AQ203" s="206" t="s">
        <v>2641</v>
      </c>
      <c r="AR203" s="593" t="s">
        <v>3207</v>
      </c>
      <c r="AS203" s="483" t="str">
        <f>IF(COUNTA(AG203)=1,LEFT(D203,3),"")</f>
        <v>4-2</v>
      </c>
      <c r="AT203" s="485" t="str">
        <f>IF(AND(COUNTA(O203)=1,COUNTA(P203)=1,COUNTA(AC203)=1,COUNTA(AF203)=1,COUNTA(AG203)=0),LEFT(D203,3),"")</f>
        <v/>
      </c>
      <c r="AU203" s="487" t="str">
        <f>IF(AND(COUNTA(O203)=1,COUNTA(P203)=1,COUNTA(AC203)=1,COUNTA(AF203)=0,COUNTA(AG203)=0),LEFT(D203,3),"")</f>
        <v/>
      </c>
      <c r="AV203" s="489" t="str">
        <f>IF(AND(COUNTA(P203)=0,COUNTA(AC203)=1),LEFT(D203,3),"")</f>
        <v/>
      </c>
      <c r="AW203" s="491" t="str">
        <f>IF(AND(COUNTA(P203)=1,COUNTA(AC203)=0),LEFT(D203,3),"")</f>
        <v/>
      </c>
      <c r="AX203" s="493" t="str">
        <f>IF(AND(COUNTA(P203)=0,COUNTA(AC203)=0),LEFT(D203,3),"")</f>
        <v/>
      </c>
      <c r="AY203" s="514" t="str">
        <f>IFERROR(VLOOKUP(功能_33[[#This Row],[功能代號]],SIT_FT_2021tmp!D:D,1,FALSE),"")</f>
        <v>L4002</v>
      </c>
      <c r="AZ203" s="587">
        <v>44540</v>
      </c>
      <c r="BA203" s="587">
        <v>44540</v>
      </c>
      <c r="BB203" s="514" t="s">
        <v>3000</v>
      </c>
      <c r="BC203" s="265" t="s">
        <v>3032</v>
      </c>
      <c r="BD203" s="593"/>
      <c r="BE203" s="264" t="str">
        <f>IF(AND(COUNTIF(AY203,"&gt;&lt;0")=1,COUNTA(M203)=1),LEFT(D203,3),"")</f>
        <v>4-2</v>
      </c>
      <c r="BF203" s="264" t="str">
        <f>IF(AND(COUNTIF(AY203,"&gt;&lt;")=1,COUNTA(M203)=0),LEFT(D203,3),"")</f>
        <v/>
      </c>
      <c r="BG203" s="264" t="str">
        <f>IF(AND(COUNTIF(AY203,"&gt;&lt;0")=0,COUNTA(M203)=1),LEFT(D203,3),"")</f>
        <v/>
      </c>
      <c r="BH203" s="264" t="str">
        <f>IF(AND(COUNTIF(AY203,"&gt;&lt;0")=0,COUNTA(M203)=0),LEFT(D203,3),"")</f>
        <v/>
      </c>
    </row>
    <row r="204" spans="3:60" ht="13.5" x14ac:dyDescent="0.3">
      <c r="C204" s="265" t="s">
        <v>68</v>
      </c>
      <c r="D204" s="265" t="s">
        <v>382</v>
      </c>
      <c r="E204" s="264" t="s">
        <v>622</v>
      </c>
      <c r="F204" s="265" t="s">
        <v>623</v>
      </c>
      <c r="G204" s="265"/>
      <c r="H204" s="264" t="s">
        <v>166</v>
      </c>
      <c r="I204" s="264" t="s">
        <v>2433</v>
      </c>
      <c r="J204" s="212" t="s">
        <v>2586</v>
      </c>
      <c r="K204" s="212"/>
      <c r="L204" s="272">
        <v>44581</v>
      </c>
      <c r="M204" s="272">
        <v>44575</v>
      </c>
      <c r="N204" s="272">
        <v>44469</v>
      </c>
      <c r="O204" s="272">
        <v>44484</v>
      </c>
      <c r="P204" s="272">
        <v>44523</v>
      </c>
      <c r="Q204" s="264" t="s">
        <v>2</v>
      </c>
      <c r="R204" s="264" t="s">
        <v>13</v>
      </c>
      <c r="S204" s="264" t="s">
        <v>13</v>
      </c>
      <c r="X204" s="264"/>
      <c r="Z204" s="264"/>
      <c r="AA204" s="264"/>
      <c r="AB204" s="265" t="str">
        <f>VLOOKUP(功能_33[[#This Row],[User]],SKL放款!A:G,7,FALSE)</f>
        <v>放款服務課</v>
      </c>
      <c r="AC204" s="272">
        <v>44533</v>
      </c>
      <c r="AD204" s="272" t="s">
        <v>168</v>
      </c>
      <c r="AE204" s="272">
        <v>44523</v>
      </c>
      <c r="AF204" s="272">
        <v>44525</v>
      </c>
      <c r="AG204" s="209">
        <v>44539</v>
      </c>
      <c r="AH204" s="272"/>
      <c r="AI204" s="272"/>
      <c r="AJ204" s="322"/>
      <c r="AK204" s="272">
        <f>IFERROR(IF(VLOOKUP(功能_33[[#This Row],[功能代號]],E:U,11,FALSE)=0,"",VLOOKUP(功能_33[[#This Row],[功能代號]],E:U,11,FALSE)),"")</f>
        <v>44484</v>
      </c>
      <c r="AL204" s="272"/>
      <c r="AM204" s="272"/>
      <c r="AN204" s="265"/>
      <c r="AO204" s="272"/>
      <c r="AP204" s="264" t="s">
        <v>2603</v>
      </c>
      <c r="AQ204" s="264" t="s">
        <v>163</v>
      </c>
      <c r="AR204" s="593" t="s">
        <v>3207</v>
      </c>
      <c r="AS204" s="483" t="str">
        <f>IF(COUNTA(AG204)=1,LEFT(D204,3),"")</f>
        <v>4-2</v>
      </c>
      <c r="AT204" s="485" t="str">
        <f>IF(AND(COUNTA(O204)=1,COUNTA(P204)=1,COUNTA(AC204)=1,COUNTA(AF204)=1,COUNTA(AG204)=0),LEFT(D204,3),"")</f>
        <v/>
      </c>
      <c r="AU204" s="487" t="str">
        <f>IF(AND(COUNTA(O204)=1,COUNTA(P204)=1,COUNTA(AC204)=1,COUNTA(AF204)=0,COUNTA(AG204)=0),LEFT(D204,3),"")</f>
        <v/>
      </c>
      <c r="AV204" s="489" t="str">
        <f>IF(AND(COUNTA(P204)=0,COUNTA(AC204)=1),LEFT(D204,3),"")</f>
        <v/>
      </c>
      <c r="AW204" s="491" t="str">
        <f>IF(AND(COUNTA(P204)=1,COUNTA(AC204)=0),LEFT(D204,3),"")</f>
        <v/>
      </c>
      <c r="AX204" s="493" t="str">
        <f>IF(AND(COUNTA(P204)=0,COUNTA(AC204)=0),LEFT(D204,3),"")</f>
        <v/>
      </c>
      <c r="AY204" s="514" t="str">
        <f>IFERROR(VLOOKUP(功能_33[[#This Row],[功能代號]],SIT_FT_2021tmp!D:D,1,FALSE),"")</f>
        <v>L420A</v>
      </c>
      <c r="AZ204" s="587">
        <v>44540</v>
      </c>
      <c r="BA204" s="587">
        <v>44540</v>
      </c>
      <c r="BB204" s="514" t="s">
        <v>3000</v>
      </c>
      <c r="BC204" s="265" t="s">
        <v>3032</v>
      </c>
      <c r="BD204" s="593"/>
      <c r="BE204" s="264" t="str">
        <f>IF(AND(COUNTIF(AY204,"&gt;&lt;0")=1,COUNTA(M204)=1),LEFT(D204,3),"")</f>
        <v>4-2</v>
      </c>
      <c r="BF204" s="264" t="str">
        <f>IF(AND(COUNTIF(AY204,"&gt;&lt;")=1,COUNTA(M204)=0),LEFT(D204,3),"")</f>
        <v/>
      </c>
      <c r="BG204" s="264" t="str">
        <f>IF(AND(COUNTIF(AY204,"&gt;&lt;0")=0,COUNTA(M204)=1),LEFT(D204,3),"")</f>
        <v/>
      </c>
      <c r="BH204" s="264" t="str">
        <f>IF(AND(COUNTIF(AY204,"&gt;&lt;0")=0,COUNTA(M204)=0),LEFT(D204,3),"")</f>
        <v/>
      </c>
    </row>
    <row r="205" spans="3:60" ht="13.5" x14ac:dyDescent="0.3">
      <c r="C205" s="265" t="s">
        <v>68</v>
      </c>
      <c r="D205" s="265" t="s">
        <v>382</v>
      </c>
      <c r="E205" s="264" t="s">
        <v>624</v>
      </c>
      <c r="F205" s="265" t="s">
        <v>625</v>
      </c>
      <c r="G205" s="265"/>
      <c r="H205" s="264" t="s">
        <v>166</v>
      </c>
      <c r="I205" s="264" t="s">
        <v>2433</v>
      </c>
      <c r="J205" s="212" t="s">
        <v>2586</v>
      </c>
      <c r="K205" s="212"/>
      <c r="L205" s="272">
        <v>44581</v>
      </c>
      <c r="M205" s="272">
        <v>44575</v>
      </c>
      <c r="N205" s="272">
        <v>44469</v>
      </c>
      <c r="O205" s="272">
        <v>44484</v>
      </c>
      <c r="P205" s="272">
        <v>44523</v>
      </c>
      <c r="Q205" s="264" t="s">
        <v>2</v>
      </c>
      <c r="R205" s="264" t="s">
        <v>13</v>
      </c>
      <c r="S205" s="264" t="s">
        <v>13</v>
      </c>
      <c r="X205" s="264"/>
      <c r="Z205" s="264"/>
      <c r="AA205" s="264"/>
      <c r="AB205" s="265" t="str">
        <f>VLOOKUP(功能_33[[#This Row],[User]],SKL放款!A:G,7,FALSE)</f>
        <v>放款服務課</v>
      </c>
      <c r="AC205" s="272">
        <v>44533</v>
      </c>
      <c r="AD205" s="272" t="s">
        <v>168</v>
      </c>
      <c r="AE205" s="272">
        <v>44523</v>
      </c>
      <c r="AF205" s="272">
        <v>44525</v>
      </c>
      <c r="AG205" s="209">
        <v>44539</v>
      </c>
      <c r="AH205" s="272"/>
      <c r="AI205" s="272"/>
      <c r="AJ205" s="322"/>
      <c r="AK205" s="272">
        <f>IFERROR(IF(VLOOKUP(功能_33[[#This Row],[功能代號]],E:U,11,FALSE)=0,"",VLOOKUP(功能_33[[#This Row],[功能代號]],E:U,11,FALSE)),"")</f>
        <v>44484</v>
      </c>
      <c r="AL205" s="272"/>
      <c r="AM205" s="272"/>
      <c r="AN205" s="265"/>
      <c r="AO205" s="272"/>
      <c r="AP205" s="264" t="s">
        <v>2603</v>
      </c>
      <c r="AQ205" s="264" t="s">
        <v>163</v>
      </c>
      <c r="AR205" s="593" t="s">
        <v>3207</v>
      </c>
      <c r="AS205" s="483" t="str">
        <f>IF(COUNTA(AG205)=1,LEFT(D205,3),"")</f>
        <v>4-2</v>
      </c>
      <c r="AT205" s="485" t="str">
        <f>IF(AND(COUNTA(O205)=1,COUNTA(P205)=1,COUNTA(AC205)=1,COUNTA(AF205)=1,COUNTA(AG205)=0),LEFT(D205,3),"")</f>
        <v/>
      </c>
      <c r="AU205" s="487" t="str">
        <f>IF(AND(COUNTA(O205)=1,COUNTA(P205)=1,COUNTA(AC205)=1,COUNTA(AF205)=0,COUNTA(AG205)=0),LEFT(D205,3),"")</f>
        <v/>
      </c>
      <c r="AV205" s="489" t="str">
        <f>IF(AND(COUNTA(P205)=0,COUNTA(AC205)=1),LEFT(D205,3),"")</f>
        <v/>
      </c>
      <c r="AW205" s="491" t="str">
        <f>IF(AND(COUNTA(P205)=1,COUNTA(AC205)=0),LEFT(D205,3),"")</f>
        <v/>
      </c>
      <c r="AX205" s="493" t="str">
        <f>IF(AND(COUNTA(P205)=0,COUNTA(AC205)=0),LEFT(D205,3),"")</f>
        <v/>
      </c>
      <c r="AY205" s="514" t="str">
        <f>IFERROR(VLOOKUP(功能_33[[#This Row],[功能代號]],SIT_FT_2021tmp!D:D,1,FALSE),"")</f>
        <v>L420B</v>
      </c>
      <c r="AZ205" s="587">
        <v>44540</v>
      </c>
      <c r="BA205" s="587">
        <v>44540</v>
      </c>
      <c r="BB205" s="514" t="s">
        <v>3000</v>
      </c>
      <c r="BC205" s="265" t="s">
        <v>3032</v>
      </c>
      <c r="BD205" s="593"/>
      <c r="BE205" s="264" t="str">
        <f>IF(AND(COUNTIF(AY205,"&gt;&lt;0")=1,COUNTA(M205)=1),LEFT(D205,3),"")</f>
        <v>4-2</v>
      </c>
      <c r="BF205" s="264" t="str">
        <f>IF(AND(COUNTIF(AY205,"&gt;&lt;")=1,COUNTA(M205)=0),LEFT(D205,3),"")</f>
        <v/>
      </c>
      <c r="BG205" s="264" t="str">
        <f>IF(AND(COUNTIF(AY205,"&gt;&lt;0")=0,COUNTA(M205)=1),LEFT(D205,3),"")</f>
        <v/>
      </c>
      <c r="BH205" s="264" t="str">
        <f>IF(AND(COUNTIF(AY205,"&gt;&lt;0")=0,COUNTA(M205)=0),LEFT(D205,3),"")</f>
        <v/>
      </c>
    </row>
    <row r="206" spans="3:60" ht="27" x14ac:dyDescent="0.3">
      <c r="C206" s="265" t="s">
        <v>68</v>
      </c>
      <c r="D206" s="265" t="s">
        <v>382</v>
      </c>
      <c r="E206" s="264" t="s">
        <v>626</v>
      </c>
      <c r="F206" s="265" t="s">
        <v>627</v>
      </c>
      <c r="G206" s="265"/>
      <c r="H206" s="264" t="s">
        <v>166</v>
      </c>
      <c r="I206" s="264" t="s">
        <v>2433</v>
      </c>
      <c r="J206" s="212" t="s">
        <v>2586</v>
      </c>
      <c r="K206" s="212"/>
      <c r="L206" s="272">
        <v>44579</v>
      </c>
      <c r="M206" s="272">
        <v>44573</v>
      </c>
      <c r="N206" s="272">
        <v>44469</v>
      </c>
      <c r="O206" s="272">
        <v>44484</v>
      </c>
      <c r="P206" s="272">
        <v>44523</v>
      </c>
      <c r="Q206" s="264" t="s">
        <v>2</v>
      </c>
      <c r="R206" s="264" t="s">
        <v>5</v>
      </c>
      <c r="S206" s="264" t="s">
        <v>5</v>
      </c>
      <c r="T206" s="265" t="s">
        <v>14</v>
      </c>
      <c r="X206" s="264"/>
      <c r="Z206" s="264"/>
      <c r="AA206" s="264"/>
      <c r="AB206" s="265" t="str">
        <f>VLOOKUP(功能_33[[#This Row],[User]],SKL放款!A:G,7,FALSE)</f>
        <v>放款服務課</v>
      </c>
      <c r="AC206" s="272">
        <v>44533</v>
      </c>
      <c r="AD206" s="272" t="s">
        <v>107</v>
      </c>
      <c r="AE206" s="272">
        <v>44523</v>
      </c>
      <c r="AF206" s="272">
        <v>44525</v>
      </c>
      <c r="AG206" s="209">
        <v>44539</v>
      </c>
      <c r="AH206" s="272"/>
      <c r="AI206" s="272"/>
      <c r="AJ206" s="322"/>
      <c r="AK206" s="272">
        <f>IFERROR(IF(VLOOKUP(功能_33[[#This Row],[功能代號]],E:U,11,FALSE)=0,"",VLOOKUP(功能_33[[#This Row],[功能代號]],E:U,11,FALSE)),"")</f>
        <v>44484</v>
      </c>
      <c r="AL206" s="272"/>
      <c r="AM206" s="272"/>
      <c r="AN206" s="265"/>
      <c r="AO206" s="211" t="s">
        <v>621</v>
      </c>
      <c r="AP206" s="281" t="s">
        <v>2636</v>
      </c>
      <c r="AQ206" s="206" t="s">
        <v>2637</v>
      </c>
      <c r="AR206" s="593" t="s">
        <v>3207</v>
      </c>
      <c r="AS206" s="483" t="str">
        <f>IF(COUNTA(AG206)=1,LEFT(D206,3),"")</f>
        <v>4-2</v>
      </c>
      <c r="AT206" s="485" t="str">
        <f>IF(AND(COUNTA(O206)=1,COUNTA(P206)=1,COUNTA(AC206)=1,COUNTA(AF206)=1,COUNTA(AG206)=0),LEFT(D206,3),"")</f>
        <v/>
      </c>
      <c r="AU206" s="487" t="str">
        <f>IF(AND(COUNTA(O206)=1,COUNTA(P206)=1,COUNTA(AC206)=1,COUNTA(AF206)=0,COUNTA(AG206)=0),LEFT(D206,3),"")</f>
        <v/>
      </c>
      <c r="AV206" s="489" t="str">
        <f>IF(AND(COUNTA(P206)=0,COUNTA(AC206)=1),LEFT(D206,3),"")</f>
        <v/>
      </c>
      <c r="AW206" s="491" t="str">
        <f>IF(AND(COUNTA(P206)=1,COUNTA(AC206)=0),LEFT(D206,3),"")</f>
        <v/>
      </c>
      <c r="AX206" s="493" t="str">
        <f>IF(AND(COUNTA(P206)=0,COUNTA(AC206)=0),LEFT(D206,3),"")</f>
        <v/>
      </c>
      <c r="AY206" s="514" t="str">
        <f>IFERROR(VLOOKUP(功能_33[[#This Row],[功能代號]],SIT_FT_2021tmp!D:D,1,FALSE),"")</f>
        <v>L4920</v>
      </c>
      <c r="AZ206" s="587">
        <v>44540</v>
      </c>
      <c r="BA206" s="587">
        <v>44540</v>
      </c>
      <c r="BB206" s="514" t="s">
        <v>3000</v>
      </c>
      <c r="BC206" s="265" t="s">
        <v>3032</v>
      </c>
      <c r="BD206" s="593"/>
      <c r="BE206" s="264" t="str">
        <f>IF(AND(COUNTIF(AY206,"&gt;&lt;0")=1,COUNTA(M206)=1),LEFT(D206,3),"")</f>
        <v>4-2</v>
      </c>
      <c r="BF206" s="264" t="str">
        <f>IF(AND(COUNTIF(AY206,"&gt;&lt;")=1,COUNTA(M206)=0),LEFT(D206,3),"")</f>
        <v/>
      </c>
      <c r="BG206" s="264" t="str">
        <f>IF(AND(COUNTIF(AY206,"&gt;&lt;0")=0,COUNTA(M206)=1),LEFT(D206,3),"")</f>
        <v/>
      </c>
      <c r="BH206" s="264" t="str">
        <f>IF(AND(COUNTIF(AY206,"&gt;&lt;0")=0,COUNTA(M206)=0),LEFT(D206,3),"")</f>
        <v/>
      </c>
    </row>
    <row r="207" spans="3:60" ht="13.5" x14ac:dyDescent="0.3">
      <c r="C207" s="265" t="s">
        <v>68</v>
      </c>
      <c r="D207" s="265" t="s">
        <v>382</v>
      </c>
      <c r="E207" s="264" t="s">
        <v>628</v>
      </c>
      <c r="F207" s="265" t="s">
        <v>629</v>
      </c>
      <c r="G207" s="265"/>
      <c r="H207" s="264" t="s">
        <v>166</v>
      </c>
      <c r="I207" s="264" t="s">
        <v>2433</v>
      </c>
      <c r="J207" s="212" t="s">
        <v>2586</v>
      </c>
      <c r="K207" s="212"/>
      <c r="L207" s="272">
        <v>44579</v>
      </c>
      <c r="M207" s="272">
        <v>44573</v>
      </c>
      <c r="N207" s="272">
        <v>44469</v>
      </c>
      <c r="O207" s="272">
        <v>44484</v>
      </c>
      <c r="P207" s="272">
        <v>44523</v>
      </c>
      <c r="Q207" s="264" t="s">
        <v>2</v>
      </c>
      <c r="R207" s="264" t="s">
        <v>5</v>
      </c>
      <c r="S207" s="264" t="s">
        <v>5</v>
      </c>
      <c r="X207" s="264"/>
      <c r="Z207" s="264"/>
      <c r="AA207" s="264"/>
      <c r="AB207" s="265" t="str">
        <f>VLOOKUP(功能_33[[#This Row],[User]],SKL放款!A:G,7,FALSE)</f>
        <v>放款服務課</v>
      </c>
      <c r="AC207" s="272">
        <v>44533</v>
      </c>
      <c r="AD207" s="272" t="s">
        <v>107</v>
      </c>
      <c r="AE207" s="272">
        <v>44523</v>
      </c>
      <c r="AF207" s="272">
        <v>44525</v>
      </c>
      <c r="AG207" s="209">
        <v>44539</v>
      </c>
      <c r="AH207" s="272"/>
      <c r="AI207" s="272"/>
      <c r="AJ207" s="322"/>
      <c r="AK207" s="272">
        <f>IFERROR(IF(VLOOKUP(功能_33[[#This Row],[功能代號]],E:U,11,FALSE)=0,"",VLOOKUP(功能_33[[#This Row],[功能代號]],E:U,11,FALSE)),"")</f>
        <v>44484</v>
      </c>
      <c r="AL207" s="272"/>
      <c r="AM207" s="272"/>
      <c r="AN207" s="265"/>
      <c r="AO207" s="211" t="s">
        <v>621</v>
      </c>
      <c r="AP207" s="264" t="s">
        <v>2603</v>
      </c>
      <c r="AQ207" s="264" t="s">
        <v>163</v>
      </c>
      <c r="AR207" s="593" t="s">
        <v>3207</v>
      </c>
      <c r="AS207" s="483" t="str">
        <f>IF(COUNTA(AG207)=1,LEFT(D207,3),"")</f>
        <v>4-2</v>
      </c>
      <c r="AT207" s="485" t="str">
        <f>IF(AND(COUNTA(O207)=1,COUNTA(P207)=1,COUNTA(AC207)=1,COUNTA(AF207)=1,COUNTA(AG207)=0),LEFT(D207,3),"")</f>
        <v/>
      </c>
      <c r="AU207" s="487" t="str">
        <f>IF(AND(COUNTA(O207)=1,COUNTA(P207)=1,COUNTA(AC207)=1,COUNTA(AF207)=0,COUNTA(AG207)=0),LEFT(D207,3),"")</f>
        <v/>
      </c>
      <c r="AV207" s="489" t="str">
        <f>IF(AND(COUNTA(P207)=0,COUNTA(AC207)=1),LEFT(D207,3),"")</f>
        <v/>
      </c>
      <c r="AW207" s="491" t="str">
        <f>IF(AND(COUNTA(P207)=1,COUNTA(AC207)=0),LEFT(D207,3),"")</f>
        <v/>
      </c>
      <c r="AX207" s="493" t="str">
        <f>IF(AND(COUNTA(P207)=0,COUNTA(AC207)=0),LEFT(D207,3),"")</f>
        <v/>
      </c>
      <c r="AY207" s="514" t="str">
        <f>IFERROR(VLOOKUP(功能_33[[#This Row],[功能代號]],SIT_FT_2021tmp!D:D,1,FALSE),"")</f>
        <v>L4925</v>
      </c>
      <c r="AZ207" s="587">
        <v>44546</v>
      </c>
      <c r="BA207" s="587">
        <v>44546</v>
      </c>
      <c r="BB207" s="514" t="s">
        <v>3000</v>
      </c>
      <c r="BC207" s="265" t="s">
        <v>3028</v>
      </c>
      <c r="BD207" s="593"/>
      <c r="BE207" s="264" t="str">
        <f>IF(AND(COUNTIF(AY207,"&gt;&lt;0")=1,COUNTA(M207)=1),LEFT(D207,3),"")</f>
        <v>4-2</v>
      </c>
      <c r="BF207" s="264" t="str">
        <f>IF(AND(COUNTIF(AY207,"&gt;&lt;")=1,COUNTA(M207)=0),LEFT(D207,3),"")</f>
        <v/>
      </c>
      <c r="BG207" s="264" t="str">
        <f>IF(AND(COUNTIF(AY207,"&gt;&lt;0")=0,COUNTA(M207)=1),LEFT(D207,3),"")</f>
        <v/>
      </c>
      <c r="BH207" s="264" t="str">
        <f>IF(AND(COUNTIF(AY207,"&gt;&lt;0")=0,COUNTA(M207)=0),LEFT(D207,3),"")</f>
        <v/>
      </c>
    </row>
    <row r="208" spans="3:60" ht="13.5" x14ac:dyDescent="0.3">
      <c r="C208" s="265" t="s">
        <v>68</v>
      </c>
      <c r="D208" s="265" t="s">
        <v>382</v>
      </c>
      <c r="E208" s="264" t="s">
        <v>630</v>
      </c>
      <c r="F208" s="265" t="s">
        <v>631</v>
      </c>
      <c r="G208" s="265"/>
      <c r="H208" s="264" t="s">
        <v>166</v>
      </c>
      <c r="I208" s="264" t="s">
        <v>2433</v>
      </c>
      <c r="J208" s="212" t="s">
        <v>2586</v>
      </c>
      <c r="K208" s="212"/>
      <c r="L208" s="272">
        <v>44581</v>
      </c>
      <c r="M208" s="272">
        <v>44575</v>
      </c>
      <c r="N208" s="272">
        <v>44469</v>
      </c>
      <c r="O208" s="272">
        <v>44484</v>
      </c>
      <c r="P208" s="272">
        <v>44523</v>
      </c>
      <c r="Q208" s="264" t="s">
        <v>2</v>
      </c>
      <c r="R208" s="264" t="s">
        <v>14</v>
      </c>
      <c r="S208" s="264" t="s">
        <v>14</v>
      </c>
      <c r="X208" s="264"/>
      <c r="Z208" s="264"/>
      <c r="AA208" s="264"/>
      <c r="AB208" s="265" t="str">
        <f>VLOOKUP(功能_33[[#This Row],[User]],SKL放款!A:G,7,FALSE)</f>
        <v>放款服務課</v>
      </c>
      <c r="AC208" s="272">
        <v>44533</v>
      </c>
      <c r="AD208" s="272" t="s">
        <v>107</v>
      </c>
      <c r="AE208" s="272">
        <v>44523</v>
      </c>
      <c r="AF208" s="272">
        <v>44525</v>
      </c>
      <c r="AG208" s="209">
        <v>44539</v>
      </c>
      <c r="AH208" s="272"/>
      <c r="AI208" s="272"/>
      <c r="AJ208" s="322"/>
      <c r="AK208" s="272">
        <f>IFERROR(IF(VLOOKUP(功能_33[[#This Row],[功能代號]],E:U,11,FALSE)=0,"",VLOOKUP(功能_33[[#This Row],[功能代號]],E:U,11,FALSE)),"")</f>
        <v>44484</v>
      </c>
      <c r="AL208" s="272"/>
      <c r="AM208" s="272"/>
      <c r="AN208" s="265"/>
      <c r="AO208" s="272"/>
      <c r="AP208" s="264" t="s">
        <v>2603</v>
      </c>
      <c r="AQ208" s="264" t="s">
        <v>163</v>
      </c>
      <c r="AR208" s="593" t="s">
        <v>3207</v>
      </c>
      <c r="AS208" s="483" t="str">
        <f>IF(COUNTA(AG208)=1,LEFT(D208,3),"")</f>
        <v>4-2</v>
      </c>
      <c r="AT208" s="485" t="str">
        <f>IF(AND(COUNTA(O208)=1,COUNTA(P208)=1,COUNTA(AC208)=1,COUNTA(AF208)=1,COUNTA(AG208)=0),LEFT(D208,3),"")</f>
        <v/>
      </c>
      <c r="AU208" s="487" t="str">
        <f>IF(AND(COUNTA(O208)=1,COUNTA(P208)=1,COUNTA(AC208)=1,COUNTA(AF208)=0,COUNTA(AG208)=0),LEFT(D208,3),"")</f>
        <v/>
      </c>
      <c r="AV208" s="489" t="str">
        <f>IF(AND(COUNTA(P208)=0,COUNTA(AC208)=1),LEFT(D208,3),"")</f>
        <v/>
      </c>
      <c r="AW208" s="491" t="str">
        <f>IF(AND(COUNTA(P208)=1,COUNTA(AC208)=0),LEFT(D208,3),"")</f>
        <v/>
      </c>
      <c r="AX208" s="493" t="str">
        <f>IF(AND(COUNTA(P208)=0,COUNTA(AC208)=0),LEFT(D208,3),"")</f>
        <v/>
      </c>
      <c r="AY208" s="514" t="str">
        <f>IFERROR(VLOOKUP(功能_33[[#This Row],[功能代號]],SIT_FT_2021tmp!D:D,1,FALSE),"")</f>
        <v>L4930</v>
      </c>
      <c r="AZ208" s="587">
        <v>44536</v>
      </c>
      <c r="BA208" s="587">
        <v>44536</v>
      </c>
      <c r="BB208" s="514" t="s">
        <v>3000</v>
      </c>
      <c r="BC208" s="265" t="s">
        <v>3019</v>
      </c>
      <c r="BD208" s="593"/>
      <c r="BE208" s="264" t="str">
        <f>IF(AND(COUNTIF(AY208,"&gt;&lt;0")=1,COUNTA(M208)=1),LEFT(D208,3),"")</f>
        <v>4-2</v>
      </c>
      <c r="BF208" s="264" t="str">
        <f>IF(AND(COUNTIF(AY208,"&gt;&lt;")=1,COUNTA(M208)=0),LEFT(D208,3),"")</f>
        <v/>
      </c>
      <c r="BG208" s="264" t="str">
        <f>IF(AND(COUNTIF(AY208,"&gt;&lt;0")=0,COUNTA(M208)=1),LEFT(D208,3),"")</f>
        <v/>
      </c>
      <c r="BH208" s="264" t="str">
        <f>IF(AND(COUNTIF(AY208,"&gt;&lt;0")=0,COUNTA(M208)=0),LEFT(D208,3),"")</f>
        <v/>
      </c>
    </row>
    <row r="209" spans="2:60" ht="13.5" x14ac:dyDescent="0.3">
      <c r="C209" s="265" t="s">
        <v>68</v>
      </c>
      <c r="D209" s="265" t="s">
        <v>382</v>
      </c>
      <c r="E209" s="264" t="s">
        <v>632</v>
      </c>
      <c r="F209" s="265" t="s">
        <v>633</v>
      </c>
      <c r="G209" s="265"/>
      <c r="H209" s="264" t="s">
        <v>166</v>
      </c>
      <c r="I209" s="264" t="s">
        <v>2433</v>
      </c>
      <c r="J209" s="212" t="s">
        <v>2586</v>
      </c>
      <c r="K209" s="212"/>
      <c r="L209" s="272">
        <v>44581</v>
      </c>
      <c r="M209" s="272">
        <v>44579</v>
      </c>
      <c r="N209" s="272">
        <v>44469</v>
      </c>
      <c r="O209" s="272">
        <v>44484</v>
      </c>
      <c r="P209" s="272">
        <v>44523</v>
      </c>
      <c r="Q209" s="264" t="s">
        <v>2</v>
      </c>
      <c r="R209" s="264" t="s">
        <v>13</v>
      </c>
      <c r="S209" s="264" t="s">
        <v>13</v>
      </c>
      <c r="X209" s="264"/>
      <c r="Z209" s="264"/>
      <c r="AA209" s="264"/>
      <c r="AB209" s="265" t="str">
        <f>VLOOKUP(功能_33[[#This Row],[User]],SKL放款!A:G,7,FALSE)</f>
        <v>放款服務課</v>
      </c>
      <c r="AC209" s="272">
        <v>44533</v>
      </c>
      <c r="AD209" s="272" t="s">
        <v>168</v>
      </c>
      <c r="AE209" s="272">
        <v>44523</v>
      </c>
      <c r="AF209" s="272">
        <v>44525</v>
      </c>
      <c r="AG209" s="209">
        <v>44539</v>
      </c>
      <c r="AH209" s="272"/>
      <c r="AI209" s="272"/>
      <c r="AJ209" s="322"/>
      <c r="AK209" s="272">
        <f>IFERROR(IF(VLOOKUP(功能_33[[#This Row],[功能代號]],E:U,11,FALSE)=0,"",VLOOKUP(功能_33[[#This Row],[功能代號]],E:U,11,FALSE)),"")</f>
        <v>44484</v>
      </c>
      <c r="AL209" s="272"/>
      <c r="AM209" s="272"/>
      <c r="AN209" s="265"/>
      <c r="AO209" s="272"/>
      <c r="AP209" s="264" t="s">
        <v>2603</v>
      </c>
      <c r="AQ209" s="264" t="s">
        <v>163</v>
      </c>
      <c r="AR209" s="593" t="s">
        <v>3207</v>
      </c>
      <c r="AS209" s="483" t="str">
        <f>IF(COUNTA(AG209)=1,LEFT(D209,3),"")</f>
        <v>4-2</v>
      </c>
      <c r="AT209" s="485" t="str">
        <f>IF(AND(COUNTA(O209)=1,COUNTA(P209)=1,COUNTA(AC209)=1,COUNTA(AF209)=1,COUNTA(AG209)=0),LEFT(D209,3),"")</f>
        <v/>
      </c>
      <c r="AU209" s="487" t="str">
        <f>IF(AND(COUNTA(O209)=1,COUNTA(P209)=1,COUNTA(AC209)=1,COUNTA(AF209)=0,COUNTA(AG209)=0),LEFT(D209,3),"")</f>
        <v/>
      </c>
      <c r="AV209" s="489" t="str">
        <f>IF(AND(COUNTA(P209)=0,COUNTA(AC209)=1),LEFT(D209,3),"")</f>
        <v/>
      </c>
      <c r="AW209" s="491" t="str">
        <f>IF(AND(COUNTA(P209)=1,COUNTA(AC209)=0),LEFT(D209,3),"")</f>
        <v/>
      </c>
      <c r="AX209" s="493" t="str">
        <f>IF(AND(COUNTA(P209)=0,COUNTA(AC209)=0),LEFT(D209,3),"")</f>
        <v/>
      </c>
      <c r="AY209" s="514" t="str">
        <f>IFERROR(VLOOKUP(功能_33[[#This Row],[功能代號]],SIT_FT_2021tmp!D:D,1,FALSE),"")</f>
        <v>L4202</v>
      </c>
      <c r="AZ209" s="587">
        <v>44546</v>
      </c>
      <c r="BA209" s="587">
        <v>44546</v>
      </c>
      <c r="BB209" s="514" t="s">
        <v>3000</v>
      </c>
      <c r="BC209" s="265" t="s">
        <v>3028</v>
      </c>
      <c r="BD209" s="593"/>
      <c r="BE209" s="264" t="str">
        <f>IF(AND(COUNTIF(AY209,"&gt;&lt;0")=1,COUNTA(M209)=1),LEFT(D209,3),"")</f>
        <v>4-2</v>
      </c>
      <c r="BF209" s="264" t="str">
        <f>IF(AND(COUNTIF(AY209,"&gt;&lt;")=1,COUNTA(M209)=0),LEFT(D209,3),"")</f>
        <v/>
      </c>
      <c r="BG209" s="264" t="str">
        <f>IF(AND(COUNTIF(AY209,"&gt;&lt;0")=0,COUNTA(M209)=1),LEFT(D209,3),"")</f>
        <v/>
      </c>
      <c r="BH209" s="264" t="str">
        <f>IF(AND(COUNTIF(AY209,"&gt;&lt;0")=0,COUNTA(M209)=0),LEFT(D209,3),"")</f>
        <v/>
      </c>
    </row>
    <row r="210" spans="2:60" ht="13.5" x14ac:dyDescent="0.3">
      <c r="C210" s="265" t="s">
        <v>68</v>
      </c>
      <c r="D210" s="265" t="s">
        <v>382</v>
      </c>
      <c r="E210" s="264" t="s">
        <v>634</v>
      </c>
      <c r="F210" s="265" t="s">
        <v>635</v>
      </c>
      <c r="G210" s="265"/>
      <c r="H210" s="264" t="s">
        <v>166</v>
      </c>
      <c r="I210" s="264" t="s">
        <v>2433</v>
      </c>
      <c r="J210" s="212" t="s">
        <v>2586</v>
      </c>
      <c r="K210" s="212"/>
      <c r="L210" s="272">
        <v>44582</v>
      </c>
      <c r="M210" s="272">
        <v>44582</v>
      </c>
      <c r="N210" s="272">
        <v>44469</v>
      </c>
      <c r="O210" s="272">
        <v>44484</v>
      </c>
      <c r="P210" s="272">
        <v>44523</v>
      </c>
      <c r="Q210" s="264" t="s">
        <v>2</v>
      </c>
      <c r="R210" s="264" t="s">
        <v>14</v>
      </c>
      <c r="S210" s="264" t="s">
        <v>14</v>
      </c>
      <c r="X210" s="264"/>
      <c r="Z210" s="264"/>
      <c r="AA210" s="264"/>
      <c r="AB210" s="265" t="str">
        <f>VLOOKUP(功能_33[[#This Row],[User]],SKL放款!A:G,7,FALSE)</f>
        <v>放款服務課</v>
      </c>
      <c r="AC210" s="272">
        <v>44533</v>
      </c>
      <c r="AD210" s="272" t="s">
        <v>168</v>
      </c>
      <c r="AE210" s="272">
        <v>44523</v>
      </c>
      <c r="AF210" s="272">
        <v>44525</v>
      </c>
      <c r="AG210" s="209">
        <v>44539</v>
      </c>
      <c r="AH210" s="272"/>
      <c r="AI210" s="272"/>
      <c r="AJ210" s="322"/>
      <c r="AK210" s="272">
        <f>IFERROR(IF(VLOOKUP(功能_33[[#This Row],[功能代號]],E:U,11,FALSE)=0,"",VLOOKUP(功能_33[[#This Row],[功能代號]],E:U,11,FALSE)),"")</f>
        <v>44484</v>
      </c>
      <c r="AL210" s="272"/>
      <c r="AM210" s="272"/>
      <c r="AN210" s="265"/>
      <c r="AO210" s="272"/>
      <c r="AP210" s="264" t="s">
        <v>2603</v>
      </c>
      <c r="AQ210" s="264" t="s">
        <v>163</v>
      </c>
      <c r="AR210" s="593" t="s">
        <v>3207</v>
      </c>
      <c r="AS210" s="483" t="str">
        <f>IF(COUNTA(AG210)=1,LEFT(D210,3),"")</f>
        <v>4-2</v>
      </c>
      <c r="AT210" s="485" t="str">
        <f>IF(AND(COUNTA(O210)=1,COUNTA(P210)=1,COUNTA(AC210)=1,COUNTA(AF210)=1,COUNTA(AG210)=0),LEFT(D210,3),"")</f>
        <v/>
      </c>
      <c r="AU210" s="487" t="str">
        <f>IF(AND(COUNTA(O210)=1,COUNTA(P210)=1,COUNTA(AC210)=1,COUNTA(AF210)=0,COUNTA(AG210)=0),LEFT(D210,3),"")</f>
        <v/>
      </c>
      <c r="AV210" s="489" t="str">
        <f>IF(AND(COUNTA(P210)=0,COUNTA(AC210)=1),LEFT(D210,3),"")</f>
        <v/>
      </c>
      <c r="AW210" s="491" t="str">
        <f>IF(AND(COUNTA(P210)=1,COUNTA(AC210)=0),LEFT(D210,3),"")</f>
        <v/>
      </c>
      <c r="AX210" s="493" t="str">
        <f>IF(AND(COUNTA(P210)=0,COUNTA(AC210)=0),LEFT(D210,3),"")</f>
        <v/>
      </c>
      <c r="AY210" s="514" t="str">
        <f>IFERROR(VLOOKUP(功能_33[[#This Row],[功能代號]],SIT_FT_2021tmp!D:D,1,FALSE),"")</f>
        <v>L4203</v>
      </c>
      <c r="AZ210" s="587">
        <v>44546</v>
      </c>
      <c r="BA210" s="587">
        <v>44546</v>
      </c>
      <c r="BB210" s="514" t="s">
        <v>3000</v>
      </c>
      <c r="BC210" s="265" t="s">
        <v>3028</v>
      </c>
      <c r="BD210" s="593"/>
      <c r="BE210" s="264" t="str">
        <f>IF(AND(COUNTIF(AY210,"&gt;&lt;0")=1,COUNTA(M210)=1),LEFT(D210,3),"")</f>
        <v>4-2</v>
      </c>
      <c r="BF210" s="264" t="str">
        <f>IF(AND(COUNTIF(AY210,"&gt;&lt;")=1,COUNTA(M210)=0),LEFT(D210,3),"")</f>
        <v/>
      </c>
      <c r="BG210" s="264" t="str">
        <f>IF(AND(COUNTIF(AY210,"&gt;&lt;0")=0,COUNTA(M210)=1),LEFT(D210,3),"")</f>
        <v/>
      </c>
      <c r="BH210" s="264" t="str">
        <f>IF(AND(COUNTIF(AY210,"&gt;&lt;0")=0,COUNTA(M210)=0),LEFT(D210,3),"")</f>
        <v/>
      </c>
    </row>
    <row r="211" spans="2:60" ht="135" x14ac:dyDescent="0.3">
      <c r="C211" s="265" t="s">
        <v>68</v>
      </c>
      <c r="D211" s="265" t="s">
        <v>437</v>
      </c>
      <c r="E211" s="264" t="s">
        <v>636</v>
      </c>
      <c r="F211" s="265" t="s">
        <v>637</v>
      </c>
      <c r="G211" s="265"/>
      <c r="H211" s="264" t="s">
        <v>166</v>
      </c>
      <c r="I211" s="264" t="s">
        <v>2433</v>
      </c>
      <c r="J211" s="212" t="s">
        <v>2963</v>
      </c>
      <c r="K211" s="584" t="s">
        <v>2994</v>
      </c>
      <c r="L211" s="272">
        <v>44579</v>
      </c>
      <c r="M211" s="272">
        <v>44573</v>
      </c>
      <c r="N211" s="272">
        <v>44469</v>
      </c>
      <c r="O211" s="272">
        <v>44484</v>
      </c>
      <c r="P211" s="215">
        <v>44550</v>
      </c>
      <c r="Q211" s="264" t="s">
        <v>2</v>
      </c>
      <c r="R211" s="264" t="s">
        <v>14</v>
      </c>
      <c r="S211" s="663" t="s">
        <v>13</v>
      </c>
      <c r="T211" s="265" t="s">
        <v>3282</v>
      </c>
      <c r="X211" s="264"/>
      <c r="Z211" s="264"/>
      <c r="AA211" s="264"/>
      <c r="AB211" s="265" t="str">
        <f>VLOOKUP(功能_33[[#This Row],[User]],SKL放款!A:G,7,FALSE)</f>
        <v>放款服務課</v>
      </c>
      <c r="AC211" s="215">
        <v>44550</v>
      </c>
      <c r="AD211" s="272" t="s">
        <v>107</v>
      </c>
      <c r="AE211" s="272">
        <v>44523</v>
      </c>
      <c r="AF211" s="272">
        <v>44525</v>
      </c>
      <c r="AG211" s="209" t="s">
        <v>2966</v>
      </c>
      <c r="AH211" s="272"/>
      <c r="AI211" s="272"/>
      <c r="AJ211" s="322"/>
      <c r="AK211" s="272">
        <f>IFERROR(IF(VLOOKUP(功能_33[[#This Row],[功能代號]],E:U,11,FALSE)=0,"",VLOOKUP(功能_33[[#This Row],[功能代號]],E:U,11,FALSE)),"")</f>
        <v>44484</v>
      </c>
      <c r="AL211" s="272"/>
      <c r="AM211" s="272"/>
      <c r="AN211" s="265"/>
      <c r="AO211" s="272"/>
      <c r="AP211" s="281" t="s">
        <v>2642</v>
      </c>
      <c r="AQ211" s="206" t="s">
        <v>2643</v>
      </c>
      <c r="AR211" s="593" t="s">
        <v>3207</v>
      </c>
      <c r="AS211" s="483" t="str">
        <f>IF(COUNTA(AG211)=1,LEFT(D211,3),"")</f>
        <v>4-4</v>
      </c>
      <c r="AT211" s="485" t="str">
        <f>IF(AND(COUNTA(O211)=1,COUNTA(P211)=1,COUNTA(AC211)=1,COUNTA(AF211)=1,COUNTA(AG211)=0),LEFT(D211,3),"")</f>
        <v/>
      </c>
      <c r="AU211" s="487" t="str">
        <f>IF(AND(COUNTA(O211)=1,COUNTA(P211)=1,COUNTA(AC211)=1,COUNTA(AF211)=0,COUNTA(AG211)=0),LEFT(D211,3),"")</f>
        <v/>
      </c>
      <c r="AV211" s="489" t="str">
        <f>IF(AND(COUNTA(P211)=0,COUNTA(AC211)=1),LEFT(D211,3),"")</f>
        <v/>
      </c>
      <c r="AW211" s="491" t="str">
        <f>IF(AND(COUNTA(P211)=1,COUNTA(AC211)=0),LEFT(D211,3),"")</f>
        <v/>
      </c>
      <c r="AX211" s="493" t="str">
        <f>IF(AND(COUNTA(P211)=0,COUNTA(AC211)=0),LEFT(D211,3),"")</f>
        <v/>
      </c>
      <c r="AY211" s="514" t="str">
        <f>IFERROR(VLOOKUP(功能_33[[#This Row],[功能代號]],SIT_FT_2021tmp!D:D,1,FALSE),"")</f>
        <v>L4454</v>
      </c>
      <c r="AZ211" s="587">
        <v>44546</v>
      </c>
      <c r="BA211" s="587">
        <v>44546</v>
      </c>
      <c r="BB211" s="514" t="s">
        <v>3000</v>
      </c>
      <c r="BC211" s="265" t="s">
        <v>3028</v>
      </c>
      <c r="BD211" s="593"/>
      <c r="BE211" s="264" t="str">
        <f>IF(AND(COUNTIF(AY211,"&gt;&lt;0")=1,COUNTA(M211)=1),LEFT(D211,3),"")</f>
        <v>4-4</v>
      </c>
      <c r="BF211" s="264" t="str">
        <f>IF(AND(COUNTIF(AY211,"&gt;&lt;")=1,COUNTA(M211)=0),LEFT(D211,3),"")</f>
        <v/>
      </c>
      <c r="BG211" s="264" t="str">
        <f>IF(AND(COUNTIF(AY211,"&gt;&lt;0")=0,COUNTA(M211)=1),LEFT(D211,3),"")</f>
        <v/>
      </c>
      <c r="BH211" s="264" t="str">
        <f>IF(AND(COUNTIF(AY211,"&gt;&lt;0")=0,COUNTA(M211)=0),LEFT(D211,3),"")</f>
        <v/>
      </c>
    </row>
    <row r="212" spans="2:60" ht="13.5" x14ac:dyDescent="0.3">
      <c r="C212" s="265" t="s">
        <v>68</v>
      </c>
      <c r="D212" s="265" t="s">
        <v>437</v>
      </c>
      <c r="E212" s="264" t="s">
        <v>638</v>
      </c>
      <c r="F212" s="265" t="s">
        <v>639</v>
      </c>
      <c r="G212" s="211" t="s">
        <v>640</v>
      </c>
      <c r="H212" s="264" t="s">
        <v>166</v>
      </c>
      <c r="I212" s="264" t="s">
        <v>2433</v>
      </c>
      <c r="J212" s="212" t="s">
        <v>2586</v>
      </c>
      <c r="K212" s="212"/>
      <c r="L212" s="272">
        <v>44580</v>
      </c>
      <c r="M212" s="272">
        <v>44573</v>
      </c>
      <c r="N212" s="272">
        <v>44469</v>
      </c>
      <c r="O212" s="272">
        <v>44484</v>
      </c>
      <c r="P212" s="272">
        <v>44523</v>
      </c>
      <c r="Q212" s="264" t="s">
        <v>2</v>
      </c>
      <c r="R212" s="264" t="s">
        <v>13</v>
      </c>
      <c r="S212" s="264" t="s">
        <v>13</v>
      </c>
      <c r="T212" s="265" t="s">
        <v>440</v>
      </c>
      <c r="X212" s="264"/>
      <c r="Z212" s="264"/>
      <c r="AA212" s="264"/>
      <c r="AB212" s="265" t="str">
        <f>VLOOKUP(功能_33[[#This Row],[User]],SKL放款!A:G,7,FALSE)</f>
        <v>放款服務課</v>
      </c>
      <c r="AC212" s="272">
        <v>44533</v>
      </c>
      <c r="AD212" s="272">
        <v>44523</v>
      </c>
      <c r="AE212" s="272">
        <v>44523</v>
      </c>
      <c r="AF212" s="272">
        <v>44525</v>
      </c>
      <c r="AG212" s="209">
        <v>44539</v>
      </c>
      <c r="AH212" s="272"/>
      <c r="AI212" s="272"/>
      <c r="AJ212" s="322"/>
      <c r="AK212" s="272">
        <f>IFERROR(IF(VLOOKUP(功能_33[[#This Row],[功能代號]],E:U,11,FALSE)=0,"",VLOOKUP(功能_33[[#This Row],[功能代號]],E:U,11,FALSE)),"")</f>
        <v>44484</v>
      </c>
      <c r="AL212" s="272"/>
      <c r="AM212" s="272"/>
      <c r="AN212" s="265"/>
      <c r="AO212" s="272"/>
      <c r="AP212" s="264" t="s">
        <v>2614</v>
      </c>
      <c r="AQ212" s="264" t="s">
        <v>163</v>
      </c>
      <c r="AR212" s="593" t="s">
        <v>3207</v>
      </c>
      <c r="AS212" s="483" t="str">
        <f>IF(COUNTA(AG212)=1,LEFT(D212,3),"")</f>
        <v>4-4</v>
      </c>
      <c r="AT212" s="485" t="str">
        <f>IF(AND(COUNTA(O212)=1,COUNTA(P212)=1,COUNTA(AC212)=1,COUNTA(AF212)=1,COUNTA(AG212)=0),LEFT(D212,3),"")</f>
        <v/>
      </c>
      <c r="AU212" s="487" t="str">
        <f>IF(AND(COUNTA(O212)=1,COUNTA(P212)=1,COUNTA(AC212)=1,COUNTA(AF212)=0,COUNTA(AG212)=0),LEFT(D212,3),"")</f>
        <v/>
      </c>
      <c r="AV212" s="489" t="str">
        <f>IF(AND(COUNTA(P212)=0,COUNTA(AC212)=1),LEFT(D212,3),"")</f>
        <v/>
      </c>
      <c r="AW212" s="491" t="str">
        <f>IF(AND(COUNTA(P212)=1,COUNTA(AC212)=0),LEFT(D212,3),"")</f>
        <v/>
      </c>
      <c r="AX212" s="493" t="str">
        <f>IF(AND(COUNTA(P212)=0,COUNTA(AC212)=0),LEFT(D212,3),"")</f>
        <v/>
      </c>
      <c r="AY212" s="514" t="str">
        <f>IFERROR(VLOOKUP(功能_33[[#This Row],[功能代號]],SIT_FT_2021tmp!D:D,1,FALSE),"")</f>
        <v>L4455</v>
      </c>
      <c r="AZ212" s="587">
        <v>44546</v>
      </c>
      <c r="BA212" s="587">
        <v>44546</v>
      </c>
      <c r="BB212" s="514" t="s">
        <v>3000</v>
      </c>
      <c r="BC212" s="265" t="s">
        <v>3028</v>
      </c>
      <c r="BD212" s="593"/>
      <c r="BE212" s="264" t="str">
        <f>IF(AND(COUNTIF(AY212,"&gt;&lt;0")=1,COUNTA(M212)=1),LEFT(D212,3),"")</f>
        <v>4-4</v>
      </c>
      <c r="BF212" s="264" t="str">
        <f>IF(AND(COUNTIF(AY212,"&gt;&lt;")=1,COUNTA(M212)=0),LEFT(D212,3),"")</f>
        <v/>
      </c>
      <c r="BG212" s="264" t="str">
        <f>IF(AND(COUNTIF(AY212,"&gt;&lt;0")=0,COUNTA(M212)=1),LEFT(D212,3),"")</f>
        <v/>
      </c>
      <c r="BH212" s="264" t="str">
        <f>IF(AND(COUNTIF(AY212,"&gt;&lt;0")=0,COUNTA(M212)=0),LEFT(D212,3),"")</f>
        <v/>
      </c>
    </row>
    <row r="213" spans="2:60" ht="13.5" x14ac:dyDescent="0.3">
      <c r="B213" s="265">
        <v>1</v>
      </c>
      <c r="C213" s="265" t="s">
        <v>67</v>
      </c>
      <c r="D213" s="325" t="s">
        <v>2485</v>
      </c>
      <c r="E213" s="264" t="s">
        <v>641</v>
      </c>
      <c r="F213" s="265" t="s">
        <v>642</v>
      </c>
      <c r="G213" s="265"/>
      <c r="H213" s="264" t="s">
        <v>166</v>
      </c>
      <c r="I213" s="264" t="s">
        <v>167</v>
      </c>
      <c r="J213" s="212" t="s">
        <v>2973</v>
      </c>
      <c r="K213" s="251" t="s">
        <v>2989</v>
      </c>
      <c r="L213" s="272">
        <v>44580</v>
      </c>
      <c r="M213" s="272">
        <v>44581</v>
      </c>
      <c r="N213" s="272">
        <v>44491</v>
      </c>
      <c r="O213" s="272">
        <v>44491</v>
      </c>
      <c r="P213" s="272">
        <v>44537</v>
      </c>
      <c r="Q213" s="264" t="s">
        <v>2</v>
      </c>
      <c r="R213" s="264" t="s">
        <v>5</v>
      </c>
      <c r="S213" s="264" t="s">
        <v>5</v>
      </c>
      <c r="X213" s="264"/>
      <c r="Z213" s="264"/>
      <c r="AA213" s="264"/>
      <c r="AB213" s="265" t="str">
        <f>VLOOKUP(功能_33[[#This Row],[User]],SKL放款!A:G,7,FALSE)</f>
        <v>放款服務課</v>
      </c>
      <c r="AC213" s="272">
        <v>44496</v>
      </c>
      <c r="AD213" s="272">
        <v>44512</v>
      </c>
      <c r="AE213" s="272">
        <v>44496</v>
      </c>
      <c r="AF213" s="272">
        <v>44496</v>
      </c>
      <c r="AG213" s="209" t="s">
        <v>2975</v>
      </c>
      <c r="AH213" s="272" t="s">
        <v>169</v>
      </c>
      <c r="AI213" s="272"/>
      <c r="AJ213" s="322"/>
      <c r="AK213" s="272">
        <f>IFERROR(IF(VLOOKUP(功能_33[[#This Row],[功能代號]],E:U,11,FALSE)=0,"",VLOOKUP(功能_33[[#This Row],[功能代號]],E:U,11,FALSE)),"")</f>
        <v>44491</v>
      </c>
      <c r="AL213" s="272"/>
      <c r="AM213" s="272"/>
      <c r="AN213" s="265"/>
      <c r="AO213" s="272"/>
      <c r="AP213" s="264">
        <v>310</v>
      </c>
      <c r="AQ213" s="265" t="s">
        <v>643</v>
      </c>
      <c r="AR213" s="593" t="s">
        <v>3207</v>
      </c>
      <c r="AS213" s="483" t="str">
        <f>IF(COUNTA(AG213)=1,LEFT(D213,3),"")</f>
        <v>3-3</v>
      </c>
      <c r="AT213" s="485" t="str">
        <f>IF(AND(COUNTA(O213)=1,COUNTA(P213)=1,COUNTA(AC213)=1,COUNTA(AF213)=1,COUNTA(AG213)=0),LEFT(D213,3),"")</f>
        <v/>
      </c>
      <c r="AU213" s="487" t="str">
        <f>IF(AND(COUNTA(O213)=1,COUNTA(P213)=1,COUNTA(AC213)=1,COUNTA(AF213)=0,COUNTA(AG213)=0),LEFT(D213,3),"")</f>
        <v/>
      </c>
      <c r="AV213" s="489" t="str">
        <f>IF(AND(COUNTA(P213)=0,COUNTA(AC213)=1),LEFT(D213,3),"")</f>
        <v/>
      </c>
      <c r="AW213" s="491" t="str">
        <f>IF(AND(COUNTA(P213)=1,COUNTA(AC213)=0),LEFT(D213,3),"")</f>
        <v/>
      </c>
      <c r="AX213" s="493" t="str">
        <f>IF(AND(COUNTA(P213)=0,COUNTA(AC213)=0),LEFT(D213,3),"")</f>
        <v/>
      </c>
      <c r="AY213" s="514" t="str">
        <f>IFERROR(VLOOKUP(功能_33[[#This Row],[功能代號]],SIT_FT_2021tmp!D:D,1,FALSE),"")</f>
        <v>L3911</v>
      </c>
      <c r="AZ213" s="587">
        <v>44559</v>
      </c>
      <c r="BA213" s="587">
        <v>44559</v>
      </c>
      <c r="BB213" s="514" t="s">
        <v>3073</v>
      </c>
      <c r="BC213" s="265" t="s">
        <v>3042</v>
      </c>
      <c r="BD213" s="593"/>
      <c r="BE213" s="264" t="str">
        <f>IF(AND(COUNTIF(AY213,"&gt;&lt;0")=1,COUNTA(M213)=1),LEFT(D213,3),"")</f>
        <v>3-3</v>
      </c>
      <c r="BF213" s="264" t="str">
        <f>IF(AND(COUNTIF(AY213,"&gt;&lt;")=1,COUNTA(M213)=0),LEFT(D213,3),"")</f>
        <v/>
      </c>
      <c r="BG213" s="264" t="str">
        <f>IF(AND(COUNTIF(AY213,"&gt;&lt;0")=0,COUNTA(M213)=1),LEFT(D213,3),"")</f>
        <v/>
      </c>
      <c r="BH213" s="264" t="str">
        <f>IF(AND(COUNTIF(AY213,"&gt;&lt;0")=0,COUNTA(M213)=0),LEFT(D213,3),"")</f>
        <v/>
      </c>
    </row>
    <row r="214" spans="2:60" ht="13.5" x14ac:dyDescent="0.3">
      <c r="C214" s="265" t="s">
        <v>67</v>
      </c>
      <c r="D214" s="325" t="s">
        <v>2485</v>
      </c>
      <c r="E214" s="264" t="s">
        <v>2445</v>
      </c>
      <c r="F214" s="265" t="s">
        <v>2446</v>
      </c>
      <c r="G214" s="265" t="s">
        <v>2444</v>
      </c>
      <c r="H214" s="264" t="s">
        <v>166</v>
      </c>
      <c r="I214" s="264" t="s">
        <v>167</v>
      </c>
      <c r="J214" s="212" t="s">
        <v>2973</v>
      </c>
      <c r="K214" s="251" t="s">
        <v>2989</v>
      </c>
      <c r="L214" s="272">
        <v>44580</v>
      </c>
      <c r="M214" s="272">
        <v>44581</v>
      </c>
      <c r="N214" s="272">
        <v>44491</v>
      </c>
      <c r="O214" s="272">
        <v>44491</v>
      </c>
      <c r="P214" s="272">
        <v>44537</v>
      </c>
      <c r="Q214" s="264" t="s">
        <v>2</v>
      </c>
      <c r="R214" s="264" t="s">
        <v>5</v>
      </c>
      <c r="S214" s="264" t="s">
        <v>5</v>
      </c>
      <c r="X214" s="264"/>
      <c r="Z214" s="264"/>
      <c r="AA214" s="264"/>
      <c r="AB214" s="265" t="str">
        <f>VLOOKUP(功能_33[[#This Row],[User]],SKL放款!A:G,7,FALSE)</f>
        <v>放款服務課</v>
      </c>
      <c r="AC214" s="272">
        <v>44533</v>
      </c>
      <c r="AD214" s="272">
        <v>44512</v>
      </c>
      <c r="AE214" s="272">
        <v>44496</v>
      </c>
      <c r="AF214" s="272">
        <v>44496</v>
      </c>
      <c r="AG214" s="209" t="s">
        <v>2976</v>
      </c>
      <c r="AH214" s="272" t="s">
        <v>169</v>
      </c>
      <c r="AI214" s="272"/>
      <c r="AJ214" s="322"/>
      <c r="AK214" s="272">
        <f>IFERROR(IF(VLOOKUP(功能_33[[#This Row],[功能代號]],E:U,11,FALSE)=0,"",VLOOKUP(功能_33[[#This Row],[功能代號]],E:U,11,FALSE)),"")</f>
        <v>44491</v>
      </c>
      <c r="AL214" s="272"/>
      <c r="AM214" s="272"/>
      <c r="AN214" s="265"/>
      <c r="AO214" s="272"/>
      <c r="AP214" s="264">
        <v>310</v>
      </c>
      <c r="AQ214" s="265" t="s">
        <v>643</v>
      </c>
      <c r="AR214" s="593" t="s">
        <v>3207</v>
      </c>
      <c r="AS214" s="483" t="str">
        <f>IF(COUNTA(AG214)=1,LEFT(D214,3),"")</f>
        <v>3-3</v>
      </c>
      <c r="AT214" s="485" t="str">
        <f>IF(AND(COUNTA(O214)=1,COUNTA(P214)=1,COUNTA(AC214)=1,COUNTA(AF214)=1,COUNTA(AG214)=0),LEFT(D214,3),"")</f>
        <v/>
      </c>
      <c r="AU214" s="487" t="str">
        <f>IF(AND(COUNTA(O214)=1,COUNTA(P214)=1,COUNTA(AC214)=1,COUNTA(AF214)=0,COUNTA(AG214)=0),LEFT(D214,3),"")</f>
        <v/>
      </c>
      <c r="AV214" s="489" t="str">
        <f>IF(AND(COUNTA(P214)=0,COUNTA(AC214)=1),LEFT(D214,3),"")</f>
        <v/>
      </c>
      <c r="AW214" s="491" t="str">
        <f>IF(AND(COUNTA(P214)=1,COUNTA(AC214)=0),LEFT(D214,3),"")</f>
        <v/>
      </c>
      <c r="AX214" s="493" t="str">
        <f>IF(AND(COUNTA(P214)=0,COUNTA(AC214)=0),LEFT(D214,3),"")</f>
        <v/>
      </c>
      <c r="AY214" s="514" t="str">
        <f>IFERROR(VLOOKUP(功能_33[[#This Row],[功能代號]],SIT_FT_2021tmp!D:D,1,FALSE),"")</f>
        <v>L3917</v>
      </c>
      <c r="AZ214" s="587">
        <v>44559</v>
      </c>
      <c r="BA214" s="587">
        <v>44559</v>
      </c>
      <c r="BB214" s="514" t="s">
        <v>3073</v>
      </c>
      <c r="BC214" s="265" t="s">
        <v>3042</v>
      </c>
      <c r="BD214" s="593"/>
      <c r="BE214" s="264" t="str">
        <f>IF(AND(COUNTIF(AY214,"&gt;&lt;0")=1,COUNTA(M214)=1),LEFT(D214,3),"")</f>
        <v>3-3</v>
      </c>
      <c r="BF214" s="264" t="str">
        <f>IF(AND(COUNTIF(AY214,"&gt;&lt;")=1,COUNTA(M214)=0),LEFT(D214,3),"")</f>
        <v/>
      </c>
      <c r="BG214" s="264" t="str">
        <f>IF(AND(COUNTIF(AY214,"&gt;&lt;0")=0,COUNTA(M214)=1),LEFT(D214,3),"")</f>
        <v/>
      </c>
      <c r="BH214" s="264" t="str">
        <f>IF(AND(COUNTIF(AY214,"&gt;&lt;0")=0,COUNTA(M214)=0),LEFT(D214,3),"")</f>
        <v/>
      </c>
    </row>
    <row r="215" spans="2:60" ht="13.5" x14ac:dyDescent="0.3">
      <c r="B215" s="265">
        <v>1</v>
      </c>
      <c r="C215" s="265" t="s">
        <v>67</v>
      </c>
      <c r="D215" s="325" t="s">
        <v>2485</v>
      </c>
      <c r="E215" s="264" t="s">
        <v>644</v>
      </c>
      <c r="F215" s="265" t="s">
        <v>645</v>
      </c>
      <c r="G215" s="211" t="s">
        <v>646</v>
      </c>
      <c r="H215" s="264" t="s">
        <v>166</v>
      </c>
      <c r="I215" s="264" t="s">
        <v>167</v>
      </c>
      <c r="J215" s="212" t="s">
        <v>2973</v>
      </c>
      <c r="K215" s="251" t="s">
        <v>2989</v>
      </c>
      <c r="L215" s="272">
        <v>44580</v>
      </c>
      <c r="M215" s="272">
        <v>44581</v>
      </c>
      <c r="N215" s="272">
        <v>44491</v>
      </c>
      <c r="O215" s="272">
        <v>44491</v>
      </c>
      <c r="P215" s="272">
        <f>IFERROR(IF(VLOOKUP(功能_33[[#This Row],[功能代號]],討論項目!A:H,8,FALSE)=0,"",VLOOKUP(功能_33[[#This Row],[功能代號]],討論項目!A:H,8,FALSE)),"")</f>
        <v>44510</v>
      </c>
      <c r="Q215" s="264" t="s">
        <v>2</v>
      </c>
      <c r="R215" s="264" t="s">
        <v>5</v>
      </c>
      <c r="S215" s="264" t="s">
        <v>5</v>
      </c>
      <c r="X215" s="264"/>
      <c r="Z215" s="264"/>
      <c r="AA215" s="264"/>
      <c r="AB215" s="265" t="str">
        <f>VLOOKUP(功能_33[[#This Row],[User]],SKL放款!A:G,7,FALSE)</f>
        <v>放款服務課</v>
      </c>
      <c r="AC215" s="272">
        <v>44496</v>
      </c>
      <c r="AD215" s="272">
        <v>44512</v>
      </c>
      <c r="AE215" s="272">
        <v>44496</v>
      </c>
      <c r="AF215" s="272">
        <v>44496</v>
      </c>
      <c r="AG215" s="209" t="s">
        <v>2974</v>
      </c>
      <c r="AH215" s="272" t="s">
        <v>169</v>
      </c>
      <c r="AI215" s="272"/>
      <c r="AJ215" s="322"/>
      <c r="AK215" s="272">
        <f>IFERROR(IF(VLOOKUP(功能_33[[#This Row],[功能代號]],E:U,11,FALSE)=0,"",VLOOKUP(功能_33[[#This Row],[功能代號]],E:U,11,FALSE)),"")</f>
        <v>44491</v>
      </c>
      <c r="AL215" s="272"/>
      <c r="AM215" s="272"/>
      <c r="AN215" s="265"/>
      <c r="AP215" s="264" t="s">
        <v>163</v>
      </c>
      <c r="AQ215" s="264" t="s">
        <v>163</v>
      </c>
      <c r="AR215" s="593" t="s">
        <v>3207</v>
      </c>
      <c r="AS215" s="483" t="str">
        <f>IF(COUNTA(AG215)=1,LEFT(D215,3),"")</f>
        <v>3-3</v>
      </c>
      <c r="AT215" s="485" t="str">
        <f>IF(AND(COUNTA(O215)=1,COUNTA(P215)=1,COUNTA(AC215)=1,COUNTA(AF215)=1,COUNTA(AG215)=0),LEFT(D215,3),"")</f>
        <v/>
      </c>
      <c r="AU215" s="487" t="str">
        <f>IF(AND(COUNTA(O215)=1,COUNTA(P215)=1,COUNTA(AC215)=1,COUNTA(AF215)=0,COUNTA(AG215)=0),LEFT(D215,3),"")</f>
        <v/>
      </c>
      <c r="AV215" s="489" t="str">
        <f>IF(AND(COUNTA(P215)=0,COUNTA(AC215)=1),LEFT(D215,3),"")</f>
        <v/>
      </c>
      <c r="AW215" s="491" t="str">
        <f>IF(AND(COUNTA(P215)=1,COUNTA(AC215)=0),LEFT(D215,3),"")</f>
        <v/>
      </c>
      <c r="AX215" s="493" t="str">
        <f>IF(AND(COUNTA(P215)=0,COUNTA(AC215)=0),LEFT(D215,3),"")</f>
        <v/>
      </c>
      <c r="AY215" s="514" t="str">
        <f>IFERROR(VLOOKUP(功能_33[[#This Row],[功能代號]],SIT_FT_2021tmp!D:D,1,FALSE),"")</f>
        <v>L3913</v>
      </c>
      <c r="AZ215" s="587">
        <v>44536</v>
      </c>
      <c r="BA215" s="587">
        <v>44536</v>
      </c>
      <c r="BB215" s="514" t="s">
        <v>3000</v>
      </c>
      <c r="BC215" s="265" t="s">
        <v>3019</v>
      </c>
      <c r="BD215" s="593"/>
      <c r="BE215" s="264" t="str">
        <f>IF(AND(COUNTIF(AY215,"&gt;&lt;0")=1,COUNTA(M215)=1),LEFT(D215,3),"")</f>
        <v>3-3</v>
      </c>
      <c r="BF215" s="264" t="str">
        <f>IF(AND(COUNTIF(AY215,"&gt;&lt;")=1,COUNTA(M215)=0),LEFT(D215,3),"")</f>
        <v/>
      </c>
      <c r="BG215" s="264" t="str">
        <f>IF(AND(COUNTIF(AY215,"&gt;&lt;0")=0,COUNTA(M215)=1),LEFT(D215,3),"")</f>
        <v/>
      </c>
      <c r="BH215" s="264" t="str">
        <f>IF(AND(COUNTIF(AY215,"&gt;&lt;0")=0,COUNTA(M215)=0),LEFT(D215,3),"")</f>
        <v/>
      </c>
    </row>
    <row r="216" spans="2:60" ht="27" x14ac:dyDescent="0.3">
      <c r="C216" s="265" t="s">
        <v>68</v>
      </c>
      <c r="D216" s="265" t="s">
        <v>382</v>
      </c>
      <c r="E216" s="264" t="s">
        <v>647</v>
      </c>
      <c r="F216" s="265" t="s">
        <v>648</v>
      </c>
      <c r="G216" s="265"/>
      <c r="H216" s="264" t="s">
        <v>166</v>
      </c>
      <c r="I216" s="264" t="s">
        <v>2433</v>
      </c>
      <c r="J216" s="212" t="s">
        <v>2586</v>
      </c>
      <c r="K216" s="212"/>
      <c r="L216" s="272">
        <v>44580</v>
      </c>
      <c r="M216" s="272">
        <v>44573</v>
      </c>
      <c r="N216" s="272">
        <v>44474</v>
      </c>
      <c r="O216" s="272">
        <v>44481</v>
      </c>
      <c r="P216" s="272">
        <v>44523</v>
      </c>
      <c r="Q216" s="264" t="s">
        <v>2</v>
      </c>
      <c r="R216" s="264" t="s">
        <v>5</v>
      </c>
      <c r="S216" s="264" t="s">
        <v>5</v>
      </c>
      <c r="T216" s="265" t="s">
        <v>14</v>
      </c>
      <c r="X216" s="264"/>
      <c r="Z216" s="264"/>
      <c r="AA216" s="264"/>
      <c r="AB216" s="265" t="str">
        <f>VLOOKUP(功能_33[[#This Row],[User]],SKL放款!A:G,7,FALSE)</f>
        <v>放款服務課</v>
      </c>
      <c r="AC216" s="272">
        <v>44533</v>
      </c>
      <c r="AD216" s="272" t="s">
        <v>107</v>
      </c>
      <c r="AE216" s="272">
        <v>44523</v>
      </c>
      <c r="AF216" s="272">
        <v>44525</v>
      </c>
      <c r="AG216" s="209">
        <v>44539</v>
      </c>
      <c r="AH216" s="272"/>
      <c r="AI216" s="272"/>
      <c r="AJ216" s="322"/>
      <c r="AK216" s="272">
        <f>IFERROR(IF(VLOOKUP(功能_33[[#This Row],[功能代號]],E:U,11,FALSE)=0,"",VLOOKUP(功能_33[[#This Row],[功能代號]],E:U,11,FALSE)),"")</f>
        <v>44481</v>
      </c>
      <c r="AL216" s="272"/>
      <c r="AM216" s="272"/>
      <c r="AN216" s="265"/>
      <c r="AO216" s="272"/>
      <c r="AP216" s="281" t="s">
        <v>2630</v>
      </c>
      <c r="AQ216" s="265" t="s">
        <v>2631</v>
      </c>
      <c r="AR216" s="593" t="s">
        <v>3207</v>
      </c>
      <c r="AS216" s="483" t="str">
        <f>IF(COUNTA(AG216)=1,LEFT(D216,3),"")</f>
        <v>4-2</v>
      </c>
      <c r="AT216" s="485" t="str">
        <f>IF(AND(COUNTA(O216)=1,COUNTA(P216)=1,COUNTA(AC216)=1,COUNTA(AF216)=1,COUNTA(AG216)=0),LEFT(D216,3),"")</f>
        <v/>
      </c>
      <c r="AU216" s="487" t="str">
        <f>IF(AND(COUNTA(O216)=1,COUNTA(P216)=1,COUNTA(AC216)=1,COUNTA(AF216)=0,COUNTA(AG216)=0),LEFT(D216,3),"")</f>
        <v/>
      </c>
      <c r="AV216" s="489" t="str">
        <f>IF(AND(COUNTA(P216)=0,COUNTA(AC216)=1),LEFT(D216,3),"")</f>
        <v/>
      </c>
      <c r="AW216" s="491" t="str">
        <f>IF(AND(COUNTA(P216)=1,COUNTA(AC216)=0),LEFT(D216,3),"")</f>
        <v/>
      </c>
      <c r="AX216" s="493" t="str">
        <f>IF(AND(COUNTA(P216)=0,COUNTA(AC216)=0),LEFT(D216,3),"")</f>
        <v/>
      </c>
      <c r="AY216" s="514" t="str">
        <f>IFERROR(VLOOKUP(功能_33[[#This Row],[功能代號]],SIT_FT_2021tmp!D:D,1,FALSE),"")</f>
        <v>L4210</v>
      </c>
      <c r="AZ216" s="587">
        <v>44536</v>
      </c>
      <c r="BA216" s="587">
        <v>44536</v>
      </c>
      <c r="BB216" s="514" t="s">
        <v>3000</v>
      </c>
      <c r="BC216" s="265" t="s">
        <v>3019</v>
      </c>
      <c r="BD216" s="593"/>
      <c r="BE216" s="264" t="str">
        <f>IF(AND(COUNTIF(AY216,"&gt;&lt;0")=1,COUNTA(M216)=1),LEFT(D216,3),"")</f>
        <v>4-2</v>
      </c>
      <c r="BF216" s="264" t="str">
        <f>IF(AND(COUNTIF(AY216,"&gt;&lt;")=1,COUNTA(M216)=0),LEFT(D216,3),"")</f>
        <v/>
      </c>
      <c r="BG216" s="264" t="str">
        <f>IF(AND(COUNTIF(AY216,"&gt;&lt;0")=0,COUNTA(M216)=1),LEFT(D216,3),"")</f>
        <v/>
      </c>
      <c r="BH216" s="264" t="str">
        <f>IF(AND(COUNTIF(AY216,"&gt;&lt;0")=0,COUNTA(M216)=0),LEFT(D216,3),"")</f>
        <v/>
      </c>
    </row>
    <row r="217" spans="2:60" ht="13.5" x14ac:dyDescent="0.3">
      <c r="C217" s="265" t="s">
        <v>68</v>
      </c>
      <c r="D217" s="265" t="s">
        <v>382</v>
      </c>
      <c r="E217" s="264" t="s">
        <v>649</v>
      </c>
      <c r="F217" s="265" t="s">
        <v>650</v>
      </c>
      <c r="G217" s="265"/>
      <c r="H217" s="264" t="s">
        <v>166</v>
      </c>
      <c r="I217" s="264" t="s">
        <v>2433</v>
      </c>
      <c r="J217" s="212" t="s">
        <v>2586</v>
      </c>
      <c r="K217" s="212"/>
      <c r="L217" s="272">
        <v>44580</v>
      </c>
      <c r="M217" s="272">
        <v>44573</v>
      </c>
      <c r="N217" s="272">
        <v>44474</v>
      </c>
      <c r="O217" s="272">
        <v>44481</v>
      </c>
      <c r="P217" s="272">
        <v>44523</v>
      </c>
      <c r="Q217" s="264" t="s">
        <v>2</v>
      </c>
      <c r="R217" s="264" t="s">
        <v>5</v>
      </c>
      <c r="S217" s="264" t="s">
        <v>5</v>
      </c>
      <c r="X217" s="264"/>
      <c r="Z217" s="264"/>
      <c r="AA217" s="264"/>
      <c r="AB217" s="265" t="str">
        <f>VLOOKUP(功能_33[[#This Row],[User]],SKL放款!A:G,7,FALSE)</f>
        <v>放款服務課</v>
      </c>
      <c r="AC217" s="272">
        <v>44533</v>
      </c>
      <c r="AD217" s="272" t="s">
        <v>168</v>
      </c>
      <c r="AE217" s="272">
        <v>44523</v>
      </c>
      <c r="AF217" s="272">
        <v>44525</v>
      </c>
      <c r="AG217" s="209">
        <v>44539</v>
      </c>
      <c r="AH217" s="272"/>
      <c r="AI217" s="272"/>
      <c r="AJ217" s="322"/>
      <c r="AK217" s="272">
        <f>IFERROR(IF(VLOOKUP(功能_33[[#This Row],[功能代號]],E:U,11,FALSE)=0,"",VLOOKUP(功能_33[[#This Row],[功能代號]],E:U,11,FALSE)),"")</f>
        <v>44481</v>
      </c>
      <c r="AL217" s="272"/>
      <c r="AM217" s="272"/>
      <c r="AN217" s="265"/>
      <c r="AO217" s="272"/>
      <c r="AP217" s="264" t="s">
        <v>2603</v>
      </c>
      <c r="AQ217" s="264" t="s">
        <v>163</v>
      </c>
      <c r="AR217" s="593" t="s">
        <v>3207</v>
      </c>
      <c r="AS217" s="483" t="str">
        <f>IF(COUNTA(AG217)=1,LEFT(D217,3),"")</f>
        <v>4-2</v>
      </c>
      <c r="AT217" s="485" t="str">
        <f>IF(AND(COUNTA(O217)=1,COUNTA(P217)=1,COUNTA(AC217)=1,COUNTA(AF217)=1,COUNTA(AG217)=0),LEFT(D217,3),"")</f>
        <v/>
      </c>
      <c r="AU217" s="487" t="str">
        <f>IF(AND(COUNTA(O217)=1,COUNTA(P217)=1,COUNTA(AC217)=1,COUNTA(AF217)=0,COUNTA(AG217)=0),LEFT(D217,3),"")</f>
        <v/>
      </c>
      <c r="AV217" s="489" t="str">
        <f>IF(AND(COUNTA(P217)=0,COUNTA(AC217)=1),LEFT(D217,3),"")</f>
        <v/>
      </c>
      <c r="AW217" s="491" t="str">
        <f>IF(AND(COUNTA(P217)=1,COUNTA(AC217)=0),LEFT(D217,3),"")</f>
        <v/>
      </c>
      <c r="AX217" s="493" t="str">
        <f>IF(AND(COUNTA(P217)=0,COUNTA(AC217)=0),LEFT(D217,3),"")</f>
        <v/>
      </c>
      <c r="AY217" s="514" t="str">
        <f>IFERROR(VLOOKUP(功能_33[[#This Row],[功能代號]],SIT_FT_2021tmp!D:D,1,FALSE),"")</f>
        <v>L4921</v>
      </c>
      <c r="AZ217" s="587">
        <v>44536</v>
      </c>
      <c r="BA217" s="587">
        <v>44536</v>
      </c>
      <c r="BB217" s="514" t="s">
        <v>3000</v>
      </c>
      <c r="BC217" s="265" t="s">
        <v>3019</v>
      </c>
      <c r="BD217" s="593"/>
      <c r="BE217" s="264" t="str">
        <f>IF(AND(COUNTIF(AY217,"&gt;&lt;0")=1,COUNTA(M217)=1),LEFT(D217,3),"")</f>
        <v>4-2</v>
      </c>
      <c r="BF217" s="264" t="str">
        <f>IF(AND(COUNTIF(AY217,"&gt;&lt;")=1,COUNTA(M217)=0),LEFT(D217,3),"")</f>
        <v/>
      </c>
      <c r="BG217" s="264" t="str">
        <f>IF(AND(COUNTIF(AY217,"&gt;&lt;0")=0,COUNTA(M217)=1),LEFT(D217,3),"")</f>
        <v/>
      </c>
      <c r="BH217" s="264" t="str">
        <f>IF(AND(COUNTIF(AY217,"&gt;&lt;0")=0,COUNTA(M217)=0),LEFT(D217,3),"")</f>
        <v/>
      </c>
    </row>
    <row r="218" spans="2:60" ht="40.5" x14ac:dyDescent="0.3">
      <c r="B218" s="360"/>
      <c r="C218" s="265" t="s">
        <v>68</v>
      </c>
      <c r="D218" s="265" t="s">
        <v>382</v>
      </c>
      <c r="E218" s="264" t="s">
        <v>651</v>
      </c>
      <c r="F218" s="265" t="s">
        <v>652</v>
      </c>
      <c r="G218" s="265"/>
      <c r="H218" s="264" t="s">
        <v>166</v>
      </c>
      <c r="I218" s="264" t="s">
        <v>2433</v>
      </c>
      <c r="J218" s="212" t="s">
        <v>3241</v>
      </c>
      <c r="K218" s="212"/>
      <c r="L218" s="272">
        <v>44582</v>
      </c>
      <c r="M218" s="272">
        <v>44579</v>
      </c>
      <c r="N218" s="272">
        <v>44474</v>
      </c>
      <c r="O218" s="272">
        <v>44481</v>
      </c>
      <c r="P218" s="272">
        <v>44523</v>
      </c>
      <c r="Q218" s="264" t="s">
        <v>2</v>
      </c>
      <c r="R218" s="264" t="s">
        <v>14</v>
      </c>
      <c r="S218" s="264" t="s">
        <v>14</v>
      </c>
      <c r="X218" s="264"/>
      <c r="Z218" s="264"/>
      <c r="AA218" s="264"/>
      <c r="AB218" s="265" t="str">
        <f>VLOOKUP(功能_33[[#This Row],[User]],SKL放款!A:G,7,FALSE)</f>
        <v>放款服務課</v>
      </c>
      <c r="AC218" s="272">
        <v>44533</v>
      </c>
      <c r="AD218" s="272" t="s">
        <v>107</v>
      </c>
      <c r="AE218" s="272">
        <v>44523</v>
      </c>
      <c r="AF218" s="272">
        <v>44525</v>
      </c>
      <c r="AG218" s="209" t="s">
        <v>3243</v>
      </c>
      <c r="AH218" s="272"/>
      <c r="AI218" s="272"/>
      <c r="AJ218" s="322"/>
      <c r="AK218" s="272">
        <f>IFERROR(IF(VLOOKUP(功能_33[[#This Row],[功能代號]],E:U,11,FALSE)=0,"",VLOOKUP(功能_33[[#This Row],[功能代號]],E:U,11,FALSE)),"")</f>
        <v>44481</v>
      </c>
      <c r="AL218" s="272"/>
      <c r="AM218" s="272"/>
      <c r="AN218" s="265"/>
      <c r="AO218" s="272"/>
      <c r="AP218" s="281" t="s">
        <v>2632</v>
      </c>
      <c r="AQ218" s="206" t="s">
        <v>2633</v>
      </c>
      <c r="AR218" s="593" t="s">
        <v>3207</v>
      </c>
      <c r="AS218" s="483" t="str">
        <f>IF(COUNTA(AG218)=1,LEFT(D218,3),"")</f>
        <v>4-2</v>
      </c>
      <c r="AT218" s="485" t="str">
        <f>IF(AND(COUNTA(O218)=1,COUNTA(P218)=1,COUNTA(AC218)=1,COUNTA(AF218)=1,COUNTA(AG218)=0),LEFT(D218,3),"")</f>
        <v/>
      </c>
      <c r="AU218" s="487" t="str">
        <f>IF(AND(COUNTA(O218)=1,COUNTA(P218)=1,COUNTA(AC218)=1,COUNTA(AF218)=0,COUNTA(AG218)=0),LEFT(D218,3),"")</f>
        <v/>
      </c>
      <c r="AV218" s="489" t="str">
        <f>IF(AND(COUNTA(P218)=0,COUNTA(AC218)=1),LEFT(D218,3),"")</f>
        <v/>
      </c>
      <c r="AW218" s="491" t="str">
        <f>IF(AND(COUNTA(P218)=1,COUNTA(AC218)=0),LEFT(D218,3),"")</f>
        <v/>
      </c>
      <c r="AX218" s="493" t="str">
        <f>IF(AND(COUNTA(P218)=0,COUNTA(AC218)=0),LEFT(D218,3),"")</f>
        <v/>
      </c>
      <c r="AY218" s="514" t="str">
        <f>IFERROR(VLOOKUP(功能_33[[#This Row],[功能代號]],SIT_FT_2021tmp!D:D,1,FALSE),"")</f>
        <v>L4201</v>
      </c>
      <c r="AZ218" s="587">
        <v>44546</v>
      </c>
      <c r="BA218" s="587">
        <v>44546</v>
      </c>
      <c r="BB218" s="514" t="s">
        <v>3000</v>
      </c>
      <c r="BC218" s="265" t="s">
        <v>3028</v>
      </c>
      <c r="BD218" s="593"/>
      <c r="BE218" s="264" t="str">
        <f>IF(AND(COUNTIF(AY218,"&gt;&lt;0")=1,COUNTA(M218)=1),LEFT(D218,3),"")</f>
        <v>4-2</v>
      </c>
      <c r="BF218" s="264" t="str">
        <f>IF(AND(COUNTIF(AY218,"&gt;&lt;")=1,COUNTA(M218)=0),LEFT(D218,3),"")</f>
        <v/>
      </c>
      <c r="BG218" s="264" t="str">
        <f>IF(AND(COUNTIF(AY218,"&gt;&lt;0")=0,COUNTA(M218)=1),LEFT(D218,3),"")</f>
        <v/>
      </c>
      <c r="BH218" s="264" t="str">
        <f>IF(AND(COUNTIF(AY218,"&gt;&lt;0")=0,COUNTA(M218)=0),LEFT(D218,3),"")</f>
        <v/>
      </c>
    </row>
    <row r="219" spans="2:60" ht="27" x14ac:dyDescent="0.3">
      <c r="C219" s="265" t="s">
        <v>68</v>
      </c>
      <c r="D219" s="265" t="s">
        <v>382</v>
      </c>
      <c r="E219" s="264" t="s">
        <v>2437</v>
      </c>
      <c r="F219" s="265" t="s">
        <v>2441</v>
      </c>
      <c r="G219" s="265" t="s">
        <v>2442</v>
      </c>
      <c r="H219" s="264" t="s">
        <v>166</v>
      </c>
      <c r="I219" s="264" t="s">
        <v>2433</v>
      </c>
      <c r="J219" s="212" t="s">
        <v>2963</v>
      </c>
      <c r="K219" s="584" t="s">
        <v>2994</v>
      </c>
      <c r="L219" s="272">
        <v>44580</v>
      </c>
      <c r="M219" s="272">
        <v>44574</v>
      </c>
      <c r="N219" s="272">
        <v>44474</v>
      </c>
      <c r="O219" s="272">
        <v>44481</v>
      </c>
      <c r="P219" s="215">
        <v>44550</v>
      </c>
      <c r="Q219" s="264" t="s">
        <v>2</v>
      </c>
      <c r="R219" s="264" t="s">
        <v>14</v>
      </c>
      <c r="S219" s="264" t="s">
        <v>14</v>
      </c>
      <c r="X219" s="264"/>
      <c r="Z219" s="264"/>
      <c r="AA219" s="264"/>
      <c r="AB219" s="265" t="str">
        <f>VLOOKUP(功能_33[[#This Row],[User]],SKL放款!A:G,7,FALSE)</f>
        <v>放款服務課</v>
      </c>
      <c r="AC219" s="215">
        <v>44550</v>
      </c>
      <c r="AD219" s="272" t="s">
        <v>2443</v>
      </c>
      <c r="AE219" s="272">
        <v>44523</v>
      </c>
      <c r="AF219" s="272">
        <v>44525</v>
      </c>
      <c r="AG219" s="209" t="s">
        <v>2966</v>
      </c>
      <c r="AH219" s="272"/>
      <c r="AI219" s="272"/>
      <c r="AJ219" s="322"/>
      <c r="AK219" s="272">
        <f>IFERROR(IF(VLOOKUP(功能_33[[#This Row],[功能代號]],E:U,11,FALSE)=0,"",VLOOKUP(功能_33[[#This Row],[功能代號]],E:U,11,FALSE)),"")</f>
        <v>44481</v>
      </c>
      <c r="AL219" s="272"/>
      <c r="AM219" s="272"/>
      <c r="AN219" s="265"/>
      <c r="AO219" s="272"/>
      <c r="AP219" s="281" t="s">
        <v>2658</v>
      </c>
      <c r="AQ219" s="206" t="s">
        <v>2657</v>
      </c>
      <c r="AR219" s="593" t="s">
        <v>3207</v>
      </c>
      <c r="AS219" s="483" t="str">
        <f>IF(COUNTA(AG219)=1,LEFT(D219,3),"")</f>
        <v>4-2</v>
      </c>
      <c r="AT219" s="485" t="str">
        <f>IF(AND(COUNTA(O219)=1,COUNTA(P219)=1,COUNTA(AC219)=1,COUNTA(AF219)=1,COUNTA(AG219)=0),LEFT(D219,3),"")</f>
        <v/>
      </c>
      <c r="AU219" s="487" t="str">
        <f>IF(AND(COUNTA(O219)=1,COUNTA(P219)=1,COUNTA(AC219)=1,COUNTA(AF219)=0,COUNTA(AG219)=0),LEFT(D219,3),"")</f>
        <v/>
      </c>
      <c r="AV219" s="489" t="str">
        <f>IF(AND(COUNTA(P219)=0,COUNTA(AC219)=1),LEFT(D219,3),"")</f>
        <v/>
      </c>
      <c r="AW219" s="491" t="str">
        <f>IF(AND(COUNTA(P219)=1,COUNTA(AC219)=0),LEFT(D219,3),"")</f>
        <v/>
      </c>
      <c r="AX219" s="493" t="str">
        <f>IF(AND(COUNTA(P219)=0,COUNTA(AC219)=0),LEFT(D219,3),"")</f>
        <v/>
      </c>
      <c r="AY219" s="514" t="str">
        <f>IFERROR(VLOOKUP(功能_33[[#This Row],[功能代號]],SIT_FT_2021tmp!D:D,1,FALSE),"")</f>
        <v>L4211</v>
      </c>
      <c r="AZ219" s="587">
        <v>44546</v>
      </c>
      <c r="BA219" s="587">
        <v>44546</v>
      </c>
      <c r="BB219" s="514" t="s">
        <v>3000</v>
      </c>
      <c r="BC219" s="265" t="s">
        <v>3028</v>
      </c>
      <c r="BD219" s="593"/>
      <c r="BE219" s="264" t="str">
        <f>IF(AND(COUNTIF(AY219,"&gt;&lt;0")=1,COUNTA(M219)=1),LEFT(D219,3),"")</f>
        <v>4-2</v>
      </c>
      <c r="BF219" s="264" t="str">
        <f>IF(AND(COUNTIF(AY219,"&gt;&lt;")=1,COUNTA(M219)=0),LEFT(D219,3),"")</f>
        <v/>
      </c>
      <c r="BG219" s="264" t="str">
        <f>IF(AND(COUNTIF(AY219,"&gt;&lt;0")=0,COUNTA(M219)=1),LEFT(D219,3),"")</f>
        <v/>
      </c>
      <c r="BH219" s="264" t="str">
        <f>IF(AND(COUNTIF(AY219,"&gt;&lt;0")=0,COUNTA(M219)=0),LEFT(D219,3),"")</f>
        <v/>
      </c>
    </row>
    <row r="220" spans="2:60" ht="13.5" x14ac:dyDescent="0.3">
      <c r="C220" s="265" t="s">
        <v>68</v>
      </c>
      <c r="D220" s="265" t="s">
        <v>382</v>
      </c>
      <c r="E220" s="264" t="s">
        <v>653</v>
      </c>
      <c r="F220" s="265" t="s">
        <v>654</v>
      </c>
      <c r="G220" s="265"/>
      <c r="H220" s="264" t="s">
        <v>166</v>
      </c>
      <c r="I220" s="264" t="s">
        <v>2433</v>
      </c>
      <c r="J220" s="212" t="s">
        <v>2586</v>
      </c>
      <c r="K220" s="212"/>
      <c r="L220" s="272">
        <v>44580</v>
      </c>
      <c r="M220" s="272">
        <v>44574</v>
      </c>
      <c r="N220" s="272">
        <v>44474</v>
      </c>
      <c r="O220" s="272">
        <v>44482</v>
      </c>
      <c r="P220" s="272">
        <v>44523</v>
      </c>
      <c r="Q220" s="264" t="s">
        <v>2</v>
      </c>
      <c r="R220" s="264" t="s">
        <v>5</v>
      </c>
      <c r="S220" s="264" t="s">
        <v>5</v>
      </c>
      <c r="X220" s="264"/>
      <c r="Z220" s="264"/>
      <c r="AA220" s="264"/>
      <c r="AB220" s="265" t="str">
        <f>VLOOKUP(功能_33[[#This Row],[User]],SKL放款!A:G,7,FALSE)</f>
        <v>放款服務課</v>
      </c>
      <c r="AC220" s="272">
        <v>44533</v>
      </c>
      <c r="AD220" s="272" t="s">
        <v>168</v>
      </c>
      <c r="AE220" s="272">
        <v>44523</v>
      </c>
      <c r="AF220" s="272">
        <v>44525</v>
      </c>
      <c r="AG220" s="209">
        <v>44539</v>
      </c>
      <c r="AH220" s="272"/>
      <c r="AI220" s="272"/>
      <c r="AJ220" s="322"/>
      <c r="AK220" s="272">
        <f>IFERROR(IF(VLOOKUP(功能_33[[#This Row],[功能代號]],E:U,11,FALSE)=0,"",VLOOKUP(功能_33[[#This Row],[功能代號]],E:U,11,FALSE)),"")</f>
        <v>44482</v>
      </c>
      <c r="AL220" s="272"/>
      <c r="AM220" s="272"/>
      <c r="AN220" s="265"/>
      <c r="AO220" s="272"/>
      <c r="AP220" s="264" t="s">
        <v>2603</v>
      </c>
      <c r="AQ220" s="264" t="s">
        <v>163</v>
      </c>
      <c r="AR220" s="593" t="s">
        <v>3207</v>
      </c>
      <c r="AS220" s="483" t="str">
        <f>IF(COUNTA(AG220)=1,LEFT(D220,3),"")</f>
        <v>4-2</v>
      </c>
      <c r="AT220" s="485" t="str">
        <f>IF(AND(COUNTA(O220)=1,COUNTA(P220)=1,COUNTA(AC220)=1,COUNTA(AF220)=1,COUNTA(AG220)=0),LEFT(D220,3),"")</f>
        <v/>
      </c>
      <c r="AU220" s="487" t="str">
        <f>IF(AND(COUNTA(O220)=1,COUNTA(P220)=1,COUNTA(AC220)=1,COUNTA(AF220)=0,COUNTA(AG220)=0),LEFT(D220,3),"")</f>
        <v/>
      </c>
      <c r="AV220" s="489" t="str">
        <f>IF(AND(COUNTA(P220)=0,COUNTA(AC220)=1),LEFT(D220,3),"")</f>
        <v/>
      </c>
      <c r="AW220" s="491" t="str">
        <f>IF(AND(COUNTA(P220)=1,COUNTA(AC220)=0),LEFT(D220,3),"")</f>
        <v/>
      </c>
      <c r="AX220" s="493" t="str">
        <f>IF(AND(COUNTA(P220)=0,COUNTA(AC220)=0),LEFT(D220,3),"")</f>
        <v/>
      </c>
      <c r="AY220" s="514" t="str">
        <f>IFERROR(VLOOKUP(功能_33[[#This Row],[功能代號]],SIT_FT_2021tmp!D:D,1,FALSE),"")</f>
        <v>L492A</v>
      </c>
      <c r="AZ220" s="587">
        <v>44552</v>
      </c>
      <c r="BA220" s="587">
        <v>44552</v>
      </c>
      <c r="BB220" s="514" t="s">
        <v>3073</v>
      </c>
      <c r="BC220" s="265" t="s">
        <v>3016</v>
      </c>
      <c r="BD220" s="593"/>
      <c r="BE220" s="264" t="str">
        <f>IF(AND(COUNTIF(AY220,"&gt;&lt;0")=1,COUNTA(M220)=1),LEFT(D220,3),"")</f>
        <v>4-2</v>
      </c>
      <c r="BF220" s="264" t="str">
        <f>IF(AND(COUNTIF(AY220,"&gt;&lt;")=1,COUNTA(M220)=0),LEFT(D220,3),"")</f>
        <v/>
      </c>
      <c r="BG220" s="264" t="str">
        <f>IF(AND(COUNTIF(AY220,"&gt;&lt;0")=0,COUNTA(M220)=1),LEFT(D220,3),"")</f>
        <v/>
      </c>
      <c r="BH220" s="264" t="str">
        <f>IF(AND(COUNTIF(AY220,"&gt;&lt;0")=0,COUNTA(M220)=0),LEFT(D220,3),"")</f>
        <v/>
      </c>
    </row>
    <row r="221" spans="2:60" ht="27" x14ac:dyDescent="0.3">
      <c r="C221" s="265" t="s">
        <v>68</v>
      </c>
      <c r="D221" s="265" t="s">
        <v>391</v>
      </c>
      <c r="E221" s="264" t="s">
        <v>655</v>
      </c>
      <c r="F221" s="265" t="s">
        <v>656</v>
      </c>
      <c r="G221" s="265"/>
      <c r="H221" s="264" t="s">
        <v>166</v>
      </c>
      <c r="I221" s="264" t="s">
        <v>2433</v>
      </c>
      <c r="J221" s="212" t="s">
        <v>2963</v>
      </c>
      <c r="K221" s="584" t="s">
        <v>2994</v>
      </c>
      <c r="L221" s="272">
        <v>44580</v>
      </c>
      <c r="M221" s="272">
        <v>44574</v>
      </c>
      <c r="N221" s="272">
        <v>44474</v>
      </c>
      <c r="O221" s="272">
        <v>44481</v>
      </c>
      <c r="P221" s="215">
        <v>44550</v>
      </c>
      <c r="Q221" s="264" t="s">
        <v>2</v>
      </c>
      <c r="R221" s="264" t="s">
        <v>15</v>
      </c>
      <c r="S221" s="264" t="s">
        <v>15</v>
      </c>
      <c r="T221" s="265" t="s">
        <v>14</v>
      </c>
      <c r="X221" s="264"/>
      <c r="Z221" s="264"/>
      <c r="AA221" s="264"/>
      <c r="AB221" s="265" t="str">
        <f>VLOOKUP(功能_33[[#This Row],[User]],SKL放款!A:G,7,FALSE)</f>
        <v>放款服務課</v>
      </c>
      <c r="AC221" s="215">
        <v>44550</v>
      </c>
      <c r="AD221" s="272" t="s">
        <v>107</v>
      </c>
      <c r="AE221" s="272">
        <v>44525</v>
      </c>
      <c r="AF221" s="272">
        <v>44524</v>
      </c>
      <c r="AG221" s="209" t="s">
        <v>2966</v>
      </c>
      <c r="AH221" s="272"/>
      <c r="AI221" s="272"/>
      <c r="AJ221" s="322"/>
      <c r="AK221" s="272">
        <f>IFERROR(IF(VLOOKUP(功能_33[[#This Row],[功能代號]],E:U,11,FALSE)=0,"",VLOOKUP(功能_33[[#This Row],[功能代號]],E:U,11,FALSE)),"")</f>
        <v>44481</v>
      </c>
      <c r="AL221" s="272"/>
      <c r="AM221" s="272"/>
      <c r="AN221" s="265"/>
      <c r="AO221" s="272"/>
      <c r="AP221" s="281" t="s">
        <v>2634</v>
      </c>
      <c r="AQ221" s="265" t="s">
        <v>2635</v>
      </c>
      <c r="AR221" s="593" t="s">
        <v>3207</v>
      </c>
      <c r="AS221" s="483" t="str">
        <f>IF(COUNTA(AG221)=1,LEFT(D221,3),"")</f>
        <v>4-7</v>
      </c>
      <c r="AT221" s="485" t="str">
        <f>IF(AND(COUNTA(O221)=1,COUNTA(P221)=1,COUNTA(AC221)=1,COUNTA(AF221)=1,COUNTA(AG221)=0),LEFT(D221,3),"")</f>
        <v/>
      </c>
      <c r="AU221" s="487" t="str">
        <f>IF(AND(COUNTA(O221)=1,COUNTA(P221)=1,COUNTA(AC221)=1,COUNTA(AF221)=0,COUNTA(AG221)=0),LEFT(D221,3),"")</f>
        <v/>
      </c>
      <c r="AV221" s="489" t="str">
        <f>IF(AND(COUNTA(P221)=0,COUNTA(AC221)=1),LEFT(D221,3),"")</f>
        <v/>
      </c>
      <c r="AW221" s="491" t="str">
        <f>IF(AND(COUNTA(P221)=1,COUNTA(AC221)=0),LEFT(D221,3),"")</f>
        <v/>
      </c>
      <c r="AX221" s="493" t="str">
        <f>IF(AND(COUNTA(P221)=0,COUNTA(AC221)=0),LEFT(D221,3),"")</f>
        <v/>
      </c>
      <c r="AY221" s="514" t="str">
        <f>IFERROR(VLOOKUP(功能_33[[#This Row],[功能代號]],SIT_FT_2021tmp!D:D,1,FALSE),"")</f>
        <v>L4702</v>
      </c>
      <c r="AZ221" s="587">
        <v>44546</v>
      </c>
      <c r="BA221" s="587">
        <v>44546</v>
      </c>
      <c r="BB221" s="514" t="s">
        <v>3000</v>
      </c>
      <c r="BC221" s="265" t="s">
        <v>3028</v>
      </c>
      <c r="BD221" s="593"/>
      <c r="BE221" s="264" t="str">
        <f>IF(AND(COUNTIF(AY221,"&gt;&lt;0")=1,COUNTA(M221)=1),LEFT(D221,3),"")</f>
        <v>4-7</v>
      </c>
      <c r="BF221" s="264" t="str">
        <f>IF(AND(COUNTIF(AY221,"&gt;&lt;")=1,COUNTA(M221)=0),LEFT(D221,3),"")</f>
        <v/>
      </c>
      <c r="BG221" s="264" t="str">
        <f>IF(AND(COUNTIF(AY221,"&gt;&lt;0")=0,COUNTA(M221)=1),LEFT(D221,3),"")</f>
        <v/>
      </c>
      <c r="BH221" s="264" t="str">
        <f>IF(AND(COUNTIF(AY221,"&gt;&lt;0")=0,COUNTA(M221)=0),LEFT(D221,3),"")</f>
        <v/>
      </c>
    </row>
    <row r="222" spans="2:60" ht="27" x14ac:dyDescent="0.3">
      <c r="C222" s="265" t="s">
        <v>68</v>
      </c>
      <c r="D222" s="265" t="s">
        <v>391</v>
      </c>
      <c r="E222" s="264" t="s">
        <v>657</v>
      </c>
      <c r="F222" s="265" t="s">
        <v>658</v>
      </c>
      <c r="G222" s="265"/>
      <c r="H222" s="264" t="s">
        <v>166</v>
      </c>
      <c r="I222" s="264" t="s">
        <v>2433</v>
      </c>
      <c r="J222" s="212" t="s">
        <v>2586</v>
      </c>
      <c r="K222" s="212"/>
      <c r="L222" s="272">
        <v>44582</v>
      </c>
      <c r="M222" s="272">
        <v>44574</v>
      </c>
      <c r="N222" s="272">
        <v>44474</v>
      </c>
      <c r="O222" s="272">
        <v>44481</v>
      </c>
      <c r="P222" s="272">
        <v>44533</v>
      </c>
      <c r="Q222" s="264" t="s">
        <v>2</v>
      </c>
      <c r="R222" s="264" t="s">
        <v>15</v>
      </c>
      <c r="S222" s="264" t="s">
        <v>15</v>
      </c>
      <c r="T222" s="265" t="s">
        <v>14</v>
      </c>
      <c r="X222" s="264"/>
      <c r="Z222" s="264"/>
      <c r="AA222" s="264"/>
      <c r="AB222" s="265" t="str">
        <f>VLOOKUP(功能_33[[#This Row],[User]],SKL放款!A:G,7,FALSE)</f>
        <v>放款服務課</v>
      </c>
      <c r="AC222" s="272">
        <v>44533</v>
      </c>
      <c r="AD222" s="272" t="s">
        <v>107</v>
      </c>
      <c r="AE222" s="272">
        <v>44525</v>
      </c>
      <c r="AF222" s="272">
        <v>44524</v>
      </c>
      <c r="AG222" s="209">
        <v>44539</v>
      </c>
      <c r="AH222" s="272"/>
      <c r="AI222" s="272"/>
      <c r="AJ222" s="322"/>
      <c r="AK222" s="272">
        <f>IFERROR(IF(VLOOKUP(功能_33[[#This Row],[功能代號]],E:U,11,FALSE)=0,"",VLOOKUP(功能_33[[#This Row],[功能代號]],E:U,11,FALSE)),"")</f>
        <v>44481</v>
      </c>
      <c r="AL222" s="272"/>
      <c r="AM222" s="272"/>
      <c r="AN222" s="265"/>
      <c r="AO222" s="272"/>
      <c r="AP222" s="281" t="s">
        <v>2634</v>
      </c>
      <c r="AQ222" s="265" t="s">
        <v>2635</v>
      </c>
      <c r="AR222" s="593" t="s">
        <v>3207</v>
      </c>
      <c r="AS222" s="483" t="str">
        <f>IF(COUNTA(AG222)=1,LEFT(D222,3),"")</f>
        <v>4-7</v>
      </c>
      <c r="AT222" s="485" t="str">
        <f>IF(AND(COUNTA(O222)=1,COUNTA(P222)=1,COUNTA(AC222)=1,COUNTA(AF222)=1,COUNTA(AG222)=0),LEFT(D222,3),"")</f>
        <v/>
      </c>
      <c r="AU222" s="487" t="str">
        <f>IF(AND(COUNTA(O222)=1,COUNTA(P222)=1,COUNTA(AC222)=1,COUNTA(AF222)=0,COUNTA(AG222)=0),LEFT(D222,3),"")</f>
        <v/>
      </c>
      <c r="AV222" s="489" t="str">
        <f>IF(AND(COUNTA(P222)=0,COUNTA(AC222)=1),LEFT(D222,3),"")</f>
        <v/>
      </c>
      <c r="AW222" s="491" t="str">
        <f>IF(AND(COUNTA(P222)=1,COUNTA(AC222)=0),LEFT(D222,3),"")</f>
        <v/>
      </c>
      <c r="AX222" s="493" t="str">
        <f>IF(AND(COUNTA(P222)=0,COUNTA(AC222)=0),LEFT(D222,3),"")</f>
        <v/>
      </c>
      <c r="AY222" s="514" t="str">
        <f>IFERROR(VLOOKUP(功能_33[[#This Row],[功能代號]],SIT_FT_2021tmp!D:D,1,FALSE),"")</f>
        <v>L4703</v>
      </c>
      <c r="AZ222" s="587">
        <v>44546</v>
      </c>
      <c r="BA222" s="587">
        <v>44546</v>
      </c>
      <c r="BB222" s="514" t="s">
        <v>3000</v>
      </c>
      <c r="BC222" s="265" t="s">
        <v>3028</v>
      </c>
      <c r="BD222" s="593"/>
      <c r="BE222" s="264" t="str">
        <f>IF(AND(COUNTIF(AY222,"&gt;&lt;0")=1,COUNTA(M222)=1),LEFT(D222,3),"")</f>
        <v>4-7</v>
      </c>
      <c r="BF222" s="264" t="str">
        <f>IF(AND(COUNTIF(AY222,"&gt;&lt;")=1,COUNTA(M222)=0),LEFT(D222,3),"")</f>
        <v/>
      </c>
      <c r="BG222" s="264" t="str">
        <f>IF(AND(COUNTIF(AY222,"&gt;&lt;0")=0,COUNTA(M222)=1),LEFT(D222,3),"")</f>
        <v/>
      </c>
      <c r="BH222" s="264" t="str">
        <f>IF(AND(COUNTIF(AY222,"&gt;&lt;0")=0,COUNTA(M222)=0),LEFT(D222,3),"")</f>
        <v/>
      </c>
    </row>
    <row r="223" spans="2:60" ht="13.5" x14ac:dyDescent="0.3">
      <c r="B223" s="265">
        <v>1</v>
      </c>
      <c r="C223" s="265" t="s">
        <v>67</v>
      </c>
      <c r="D223" s="265" t="s">
        <v>2482</v>
      </c>
      <c r="E223" s="264" t="s">
        <v>659</v>
      </c>
      <c r="F223" s="265" t="s">
        <v>660</v>
      </c>
      <c r="G223" s="265"/>
      <c r="H223" s="264" t="s">
        <v>166</v>
      </c>
      <c r="I223" s="264" t="s">
        <v>167</v>
      </c>
      <c r="J223" s="212" t="s">
        <v>2973</v>
      </c>
      <c r="K223" s="251" t="s">
        <v>2989</v>
      </c>
      <c r="L223" s="272">
        <v>44572</v>
      </c>
      <c r="M223" s="272">
        <v>44573</v>
      </c>
      <c r="N223" s="272">
        <v>44475</v>
      </c>
      <c r="O223" s="272">
        <v>44482</v>
      </c>
      <c r="P223" s="272">
        <v>44482</v>
      </c>
      <c r="Q223" s="264" t="s">
        <v>2</v>
      </c>
      <c r="R223" s="264" t="s">
        <v>5</v>
      </c>
      <c r="S223" s="264" t="s">
        <v>5</v>
      </c>
      <c r="X223" s="264"/>
      <c r="Z223" s="264"/>
      <c r="AA223" s="264"/>
      <c r="AB223" s="265" t="str">
        <f>VLOOKUP(功能_33[[#This Row],[User]],SKL放款!A:G,7,FALSE)</f>
        <v>放款服務課</v>
      </c>
      <c r="AC223" s="272">
        <v>44496</v>
      </c>
      <c r="AD223" s="272" t="s">
        <v>168</v>
      </c>
      <c r="AE223" s="272">
        <v>44496</v>
      </c>
      <c r="AF223" s="272">
        <v>44496</v>
      </c>
      <c r="AG223" s="209" t="s">
        <v>2975</v>
      </c>
      <c r="AH223" s="272" t="s">
        <v>169</v>
      </c>
      <c r="AI223" s="272"/>
      <c r="AJ223" s="322"/>
      <c r="AK223" s="272">
        <f>IFERROR(IF(VLOOKUP(功能_33[[#This Row],[功能代號]],E:U,11,FALSE)=0,"",VLOOKUP(功能_33[[#This Row],[功能代號]],E:U,11,FALSE)),"")</f>
        <v>44482</v>
      </c>
      <c r="AL223" s="272"/>
      <c r="AM223" s="272"/>
      <c r="AN223" s="265"/>
      <c r="AO223" s="272"/>
      <c r="AP223" s="264">
        <v>330</v>
      </c>
      <c r="AQ223" s="265" t="s">
        <v>661</v>
      </c>
      <c r="AR223" s="593" t="s">
        <v>3207</v>
      </c>
      <c r="AS223" s="483" t="str">
        <f>IF(COUNTA(AG223)=1,LEFT(D223,3),"")</f>
        <v>3-1</v>
      </c>
      <c r="AT223" s="485" t="str">
        <f>IF(AND(COUNTA(O223)=1,COUNTA(P223)=1,COUNTA(AC223)=1,COUNTA(AF223)=1,COUNTA(AG223)=0),LEFT(D223,3),"")</f>
        <v/>
      </c>
      <c r="AU223" s="487" t="str">
        <f>IF(AND(COUNTA(O223)=1,COUNTA(P223)=1,COUNTA(AC223)=1,COUNTA(AF223)=0,COUNTA(AG223)=0),LEFT(D223,3),"")</f>
        <v/>
      </c>
      <c r="AV223" s="489" t="str">
        <f>IF(AND(COUNTA(P223)=0,COUNTA(AC223)=1),LEFT(D223,3),"")</f>
        <v/>
      </c>
      <c r="AW223" s="491" t="str">
        <f>IF(AND(COUNTA(P223)=1,COUNTA(AC223)=0),LEFT(D223,3),"")</f>
        <v/>
      </c>
      <c r="AX223" s="493" t="str">
        <f>IF(AND(COUNTA(P223)=0,COUNTA(AC223)=0),LEFT(D223,3),"")</f>
        <v/>
      </c>
      <c r="AY223" s="514" t="str">
        <f>IFERROR(VLOOKUP(功能_33[[#This Row],[功能代號]],SIT_FT_2021tmp!D:D,1,FALSE),"")</f>
        <v>L3921</v>
      </c>
      <c r="AZ223" s="587">
        <v>44546</v>
      </c>
      <c r="BA223" s="587">
        <v>44546</v>
      </c>
      <c r="BB223" s="514" t="s">
        <v>3000</v>
      </c>
      <c r="BC223" s="265" t="s">
        <v>3028</v>
      </c>
      <c r="BD223" s="593"/>
      <c r="BE223" s="264" t="str">
        <f>IF(AND(COUNTIF(AY223,"&gt;&lt;0")=1,COUNTA(M223)=1),LEFT(D223,3),"")</f>
        <v>3-1</v>
      </c>
      <c r="BF223" s="264" t="str">
        <f>IF(AND(COUNTIF(AY223,"&gt;&lt;")=1,COUNTA(M223)=0),LEFT(D223,3),"")</f>
        <v/>
      </c>
      <c r="BG223" s="264" t="str">
        <f>IF(AND(COUNTIF(AY223,"&gt;&lt;0")=0,COUNTA(M223)=1),LEFT(D223,3),"")</f>
        <v/>
      </c>
      <c r="BH223" s="264" t="str">
        <f>IF(AND(COUNTIF(AY223,"&gt;&lt;0")=0,COUNTA(M223)=0),LEFT(D223,3),"")</f>
        <v/>
      </c>
    </row>
    <row r="224" spans="2:60" ht="13.5" x14ac:dyDescent="0.3">
      <c r="B224" s="265">
        <v>1</v>
      </c>
      <c r="C224" s="265" t="s">
        <v>67</v>
      </c>
      <c r="D224" s="265" t="s">
        <v>2482</v>
      </c>
      <c r="E224" s="264" t="s">
        <v>662</v>
      </c>
      <c r="F224" s="265" t="s">
        <v>663</v>
      </c>
      <c r="G224" s="265"/>
      <c r="H224" s="264" t="s">
        <v>166</v>
      </c>
      <c r="I224" s="264" t="s">
        <v>167</v>
      </c>
      <c r="J224" s="212" t="s">
        <v>283</v>
      </c>
      <c r="K224" s="212"/>
      <c r="L224" s="272">
        <v>44572</v>
      </c>
      <c r="M224" s="272">
        <v>44573</v>
      </c>
      <c r="N224" s="272">
        <v>44475</v>
      </c>
      <c r="O224" s="272">
        <v>44482</v>
      </c>
      <c r="P224" s="272">
        <v>44482</v>
      </c>
      <c r="Q224" s="264" t="s">
        <v>2</v>
      </c>
      <c r="R224" s="264" t="s">
        <v>5</v>
      </c>
      <c r="S224" s="264" t="s">
        <v>5</v>
      </c>
      <c r="T224" s="265" t="s">
        <v>10</v>
      </c>
      <c r="X224" s="264"/>
      <c r="Z224" s="264"/>
      <c r="AA224" s="264"/>
      <c r="AB224" s="265" t="str">
        <f>VLOOKUP(功能_33[[#This Row],[User]],SKL放款!A:G,7,FALSE)</f>
        <v>放款服務課</v>
      </c>
      <c r="AC224" s="272">
        <v>44496</v>
      </c>
      <c r="AD224" s="272" t="s">
        <v>168</v>
      </c>
      <c r="AE224" s="272">
        <v>44496</v>
      </c>
      <c r="AF224" s="272">
        <v>44496</v>
      </c>
      <c r="AG224" s="209">
        <v>44512</v>
      </c>
      <c r="AH224" s="272" t="s">
        <v>169</v>
      </c>
      <c r="AI224" s="272"/>
      <c r="AJ224" s="322"/>
      <c r="AK224" s="272">
        <f>IFERROR(IF(VLOOKUP(功能_33[[#This Row],[功能代號]],E:U,11,FALSE)=0,"",VLOOKUP(功能_33[[#This Row],[功能代號]],E:U,11,FALSE)),"")</f>
        <v>44482</v>
      </c>
      <c r="AL224" s="272"/>
      <c r="AM224" s="272"/>
      <c r="AN224" s="265"/>
      <c r="AO224" s="211" t="s">
        <v>664</v>
      </c>
      <c r="AP224" s="264">
        <v>340</v>
      </c>
      <c r="AQ224" s="265" t="s">
        <v>665</v>
      </c>
      <c r="AR224" s="593" t="s">
        <v>3207</v>
      </c>
      <c r="AS224" s="483" t="str">
        <f>IF(COUNTA(AG224)=1,LEFT(D224,3),"")</f>
        <v>3-1</v>
      </c>
      <c r="AT224" s="485" t="str">
        <f>IF(AND(COUNTA(O224)=1,COUNTA(P224)=1,COUNTA(AC224)=1,COUNTA(AF224)=1,COUNTA(AG224)=0),LEFT(D224,3),"")</f>
        <v/>
      </c>
      <c r="AU224" s="487" t="str">
        <f>IF(AND(COUNTA(O224)=1,COUNTA(P224)=1,COUNTA(AC224)=1,COUNTA(AF224)=0,COUNTA(AG224)=0),LEFT(D224,3),"")</f>
        <v/>
      </c>
      <c r="AV224" s="489" t="str">
        <f>IF(AND(COUNTA(P224)=0,COUNTA(AC224)=1),LEFT(D224,3),"")</f>
        <v/>
      </c>
      <c r="AW224" s="491" t="str">
        <f>IF(AND(COUNTA(P224)=1,COUNTA(AC224)=0),LEFT(D224,3),"")</f>
        <v/>
      </c>
      <c r="AX224" s="493" t="str">
        <f>IF(AND(COUNTA(P224)=0,COUNTA(AC224)=0),LEFT(D224,3),"")</f>
        <v/>
      </c>
      <c r="AY224" s="514" t="str">
        <f>IFERROR(VLOOKUP(功能_33[[#This Row],[功能代號]],SIT_FT_2021tmp!D:D,1,FALSE),"")</f>
        <v>L3922</v>
      </c>
      <c r="AZ224" s="587">
        <v>44559</v>
      </c>
      <c r="BA224" s="587">
        <v>44559</v>
      </c>
      <c r="BB224" s="514" t="s">
        <v>3073</v>
      </c>
      <c r="BC224" s="265" t="s">
        <v>3043</v>
      </c>
      <c r="BD224" s="593"/>
      <c r="BE224" s="264" t="str">
        <f>IF(AND(COUNTIF(AY224,"&gt;&lt;0")=1,COUNTA(M224)=1),LEFT(D224,3),"")</f>
        <v>3-1</v>
      </c>
      <c r="BF224" s="264" t="str">
        <f>IF(AND(COUNTIF(AY224,"&gt;&lt;")=1,COUNTA(M224)=0),LEFT(D224,3),"")</f>
        <v/>
      </c>
      <c r="BG224" s="264" t="str">
        <f>IF(AND(COUNTIF(AY224,"&gt;&lt;0")=0,COUNTA(M224)=1),LEFT(D224,3),"")</f>
        <v/>
      </c>
      <c r="BH224" s="264" t="str">
        <f>IF(AND(COUNTIF(AY224,"&gt;&lt;0")=0,COUNTA(M224)=0),LEFT(D224,3),"")</f>
        <v/>
      </c>
    </row>
    <row r="225" spans="1:60" ht="13.5" x14ac:dyDescent="0.3">
      <c r="B225" s="265">
        <v>1</v>
      </c>
      <c r="C225" s="265" t="s">
        <v>67</v>
      </c>
      <c r="D225" s="265" t="s">
        <v>2482</v>
      </c>
      <c r="E225" s="264" t="s">
        <v>666</v>
      </c>
      <c r="F225" s="265" t="s">
        <v>667</v>
      </c>
      <c r="G225" s="265"/>
      <c r="H225" s="264" t="s">
        <v>166</v>
      </c>
      <c r="I225" s="264" t="s">
        <v>167</v>
      </c>
      <c r="J225" s="212" t="s">
        <v>2973</v>
      </c>
      <c r="K225" s="251" t="s">
        <v>2989</v>
      </c>
      <c r="L225" s="272">
        <v>44573</v>
      </c>
      <c r="M225" s="272">
        <v>44573</v>
      </c>
      <c r="N225" s="272">
        <v>44475</v>
      </c>
      <c r="O225" s="272">
        <v>44482</v>
      </c>
      <c r="P225" s="272">
        <v>44482</v>
      </c>
      <c r="Q225" s="264" t="s">
        <v>2</v>
      </c>
      <c r="R225" s="264" t="s">
        <v>5</v>
      </c>
      <c r="S225" s="264" t="s">
        <v>5</v>
      </c>
      <c r="X225" s="264"/>
      <c r="Z225" s="264"/>
      <c r="AA225" s="264"/>
      <c r="AB225" s="265" t="str">
        <f>VLOOKUP(功能_33[[#This Row],[User]],SKL放款!A:G,7,FALSE)</f>
        <v>放款服務課</v>
      </c>
      <c r="AC225" s="272">
        <v>44496</v>
      </c>
      <c r="AD225" s="272" t="s">
        <v>168</v>
      </c>
      <c r="AE225" s="272">
        <v>44496</v>
      </c>
      <c r="AF225" s="272">
        <v>44496</v>
      </c>
      <c r="AG225" s="209" t="s">
        <v>2974</v>
      </c>
      <c r="AH225" s="272" t="s">
        <v>169</v>
      </c>
      <c r="AI225" s="272"/>
      <c r="AJ225" s="322"/>
      <c r="AK225" s="272">
        <f>IFERROR(IF(VLOOKUP(功能_33[[#This Row],[功能代號]],E:U,11,FALSE)=0,"",VLOOKUP(功能_33[[#This Row],[功能代號]],E:U,11,FALSE)),"")</f>
        <v>44482</v>
      </c>
      <c r="AL225" s="272"/>
      <c r="AM225" s="272"/>
      <c r="AN225" s="265"/>
      <c r="AO225" s="272"/>
      <c r="AP225" s="264">
        <v>345</v>
      </c>
      <c r="AQ225" s="265" t="s">
        <v>668</v>
      </c>
      <c r="AR225" s="593" t="s">
        <v>3207</v>
      </c>
      <c r="AS225" s="483" t="str">
        <f>IF(COUNTA(AG225)=1,LEFT(D225,3),"")</f>
        <v>3-1</v>
      </c>
      <c r="AT225" s="485" t="str">
        <f>IF(AND(COUNTA(O225)=1,COUNTA(P225)=1,COUNTA(AC225)=1,COUNTA(AF225)=1,COUNTA(AG225)=0),LEFT(D225,3),"")</f>
        <v/>
      </c>
      <c r="AU225" s="487" t="str">
        <f>IF(AND(COUNTA(O225)=1,COUNTA(P225)=1,COUNTA(AC225)=1,COUNTA(AF225)=0,COUNTA(AG225)=0),LEFT(D225,3),"")</f>
        <v/>
      </c>
      <c r="AV225" s="489" t="str">
        <f>IF(AND(COUNTA(P225)=0,COUNTA(AC225)=1),LEFT(D225,3),"")</f>
        <v/>
      </c>
      <c r="AW225" s="491" t="str">
        <f>IF(AND(COUNTA(P225)=1,COUNTA(AC225)=0),LEFT(D225,3),"")</f>
        <v/>
      </c>
      <c r="AX225" s="493" t="str">
        <f>IF(AND(COUNTA(P225)=0,COUNTA(AC225)=0),LEFT(D225,3),"")</f>
        <v/>
      </c>
      <c r="AY225" s="514" t="str">
        <f>IFERROR(VLOOKUP(功能_33[[#This Row],[功能代號]],SIT_FT_2021tmp!D:D,1,FALSE),"")</f>
        <v/>
      </c>
      <c r="AZ225" s="587">
        <v>44610</v>
      </c>
      <c r="BB225" s="514" t="s">
        <v>2453</v>
      </c>
      <c r="BC225" s="265" t="s">
        <v>2453</v>
      </c>
      <c r="BD225" s="593"/>
      <c r="BE225" s="265" t="str">
        <f>IF(AND(COUNTIF(AY225,"&gt;&lt;0")=1,COUNTA(M225)=1),LEFT(D225,3),"")</f>
        <v/>
      </c>
      <c r="BF225" s="265" t="str">
        <f>IF(AND(COUNTIF(AY225,"&gt;&lt;")=1,COUNTA(M225)=0),LEFT(D225,3),"")</f>
        <v/>
      </c>
      <c r="BG225" s="265" t="str">
        <f>IF(AND(COUNTIF(AY225,"&gt;&lt;0")=0,COUNTA(M225)=1),LEFT(D225,3),"")</f>
        <v>3-1</v>
      </c>
      <c r="BH225" s="265" t="str">
        <f>IF(AND(COUNTIF(AY225,"&gt;&lt;0")=0,COUNTA(M225)=0),LEFT(D225,3),"")</f>
        <v/>
      </c>
    </row>
    <row r="226" spans="1:60" ht="13.5" x14ac:dyDescent="0.3">
      <c r="B226" s="265">
        <v>1</v>
      </c>
      <c r="C226" s="265" t="s">
        <v>67</v>
      </c>
      <c r="D226" s="265" t="s">
        <v>2482</v>
      </c>
      <c r="E226" s="264" t="s">
        <v>669</v>
      </c>
      <c r="F226" s="265" t="s">
        <v>670</v>
      </c>
      <c r="G226" s="265"/>
      <c r="H226" s="264" t="s">
        <v>166</v>
      </c>
      <c r="I226" s="264" t="s">
        <v>167</v>
      </c>
      <c r="J226" s="212" t="s">
        <v>283</v>
      </c>
      <c r="K226" s="212"/>
      <c r="L226" s="272">
        <v>44573</v>
      </c>
      <c r="M226" s="272">
        <v>44573</v>
      </c>
      <c r="N226" s="272">
        <v>44475</v>
      </c>
      <c r="O226" s="272">
        <v>44487</v>
      </c>
      <c r="P226" s="272">
        <v>44487</v>
      </c>
      <c r="Q226" s="264" t="s">
        <v>1</v>
      </c>
      <c r="R226" s="264" t="s">
        <v>15</v>
      </c>
      <c r="S226" s="264" t="s">
        <v>15</v>
      </c>
      <c r="T226" s="265" t="s">
        <v>8</v>
      </c>
      <c r="X226" s="264"/>
      <c r="Z226" s="264"/>
      <c r="AA226" s="264"/>
      <c r="AB226" s="265" t="str">
        <f>VLOOKUP(功能_33[[#This Row],[User]],SKL放款!A:G,7,FALSE)</f>
        <v>放款服務課</v>
      </c>
      <c r="AC226" s="272">
        <v>44496</v>
      </c>
      <c r="AD226" s="272" t="s">
        <v>168</v>
      </c>
      <c r="AE226" s="272">
        <v>44496</v>
      </c>
      <c r="AF226" s="272">
        <v>44496</v>
      </c>
      <c r="AG226" s="209">
        <v>44512</v>
      </c>
      <c r="AH226" s="272" t="s">
        <v>169</v>
      </c>
      <c r="AI226" s="272"/>
      <c r="AJ226" s="322"/>
      <c r="AK226" s="272">
        <f>IFERROR(IF(VLOOKUP(功能_33[[#This Row],[功能代號]],E:U,11,FALSE)=0,"",VLOOKUP(功能_33[[#This Row],[功能代號]],E:U,11,FALSE)),"")</f>
        <v>44487</v>
      </c>
      <c r="AL226" s="272"/>
      <c r="AM226" s="272"/>
      <c r="AN226" s="265"/>
      <c r="AO226" s="272"/>
      <c r="AP226" s="264">
        <v>365</v>
      </c>
      <c r="AQ226" s="265" t="s">
        <v>671</v>
      </c>
      <c r="AR226" s="593" t="s">
        <v>3207</v>
      </c>
      <c r="AS226" s="483" t="str">
        <f>IF(COUNTA(AG226)=1,LEFT(D226,3),"")</f>
        <v>3-1</v>
      </c>
      <c r="AT226" s="485" t="str">
        <f>IF(AND(COUNTA(O226)=1,COUNTA(P226)=1,COUNTA(AC226)=1,COUNTA(AF226)=1,COUNTA(AG226)=0),LEFT(D226,3),"")</f>
        <v/>
      </c>
      <c r="AU226" s="487" t="str">
        <f>IF(AND(COUNTA(O226)=1,COUNTA(P226)=1,COUNTA(AC226)=1,COUNTA(AF226)=0,COUNTA(AG226)=0),LEFT(D226,3),"")</f>
        <v/>
      </c>
      <c r="AV226" s="489" t="str">
        <f>IF(AND(COUNTA(P226)=0,COUNTA(AC226)=1),LEFT(D226,3),"")</f>
        <v/>
      </c>
      <c r="AW226" s="491" t="str">
        <f>IF(AND(COUNTA(P226)=1,COUNTA(AC226)=0),LEFT(D226,3),"")</f>
        <v/>
      </c>
      <c r="AX226" s="493" t="str">
        <f>IF(AND(COUNTA(P226)=0,COUNTA(AC226)=0),LEFT(D226,3),"")</f>
        <v/>
      </c>
      <c r="AY226" s="514" t="str">
        <f>IFERROR(VLOOKUP(功能_33[[#This Row],[功能代號]],SIT_FT_2021tmp!D:D,1,FALSE),"")</f>
        <v>L3924</v>
      </c>
      <c r="AZ226" s="587">
        <v>44560</v>
      </c>
      <c r="BA226" s="587">
        <v>44560</v>
      </c>
      <c r="BB226" s="514" t="s">
        <v>3073</v>
      </c>
      <c r="BC226" s="265" t="s">
        <v>3044</v>
      </c>
      <c r="BD226" s="593"/>
      <c r="BE226" s="264" t="str">
        <f>IF(AND(COUNTIF(AY226,"&gt;&lt;0")=1,COUNTA(M226)=1),LEFT(D226,3),"")</f>
        <v>3-1</v>
      </c>
      <c r="BF226" s="264" t="str">
        <f>IF(AND(COUNTIF(AY226,"&gt;&lt;")=1,COUNTA(M226)=0),LEFT(D226,3),"")</f>
        <v/>
      </c>
      <c r="BG226" s="264" t="str">
        <f>IF(AND(COUNTIF(AY226,"&gt;&lt;0")=0,COUNTA(M226)=1),LEFT(D226,3),"")</f>
        <v/>
      </c>
      <c r="BH226" s="264" t="str">
        <f>IF(AND(COUNTIF(AY226,"&gt;&lt;0")=0,COUNTA(M226)=0),LEFT(D226,3),"")</f>
        <v/>
      </c>
    </row>
    <row r="227" spans="1:60" ht="13.5" x14ac:dyDescent="0.3">
      <c r="B227" s="265">
        <v>1</v>
      </c>
      <c r="C227" s="265" t="s">
        <v>67</v>
      </c>
      <c r="D227" s="265" t="s">
        <v>2482</v>
      </c>
      <c r="E227" s="264" t="s">
        <v>672</v>
      </c>
      <c r="F227" s="265" t="s">
        <v>673</v>
      </c>
      <c r="G227" s="265"/>
      <c r="H227" s="264" t="s">
        <v>166</v>
      </c>
      <c r="I227" s="264" t="s">
        <v>167</v>
      </c>
      <c r="J227" s="212" t="s">
        <v>2973</v>
      </c>
      <c r="K227" s="251" t="s">
        <v>2989</v>
      </c>
      <c r="L227" s="272">
        <v>44573</v>
      </c>
      <c r="M227" s="272">
        <v>44573</v>
      </c>
      <c r="N227" s="272">
        <v>44475</v>
      </c>
      <c r="O227" s="272">
        <v>44482</v>
      </c>
      <c r="P227" s="272">
        <v>44482</v>
      </c>
      <c r="Q227" s="264" t="s">
        <v>2</v>
      </c>
      <c r="R227" s="264" t="s">
        <v>5</v>
      </c>
      <c r="S227" s="264" t="s">
        <v>5</v>
      </c>
      <c r="X227" s="264"/>
      <c r="Z227" s="264"/>
      <c r="AA227" s="264"/>
      <c r="AB227" s="265" t="str">
        <f>VLOOKUP(功能_33[[#This Row],[User]],SKL放款!A:G,7,FALSE)</f>
        <v>放款服務課</v>
      </c>
      <c r="AC227" s="272">
        <v>44496</v>
      </c>
      <c r="AD227" s="272" t="s">
        <v>168</v>
      </c>
      <c r="AE227" s="272">
        <v>44496</v>
      </c>
      <c r="AF227" s="272">
        <v>44496</v>
      </c>
      <c r="AG227" s="209" t="s">
        <v>2974</v>
      </c>
      <c r="AH227" s="272" t="s">
        <v>169</v>
      </c>
      <c r="AI227" s="272"/>
      <c r="AJ227" s="322"/>
      <c r="AK227" s="272">
        <f>IFERROR(IF(VLOOKUP(功能_33[[#This Row],[功能代號]],E:U,11,FALSE)=0,"",VLOOKUP(功能_33[[#This Row],[功能代號]],E:U,11,FALSE)),"")</f>
        <v>44482</v>
      </c>
      <c r="AL227" s="272"/>
      <c r="AM227" s="272"/>
      <c r="AN227" s="265"/>
      <c r="AO227" s="272"/>
      <c r="AP227" s="264">
        <v>370</v>
      </c>
      <c r="AQ227" s="265" t="s">
        <v>674</v>
      </c>
      <c r="AR227" s="593" t="s">
        <v>3207</v>
      </c>
      <c r="AS227" s="483" t="str">
        <f>IF(COUNTA(AG227)=1,LEFT(D227,3),"")</f>
        <v>3-1</v>
      </c>
      <c r="AT227" s="485" t="str">
        <f>IF(AND(COUNTA(O227)=1,COUNTA(P227)=1,COUNTA(AC227)=1,COUNTA(AF227)=1,COUNTA(AG227)=0),LEFT(D227,3),"")</f>
        <v/>
      </c>
      <c r="AU227" s="487" t="str">
        <f>IF(AND(COUNTA(O227)=1,COUNTA(P227)=1,COUNTA(AC227)=1,COUNTA(AF227)=0,COUNTA(AG227)=0),LEFT(D227,3),"")</f>
        <v/>
      </c>
      <c r="AV227" s="489" t="str">
        <f>IF(AND(COUNTA(P227)=0,COUNTA(AC227)=1),LEFT(D227,3),"")</f>
        <v/>
      </c>
      <c r="AW227" s="491" t="str">
        <f>IF(AND(COUNTA(P227)=1,COUNTA(AC227)=0),LEFT(D227,3),"")</f>
        <v/>
      </c>
      <c r="AX227" s="493" t="str">
        <f>IF(AND(COUNTA(P227)=0,COUNTA(AC227)=0),LEFT(D227,3),"")</f>
        <v/>
      </c>
      <c r="AY227" s="514" t="str">
        <f>IFERROR(VLOOKUP(功能_33[[#This Row],[功能代號]],SIT_FT_2021tmp!D:D,1,FALSE),"")</f>
        <v>L3925</v>
      </c>
      <c r="AZ227" s="587">
        <v>44559</v>
      </c>
      <c r="BA227" s="587">
        <v>44559</v>
      </c>
      <c r="BB227" s="514" t="s">
        <v>3073</v>
      </c>
      <c r="BC227" s="265" t="s">
        <v>3042</v>
      </c>
      <c r="BD227" s="593"/>
      <c r="BE227" s="264" t="str">
        <f>IF(AND(COUNTIF(AY227,"&gt;&lt;0")=1,COUNTA(M227)=1),LEFT(D227,3),"")</f>
        <v>3-1</v>
      </c>
      <c r="BF227" s="264" t="str">
        <f>IF(AND(COUNTIF(AY227,"&gt;&lt;")=1,COUNTA(M227)=0),LEFT(D227,3),"")</f>
        <v/>
      </c>
      <c r="BG227" s="264" t="str">
        <f>IF(AND(COUNTIF(AY227,"&gt;&lt;0")=0,COUNTA(M227)=1),LEFT(D227,3),"")</f>
        <v/>
      </c>
      <c r="BH227" s="264" t="str">
        <f>IF(AND(COUNTIF(AY227,"&gt;&lt;0")=0,COUNTA(M227)=0),LEFT(D227,3),"")</f>
        <v/>
      </c>
    </row>
    <row r="228" spans="1:60" ht="13.5" x14ac:dyDescent="0.3">
      <c r="B228" s="265">
        <v>1</v>
      </c>
      <c r="C228" s="265" t="s">
        <v>67</v>
      </c>
      <c r="D228" s="265" t="s">
        <v>2482</v>
      </c>
      <c r="E228" s="264" t="s">
        <v>675</v>
      </c>
      <c r="F228" s="265" t="s">
        <v>676</v>
      </c>
      <c r="G228" s="265"/>
      <c r="H228" s="264" t="s">
        <v>166</v>
      </c>
      <c r="I228" s="264" t="s">
        <v>167</v>
      </c>
      <c r="J228" s="212" t="s">
        <v>2973</v>
      </c>
      <c r="K228" s="251" t="s">
        <v>2989</v>
      </c>
      <c r="L228" s="272">
        <v>44573</v>
      </c>
      <c r="M228" s="272">
        <v>44573</v>
      </c>
      <c r="N228" s="272">
        <v>44475</v>
      </c>
      <c r="O228" s="272">
        <v>44482</v>
      </c>
      <c r="P228" s="272">
        <f>IFERROR(IF(VLOOKUP(功能_33[[#This Row],[功能代號]],討論項目!A:H,8,FALSE)=0,"",VLOOKUP(功能_33[[#This Row],[功能代號]],討論項目!A:H,8,FALSE)),"")</f>
        <v>44510</v>
      </c>
      <c r="Q228" s="264" t="s">
        <v>2</v>
      </c>
      <c r="R228" s="264" t="s">
        <v>5</v>
      </c>
      <c r="S228" s="264" t="s">
        <v>5</v>
      </c>
      <c r="X228" s="264"/>
      <c r="Z228" s="264"/>
      <c r="AA228" s="264"/>
      <c r="AB228" s="265" t="str">
        <f>VLOOKUP(功能_33[[#This Row],[User]],SKL放款!A:G,7,FALSE)</f>
        <v>放款服務課</v>
      </c>
      <c r="AC228" s="272">
        <v>44496</v>
      </c>
      <c r="AD228" s="272">
        <v>44512</v>
      </c>
      <c r="AE228" s="272">
        <v>44496</v>
      </c>
      <c r="AF228" s="272">
        <v>44496</v>
      </c>
      <c r="AG228" s="209" t="s">
        <v>2974</v>
      </c>
      <c r="AH228" s="272" t="s">
        <v>169</v>
      </c>
      <c r="AI228" s="272"/>
      <c r="AJ228" s="322"/>
      <c r="AK228" s="272">
        <f>IFERROR(IF(VLOOKUP(功能_33[[#This Row],[功能代號]],E:U,11,FALSE)=0,"",VLOOKUP(功能_33[[#This Row],[功能代號]],E:U,11,FALSE)),"")</f>
        <v>44482</v>
      </c>
      <c r="AL228" s="272"/>
      <c r="AM228" s="272"/>
      <c r="AN228" s="265"/>
      <c r="AO228" s="272"/>
      <c r="AP228" s="264">
        <v>375</v>
      </c>
      <c r="AQ228" s="265" t="s">
        <v>677</v>
      </c>
      <c r="AR228" s="593" t="s">
        <v>3207</v>
      </c>
      <c r="AS228" s="483" t="str">
        <f>IF(COUNTA(AG228)=1,LEFT(D228,3),"")</f>
        <v>3-1</v>
      </c>
      <c r="AT228" s="485" t="str">
        <f>IF(AND(COUNTA(O228)=1,COUNTA(P228)=1,COUNTA(AC228)=1,COUNTA(AF228)=1,COUNTA(AG228)=0),LEFT(D228,3),"")</f>
        <v/>
      </c>
      <c r="AU228" s="487" t="str">
        <f>IF(AND(COUNTA(O228)=1,COUNTA(P228)=1,COUNTA(AC228)=1,COUNTA(AF228)=0,COUNTA(AG228)=0),LEFT(D228,3),"")</f>
        <v/>
      </c>
      <c r="AV228" s="489" t="str">
        <f>IF(AND(COUNTA(P228)=0,COUNTA(AC228)=1),LEFT(D228,3),"")</f>
        <v/>
      </c>
      <c r="AW228" s="491" t="str">
        <f>IF(AND(COUNTA(P228)=1,COUNTA(AC228)=0),LEFT(D228,3),"")</f>
        <v/>
      </c>
      <c r="AX228" s="493" t="str">
        <f>IF(AND(COUNTA(P228)=0,COUNTA(AC228)=0),LEFT(D228,3),"")</f>
        <v/>
      </c>
      <c r="AY228" s="514" t="str">
        <f>IFERROR(VLOOKUP(功能_33[[#This Row],[功能代號]],SIT_FT_2021tmp!D:D,1,FALSE),"")</f>
        <v>L3926</v>
      </c>
      <c r="AZ228" s="587">
        <v>44559</v>
      </c>
      <c r="BA228" s="587">
        <v>44559</v>
      </c>
      <c r="BB228" s="514" t="s">
        <v>3073</v>
      </c>
      <c r="BC228" s="265" t="s">
        <v>3042</v>
      </c>
      <c r="BD228" s="593"/>
      <c r="BE228" s="264" t="str">
        <f>IF(AND(COUNTIF(AY228,"&gt;&lt;0")=1,COUNTA(M228)=1),LEFT(D228,3),"")</f>
        <v>3-1</v>
      </c>
      <c r="BF228" s="264" t="str">
        <f>IF(AND(COUNTIF(AY228,"&gt;&lt;")=1,COUNTA(M228)=0),LEFT(D228,3),"")</f>
        <v/>
      </c>
      <c r="BG228" s="264" t="str">
        <f>IF(AND(COUNTIF(AY228,"&gt;&lt;0")=0,COUNTA(M228)=1),LEFT(D228,3),"")</f>
        <v/>
      </c>
      <c r="BH228" s="264" t="str">
        <f>IF(AND(COUNTIF(AY228,"&gt;&lt;0")=0,COUNTA(M228)=0),LEFT(D228,3),"")</f>
        <v/>
      </c>
    </row>
    <row r="229" spans="1:60" ht="13.5" x14ac:dyDescent="0.3">
      <c r="B229" s="265">
        <v>1</v>
      </c>
      <c r="C229" s="265" t="s">
        <v>67</v>
      </c>
      <c r="D229" s="325" t="s">
        <v>2485</v>
      </c>
      <c r="E229" s="264" t="s">
        <v>678</v>
      </c>
      <c r="F229" s="265" t="s">
        <v>679</v>
      </c>
      <c r="G229" s="265"/>
      <c r="H229" s="264" t="s">
        <v>166</v>
      </c>
      <c r="I229" s="264" t="s">
        <v>167</v>
      </c>
      <c r="J229" s="212" t="s">
        <v>2973</v>
      </c>
      <c r="K229" s="251" t="s">
        <v>2989</v>
      </c>
      <c r="L229" s="272">
        <v>44580</v>
      </c>
      <c r="M229" s="272">
        <v>44581</v>
      </c>
      <c r="N229" s="272">
        <v>44475</v>
      </c>
      <c r="O229" s="272">
        <v>44482</v>
      </c>
      <c r="P229" s="272">
        <v>44482</v>
      </c>
      <c r="Q229" s="264" t="s">
        <v>2</v>
      </c>
      <c r="R229" s="264" t="s">
        <v>5</v>
      </c>
      <c r="S229" s="264" t="s">
        <v>5</v>
      </c>
      <c r="X229" s="264"/>
      <c r="Z229" s="264"/>
      <c r="AA229" s="264"/>
      <c r="AB229" s="265" t="str">
        <f>VLOOKUP(功能_33[[#This Row],[User]],SKL放款!A:G,7,FALSE)</f>
        <v>放款服務課</v>
      </c>
      <c r="AC229" s="272">
        <v>44496</v>
      </c>
      <c r="AD229" s="272" t="s">
        <v>168</v>
      </c>
      <c r="AE229" s="272">
        <v>44496</v>
      </c>
      <c r="AF229" s="272">
        <v>44496</v>
      </c>
      <c r="AG229" s="209" t="s">
        <v>2974</v>
      </c>
      <c r="AH229" s="272" t="s">
        <v>169</v>
      </c>
      <c r="AI229" s="272"/>
      <c r="AJ229" s="322"/>
      <c r="AK229" s="272">
        <f>IFERROR(IF(VLOOKUP(功能_33[[#This Row],[功能代號]],E:U,11,FALSE)=0,"",VLOOKUP(功能_33[[#This Row],[功能代號]],E:U,11,FALSE)),"")</f>
        <v>44482</v>
      </c>
      <c r="AL229" s="272"/>
      <c r="AM229" s="272"/>
      <c r="AN229" s="265"/>
      <c r="AO229" s="272"/>
      <c r="AP229" s="264" t="s">
        <v>163</v>
      </c>
      <c r="AQ229" s="264" t="s">
        <v>163</v>
      </c>
      <c r="AR229" s="593" t="s">
        <v>3207</v>
      </c>
      <c r="AS229" s="483" t="str">
        <f>IF(COUNTA(AG229)=1,LEFT(D229,3),"")</f>
        <v>3-3</v>
      </c>
      <c r="AT229" s="485" t="str">
        <f>IF(AND(COUNTA(O229)=1,COUNTA(P229)=1,COUNTA(AC229)=1,COUNTA(AF229)=1,COUNTA(AG229)=0),LEFT(D229,3),"")</f>
        <v/>
      </c>
      <c r="AU229" s="487" t="str">
        <f>IF(AND(COUNTA(O229)=1,COUNTA(P229)=1,COUNTA(AC229)=1,COUNTA(AF229)=0,COUNTA(AG229)=0),LEFT(D229,3),"")</f>
        <v/>
      </c>
      <c r="AV229" s="489" t="str">
        <f>IF(AND(COUNTA(P229)=0,COUNTA(AC229)=1),LEFT(D229,3),"")</f>
        <v/>
      </c>
      <c r="AW229" s="491" t="str">
        <f>IF(AND(COUNTA(P229)=1,COUNTA(AC229)=0),LEFT(D229,3),"")</f>
        <v/>
      </c>
      <c r="AX229" s="493" t="str">
        <f>IF(AND(COUNTA(P229)=0,COUNTA(AC229)=0),LEFT(D229,3),"")</f>
        <v/>
      </c>
      <c r="AY229" s="514" t="str">
        <f>IFERROR(VLOOKUP(功能_33[[#This Row],[功能代號]],SIT_FT_2021tmp!D:D,1,FALSE),"")</f>
        <v>L3004</v>
      </c>
      <c r="AZ229" s="587">
        <v>44559</v>
      </c>
      <c r="BA229" s="587">
        <v>44559</v>
      </c>
      <c r="BB229" s="514" t="s">
        <v>3073</v>
      </c>
      <c r="BC229" s="265" t="s">
        <v>3042</v>
      </c>
      <c r="BD229" s="593"/>
      <c r="BE229" s="264" t="str">
        <f>IF(AND(COUNTIF(AY229,"&gt;&lt;0")=1,COUNTA(M229)=1),LEFT(D229,3),"")</f>
        <v>3-3</v>
      </c>
      <c r="BF229" s="264" t="str">
        <f>IF(AND(COUNTIF(AY229,"&gt;&lt;")=1,COUNTA(M229)=0),LEFT(D229,3),"")</f>
        <v/>
      </c>
      <c r="BG229" s="264" t="str">
        <f>IF(AND(COUNTIF(AY229,"&gt;&lt;0")=0,COUNTA(M229)=1),LEFT(D229,3),"")</f>
        <v/>
      </c>
      <c r="BH229" s="264" t="str">
        <f>IF(AND(COUNTIF(AY229,"&gt;&lt;0")=0,COUNTA(M229)=0),LEFT(D229,3),"")</f>
        <v/>
      </c>
    </row>
    <row r="230" spans="1:60" ht="13.5" x14ac:dyDescent="0.3">
      <c r="B230" s="265">
        <v>1</v>
      </c>
      <c r="C230" s="265" t="s">
        <v>67</v>
      </c>
      <c r="D230" s="325" t="s">
        <v>2485</v>
      </c>
      <c r="E230" s="264" t="s">
        <v>680</v>
      </c>
      <c r="F230" s="265" t="s">
        <v>681</v>
      </c>
      <c r="G230" s="265"/>
      <c r="H230" s="264" t="s">
        <v>166</v>
      </c>
      <c r="I230" s="264" t="s">
        <v>167</v>
      </c>
      <c r="J230" s="212" t="s">
        <v>283</v>
      </c>
      <c r="K230" s="212"/>
      <c r="L230" s="272">
        <v>44580</v>
      </c>
      <c r="M230" s="272">
        <v>44581</v>
      </c>
      <c r="N230" s="272">
        <v>44475</v>
      </c>
      <c r="O230" s="272">
        <v>44482</v>
      </c>
      <c r="P230" s="272">
        <f>IFERROR(IF(VLOOKUP(功能_33[[#This Row],[功能代號]],討論項目!A:H,8,FALSE)=0,"",VLOOKUP(功能_33[[#This Row],[功能代號]],討論項目!A:H,8,FALSE)),"")</f>
        <v>44510</v>
      </c>
      <c r="Q230" s="264" t="s">
        <v>2</v>
      </c>
      <c r="R230" s="264" t="s">
        <v>5</v>
      </c>
      <c r="S230" s="264" t="s">
        <v>5</v>
      </c>
      <c r="T230" s="265" t="s">
        <v>14</v>
      </c>
      <c r="X230" s="264"/>
      <c r="Z230" s="264"/>
      <c r="AA230" s="264"/>
      <c r="AB230" s="265" t="str">
        <f>VLOOKUP(功能_33[[#This Row],[User]],SKL放款!A:G,7,FALSE)</f>
        <v>放款服務課</v>
      </c>
      <c r="AC230" s="272">
        <v>44496</v>
      </c>
      <c r="AD230" s="272">
        <v>44512</v>
      </c>
      <c r="AE230" s="272">
        <v>44496</v>
      </c>
      <c r="AF230" s="272">
        <v>44496</v>
      </c>
      <c r="AG230" s="209">
        <v>44512</v>
      </c>
      <c r="AH230" s="272" t="s">
        <v>169</v>
      </c>
      <c r="AI230" s="272"/>
      <c r="AJ230" s="322"/>
      <c r="AK230" s="272">
        <f>IFERROR(IF(VLOOKUP(功能_33[[#This Row],[功能代號]],E:U,11,FALSE)=0,"",VLOOKUP(功能_33[[#This Row],[功能代號]],E:U,11,FALSE)),"")</f>
        <v>44482</v>
      </c>
      <c r="AL230" s="272"/>
      <c r="AM230" s="272"/>
      <c r="AN230" s="265"/>
      <c r="AO230" s="272"/>
      <c r="AP230" s="264" t="s">
        <v>163</v>
      </c>
      <c r="AQ230" s="264" t="s">
        <v>163</v>
      </c>
      <c r="AR230" s="593" t="s">
        <v>3207</v>
      </c>
      <c r="AS230" s="483" t="str">
        <f>IF(COUNTA(AG230)=1,LEFT(D230,3),"")</f>
        <v>3-3</v>
      </c>
      <c r="AT230" s="485" t="str">
        <f>IF(AND(COUNTA(O230)=1,COUNTA(P230)=1,COUNTA(AC230)=1,COUNTA(AF230)=1,COUNTA(AG230)=0),LEFT(D230,3),"")</f>
        <v/>
      </c>
      <c r="AU230" s="487" t="str">
        <f>IF(AND(COUNTA(O230)=1,COUNTA(P230)=1,COUNTA(AC230)=1,COUNTA(AF230)=0,COUNTA(AG230)=0),LEFT(D230,3),"")</f>
        <v/>
      </c>
      <c r="AV230" s="489" t="str">
        <f>IF(AND(COUNTA(P230)=0,COUNTA(AC230)=1),LEFT(D230,3),"")</f>
        <v/>
      </c>
      <c r="AW230" s="491" t="str">
        <f>IF(AND(COUNTA(P230)=1,COUNTA(AC230)=0),LEFT(D230,3),"")</f>
        <v/>
      </c>
      <c r="AX230" s="493" t="str">
        <f>IF(AND(COUNTA(P230)=0,COUNTA(AC230)=0),LEFT(D230,3),"")</f>
        <v/>
      </c>
      <c r="AY230" s="514" t="str">
        <f>IFERROR(VLOOKUP(功能_33[[#This Row],[功能代號]],SIT_FT_2021tmp!D:D,1,FALSE),"")</f>
        <v>L3130</v>
      </c>
      <c r="AZ230" s="587">
        <v>44559</v>
      </c>
      <c r="BA230" s="587">
        <v>44559</v>
      </c>
      <c r="BB230" s="514" t="s">
        <v>3073</v>
      </c>
      <c r="BC230" s="265" t="s">
        <v>3042</v>
      </c>
      <c r="BD230" s="593"/>
      <c r="BE230" s="264" t="str">
        <f>IF(AND(COUNTIF(AY230,"&gt;&lt;0")=1,COUNTA(M230)=1),LEFT(D230,3),"")</f>
        <v>3-3</v>
      </c>
      <c r="BF230" s="264" t="str">
        <f>IF(AND(COUNTIF(AY230,"&gt;&lt;")=1,COUNTA(M230)=0),LEFT(D230,3),"")</f>
        <v/>
      </c>
      <c r="BG230" s="264" t="str">
        <f>IF(AND(COUNTIF(AY230,"&gt;&lt;0")=0,COUNTA(M230)=1),LEFT(D230,3),"")</f>
        <v/>
      </c>
      <c r="BH230" s="264" t="str">
        <f>IF(AND(COUNTIF(AY230,"&gt;&lt;0")=0,COUNTA(M230)=0),LEFT(D230,3),"")</f>
        <v/>
      </c>
    </row>
    <row r="231" spans="1:60" ht="13.5" x14ac:dyDescent="0.3">
      <c r="B231" s="265">
        <v>1</v>
      </c>
      <c r="C231" s="265" t="s">
        <v>67</v>
      </c>
      <c r="D231" s="325" t="s">
        <v>2485</v>
      </c>
      <c r="E231" s="264" t="s">
        <v>682</v>
      </c>
      <c r="F231" s="265" t="s">
        <v>683</v>
      </c>
      <c r="G231" s="265"/>
      <c r="H231" s="264" t="s">
        <v>166</v>
      </c>
      <c r="I231" s="264" t="s">
        <v>167</v>
      </c>
      <c r="J231" s="212" t="s">
        <v>2973</v>
      </c>
      <c r="K231" s="251" t="s">
        <v>2989</v>
      </c>
      <c r="L231" s="272">
        <v>44578</v>
      </c>
      <c r="M231" s="272">
        <v>44581</v>
      </c>
      <c r="N231" s="272">
        <v>44475</v>
      </c>
      <c r="O231" s="272">
        <v>44482</v>
      </c>
      <c r="P231" s="272">
        <v>44482</v>
      </c>
      <c r="Q231" s="264" t="s">
        <v>2</v>
      </c>
      <c r="R231" s="264" t="s">
        <v>5</v>
      </c>
      <c r="S231" s="264" t="s">
        <v>5</v>
      </c>
      <c r="X231" s="264"/>
      <c r="Z231" s="264"/>
      <c r="AA231" s="264"/>
      <c r="AB231" s="265" t="str">
        <f>VLOOKUP(功能_33[[#This Row],[User]],SKL放款!A:G,7,FALSE)</f>
        <v>放款服務課</v>
      </c>
      <c r="AC231" s="272">
        <v>44496</v>
      </c>
      <c r="AD231" s="272">
        <v>44512</v>
      </c>
      <c r="AE231" s="272">
        <v>44496</v>
      </c>
      <c r="AF231" s="272">
        <v>44496</v>
      </c>
      <c r="AG231" s="209" t="s">
        <v>2974</v>
      </c>
      <c r="AH231" s="272" t="s">
        <v>169</v>
      </c>
      <c r="AI231" s="272"/>
      <c r="AJ231" s="322"/>
      <c r="AK231" s="272">
        <f>IFERROR(IF(VLOOKUP(功能_33[[#This Row],[功能代號]],E:U,11,FALSE)=0,"",VLOOKUP(功能_33[[#This Row],[功能代號]],E:U,11,FALSE)),"")</f>
        <v>44482</v>
      </c>
      <c r="AL231" s="272"/>
      <c r="AM231" s="272"/>
      <c r="AN231" s="265"/>
      <c r="AO231" s="272"/>
      <c r="AP231" s="264">
        <v>331</v>
      </c>
      <c r="AQ231" s="265" t="s">
        <v>684</v>
      </c>
      <c r="AR231" s="593" t="s">
        <v>3207</v>
      </c>
      <c r="AS231" s="483" t="str">
        <f>IF(COUNTA(AG231)=1,LEFT(D231,3),"")</f>
        <v>3-3</v>
      </c>
      <c r="AT231" s="485" t="str">
        <f>IF(AND(COUNTA(O231)=1,COUNTA(P231)=1,COUNTA(AC231)=1,COUNTA(AF231)=1,COUNTA(AG231)=0),LEFT(D231,3),"")</f>
        <v/>
      </c>
      <c r="AU231" s="487" t="str">
        <f>IF(AND(COUNTA(O231)=1,COUNTA(P231)=1,COUNTA(AC231)=1,COUNTA(AF231)=0,COUNTA(AG231)=0),LEFT(D231,3),"")</f>
        <v/>
      </c>
      <c r="AV231" s="489" t="str">
        <f>IF(AND(COUNTA(P231)=0,COUNTA(AC231)=1),LEFT(D231,3),"")</f>
        <v/>
      </c>
      <c r="AW231" s="491" t="str">
        <f>IF(AND(COUNTA(P231)=1,COUNTA(AC231)=0),LEFT(D231,3),"")</f>
        <v/>
      </c>
      <c r="AX231" s="493" t="str">
        <f>IF(AND(COUNTA(P231)=0,COUNTA(AC231)=0),LEFT(D231,3),"")</f>
        <v/>
      </c>
      <c r="AY231" s="514" t="str">
        <f>IFERROR(VLOOKUP(功能_33[[#This Row],[功能代號]],SIT_FT_2021tmp!D:D,1,FALSE),"")</f>
        <v>L3200</v>
      </c>
      <c r="AZ231" s="587">
        <v>44559</v>
      </c>
      <c r="BA231" s="587">
        <v>44559</v>
      </c>
      <c r="BB231" s="514" t="s">
        <v>3073</v>
      </c>
      <c r="BC231" s="265" t="s">
        <v>3042</v>
      </c>
      <c r="BD231" s="593"/>
      <c r="BE231" s="264" t="str">
        <f>IF(AND(COUNTIF(AY231,"&gt;&lt;0")=1,COUNTA(M231)=1),LEFT(D231,3),"")</f>
        <v>3-3</v>
      </c>
      <c r="BF231" s="264" t="str">
        <f>IF(AND(COUNTIF(AY231,"&gt;&lt;")=1,COUNTA(M231)=0),LEFT(D231,3),"")</f>
        <v/>
      </c>
      <c r="BG231" s="264" t="str">
        <f>IF(AND(COUNTIF(AY231,"&gt;&lt;0")=0,COUNTA(M231)=1),LEFT(D231,3),"")</f>
        <v/>
      </c>
      <c r="BH231" s="264" t="str">
        <f>IF(AND(COUNTIF(AY231,"&gt;&lt;0")=0,COUNTA(M231)=0),LEFT(D231,3),"")</f>
        <v/>
      </c>
    </row>
    <row r="232" spans="1:60" ht="13.5" x14ac:dyDescent="0.3">
      <c r="B232" s="265">
        <v>1</v>
      </c>
      <c r="C232" s="265" t="s">
        <v>67</v>
      </c>
      <c r="D232" s="325" t="s">
        <v>2485</v>
      </c>
      <c r="E232" s="264" t="s">
        <v>685</v>
      </c>
      <c r="F232" s="265" t="s">
        <v>686</v>
      </c>
      <c r="G232" s="265"/>
      <c r="H232" s="264" t="s">
        <v>166</v>
      </c>
      <c r="I232" s="264" t="s">
        <v>167</v>
      </c>
      <c r="J232" s="212" t="s">
        <v>2973</v>
      </c>
      <c r="K232" s="251" t="s">
        <v>2989</v>
      </c>
      <c r="L232" s="272">
        <v>44578</v>
      </c>
      <c r="M232" s="272">
        <v>44581</v>
      </c>
      <c r="N232" s="272">
        <v>44475</v>
      </c>
      <c r="O232" s="272">
        <v>44482</v>
      </c>
      <c r="P232" s="272">
        <f>IFERROR(IF(VLOOKUP(功能_33[[#This Row],[功能代號]],討論項目!A:H,8,FALSE)=0,"",VLOOKUP(功能_33[[#This Row],[功能代號]],討論項目!A:H,8,FALSE)),"")</f>
        <v>44487</v>
      </c>
      <c r="Q232" s="264" t="s">
        <v>2</v>
      </c>
      <c r="R232" s="264" t="s">
        <v>15</v>
      </c>
      <c r="S232" s="264" t="s">
        <v>15</v>
      </c>
      <c r="T232" s="265" t="s">
        <v>8</v>
      </c>
      <c r="X232" s="264"/>
      <c r="Z232" s="264"/>
      <c r="AA232" s="264"/>
      <c r="AB232" s="265" t="str">
        <f>VLOOKUP(功能_33[[#This Row],[User]],SKL放款!A:G,7,FALSE)</f>
        <v>放款服務課</v>
      </c>
      <c r="AC232" s="272">
        <v>44496</v>
      </c>
      <c r="AD232" s="272">
        <v>44512</v>
      </c>
      <c r="AE232" s="272">
        <v>44496</v>
      </c>
      <c r="AF232" s="272">
        <v>44496</v>
      </c>
      <c r="AG232" s="209" t="s">
        <v>2974</v>
      </c>
      <c r="AH232" s="272" t="s">
        <v>169</v>
      </c>
      <c r="AI232" s="272"/>
      <c r="AJ232" s="322"/>
      <c r="AK232" s="272">
        <f>IFERROR(IF(VLOOKUP(功能_33[[#This Row],[功能代號]],E:U,11,FALSE)=0,"",VLOOKUP(功能_33[[#This Row],[功能代號]],E:U,11,FALSE)),"")</f>
        <v>44482</v>
      </c>
      <c r="AL232" s="272"/>
      <c r="AM232" s="272"/>
      <c r="AN232" s="265"/>
      <c r="AO232" s="211" t="s">
        <v>687</v>
      </c>
      <c r="AP232" s="264" t="s">
        <v>163</v>
      </c>
      <c r="AQ232" s="264" t="s">
        <v>163</v>
      </c>
      <c r="AR232" s="593" t="s">
        <v>3207</v>
      </c>
      <c r="AS232" s="483" t="str">
        <f>IF(COUNTA(AG232)=1,LEFT(D232,3),"")</f>
        <v>3-3</v>
      </c>
      <c r="AT232" s="485" t="str">
        <f>IF(AND(COUNTA(O232)=1,COUNTA(P232)=1,COUNTA(AC232)=1,COUNTA(AF232)=1,COUNTA(AG232)=0),LEFT(D232,3),"")</f>
        <v/>
      </c>
      <c r="AU232" s="487" t="str">
        <f>IF(AND(COUNTA(O232)=1,COUNTA(P232)=1,COUNTA(AC232)=1,COUNTA(AF232)=0,COUNTA(AG232)=0),LEFT(D232,3),"")</f>
        <v/>
      </c>
      <c r="AV232" s="489" t="str">
        <f>IF(AND(COUNTA(P232)=0,COUNTA(AC232)=1),LEFT(D232,3),"")</f>
        <v/>
      </c>
      <c r="AW232" s="491" t="str">
        <f>IF(AND(COUNTA(P232)=1,COUNTA(AC232)=0),LEFT(D232,3),"")</f>
        <v/>
      </c>
      <c r="AX232" s="493" t="str">
        <f>IF(AND(COUNTA(P232)=0,COUNTA(AC232)=0),LEFT(D232,3),"")</f>
        <v/>
      </c>
      <c r="AY232" s="514" t="str">
        <f>IFERROR(VLOOKUP(功能_33[[#This Row],[功能代號]],SIT_FT_2021tmp!D:D,1,FALSE),"")</f>
        <v>L3230</v>
      </c>
      <c r="AZ232" s="587">
        <v>44552</v>
      </c>
      <c r="BA232" s="587">
        <v>44552</v>
      </c>
      <c r="BB232" s="514" t="s">
        <v>3073</v>
      </c>
      <c r="BC232" s="265" t="s">
        <v>3016</v>
      </c>
      <c r="BD232" s="593"/>
      <c r="BE232" s="264" t="str">
        <f>IF(AND(COUNTIF(AY232,"&gt;&lt;0")=1,COUNTA(M232)=1),LEFT(D232,3),"")</f>
        <v>3-3</v>
      </c>
      <c r="BF232" s="264" t="str">
        <f>IF(AND(COUNTIF(AY232,"&gt;&lt;")=1,COUNTA(M232)=0),LEFT(D232,3),"")</f>
        <v/>
      </c>
      <c r="BG232" s="264" t="str">
        <f>IF(AND(COUNTIF(AY232,"&gt;&lt;0")=0,COUNTA(M232)=1),LEFT(D232,3),"")</f>
        <v/>
      </c>
      <c r="BH232" s="264" t="str">
        <f>IF(AND(COUNTIF(AY232,"&gt;&lt;0")=0,COUNTA(M232)=0),LEFT(D232,3),"")</f>
        <v/>
      </c>
    </row>
    <row r="233" spans="1:60" ht="13.5" x14ac:dyDescent="0.3">
      <c r="C233" s="265" t="s">
        <v>67</v>
      </c>
      <c r="D233" s="325" t="s">
        <v>2485</v>
      </c>
      <c r="E233" s="264" t="s">
        <v>2447</v>
      </c>
      <c r="F233" s="265" t="s">
        <v>2448</v>
      </c>
      <c r="G233" s="265" t="s">
        <v>2449</v>
      </c>
      <c r="H233" s="264" t="s">
        <v>166</v>
      </c>
      <c r="I233" s="264" t="s">
        <v>167</v>
      </c>
      <c r="J233" s="212" t="s">
        <v>2684</v>
      </c>
      <c r="K233" s="212"/>
      <c r="L233" s="272">
        <v>44578</v>
      </c>
      <c r="M233" s="272">
        <v>44581</v>
      </c>
      <c r="N233" s="272">
        <v>44475</v>
      </c>
      <c r="O233" s="272">
        <v>44482</v>
      </c>
      <c r="P233" s="272">
        <v>44537</v>
      </c>
      <c r="Q233" s="264" t="s">
        <v>2</v>
      </c>
      <c r="R233" s="264" t="s">
        <v>15</v>
      </c>
      <c r="S233" s="264" t="s">
        <v>15</v>
      </c>
      <c r="T233" s="265" t="s">
        <v>8</v>
      </c>
      <c r="X233" s="264"/>
      <c r="Z233" s="264"/>
      <c r="AA233" s="264"/>
      <c r="AB233" s="265" t="str">
        <f>VLOOKUP(功能_33[[#This Row],[User]],SKL放款!A:G,7,FALSE)</f>
        <v>放款服務課</v>
      </c>
      <c r="AC233" s="272">
        <v>44533</v>
      </c>
      <c r="AD233" s="272">
        <v>44512</v>
      </c>
      <c r="AE233" s="272">
        <v>44496</v>
      </c>
      <c r="AF233" s="272">
        <v>44496</v>
      </c>
      <c r="AG233" s="209">
        <v>44539</v>
      </c>
      <c r="AH233" s="272" t="s">
        <v>169</v>
      </c>
      <c r="AI233" s="272"/>
      <c r="AJ233" s="322"/>
      <c r="AK233" s="272">
        <f>IFERROR(IF(VLOOKUP(功能_33[[#This Row],[功能代號]],E:U,11,FALSE)=0,"",VLOOKUP(功能_33[[#This Row],[功能代號]],E:U,11,FALSE)),"")</f>
        <v>44482</v>
      </c>
      <c r="AL233" s="272"/>
      <c r="AM233" s="272"/>
      <c r="AN233" s="265"/>
      <c r="AO233" s="211" t="s">
        <v>687</v>
      </c>
      <c r="AP233" s="264" t="s">
        <v>163</v>
      </c>
      <c r="AQ233" s="264" t="s">
        <v>163</v>
      </c>
      <c r="AR233" s="593" t="s">
        <v>3207</v>
      </c>
      <c r="AS233" s="483" t="str">
        <f>IF(COUNTA(AG233)=1,LEFT(D233,3),"")</f>
        <v>3-3</v>
      </c>
      <c r="AT233" s="485" t="str">
        <f>IF(AND(COUNTA(O233)=1,COUNTA(P233)=1,COUNTA(AC233)=1,COUNTA(AF233)=1,COUNTA(AG233)=0),LEFT(D233,3),"")</f>
        <v/>
      </c>
      <c r="AU233" s="487" t="str">
        <f>IF(AND(COUNTA(O233)=1,COUNTA(P233)=1,COUNTA(AC233)=1,COUNTA(AF233)=0,COUNTA(AG233)=0),LEFT(D233,3),"")</f>
        <v/>
      </c>
      <c r="AV233" s="489" t="str">
        <f>IF(AND(COUNTA(P233)=0,COUNTA(AC233)=1),LEFT(D233,3),"")</f>
        <v/>
      </c>
      <c r="AW233" s="491" t="str">
        <f>IF(AND(COUNTA(P233)=1,COUNTA(AC233)=0),LEFT(D233,3),"")</f>
        <v/>
      </c>
      <c r="AX233" s="493" t="str">
        <f>IF(AND(COUNTA(P233)=0,COUNTA(AC233)=0),LEFT(D233,3),"")</f>
        <v/>
      </c>
      <c r="AY233" s="514" t="str">
        <f>IFERROR(VLOOKUP(功能_33[[#This Row],[功能代號]],SIT_FT_2021tmp!D:D,1,FALSE),"")</f>
        <v>L3240</v>
      </c>
      <c r="AZ233" s="587">
        <v>44558</v>
      </c>
      <c r="BA233" s="587">
        <v>44558</v>
      </c>
      <c r="BB233" s="514" t="s">
        <v>3000</v>
      </c>
      <c r="BC233" s="265" t="s">
        <v>3045</v>
      </c>
      <c r="BD233" s="593"/>
      <c r="BE233" s="264" t="str">
        <f>IF(AND(COUNTIF(AY233,"&gt;&lt;0")=1,COUNTA(M233)=1),LEFT(D233,3),"")</f>
        <v>3-3</v>
      </c>
      <c r="BF233" s="264" t="str">
        <f>IF(AND(COUNTIF(AY233,"&gt;&lt;")=1,COUNTA(M233)=0),LEFT(D233,3),"")</f>
        <v/>
      </c>
      <c r="BG233" s="264" t="str">
        <f>IF(AND(COUNTIF(AY233,"&gt;&lt;0")=0,COUNTA(M233)=1),LEFT(D233,3),"")</f>
        <v/>
      </c>
      <c r="BH233" s="264" t="str">
        <f>IF(AND(COUNTIF(AY233,"&gt;&lt;0")=0,COUNTA(M233)=0),LEFT(D233,3),"")</f>
        <v/>
      </c>
    </row>
    <row r="234" spans="1:60" ht="13.5" x14ac:dyDescent="0.3">
      <c r="B234" s="265">
        <v>1</v>
      </c>
      <c r="C234" s="265" t="s">
        <v>67</v>
      </c>
      <c r="D234" s="325" t="s">
        <v>2486</v>
      </c>
      <c r="E234" s="264" t="s">
        <v>688</v>
      </c>
      <c r="F234" s="265" t="s">
        <v>689</v>
      </c>
      <c r="G234" s="265"/>
      <c r="H234" s="264" t="s">
        <v>166</v>
      </c>
      <c r="I234" s="264" t="s">
        <v>167</v>
      </c>
      <c r="J234" s="212" t="s">
        <v>283</v>
      </c>
      <c r="K234" s="212"/>
      <c r="L234" s="272">
        <v>44578</v>
      </c>
      <c r="M234" s="272">
        <v>44581</v>
      </c>
      <c r="N234" s="272">
        <v>44475</v>
      </c>
      <c r="O234" s="272">
        <v>44487</v>
      </c>
      <c r="P234" s="272">
        <v>44487</v>
      </c>
      <c r="Q234" s="264" t="s">
        <v>6</v>
      </c>
      <c r="R234" s="264" t="s">
        <v>15</v>
      </c>
      <c r="S234" s="264" t="s">
        <v>15</v>
      </c>
      <c r="X234" s="264"/>
      <c r="Z234" s="264"/>
      <c r="AA234" s="264"/>
      <c r="AB234" s="265" t="str">
        <f>VLOOKUP(功能_33[[#This Row],[User]],SKL放款!A:G,7,FALSE)</f>
        <v>放款服務課</v>
      </c>
      <c r="AC234" s="272">
        <v>44496</v>
      </c>
      <c r="AD234" s="272" t="s">
        <v>168</v>
      </c>
      <c r="AE234" s="272">
        <v>44496</v>
      </c>
      <c r="AF234" s="272">
        <v>44496</v>
      </c>
      <c r="AG234" s="209">
        <v>44512</v>
      </c>
      <c r="AH234" s="272" t="s">
        <v>169</v>
      </c>
      <c r="AI234" s="272"/>
      <c r="AJ234" s="322"/>
      <c r="AK234" s="272">
        <f>IFERROR(IF(VLOOKUP(功能_33[[#This Row],[功能代號]],E:U,11,FALSE)=0,"",VLOOKUP(功能_33[[#This Row],[功能代號]],E:U,11,FALSE)),"")</f>
        <v>44487</v>
      </c>
      <c r="AL234" s="272"/>
      <c r="AM234" s="272"/>
      <c r="AN234" s="265"/>
      <c r="AO234" s="272"/>
      <c r="AP234" s="264">
        <v>341</v>
      </c>
      <c r="AQ234" s="265" t="s">
        <v>690</v>
      </c>
      <c r="AR234" s="593" t="s">
        <v>3207</v>
      </c>
      <c r="AS234" s="483" t="str">
        <f>IF(COUNTA(AG234)=1,LEFT(D234,3),"")</f>
        <v>3-4</v>
      </c>
      <c r="AT234" s="485" t="str">
        <f>IF(AND(COUNTA(O234)=1,COUNTA(P234)=1,COUNTA(AC234)=1,COUNTA(AF234)=1,COUNTA(AG234)=0),LEFT(D234,3),"")</f>
        <v/>
      </c>
      <c r="AU234" s="487" t="str">
        <f>IF(AND(COUNTA(O234)=1,COUNTA(P234)=1,COUNTA(AC234)=1,COUNTA(AF234)=0,COUNTA(AG234)=0),LEFT(D234,3),"")</f>
        <v/>
      </c>
      <c r="AV234" s="489" t="str">
        <f>IF(AND(COUNTA(P234)=0,COUNTA(AC234)=1),LEFT(D234,3),"")</f>
        <v/>
      </c>
      <c r="AW234" s="491" t="str">
        <f>IF(AND(COUNTA(P234)=1,COUNTA(AC234)=0),LEFT(D234,3),"")</f>
        <v/>
      </c>
      <c r="AX234" s="493" t="str">
        <f>IF(AND(COUNTA(P234)=0,COUNTA(AC234)=0),LEFT(D234,3),"")</f>
        <v/>
      </c>
      <c r="AY234" s="514" t="str">
        <f>IFERROR(VLOOKUP(功能_33[[#This Row],[功能代號]],SIT_FT_2021tmp!D:D,1,FALSE),"")</f>
        <v/>
      </c>
      <c r="AZ234" s="587">
        <v>44610</v>
      </c>
      <c r="BB234" s="514" t="s">
        <v>2453</v>
      </c>
      <c r="BC234" s="265" t="s">
        <v>2453</v>
      </c>
      <c r="BD234" s="593"/>
      <c r="BE234" s="265" t="str">
        <f>IF(AND(COUNTIF(AY234,"&gt;&lt;0")=1,COUNTA(M234)=1),LEFT(D234,3),"")</f>
        <v/>
      </c>
      <c r="BF234" s="265" t="str">
        <f>IF(AND(COUNTIF(AY234,"&gt;&lt;")=1,COUNTA(M234)=0),LEFT(D234,3),"")</f>
        <v/>
      </c>
      <c r="BG234" s="265" t="str">
        <f>IF(AND(COUNTIF(AY234,"&gt;&lt;0")=0,COUNTA(M234)=1),LEFT(D234,3),"")</f>
        <v>3-4</v>
      </c>
      <c r="BH234" s="265" t="str">
        <f>IF(AND(COUNTIF(AY234,"&gt;&lt;0")=0,COUNTA(M234)=0),LEFT(D234,3),"")</f>
        <v/>
      </c>
    </row>
    <row r="235" spans="1:60" ht="13.5" x14ac:dyDescent="0.3">
      <c r="B235" s="265">
        <v>1</v>
      </c>
      <c r="C235" s="265" t="s">
        <v>67</v>
      </c>
      <c r="D235" s="325" t="s">
        <v>2486</v>
      </c>
      <c r="E235" s="264" t="s">
        <v>691</v>
      </c>
      <c r="F235" s="265" t="s">
        <v>692</v>
      </c>
      <c r="G235" s="265"/>
      <c r="H235" s="264" t="s">
        <v>166</v>
      </c>
      <c r="I235" s="264" t="s">
        <v>167</v>
      </c>
      <c r="J235" s="212" t="s">
        <v>283</v>
      </c>
      <c r="K235" s="212"/>
      <c r="L235" s="272">
        <v>44579</v>
      </c>
      <c r="M235" s="272">
        <v>44581</v>
      </c>
      <c r="N235" s="272">
        <v>44475</v>
      </c>
      <c r="O235" s="272">
        <v>44482</v>
      </c>
      <c r="P235" s="272">
        <v>44482</v>
      </c>
      <c r="Q235" s="264" t="s">
        <v>6</v>
      </c>
      <c r="R235" s="264" t="s">
        <v>5</v>
      </c>
      <c r="S235" s="264" t="s">
        <v>5</v>
      </c>
      <c r="T235" s="265" t="s">
        <v>10</v>
      </c>
      <c r="X235" s="264"/>
      <c r="Z235" s="264"/>
      <c r="AA235" s="264"/>
      <c r="AB235" s="265" t="str">
        <f>VLOOKUP(功能_33[[#This Row],[User]],SKL放款!A:G,7,FALSE)</f>
        <v>放款服務課</v>
      </c>
      <c r="AC235" s="272">
        <v>44496</v>
      </c>
      <c r="AD235" s="272" t="s">
        <v>168</v>
      </c>
      <c r="AE235" s="272">
        <v>44496</v>
      </c>
      <c r="AF235" s="272">
        <v>44496</v>
      </c>
      <c r="AG235" s="209">
        <v>44512</v>
      </c>
      <c r="AH235" s="272" t="s">
        <v>169</v>
      </c>
      <c r="AI235" s="272"/>
      <c r="AJ235" s="322"/>
      <c r="AK235" s="272">
        <f>IFERROR(IF(VLOOKUP(功能_33[[#This Row],[功能代號]],E:U,11,FALSE)=0,"",VLOOKUP(功能_33[[#This Row],[功能代號]],E:U,11,FALSE)),"")</f>
        <v>44482</v>
      </c>
      <c r="AL235" s="272"/>
      <c r="AM235" s="272"/>
      <c r="AN235" s="265"/>
      <c r="AO235" s="211" t="s">
        <v>664</v>
      </c>
      <c r="AP235" s="264">
        <v>342</v>
      </c>
      <c r="AQ235" s="265" t="s">
        <v>692</v>
      </c>
      <c r="AR235" s="593" t="s">
        <v>3207</v>
      </c>
      <c r="AS235" s="483" t="str">
        <f>IF(COUNTA(AG235)=1,LEFT(D235,3),"")</f>
        <v>3-4</v>
      </c>
      <c r="AT235" s="485" t="str">
        <f>IF(AND(COUNTA(O235)=1,COUNTA(P235)=1,COUNTA(AC235)=1,COUNTA(AF235)=1,COUNTA(AG235)=0),LEFT(D235,3),"")</f>
        <v/>
      </c>
      <c r="AU235" s="487" t="str">
        <f>IF(AND(COUNTA(O235)=1,COUNTA(P235)=1,COUNTA(AC235)=1,COUNTA(AF235)=0,COUNTA(AG235)=0),LEFT(D235,3),"")</f>
        <v/>
      </c>
      <c r="AV235" s="489" t="str">
        <f>IF(AND(COUNTA(P235)=0,COUNTA(AC235)=1),LEFT(D235,3),"")</f>
        <v/>
      </c>
      <c r="AW235" s="491" t="str">
        <f>IF(AND(COUNTA(P235)=1,COUNTA(AC235)=0),LEFT(D235,3),"")</f>
        <v/>
      </c>
      <c r="AX235" s="493" t="str">
        <f>IF(AND(COUNTA(P235)=0,COUNTA(AC235)=0),LEFT(D235,3),"")</f>
        <v/>
      </c>
      <c r="AY235" s="514" t="str">
        <f>IFERROR(VLOOKUP(功能_33[[#This Row],[功能代號]],SIT_FT_2021tmp!D:D,1,FALSE),"")</f>
        <v>L3420</v>
      </c>
      <c r="AZ235" s="587">
        <v>44559</v>
      </c>
      <c r="BA235" s="587">
        <v>44559</v>
      </c>
      <c r="BB235" s="514" t="s">
        <v>3073</v>
      </c>
      <c r="BC235" s="265" t="s">
        <v>3043</v>
      </c>
      <c r="BD235" s="593"/>
      <c r="BE235" s="264" t="str">
        <f>IF(AND(COUNTIF(AY235,"&gt;&lt;0")=1,COUNTA(M235)=1),LEFT(D235,3),"")</f>
        <v>3-4</v>
      </c>
      <c r="BF235" s="264" t="str">
        <f>IF(AND(COUNTIF(AY235,"&gt;&lt;")=1,COUNTA(M235)=0),LEFT(D235,3),"")</f>
        <v/>
      </c>
      <c r="BG235" s="264" t="str">
        <f>IF(AND(COUNTIF(AY235,"&gt;&lt;0")=0,COUNTA(M235)=1),LEFT(D235,3),"")</f>
        <v/>
      </c>
      <c r="BH235" s="264" t="str">
        <f>IF(AND(COUNTIF(AY235,"&gt;&lt;0")=0,COUNTA(M235)=0),LEFT(D235,3),"")</f>
        <v/>
      </c>
    </row>
    <row r="236" spans="1:60" ht="13.5" x14ac:dyDescent="0.3">
      <c r="B236" s="265">
        <v>1</v>
      </c>
      <c r="C236" s="265" t="s">
        <v>67</v>
      </c>
      <c r="D236" s="325" t="s">
        <v>2485</v>
      </c>
      <c r="E236" s="264" t="s">
        <v>693</v>
      </c>
      <c r="F236" s="265" t="s">
        <v>694</v>
      </c>
      <c r="G236" s="265"/>
      <c r="H236" s="264" t="s">
        <v>166</v>
      </c>
      <c r="I236" s="264" t="s">
        <v>167</v>
      </c>
      <c r="J236" s="212" t="s">
        <v>2973</v>
      </c>
      <c r="K236" s="251" t="s">
        <v>2989</v>
      </c>
      <c r="L236" s="272">
        <v>44579</v>
      </c>
      <c r="M236" s="272">
        <v>44581</v>
      </c>
      <c r="N236" s="272">
        <v>44475</v>
      </c>
      <c r="O236" s="272">
        <v>44482</v>
      </c>
      <c r="P236" s="272">
        <f>IFERROR(IF(VLOOKUP(功能_33[[#This Row],[功能代號]],討論項目!A:H,8,FALSE)=0,"",VLOOKUP(功能_33[[#This Row],[功能代號]],討論項目!A:H,8,FALSE)),"")</f>
        <v>44510</v>
      </c>
      <c r="Q236" s="264" t="s">
        <v>2</v>
      </c>
      <c r="R236" s="264" t="s">
        <v>15</v>
      </c>
      <c r="S236" s="264" t="s">
        <v>15</v>
      </c>
      <c r="T236" s="265" t="s">
        <v>8</v>
      </c>
      <c r="X236" s="264"/>
      <c r="Z236" s="264"/>
      <c r="AA236" s="264"/>
      <c r="AB236" s="265" t="str">
        <f>VLOOKUP(功能_33[[#This Row],[User]],SKL放款!A:G,7,FALSE)</f>
        <v>放款服務課</v>
      </c>
      <c r="AC236" s="272">
        <v>44496</v>
      </c>
      <c r="AD236" s="272">
        <v>44512</v>
      </c>
      <c r="AE236" s="272">
        <v>44496</v>
      </c>
      <c r="AF236" s="272">
        <v>44496</v>
      </c>
      <c r="AG236" s="209" t="s">
        <v>2974</v>
      </c>
      <c r="AH236" s="272" t="s">
        <v>169</v>
      </c>
      <c r="AI236" s="272"/>
      <c r="AJ236" s="322"/>
      <c r="AK236" s="272">
        <f>IFERROR(IF(VLOOKUP(功能_33[[#This Row],[功能代號]],E:U,11,FALSE)=0,"",VLOOKUP(功能_33[[#This Row],[功能代號]],E:U,11,FALSE)),"")</f>
        <v>44482</v>
      </c>
      <c r="AL236" s="272"/>
      <c r="AM236" s="272"/>
      <c r="AN236" s="265"/>
      <c r="AO236" s="211" t="s">
        <v>664</v>
      </c>
      <c r="AP236" s="264">
        <v>632</v>
      </c>
      <c r="AQ236" s="265" t="s">
        <v>694</v>
      </c>
      <c r="AR236" s="593" t="s">
        <v>3207</v>
      </c>
      <c r="AS236" s="483" t="str">
        <f>IF(COUNTA(AG236)=1,LEFT(D236,3),"")</f>
        <v>3-3</v>
      </c>
      <c r="AT236" s="485" t="str">
        <f>IF(AND(COUNTA(O236)=1,COUNTA(P236)=1,COUNTA(AC236)=1,COUNTA(AF236)=1,COUNTA(AG236)=0),LEFT(D236,3),"")</f>
        <v/>
      </c>
      <c r="AU236" s="487" t="str">
        <f>IF(AND(COUNTA(O236)=1,COUNTA(P236)=1,COUNTA(AC236)=1,COUNTA(AF236)=0,COUNTA(AG236)=0),LEFT(D236,3),"")</f>
        <v/>
      </c>
      <c r="AV236" s="489" t="str">
        <f>IF(AND(COUNTA(P236)=0,COUNTA(AC236)=1),LEFT(D236,3),"")</f>
        <v/>
      </c>
      <c r="AW236" s="491" t="str">
        <f>IF(AND(COUNTA(P236)=1,COUNTA(AC236)=0),LEFT(D236,3),"")</f>
        <v/>
      </c>
      <c r="AX236" s="493" t="str">
        <f>IF(AND(COUNTA(P236)=0,COUNTA(AC236)=0),LEFT(D236,3),"")</f>
        <v/>
      </c>
      <c r="AY236" s="514" t="str">
        <f>IFERROR(VLOOKUP(功能_33[[#This Row],[功能代號]],SIT_FT_2021tmp!D:D,1,FALSE),"")</f>
        <v/>
      </c>
      <c r="AZ236" s="587">
        <v>44610</v>
      </c>
      <c r="BB236" s="514" t="s">
        <v>2453</v>
      </c>
      <c r="BC236" s="265" t="s">
        <v>2453</v>
      </c>
      <c r="BD236" s="593"/>
      <c r="BE236" s="265" t="str">
        <f>IF(AND(COUNTIF(AY236,"&gt;&lt;0")=1,COUNTA(M236)=1),LEFT(D236,3),"")</f>
        <v/>
      </c>
      <c r="BF236" s="265" t="str">
        <f>IF(AND(COUNTIF(AY236,"&gt;&lt;")=1,COUNTA(M236)=0),LEFT(D236,3),"")</f>
        <v/>
      </c>
      <c r="BG236" s="265" t="str">
        <f>IF(AND(COUNTIF(AY236,"&gt;&lt;0")=0,COUNTA(M236)=1),LEFT(D236,3),"")</f>
        <v>3-3</v>
      </c>
      <c r="BH236" s="265" t="str">
        <f>IF(AND(COUNTIF(AY236,"&gt;&lt;0")=0,COUNTA(M236)=0),LEFT(D236,3),"")</f>
        <v/>
      </c>
    </row>
    <row r="237" spans="1:60" ht="13.5" x14ac:dyDescent="0.3">
      <c r="A237" s="535"/>
      <c r="B237" s="360"/>
      <c r="C237" s="265" t="s">
        <v>70</v>
      </c>
      <c r="D237" s="265" t="s">
        <v>2487</v>
      </c>
      <c r="E237" s="264" t="s">
        <v>2855</v>
      </c>
      <c r="F237" s="257" t="s">
        <v>2856</v>
      </c>
      <c r="G237" s="265" t="s">
        <v>2852</v>
      </c>
      <c r="H237" s="264" t="s">
        <v>166</v>
      </c>
      <c r="I237" s="264" t="s">
        <v>167</v>
      </c>
      <c r="J237" s="212" t="s">
        <v>2857</v>
      </c>
      <c r="K237" s="212"/>
      <c r="L237" s="272">
        <v>44571</v>
      </c>
      <c r="M237" s="272">
        <v>44575</v>
      </c>
      <c r="N237" s="272">
        <v>44475</v>
      </c>
      <c r="O237" s="272">
        <v>44482</v>
      </c>
      <c r="P237" s="272" t="str">
        <f>IFERROR(IF(VLOOKUP(功能_33[[#This Row],[功能代號]],討論項目!A:H,8,FALSE)=0,"",VLOOKUP(功能_33[[#This Row],[功能代號]],討論項目!A:H,8,FALSE)),"")</f>
        <v/>
      </c>
      <c r="Q237" s="264" t="s">
        <v>2</v>
      </c>
      <c r="R237" s="264" t="s">
        <v>8</v>
      </c>
      <c r="S237" s="264" t="s">
        <v>8</v>
      </c>
      <c r="X237" s="264"/>
      <c r="Z237" s="264"/>
      <c r="AA237" s="264"/>
      <c r="AB237" s="360" t="str">
        <f>VLOOKUP(功能_33[[#This Row],[User]],SKL放款!A:G,7,FALSE)</f>
        <v>放款管理課</v>
      </c>
      <c r="AC237" s="272">
        <v>44496</v>
      </c>
      <c r="AD237" s="272">
        <v>44512</v>
      </c>
      <c r="AE237" s="272">
        <v>44496</v>
      </c>
      <c r="AF237" s="272">
        <v>44496</v>
      </c>
      <c r="AG237" s="209">
        <v>44512</v>
      </c>
      <c r="AH237" s="259"/>
      <c r="AI237" s="259"/>
      <c r="AJ237" s="259"/>
      <c r="AK237" s="259">
        <f>IFERROR(IF(VLOOKUP(功能_33[[#This Row],[功能代號]],E:U,11,FALSE)=0,"",VLOOKUP(功能_33[[#This Row],[功能代號]],E:U,11,FALSE)),"")</f>
        <v>44482</v>
      </c>
      <c r="AL237" s="259"/>
      <c r="AM237" s="259"/>
      <c r="AN237" s="360"/>
      <c r="AP237" s="556" t="s">
        <v>2603</v>
      </c>
      <c r="AQ237" s="264" t="s">
        <v>163</v>
      </c>
      <c r="AR237" s="593" t="s">
        <v>3207</v>
      </c>
      <c r="AS237" s="536" t="str">
        <f>IF(COUNTA(AG237)=1,LEFT(D237,3),"")</f>
        <v>6-8</v>
      </c>
      <c r="AT237" s="485" t="str">
        <f>IF(AND(COUNTA(O237)=1,COUNTA(P237)=1,COUNTA(AC237)=1,COUNTA(AF237)=1,COUNTA(AG237)=0),LEFT(D237,3),"")</f>
        <v/>
      </c>
      <c r="AU237" s="487" t="str">
        <f>IF(AND(COUNTA(O237)=1,COUNTA(P237)=1,COUNTA(AC237)=1,COUNTA(AF237)=0,COUNTA(AG237)=0),LEFT(D237,3),"")</f>
        <v/>
      </c>
      <c r="AV237" s="489" t="str">
        <f>IF(AND(COUNTA(P237)=0,COUNTA(AC237)=1),LEFT(D237,3),"")</f>
        <v/>
      </c>
      <c r="AW237" s="491" t="str">
        <f>IF(AND(COUNTA(P237)=1,COUNTA(AC237)=0),LEFT(D237,3),"")</f>
        <v/>
      </c>
      <c r="AX237" s="493" t="str">
        <f>IF(AND(COUNTA(P237)=0,COUNTA(AC237)=0),LEFT(D237,3),"")</f>
        <v/>
      </c>
      <c r="AY237" s="514" t="str">
        <f>IFERROR(VLOOKUP(功能_33[[#This Row],[功能代號]],SIT_FT_2021tmp!D:D,1,FALSE),"")</f>
        <v/>
      </c>
      <c r="AZ237" s="587">
        <v>44610</v>
      </c>
      <c r="BB237" s="514" t="s">
        <v>2453</v>
      </c>
      <c r="BC237" s="265" t="s">
        <v>2453</v>
      </c>
      <c r="BD237" s="593"/>
      <c r="BE237" s="265" t="str">
        <f>IF(AND(COUNTIF(AY237,"&gt;&lt;0")=1,COUNTA(M237)=1),LEFT(D237,3),"")</f>
        <v/>
      </c>
      <c r="BF237" s="265" t="str">
        <f>IF(AND(COUNTIF(AY237,"&gt;&lt;")=1,COUNTA(M237)=0),LEFT(D237,3),"")</f>
        <v/>
      </c>
      <c r="BG237" s="265" t="str">
        <f>IF(AND(COUNTIF(AY237,"&gt;&lt;0")=0,COUNTA(M237)=1),LEFT(D237,3),"")</f>
        <v>6-8</v>
      </c>
      <c r="BH237" s="265" t="str">
        <f>IF(AND(COUNTIF(AY237,"&gt;&lt;0")=0,COUNTA(M237)=0),LEFT(D237,3),"")</f>
        <v/>
      </c>
    </row>
    <row r="238" spans="1:60" ht="13.5" x14ac:dyDescent="0.3">
      <c r="B238" s="265">
        <v>1</v>
      </c>
      <c r="C238" s="265" t="s">
        <v>67</v>
      </c>
      <c r="D238" s="325" t="s">
        <v>2485</v>
      </c>
      <c r="E238" s="264" t="s">
        <v>695</v>
      </c>
      <c r="F238" s="265" t="s">
        <v>696</v>
      </c>
      <c r="G238" s="265"/>
      <c r="H238" s="264" t="s">
        <v>166</v>
      </c>
      <c r="I238" s="264" t="s">
        <v>167</v>
      </c>
      <c r="J238" s="212" t="s">
        <v>2973</v>
      </c>
      <c r="K238" s="251" t="s">
        <v>2989</v>
      </c>
      <c r="L238" s="272">
        <v>44579</v>
      </c>
      <c r="M238" s="272">
        <v>44581</v>
      </c>
      <c r="N238" s="272">
        <v>44475</v>
      </c>
      <c r="O238" s="272">
        <v>44482</v>
      </c>
      <c r="P238" s="272">
        <v>44482</v>
      </c>
      <c r="Q238" s="264" t="s">
        <v>6</v>
      </c>
      <c r="R238" s="264" t="s">
        <v>5</v>
      </c>
      <c r="S238" s="264" t="s">
        <v>5</v>
      </c>
      <c r="X238" s="264"/>
      <c r="Z238" s="264"/>
      <c r="AA238" s="264"/>
      <c r="AB238" s="265" t="str">
        <f>VLOOKUP(功能_33[[#This Row],[User]],SKL放款!A:G,7,FALSE)</f>
        <v>放款服務課</v>
      </c>
      <c r="AC238" s="272">
        <v>44496</v>
      </c>
      <c r="AD238" s="272" t="s">
        <v>168</v>
      </c>
      <c r="AE238" s="272">
        <v>44496</v>
      </c>
      <c r="AF238" s="272">
        <v>44496</v>
      </c>
      <c r="AG238" s="209" t="s">
        <v>2974</v>
      </c>
      <c r="AH238" s="272" t="s">
        <v>169</v>
      </c>
      <c r="AI238" s="272"/>
      <c r="AJ238" s="322"/>
      <c r="AK238" s="272">
        <f>IFERROR(IF(VLOOKUP(功能_33[[#This Row],[功能代號]],E:U,11,FALSE)=0,"",VLOOKUP(功能_33[[#This Row],[功能代號]],E:U,11,FALSE)),"")</f>
        <v>44482</v>
      </c>
      <c r="AL238" s="272"/>
      <c r="AM238" s="272"/>
      <c r="AN238" s="265"/>
      <c r="AO238" s="272"/>
      <c r="AP238" s="264">
        <v>346</v>
      </c>
      <c r="AQ238" s="265" t="s">
        <v>697</v>
      </c>
      <c r="AR238" s="593" t="s">
        <v>3207</v>
      </c>
      <c r="AS238" s="483" t="str">
        <f>IF(COUNTA(AG238)=1,LEFT(D238,3),"")</f>
        <v>3-3</v>
      </c>
      <c r="AT238" s="485" t="str">
        <f>IF(AND(COUNTA(O238)=1,COUNTA(P238)=1,COUNTA(AC238)=1,COUNTA(AF238)=1,COUNTA(AG238)=0),LEFT(D238,3),"")</f>
        <v/>
      </c>
      <c r="AU238" s="487" t="str">
        <f>IF(AND(COUNTA(O238)=1,COUNTA(P238)=1,COUNTA(AC238)=1,COUNTA(AF238)=0,COUNTA(AG238)=0),LEFT(D238,3),"")</f>
        <v/>
      </c>
      <c r="AV238" s="489" t="str">
        <f>IF(AND(COUNTA(P238)=0,COUNTA(AC238)=1),LEFT(D238,3),"")</f>
        <v/>
      </c>
      <c r="AW238" s="491" t="str">
        <f>IF(AND(COUNTA(P238)=1,COUNTA(AC238)=0),LEFT(D238,3),"")</f>
        <v/>
      </c>
      <c r="AX238" s="493" t="str">
        <f>IF(AND(COUNTA(P238)=0,COUNTA(AC238)=0),LEFT(D238,3),"")</f>
        <v/>
      </c>
      <c r="AY238" s="514" t="str">
        <f>IFERROR(VLOOKUP(功能_33[[#This Row],[功能代號]],SIT_FT_2021tmp!D:D,1,FALSE),"")</f>
        <v/>
      </c>
      <c r="AZ238" s="587">
        <v>44610</v>
      </c>
      <c r="BB238" s="514" t="s">
        <v>2453</v>
      </c>
      <c r="BC238" s="265" t="s">
        <v>2453</v>
      </c>
      <c r="BD238" s="593"/>
      <c r="BE238" s="265" t="str">
        <f>IF(AND(COUNTIF(AY238,"&gt;&lt;0")=1,COUNTA(M238)=1),LEFT(D238,3),"")</f>
        <v/>
      </c>
      <c r="BF238" s="265" t="str">
        <f>IF(AND(COUNTIF(AY238,"&gt;&lt;")=1,COUNTA(M238)=0),LEFT(D238,3),"")</f>
        <v/>
      </c>
      <c r="BG238" s="265" t="str">
        <f>IF(AND(COUNTIF(AY238,"&gt;&lt;0")=0,COUNTA(M238)=1),LEFT(D238,3),"")</f>
        <v>3-3</v>
      </c>
      <c r="BH238" s="265" t="str">
        <f>IF(AND(COUNTIF(AY238,"&gt;&lt;0")=0,COUNTA(M238)=0),LEFT(D238,3),"")</f>
        <v/>
      </c>
    </row>
    <row r="239" spans="1:60" ht="13.5" x14ac:dyDescent="0.3">
      <c r="B239" s="265">
        <v>1</v>
      </c>
      <c r="C239" s="265" t="s">
        <v>67</v>
      </c>
      <c r="D239" s="325" t="s">
        <v>2485</v>
      </c>
      <c r="E239" s="264" t="s">
        <v>698</v>
      </c>
      <c r="F239" s="265" t="s">
        <v>699</v>
      </c>
      <c r="G239" s="265"/>
      <c r="H239" s="264" t="s">
        <v>166</v>
      </c>
      <c r="I239" s="264" t="s">
        <v>167</v>
      </c>
      <c r="J239" s="212" t="s">
        <v>2973</v>
      </c>
      <c r="K239" s="251" t="s">
        <v>2989</v>
      </c>
      <c r="L239" s="272">
        <v>44579</v>
      </c>
      <c r="M239" s="272">
        <v>44581</v>
      </c>
      <c r="N239" s="272">
        <v>44475</v>
      </c>
      <c r="O239" s="272">
        <v>44482</v>
      </c>
      <c r="P239" s="272">
        <v>44482</v>
      </c>
      <c r="Q239" s="264" t="s">
        <v>6</v>
      </c>
      <c r="R239" s="264" t="s">
        <v>5</v>
      </c>
      <c r="S239" s="264" t="s">
        <v>5</v>
      </c>
      <c r="X239" s="264"/>
      <c r="Z239" s="264"/>
      <c r="AA239" s="264"/>
      <c r="AB239" s="265" t="str">
        <f>VLOOKUP(功能_33[[#This Row],[User]],SKL放款!A:G,7,FALSE)</f>
        <v>放款服務課</v>
      </c>
      <c r="AC239" s="272">
        <v>44496</v>
      </c>
      <c r="AD239" s="272" t="s">
        <v>168</v>
      </c>
      <c r="AE239" s="272">
        <v>44496</v>
      </c>
      <c r="AF239" s="272">
        <v>44496</v>
      </c>
      <c r="AG239" s="209" t="s">
        <v>2974</v>
      </c>
      <c r="AH239" s="272" t="s">
        <v>169</v>
      </c>
      <c r="AI239" s="272"/>
      <c r="AJ239" s="322"/>
      <c r="AK239" s="272">
        <f>IFERROR(IF(VLOOKUP(功能_33[[#This Row],[功能代號]],E:U,11,FALSE)=0,"",VLOOKUP(功能_33[[#This Row],[功能代號]],E:U,11,FALSE)),"")</f>
        <v>44482</v>
      </c>
      <c r="AL239" s="272"/>
      <c r="AM239" s="272"/>
      <c r="AN239" s="265"/>
      <c r="AO239" s="272"/>
      <c r="AP239" s="264">
        <v>347</v>
      </c>
      <c r="AQ239" s="265" t="s">
        <v>700</v>
      </c>
      <c r="AR239" s="593" t="s">
        <v>3207</v>
      </c>
      <c r="AS239" s="483" t="str">
        <f>IF(COUNTA(AG239)=1,LEFT(D239,3),"")</f>
        <v>3-3</v>
      </c>
      <c r="AT239" s="485" t="str">
        <f>IF(AND(COUNTA(O239)=1,COUNTA(P239)=1,COUNTA(AC239)=1,COUNTA(AF239)=1,COUNTA(AG239)=0),LEFT(D239,3),"")</f>
        <v/>
      </c>
      <c r="AU239" s="487" t="str">
        <f>IF(AND(COUNTA(O239)=1,COUNTA(P239)=1,COUNTA(AC239)=1,COUNTA(AF239)=0,COUNTA(AG239)=0),LEFT(D239,3),"")</f>
        <v/>
      </c>
      <c r="AV239" s="489" t="str">
        <f>IF(AND(COUNTA(P239)=0,COUNTA(AC239)=1),LEFT(D239,3),"")</f>
        <v/>
      </c>
      <c r="AW239" s="491" t="str">
        <f>IF(AND(COUNTA(P239)=1,COUNTA(AC239)=0),LEFT(D239,3),"")</f>
        <v/>
      </c>
      <c r="AX239" s="493" t="str">
        <f>IF(AND(COUNTA(P239)=0,COUNTA(AC239)=0),LEFT(D239,3),"")</f>
        <v/>
      </c>
      <c r="AY239" s="514" t="str">
        <f>IFERROR(VLOOKUP(功能_33[[#This Row],[功能代號]],SIT_FT_2021tmp!D:D,1,FALSE),"")</f>
        <v/>
      </c>
      <c r="AZ239" s="587">
        <v>44610</v>
      </c>
      <c r="BB239" s="514" t="s">
        <v>2453</v>
      </c>
      <c r="BC239" s="265" t="s">
        <v>2453</v>
      </c>
      <c r="BD239" s="593"/>
      <c r="BE239" s="265" t="str">
        <f>IF(AND(COUNTIF(AY239,"&gt;&lt;0")=1,COUNTA(M239)=1),LEFT(D239,3),"")</f>
        <v/>
      </c>
      <c r="BF239" s="265" t="str">
        <f>IF(AND(COUNTIF(AY239,"&gt;&lt;")=1,COUNTA(M239)=0),LEFT(D239,3),"")</f>
        <v/>
      </c>
      <c r="BG239" s="265" t="str">
        <f>IF(AND(COUNTIF(AY239,"&gt;&lt;0")=0,COUNTA(M239)=1),LEFT(D239,3),"")</f>
        <v>3-3</v>
      </c>
      <c r="BH239" s="265" t="str">
        <f>IF(AND(COUNTIF(AY239,"&gt;&lt;0")=0,COUNTA(M239)=0),LEFT(D239,3),"")</f>
        <v/>
      </c>
    </row>
    <row r="240" spans="1:60" ht="13.5" x14ac:dyDescent="0.3">
      <c r="C240" s="265" t="s">
        <v>66</v>
      </c>
      <c r="D240" s="265" t="s">
        <v>2492</v>
      </c>
      <c r="E240" s="264" t="s">
        <v>701</v>
      </c>
      <c r="F240" s="265" t="s">
        <v>702</v>
      </c>
      <c r="G240" s="265"/>
      <c r="H240" s="264" t="s">
        <v>166</v>
      </c>
      <c r="I240" s="264" t="s">
        <v>176</v>
      </c>
      <c r="J240" s="212" t="s">
        <v>2583</v>
      </c>
      <c r="K240" s="212"/>
      <c r="L240" s="272">
        <v>44558</v>
      </c>
      <c r="M240" s="272">
        <v>44558</v>
      </c>
      <c r="N240" s="272">
        <v>44475</v>
      </c>
      <c r="O240" s="272">
        <v>44475</v>
      </c>
      <c r="P240" s="272">
        <v>44536</v>
      </c>
      <c r="Q240" s="264" t="s">
        <v>1</v>
      </c>
      <c r="R240" s="264" t="s">
        <v>8</v>
      </c>
      <c r="S240" s="264" t="s">
        <v>8</v>
      </c>
      <c r="X240" s="264"/>
      <c r="Z240" s="264"/>
      <c r="AA240" s="264"/>
      <c r="AB240" s="265" t="str">
        <f>VLOOKUP(功能_33[[#This Row],[User]],SKL放款!A:G,7,FALSE)</f>
        <v>放款管理課</v>
      </c>
      <c r="AC240" s="272">
        <v>44533</v>
      </c>
      <c r="AD240" s="272" t="s">
        <v>168</v>
      </c>
      <c r="AE240" s="272">
        <v>44477</v>
      </c>
      <c r="AF240" s="272">
        <v>44477</v>
      </c>
      <c r="AG240" s="209">
        <v>44539</v>
      </c>
      <c r="AH240" s="272" t="s">
        <v>169</v>
      </c>
      <c r="AI240" s="272"/>
      <c r="AJ240" s="322"/>
      <c r="AK240" s="272">
        <f>IFERROR(IF(VLOOKUP(功能_33[[#This Row],[功能代號]],E:U,11,FALSE)=0,"",VLOOKUP(功能_33[[#This Row],[功能代號]],E:U,11,FALSE)),"")</f>
        <v>44475</v>
      </c>
      <c r="AL240" s="272"/>
      <c r="AM240" s="272"/>
      <c r="AN240" s="265"/>
      <c r="AO240" s="272"/>
      <c r="AP240" s="264">
        <v>226</v>
      </c>
      <c r="AQ240" s="265" t="s">
        <v>703</v>
      </c>
      <c r="AR240" s="593" t="s">
        <v>3207</v>
      </c>
      <c r="AS240" s="483" t="str">
        <f>IF(COUNTA(AG240)=1,LEFT(D240,3),"")</f>
        <v>2-5</v>
      </c>
      <c r="AT240" s="485" t="str">
        <f>IF(AND(COUNTA(O240)=1,COUNTA(P240)=1,COUNTA(AC240)=1,COUNTA(AF240)=1,COUNTA(AG240)=0),LEFT(D240,3),"")</f>
        <v/>
      </c>
      <c r="AU240" s="487" t="str">
        <f>IF(AND(COUNTA(O240)=1,COUNTA(P240)=1,COUNTA(AC240)=1,COUNTA(AF240)=0,COUNTA(AG240)=0),LEFT(D240,3),"")</f>
        <v/>
      </c>
      <c r="AV240" s="489" t="str">
        <f>IF(AND(COUNTA(P240)=0,COUNTA(AC240)=1),LEFT(D240,3),"")</f>
        <v/>
      </c>
      <c r="AW240" s="491" t="str">
        <f>IF(AND(COUNTA(P240)=1,COUNTA(AC240)=0),LEFT(D240,3),"")</f>
        <v/>
      </c>
      <c r="AX240" s="493" t="str">
        <f>IF(AND(COUNTA(P240)=0,COUNTA(AC240)=0),LEFT(D240,3),"")</f>
        <v/>
      </c>
      <c r="AY240" s="514" t="str">
        <f>IFERROR(VLOOKUP(功能_33[[#This Row],[功能代號]],SIT_FT_2021tmp!D:D,1,FALSE),"")</f>
        <v>L2603</v>
      </c>
      <c r="AZ240" s="587">
        <v>44546</v>
      </c>
      <c r="BA240" s="587">
        <v>44546</v>
      </c>
      <c r="BB240" s="514" t="s">
        <v>3073</v>
      </c>
      <c r="BC240" s="265" t="s">
        <v>3046</v>
      </c>
      <c r="BD240" s="593"/>
      <c r="BE240" s="264" t="str">
        <f>IF(AND(COUNTIF(AY240,"&gt;&lt;0")=1,COUNTA(M240)=1),LEFT(D240,3),"")</f>
        <v>2-5</v>
      </c>
      <c r="BF240" s="264" t="str">
        <f>IF(AND(COUNTIF(AY240,"&gt;&lt;")=1,COUNTA(M240)=0),LEFT(D240,3),"")</f>
        <v/>
      </c>
      <c r="BG240" s="264" t="str">
        <f>IF(AND(COUNTIF(AY240,"&gt;&lt;0")=0,COUNTA(M240)=1),LEFT(D240,3),"")</f>
        <v/>
      </c>
      <c r="BH240" s="264" t="str">
        <f>IF(AND(COUNTIF(AY240,"&gt;&lt;0")=0,COUNTA(M240)=0),LEFT(D240,3),"")</f>
        <v/>
      </c>
    </row>
    <row r="241" spans="1:60" ht="13.5" x14ac:dyDescent="0.3">
      <c r="C241" s="265" t="s">
        <v>66</v>
      </c>
      <c r="D241" s="265" t="s">
        <v>2492</v>
      </c>
      <c r="E241" s="264" t="s">
        <v>704</v>
      </c>
      <c r="F241" s="265" t="s">
        <v>705</v>
      </c>
      <c r="G241" s="265"/>
      <c r="H241" s="264" t="s">
        <v>166</v>
      </c>
      <c r="I241" s="264" t="s">
        <v>176</v>
      </c>
      <c r="J241" s="212" t="s">
        <v>2583</v>
      </c>
      <c r="K241" s="212"/>
      <c r="L241" s="272">
        <v>44558</v>
      </c>
      <c r="M241" s="272">
        <v>44558</v>
      </c>
      <c r="N241" s="272">
        <v>44482</v>
      </c>
      <c r="O241" s="272">
        <v>44475</v>
      </c>
      <c r="P241" s="272">
        <f>IFERROR(IF(VLOOKUP(功能_33[[#This Row],[功能代號]],討論項目!A:H,8,FALSE)=0,"",VLOOKUP(功能_33[[#This Row],[功能代號]],討論項目!A:H,8,FALSE)),"")</f>
        <v>44475</v>
      </c>
      <c r="Q241" s="264" t="s">
        <v>1</v>
      </c>
      <c r="R241" s="264" t="s">
        <v>8</v>
      </c>
      <c r="S241" s="264" t="s">
        <v>8</v>
      </c>
      <c r="X241" s="264"/>
      <c r="Z241" s="264"/>
      <c r="AA241" s="264"/>
      <c r="AB241" s="265" t="str">
        <f>VLOOKUP(功能_33[[#This Row],[User]],SKL放款!A:G,7,FALSE)</f>
        <v>放款管理課</v>
      </c>
      <c r="AC241" s="272">
        <v>44533</v>
      </c>
      <c r="AD241" s="272" t="s">
        <v>107</v>
      </c>
      <c r="AE241" s="272">
        <v>44530</v>
      </c>
      <c r="AF241" s="272">
        <v>44530</v>
      </c>
      <c r="AG241" s="209">
        <v>44539</v>
      </c>
      <c r="AH241" s="272"/>
      <c r="AI241" s="272"/>
      <c r="AJ241" s="322"/>
      <c r="AK241" s="272">
        <f>IFERROR(IF(VLOOKUP(功能_33[[#This Row],[功能代號]],E:U,11,FALSE)=0,"",VLOOKUP(功能_33[[#This Row],[功能代號]],E:U,11,FALSE)),"")</f>
        <v>44475</v>
      </c>
      <c r="AL241" s="272"/>
      <c r="AM241" s="272"/>
      <c r="AN241" s="265"/>
      <c r="AO241" s="272"/>
      <c r="AP241" s="264">
        <v>226</v>
      </c>
      <c r="AQ241" s="265" t="s">
        <v>706</v>
      </c>
      <c r="AR241" s="593" t="s">
        <v>3207</v>
      </c>
      <c r="AS241" s="483" t="str">
        <f>IF(COUNTA(AG241)=1,LEFT(D241,3),"")</f>
        <v>2-5</v>
      </c>
      <c r="AT241" s="485" t="str">
        <f>IF(AND(COUNTA(O241)=1,COUNTA(P241)=1,COUNTA(AC241)=1,COUNTA(AF241)=1,COUNTA(AG241)=0),LEFT(D241,3),"")</f>
        <v/>
      </c>
      <c r="AU241" s="487" t="str">
        <f>IF(AND(COUNTA(O241)=1,COUNTA(P241)=1,COUNTA(AC241)=1,COUNTA(AF241)=0,COUNTA(AG241)=0),LEFT(D241,3),"")</f>
        <v/>
      </c>
      <c r="AV241" s="489" t="str">
        <f>IF(AND(COUNTA(P241)=0,COUNTA(AC241)=1),LEFT(D241,3),"")</f>
        <v/>
      </c>
      <c r="AW241" s="491" t="str">
        <f>IF(AND(COUNTA(P241)=1,COUNTA(AC241)=0),LEFT(D241,3),"")</f>
        <v/>
      </c>
      <c r="AX241" s="493" t="str">
        <f>IF(AND(COUNTA(P241)=0,COUNTA(AC241)=0),LEFT(D241,3),"")</f>
        <v/>
      </c>
      <c r="AY241" s="514" t="str">
        <f>IFERROR(VLOOKUP(功能_33[[#This Row],[功能代號]],SIT_FT_2021tmp!D:D,1,FALSE),"")</f>
        <v>L2078</v>
      </c>
      <c r="AZ241" s="587">
        <v>44559</v>
      </c>
      <c r="BA241" s="587">
        <v>44559</v>
      </c>
      <c r="BB241" s="514" t="s">
        <v>3073</v>
      </c>
      <c r="BC241" s="265" t="s">
        <v>3043</v>
      </c>
      <c r="BD241" s="593"/>
      <c r="BE241" s="264" t="str">
        <f>IF(AND(COUNTIF(AY241,"&gt;&lt;0")=1,COUNTA(M241)=1),LEFT(D241,3),"")</f>
        <v>2-5</v>
      </c>
      <c r="BF241" s="264" t="str">
        <f>IF(AND(COUNTIF(AY241,"&gt;&lt;")=1,COUNTA(M241)=0),LEFT(D241,3),"")</f>
        <v/>
      </c>
      <c r="BG241" s="264" t="str">
        <f>IF(AND(COUNTIF(AY241,"&gt;&lt;0")=0,COUNTA(M241)=1),LEFT(D241,3),"")</f>
        <v/>
      </c>
      <c r="BH241" s="264" t="str">
        <f>IF(AND(COUNTIF(AY241,"&gt;&lt;0")=0,COUNTA(M241)=0),LEFT(D241,3),"")</f>
        <v/>
      </c>
    </row>
    <row r="242" spans="1:60" ht="13.5" x14ac:dyDescent="0.3">
      <c r="C242" s="265" t="s">
        <v>66</v>
      </c>
      <c r="D242" s="265" t="s">
        <v>2492</v>
      </c>
      <c r="E242" s="264" t="s">
        <v>707</v>
      </c>
      <c r="F242" s="265" t="s">
        <v>708</v>
      </c>
      <c r="G242" s="265"/>
      <c r="H242" s="264" t="s">
        <v>166</v>
      </c>
      <c r="I242" s="264" t="s">
        <v>176</v>
      </c>
      <c r="J242" s="212" t="s">
        <v>2583</v>
      </c>
      <c r="K242" s="212"/>
      <c r="L242" s="272">
        <v>44558</v>
      </c>
      <c r="M242" s="272">
        <v>44558</v>
      </c>
      <c r="N242" s="272">
        <v>44482</v>
      </c>
      <c r="O242" s="272">
        <v>44475</v>
      </c>
      <c r="P242" s="272">
        <v>44536</v>
      </c>
      <c r="Q242" s="264" t="s">
        <v>1</v>
      </c>
      <c r="R242" s="264" t="s">
        <v>8</v>
      </c>
      <c r="S242" s="264" t="s">
        <v>8</v>
      </c>
      <c r="X242" s="264"/>
      <c r="Z242" s="264"/>
      <c r="AA242" s="264"/>
      <c r="AB242" s="265" t="str">
        <f>VLOOKUP(功能_33[[#This Row],[User]],SKL放款!A:G,7,FALSE)</f>
        <v>放款管理課</v>
      </c>
      <c r="AC242" s="272">
        <v>44533</v>
      </c>
      <c r="AD242" s="272" t="s">
        <v>168</v>
      </c>
      <c r="AE242" s="272">
        <v>44477</v>
      </c>
      <c r="AF242" s="272">
        <v>44477</v>
      </c>
      <c r="AG242" s="209">
        <v>44539</v>
      </c>
      <c r="AH242" s="272" t="s">
        <v>169</v>
      </c>
      <c r="AI242" s="272"/>
      <c r="AJ242" s="322"/>
      <c r="AK242" s="272">
        <f>IFERROR(IF(VLOOKUP(功能_33[[#This Row],[功能代號]],E:U,11,FALSE)=0,"",VLOOKUP(功能_33[[#This Row],[功能代號]],E:U,11,FALSE)),"")</f>
        <v>44475</v>
      </c>
      <c r="AL242" s="272"/>
      <c r="AM242" s="272"/>
      <c r="AN242" s="265"/>
      <c r="AO242" s="272"/>
      <c r="AP242" s="264">
        <v>226</v>
      </c>
      <c r="AQ242" s="265" t="s">
        <v>709</v>
      </c>
      <c r="AR242" s="593" t="s">
        <v>3207</v>
      </c>
      <c r="AS242" s="483" t="str">
        <f>IF(COUNTA(AG242)=1,LEFT(D242,3),"")</f>
        <v>2-5</v>
      </c>
      <c r="AT242" s="485" t="str">
        <f>IF(AND(COUNTA(O242)=1,COUNTA(P242)=1,COUNTA(AC242)=1,COUNTA(AF242)=1,COUNTA(AG242)=0),LEFT(D242,3),"")</f>
        <v/>
      </c>
      <c r="AU242" s="487" t="str">
        <f>IF(AND(COUNTA(O242)=1,COUNTA(P242)=1,COUNTA(AC242)=1,COUNTA(AF242)=0,COUNTA(AG242)=0),LEFT(D242,3),"")</f>
        <v/>
      </c>
      <c r="AV242" s="489" t="str">
        <f>IF(AND(COUNTA(P242)=0,COUNTA(AC242)=1),LEFT(D242,3),"")</f>
        <v/>
      </c>
      <c r="AW242" s="491" t="str">
        <f>IF(AND(COUNTA(P242)=1,COUNTA(AC242)=0),LEFT(D242,3),"")</f>
        <v/>
      </c>
      <c r="AX242" s="493" t="str">
        <f>IF(AND(COUNTA(P242)=0,COUNTA(AC242)=0),LEFT(D242,3),"")</f>
        <v/>
      </c>
      <c r="AY242" s="514" t="str">
        <f>IFERROR(VLOOKUP(功能_33[[#This Row],[功能代號]],SIT_FT_2021tmp!D:D,1,FALSE),"")</f>
        <v>L2601</v>
      </c>
      <c r="AZ242" s="587">
        <v>44546</v>
      </c>
      <c r="BA242" s="587">
        <v>44546</v>
      </c>
      <c r="BB242" s="514" t="s">
        <v>3073</v>
      </c>
      <c r="BC242" s="265" t="s">
        <v>3046</v>
      </c>
      <c r="BD242" s="593"/>
      <c r="BE242" s="264" t="str">
        <f>IF(AND(COUNTIF(AY242,"&gt;&lt;0")=1,COUNTA(M242)=1),LEFT(D242,3),"")</f>
        <v>2-5</v>
      </c>
      <c r="BF242" s="264" t="str">
        <f>IF(AND(COUNTIF(AY242,"&gt;&lt;")=1,COUNTA(M242)=0),LEFT(D242,3),"")</f>
        <v/>
      </c>
      <c r="BG242" s="264" t="str">
        <f>IF(AND(COUNTIF(AY242,"&gt;&lt;0")=0,COUNTA(M242)=1),LEFT(D242,3),"")</f>
        <v/>
      </c>
      <c r="BH242" s="264" t="str">
        <f>IF(AND(COUNTIF(AY242,"&gt;&lt;0")=0,COUNTA(M242)=0),LEFT(D242,3),"")</f>
        <v/>
      </c>
    </row>
    <row r="243" spans="1:60" ht="13.5" x14ac:dyDescent="0.3">
      <c r="C243" s="265" t="s">
        <v>66</v>
      </c>
      <c r="D243" s="265" t="s">
        <v>2492</v>
      </c>
      <c r="E243" s="264" t="s">
        <v>710</v>
      </c>
      <c r="F243" s="265" t="s">
        <v>711</v>
      </c>
      <c r="G243" s="265"/>
      <c r="H243" s="264" t="s">
        <v>166</v>
      </c>
      <c r="I243" s="264" t="s">
        <v>176</v>
      </c>
      <c r="J243" s="212" t="s">
        <v>2583</v>
      </c>
      <c r="K243" s="212"/>
      <c r="L243" s="272">
        <v>44558</v>
      </c>
      <c r="M243" s="272">
        <v>44558</v>
      </c>
      <c r="N243" s="272">
        <v>44482</v>
      </c>
      <c r="O243" s="272">
        <v>44475</v>
      </c>
      <c r="P243" s="272">
        <v>44536</v>
      </c>
      <c r="Q243" s="264" t="s">
        <v>1</v>
      </c>
      <c r="R243" s="264" t="s">
        <v>8</v>
      </c>
      <c r="S243" s="264" t="s">
        <v>8</v>
      </c>
      <c r="X243" s="264"/>
      <c r="Z243" s="264"/>
      <c r="AA243" s="264"/>
      <c r="AB243" s="265" t="str">
        <f>VLOOKUP(功能_33[[#This Row],[User]],SKL放款!A:G,7,FALSE)</f>
        <v>放款管理課</v>
      </c>
      <c r="AC243" s="272">
        <v>44533</v>
      </c>
      <c r="AD243" s="272" t="s">
        <v>168</v>
      </c>
      <c r="AE243" s="272">
        <v>44477</v>
      </c>
      <c r="AF243" s="272">
        <v>44477</v>
      </c>
      <c r="AG243" s="209">
        <v>44539</v>
      </c>
      <c r="AH243" s="272" t="s">
        <v>169</v>
      </c>
      <c r="AI243" s="272"/>
      <c r="AJ243" s="322"/>
      <c r="AK243" s="272">
        <f>IFERROR(IF(VLOOKUP(功能_33[[#This Row],[功能代號]],E:U,11,FALSE)=0,"",VLOOKUP(功能_33[[#This Row],[功能代號]],E:U,11,FALSE)),"")</f>
        <v>44475</v>
      </c>
      <c r="AL243" s="272"/>
      <c r="AM243" s="272"/>
      <c r="AN243" s="265"/>
      <c r="AO243" s="272"/>
      <c r="AP243" s="264">
        <v>226</v>
      </c>
      <c r="AQ243" s="265" t="s">
        <v>712</v>
      </c>
      <c r="AR243" s="593" t="s">
        <v>3207</v>
      </c>
      <c r="AS243" s="483" t="str">
        <f>IF(COUNTA(AG243)=1,LEFT(D243,3),"")</f>
        <v>2-5</v>
      </c>
      <c r="AT243" s="485" t="str">
        <f>IF(AND(COUNTA(O243)=1,COUNTA(P243)=1,COUNTA(AC243)=1,COUNTA(AF243)=1,COUNTA(AG243)=0),LEFT(D243,3),"")</f>
        <v/>
      </c>
      <c r="AU243" s="487" t="str">
        <f>IF(AND(COUNTA(O243)=1,COUNTA(P243)=1,COUNTA(AC243)=1,COUNTA(AF243)=0,COUNTA(AG243)=0),LEFT(D243,3),"")</f>
        <v/>
      </c>
      <c r="AV243" s="489" t="str">
        <f>IF(AND(COUNTA(P243)=0,COUNTA(AC243)=1),LEFT(D243,3),"")</f>
        <v/>
      </c>
      <c r="AW243" s="491" t="str">
        <f>IF(AND(COUNTA(P243)=1,COUNTA(AC243)=0),LEFT(D243,3),"")</f>
        <v/>
      </c>
      <c r="AX243" s="493" t="str">
        <f>IF(AND(COUNTA(P243)=0,COUNTA(AC243)=0),LEFT(D243,3),"")</f>
        <v/>
      </c>
      <c r="AY243" s="514" t="str">
        <f>IFERROR(VLOOKUP(功能_33[[#This Row],[功能代號]],SIT_FT_2021tmp!D:D,1,FALSE),"")</f>
        <v>L2602</v>
      </c>
      <c r="AZ243" s="587">
        <v>44546</v>
      </c>
      <c r="BA243" s="587">
        <v>44546</v>
      </c>
      <c r="BB243" s="514" t="s">
        <v>3073</v>
      </c>
      <c r="BC243" s="265" t="s">
        <v>3046</v>
      </c>
      <c r="BD243" s="593"/>
      <c r="BE243" s="264" t="str">
        <f>IF(AND(COUNTIF(AY243,"&gt;&lt;0")=1,COUNTA(M243)=1),LEFT(D243,3),"")</f>
        <v>2-5</v>
      </c>
      <c r="BF243" s="264" t="str">
        <f>IF(AND(COUNTIF(AY243,"&gt;&lt;")=1,COUNTA(M243)=0),LEFT(D243,3),"")</f>
        <v/>
      </c>
      <c r="BG243" s="264" t="str">
        <f>IF(AND(COUNTIF(AY243,"&gt;&lt;0")=0,COUNTA(M243)=1),LEFT(D243,3),"")</f>
        <v/>
      </c>
      <c r="BH243" s="264" t="str">
        <f>IF(AND(COUNTIF(AY243,"&gt;&lt;0")=0,COUNTA(M243)=0),LEFT(D243,3),"")</f>
        <v/>
      </c>
    </row>
    <row r="244" spans="1:60" ht="13.5" x14ac:dyDescent="0.3">
      <c r="C244" s="265" t="s">
        <v>66</v>
      </c>
      <c r="D244" s="265" t="s">
        <v>2492</v>
      </c>
      <c r="E244" s="264" t="s">
        <v>713</v>
      </c>
      <c r="F244" s="265" t="s">
        <v>714</v>
      </c>
      <c r="G244" s="265"/>
      <c r="H244" s="264" t="s">
        <v>166</v>
      </c>
      <c r="I244" s="264" t="s">
        <v>176</v>
      </c>
      <c r="J244" s="212" t="s">
        <v>2583</v>
      </c>
      <c r="K244" s="212"/>
      <c r="L244" s="272">
        <v>44558</v>
      </c>
      <c r="M244" s="272">
        <v>44558</v>
      </c>
      <c r="N244" s="272">
        <v>44482</v>
      </c>
      <c r="O244" s="272">
        <v>44475</v>
      </c>
      <c r="P244" s="272">
        <v>44536</v>
      </c>
      <c r="Q244" s="264" t="s">
        <v>1</v>
      </c>
      <c r="R244" s="264" t="s">
        <v>8</v>
      </c>
      <c r="S244" s="264" t="s">
        <v>8</v>
      </c>
      <c r="X244" s="264"/>
      <c r="Z244" s="264"/>
      <c r="AA244" s="264"/>
      <c r="AB244" s="265" t="str">
        <f>VLOOKUP(功能_33[[#This Row],[User]],SKL放款!A:G,7,FALSE)</f>
        <v>放款管理課</v>
      </c>
      <c r="AC244" s="272">
        <v>44533</v>
      </c>
      <c r="AD244" s="272" t="s">
        <v>168</v>
      </c>
      <c r="AE244" s="272">
        <v>44477</v>
      </c>
      <c r="AF244" s="272">
        <v>44477</v>
      </c>
      <c r="AG244" s="209">
        <v>44539</v>
      </c>
      <c r="AH244" s="272" t="s">
        <v>169</v>
      </c>
      <c r="AI244" s="272"/>
      <c r="AJ244" s="322"/>
      <c r="AK244" s="272">
        <f>IFERROR(IF(VLOOKUP(功能_33[[#This Row],[功能代號]],E:U,11,FALSE)=0,"",VLOOKUP(功能_33[[#This Row],[功能代號]],E:U,11,FALSE)),"")</f>
        <v>44475</v>
      </c>
      <c r="AL244" s="272"/>
      <c r="AM244" s="272"/>
      <c r="AN244" s="265"/>
      <c r="AO244" s="272"/>
      <c r="AP244" s="264">
        <v>226</v>
      </c>
      <c r="AQ244" s="265" t="s">
        <v>715</v>
      </c>
      <c r="AR244" s="593" t="s">
        <v>3207</v>
      </c>
      <c r="AS244" s="483" t="str">
        <f>IF(COUNTA(AG244)=1,LEFT(D244,3),"")</f>
        <v>2-5</v>
      </c>
      <c r="AT244" s="485" t="str">
        <f>IF(AND(COUNTA(O244)=1,COUNTA(P244)=1,COUNTA(AC244)=1,COUNTA(AF244)=1,COUNTA(AG244)=0),LEFT(D244,3),"")</f>
        <v/>
      </c>
      <c r="AU244" s="487" t="str">
        <f>IF(AND(COUNTA(O244)=1,COUNTA(P244)=1,COUNTA(AC244)=1,COUNTA(AF244)=0,COUNTA(AG244)=0),LEFT(D244,3),"")</f>
        <v/>
      </c>
      <c r="AV244" s="489" t="str">
        <f>IF(AND(COUNTA(P244)=0,COUNTA(AC244)=1),LEFT(D244,3),"")</f>
        <v/>
      </c>
      <c r="AW244" s="491" t="str">
        <f>IF(AND(COUNTA(P244)=1,COUNTA(AC244)=0),LEFT(D244,3),"")</f>
        <v/>
      </c>
      <c r="AX244" s="493" t="str">
        <f>IF(AND(COUNTA(P244)=0,COUNTA(AC244)=0),LEFT(D244,3),"")</f>
        <v/>
      </c>
      <c r="AY244" s="514" t="str">
        <f>IFERROR(VLOOKUP(功能_33[[#This Row],[功能代號]],SIT_FT_2021tmp!D:D,1,FALSE),"")</f>
        <v>L2941</v>
      </c>
      <c r="AZ244" s="587">
        <v>44546</v>
      </c>
      <c r="BA244" s="587">
        <v>44546</v>
      </c>
      <c r="BB244" s="514" t="s">
        <v>3073</v>
      </c>
      <c r="BC244" s="265" t="s">
        <v>3046</v>
      </c>
      <c r="BD244" s="593"/>
      <c r="BE244" s="264" t="str">
        <f>IF(AND(COUNTIF(AY244,"&gt;&lt;0")=1,COUNTA(M244)=1),LEFT(D244,3),"")</f>
        <v>2-5</v>
      </c>
      <c r="BF244" s="264" t="str">
        <f>IF(AND(COUNTIF(AY244,"&gt;&lt;")=1,COUNTA(M244)=0),LEFT(D244,3),"")</f>
        <v/>
      </c>
      <c r="BG244" s="264" t="str">
        <f>IF(AND(COUNTIF(AY244,"&gt;&lt;0")=0,COUNTA(M244)=1),LEFT(D244,3),"")</f>
        <v/>
      </c>
      <c r="BH244" s="264" t="str">
        <f>IF(AND(COUNTIF(AY244,"&gt;&lt;0")=0,COUNTA(M244)=0),LEFT(D244,3),"")</f>
        <v/>
      </c>
    </row>
    <row r="245" spans="1:60" ht="13.5" x14ac:dyDescent="0.3">
      <c r="C245" s="265" t="s">
        <v>66</v>
      </c>
      <c r="D245" s="265" t="s">
        <v>2492</v>
      </c>
      <c r="E245" s="264" t="s">
        <v>716</v>
      </c>
      <c r="F245" s="265" t="s">
        <v>717</v>
      </c>
      <c r="G245" s="265"/>
      <c r="H245" s="264" t="s">
        <v>166</v>
      </c>
      <c r="I245" s="264" t="s">
        <v>176</v>
      </c>
      <c r="J245" s="212" t="s">
        <v>2583</v>
      </c>
      <c r="K245" s="212"/>
      <c r="L245" s="272">
        <v>44558</v>
      </c>
      <c r="M245" s="272">
        <v>44558</v>
      </c>
      <c r="N245" s="272">
        <v>44482</v>
      </c>
      <c r="O245" s="272">
        <v>44475</v>
      </c>
      <c r="P245" s="272">
        <v>44536</v>
      </c>
      <c r="Q245" s="264" t="s">
        <v>1</v>
      </c>
      <c r="R245" s="264" t="s">
        <v>8</v>
      </c>
      <c r="S245" s="264" t="s">
        <v>8</v>
      </c>
      <c r="X245" s="264"/>
      <c r="Z245" s="264"/>
      <c r="AA245" s="264"/>
      <c r="AB245" s="265" t="str">
        <f>VLOOKUP(功能_33[[#This Row],[User]],SKL放款!A:G,7,FALSE)</f>
        <v>放款管理課</v>
      </c>
      <c r="AC245" s="272">
        <v>44533</v>
      </c>
      <c r="AD245" s="272" t="s">
        <v>168</v>
      </c>
      <c r="AE245" s="272">
        <v>44477</v>
      </c>
      <c r="AF245" s="272">
        <v>44477</v>
      </c>
      <c r="AG245" s="209">
        <v>44539</v>
      </c>
      <c r="AH245" s="272" t="s">
        <v>169</v>
      </c>
      <c r="AI245" s="272"/>
      <c r="AJ245" s="322"/>
      <c r="AK245" s="272">
        <f>IFERROR(IF(VLOOKUP(功能_33[[#This Row],[功能代號]],E:U,11,FALSE)=0,"",VLOOKUP(功能_33[[#This Row],[功能代號]],E:U,11,FALSE)),"")</f>
        <v>44475</v>
      </c>
      <c r="AL245" s="272"/>
      <c r="AM245" s="272"/>
      <c r="AN245" s="265"/>
      <c r="AO245" s="272"/>
      <c r="AP245" s="264">
        <v>226</v>
      </c>
      <c r="AQ245" s="265" t="s">
        <v>718</v>
      </c>
      <c r="AR245" s="593" t="s">
        <v>3207</v>
      </c>
      <c r="AS245" s="483" t="str">
        <f>IF(COUNTA(AG245)=1,LEFT(D245,3),"")</f>
        <v>2-5</v>
      </c>
      <c r="AT245" s="485" t="str">
        <f>IF(AND(COUNTA(O245)=1,COUNTA(P245)=1,COUNTA(AC245)=1,COUNTA(AF245)=1,COUNTA(AG245)=0),LEFT(D245,3),"")</f>
        <v/>
      </c>
      <c r="AU245" s="487" t="str">
        <f>IF(AND(COUNTA(O245)=1,COUNTA(P245)=1,COUNTA(AC245)=1,COUNTA(AF245)=0,COUNTA(AG245)=0),LEFT(D245,3),"")</f>
        <v/>
      </c>
      <c r="AV245" s="489" t="str">
        <f>IF(AND(COUNTA(P245)=0,COUNTA(AC245)=1),LEFT(D245,3),"")</f>
        <v/>
      </c>
      <c r="AW245" s="491" t="str">
        <f>IF(AND(COUNTA(P245)=1,COUNTA(AC245)=0),LEFT(D245,3),"")</f>
        <v/>
      </c>
      <c r="AX245" s="493" t="str">
        <f>IF(AND(COUNTA(P245)=0,COUNTA(AC245)=0),LEFT(D245,3),"")</f>
        <v/>
      </c>
      <c r="AY245" s="514" t="str">
        <f>IFERROR(VLOOKUP(功能_33[[#This Row],[功能代號]],SIT_FT_2021tmp!D:D,1,FALSE),"")</f>
        <v>L2942</v>
      </c>
      <c r="AZ245" s="587">
        <v>44546</v>
      </c>
      <c r="BA245" s="587">
        <v>44546</v>
      </c>
      <c r="BB245" s="514" t="s">
        <v>3073</v>
      </c>
      <c r="BC245" s="265" t="s">
        <v>3046</v>
      </c>
      <c r="BD245" s="593"/>
      <c r="BE245" s="264" t="str">
        <f>IF(AND(COUNTIF(AY245,"&gt;&lt;0")=1,COUNTA(M245)=1),LEFT(D245,3),"")</f>
        <v>2-5</v>
      </c>
      <c r="BF245" s="264" t="str">
        <f>IF(AND(COUNTIF(AY245,"&gt;&lt;")=1,COUNTA(M245)=0),LEFT(D245,3),"")</f>
        <v/>
      </c>
      <c r="BG245" s="264" t="str">
        <f>IF(AND(COUNTIF(AY245,"&gt;&lt;0")=0,COUNTA(M245)=1),LEFT(D245,3),"")</f>
        <v/>
      </c>
      <c r="BH245" s="264" t="str">
        <f>IF(AND(COUNTIF(AY245,"&gt;&lt;0")=0,COUNTA(M245)=0),LEFT(D245,3),"")</f>
        <v/>
      </c>
    </row>
    <row r="246" spans="1:60" ht="13.5" x14ac:dyDescent="0.3">
      <c r="C246" s="265" t="s">
        <v>66</v>
      </c>
      <c r="D246" s="265" t="s">
        <v>2492</v>
      </c>
      <c r="E246" s="264" t="s">
        <v>719</v>
      </c>
      <c r="F246" s="265" t="s">
        <v>720</v>
      </c>
      <c r="G246" s="265"/>
      <c r="H246" s="264" t="s">
        <v>166</v>
      </c>
      <c r="I246" s="264" t="s">
        <v>176</v>
      </c>
      <c r="J246" s="212" t="s">
        <v>2583</v>
      </c>
      <c r="K246" s="212"/>
      <c r="L246" s="272">
        <v>44558</v>
      </c>
      <c r="M246" s="272">
        <v>44558</v>
      </c>
      <c r="N246" s="272">
        <v>44487</v>
      </c>
      <c r="O246" s="272">
        <v>44475</v>
      </c>
      <c r="P246" s="272">
        <v>44536</v>
      </c>
      <c r="Q246" s="264" t="s">
        <v>1</v>
      </c>
      <c r="R246" s="264" t="s">
        <v>8</v>
      </c>
      <c r="S246" s="264" t="s">
        <v>8</v>
      </c>
      <c r="X246" s="264"/>
      <c r="Z246" s="264"/>
      <c r="AA246" s="264"/>
      <c r="AB246" s="265" t="str">
        <f>VLOOKUP(功能_33[[#This Row],[User]],SKL放款!A:G,7,FALSE)</f>
        <v>放款管理課</v>
      </c>
      <c r="AC246" s="272">
        <v>44533</v>
      </c>
      <c r="AD246" s="272" t="s">
        <v>168</v>
      </c>
      <c r="AE246" s="272">
        <v>44477</v>
      </c>
      <c r="AF246" s="272">
        <v>44477</v>
      </c>
      <c r="AG246" s="209">
        <v>44539</v>
      </c>
      <c r="AH246" s="272" t="s">
        <v>169</v>
      </c>
      <c r="AI246" s="272"/>
      <c r="AJ246" s="322"/>
      <c r="AK246" s="272">
        <f>IFERROR(IF(VLOOKUP(功能_33[[#This Row],[功能代號]],E:U,11,FALSE)=0,"",VLOOKUP(功能_33[[#This Row],[功能代號]],E:U,11,FALSE)),"")</f>
        <v>44475</v>
      </c>
      <c r="AL246" s="272"/>
      <c r="AM246" s="272"/>
      <c r="AN246" s="265"/>
      <c r="AO246" s="272"/>
      <c r="AP246" s="264">
        <v>226</v>
      </c>
      <c r="AQ246" s="265" t="s">
        <v>721</v>
      </c>
      <c r="AR246" s="593" t="s">
        <v>3207</v>
      </c>
      <c r="AS246" s="483" t="str">
        <f>IF(COUNTA(AG246)=1,LEFT(D246,3),"")</f>
        <v>2-5</v>
      </c>
      <c r="AT246" s="485" t="str">
        <f>IF(AND(COUNTA(O246)=1,COUNTA(P246)=1,COUNTA(AC246)=1,COUNTA(AF246)=1,COUNTA(AG246)=0),LEFT(D246,3),"")</f>
        <v/>
      </c>
      <c r="AU246" s="487" t="str">
        <f>IF(AND(COUNTA(O246)=1,COUNTA(P246)=1,COUNTA(AC246)=1,COUNTA(AF246)=0,COUNTA(AG246)=0),LEFT(D246,3),"")</f>
        <v/>
      </c>
      <c r="AV246" s="489" t="str">
        <f>IF(AND(COUNTA(P246)=0,COUNTA(AC246)=1),LEFT(D246,3),"")</f>
        <v/>
      </c>
      <c r="AW246" s="491" t="str">
        <f>IF(AND(COUNTA(P246)=1,COUNTA(AC246)=0),LEFT(D246,3),"")</f>
        <v/>
      </c>
      <c r="AX246" s="493" t="str">
        <f>IF(AND(COUNTA(P246)=0,COUNTA(AC246)=0),LEFT(D246,3),"")</f>
        <v/>
      </c>
      <c r="AY246" s="514" t="str">
        <f>IFERROR(VLOOKUP(功能_33[[#This Row],[功能代號]],SIT_FT_2021tmp!D:D,1,FALSE),"")</f>
        <v>L2605</v>
      </c>
      <c r="AZ246" s="587">
        <v>44546</v>
      </c>
      <c r="BA246" s="587">
        <v>44546</v>
      </c>
      <c r="BB246" s="514" t="s">
        <v>3073</v>
      </c>
      <c r="BC246" s="265" t="s">
        <v>3046</v>
      </c>
      <c r="BD246" s="593"/>
      <c r="BE246" s="264" t="str">
        <f>IF(AND(COUNTIF(AY246,"&gt;&lt;0")=1,COUNTA(M246)=1),LEFT(D246,3),"")</f>
        <v>2-5</v>
      </c>
      <c r="BF246" s="264" t="str">
        <f>IF(AND(COUNTIF(AY246,"&gt;&lt;")=1,COUNTA(M246)=0),LEFT(D246,3),"")</f>
        <v/>
      </c>
      <c r="BG246" s="264" t="str">
        <f>IF(AND(COUNTIF(AY246,"&gt;&lt;0")=0,COUNTA(M246)=1),LEFT(D246,3),"")</f>
        <v/>
      </c>
      <c r="BH246" s="264" t="str">
        <f>IF(AND(COUNTIF(AY246,"&gt;&lt;0")=0,COUNTA(M246)=0),LEFT(D246,3),"")</f>
        <v/>
      </c>
    </row>
    <row r="247" spans="1:60" ht="13.5" x14ac:dyDescent="0.3">
      <c r="C247" s="265" t="s">
        <v>66</v>
      </c>
      <c r="D247" s="265" t="s">
        <v>2492</v>
      </c>
      <c r="E247" s="264" t="s">
        <v>722</v>
      </c>
      <c r="F247" s="265" t="s">
        <v>723</v>
      </c>
      <c r="G247" s="265"/>
      <c r="H247" s="264" t="s">
        <v>166</v>
      </c>
      <c r="I247" s="264" t="s">
        <v>176</v>
      </c>
      <c r="J247" s="212" t="s">
        <v>2583</v>
      </c>
      <c r="K247" s="212"/>
      <c r="L247" s="272">
        <v>44558</v>
      </c>
      <c r="M247" s="272">
        <v>44558</v>
      </c>
      <c r="N247" s="272">
        <v>44487</v>
      </c>
      <c r="O247" s="272">
        <v>44475</v>
      </c>
      <c r="P247" s="272">
        <v>44536</v>
      </c>
      <c r="Q247" s="264" t="s">
        <v>1</v>
      </c>
      <c r="R247" s="264" t="s">
        <v>8</v>
      </c>
      <c r="S247" s="264" t="s">
        <v>8</v>
      </c>
      <c r="X247" s="264"/>
      <c r="Z247" s="264"/>
      <c r="AA247" s="264"/>
      <c r="AB247" s="265" t="str">
        <f>VLOOKUP(功能_33[[#This Row],[User]],SKL放款!A:G,7,FALSE)</f>
        <v>放款管理課</v>
      </c>
      <c r="AC247" s="272">
        <v>44533</v>
      </c>
      <c r="AD247" s="272" t="s">
        <v>168</v>
      </c>
      <c r="AE247" s="272">
        <v>44477</v>
      </c>
      <c r="AF247" s="272">
        <v>44477</v>
      </c>
      <c r="AG247" s="209">
        <v>44539</v>
      </c>
      <c r="AH247" s="272" t="s">
        <v>169</v>
      </c>
      <c r="AI247" s="272"/>
      <c r="AJ247" s="322"/>
      <c r="AK247" s="272">
        <f>IFERROR(IF(VLOOKUP(功能_33[[#This Row],[功能代號]],E:U,11,FALSE)=0,"",VLOOKUP(功能_33[[#This Row],[功能代號]],E:U,11,FALSE)),"")</f>
        <v>44475</v>
      </c>
      <c r="AL247" s="272"/>
      <c r="AM247" s="272"/>
      <c r="AN247" s="265"/>
      <c r="AO247" s="272"/>
      <c r="AP247" s="264">
        <v>226</v>
      </c>
      <c r="AQ247" s="265" t="s">
        <v>724</v>
      </c>
      <c r="AR247" s="593" t="s">
        <v>3207</v>
      </c>
      <c r="AS247" s="483" t="str">
        <f>IF(COUNTA(AG247)=1,LEFT(D247,3),"")</f>
        <v>2-5</v>
      </c>
      <c r="AT247" s="485" t="str">
        <f>IF(AND(COUNTA(O247)=1,COUNTA(P247)=1,COUNTA(AC247)=1,COUNTA(AF247)=1,COUNTA(AG247)=0),LEFT(D247,3),"")</f>
        <v/>
      </c>
      <c r="AU247" s="487" t="str">
        <f>IF(AND(COUNTA(O247)=1,COUNTA(P247)=1,COUNTA(AC247)=1,COUNTA(AF247)=0,COUNTA(AG247)=0),LEFT(D247,3),"")</f>
        <v/>
      </c>
      <c r="AV247" s="489" t="str">
        <f>IF(AND(COUNTA(P247)=0,COUNTA(AC247)=1),LEFT(D247,3),"")</f>
        <v/>
      </c>
      <c r="AW247" s="491" t="str">
        <f>IF(AND(COUNTA(P247)=1,COUNTA(AC247)=0),LEFT(D247,3),"")</f>
        <v/>
      </c>
      <c r="AX247" s="493" t="str">
        <f>IF(AND(COUNTA(P247)=0,COUNTA(AC247)=0),LEFT(D247,3),"")</f>
        <v/>
      </c>
      <c r="AY247" s="514" t="str">
        <f>IFERROR(VLOOKUP(功能_33[[#This Row],[功能代號]],SIT_FT_2021tmp!D:D,1,FALSE),"")</f>
        <v>L2613</v>
      </c>
      <c r="AZ247" s="587">
        <v>44559</v>
      </c>
      <c r="BA247" s="587">
        <v>44559</v>
      </c>
      <c r="BB247" s="514" t="s">
        <v>3073</v>
      </c>
      <c r="BC247" s="265" t="s">
        <v>3043</v>
      </c>
      <c r="BD247" s="593"/>
      <c r="BE247" s="264" t="str">
        <f>IF(AND(COUNTIF(AY247,"&gt;&lt;0")=1,COUNTA(M247)=1),LEFT(D247,3),"")</f>
        <v>2-5</v>
      </c>
      <c r="BF247" s="264" t="str">
        <f>IF(AND(COUNTIF(AY247,"&gt;&lt;")=1,COUNTA(M247)=0),LEFT(D247,3),"")</f>
        <v/>
      </c>
      <c r="BG247" s="264" t="str">
        <f>IF(AND(COUNTIF(AY247,"&gt;&lt;0")=0,COUNTA(M247)=1),LEFT(D247,3),"")</f>
        <v/>
      </c>
      <c r="BH247" s="264" t="str">
        <f>IF(AND(COUNTIF(AY247,"&gt;&lt;0")=0,COUNTA(M247)=0),LEFT(D247,3),"")</f>
        <v/>
      </c>
    </row>
    <row r="248" spans="1:60" ht="13.5" x14ac:dyDescent="0.3">
      <c r="C248" s="265" t="s">
        <v>66</v>
      </c>
      <c r="D248" s="265" t="s">
        <v>2492</v>
      </c>
      <c r="E248" s="264" t="s">
        <v>725</v>
      </c>
      <c r="F248" s="265" t="s">
        <v>726</v>
      </c>
      <c r="G248" s="265"/>
      <c r="H248" s="264" t="s">
        <v>166</v>
      </c>
      <c r="I248" s="264" t="s">
        <v>176</v>
      </c>
      <c r="J248" s="212" t="s">
        <v>2583</v>
      </c>
      <c r="K248" s="212"/>
      <c r="L248" s="272">
        <v>44558</v>
      </c>
      <c r="M248" s="272">
        <v>44558</v>
      </c>
      <c r="N248" s="272">
        <v>44487</v>
      </c>
      <c r="O248" s="272">
        <v>44488</v>
      </c>
      <c r="P248" s="272">
        <v>44536</v>
      </c>
      <c r="Q248" s="264" t="s">
        <v>1</v>
      </c>
      <c r="R248" s="264" t="s">
        <v>15</v>
      </c>
      <c r="S248" s="264" t="s">
        <v>15</v>
      </c>
      <c r="T248" s="265" t="s">
        <v>8</v>
      </c>
      <c r="U248" s="265" t="s">
        <v>727</v>
      </c>
      <c r="X248" s="264"/>
      <c r="Z248" s="264"/>
      <c r="AA248" s="264"/>
      <c r="AB248" s="265" t="str">
        <f>VLOOKUP(功能_33[[#This Row],[User]],SKL放款!A:G,7,FALSE)</f>
        <v>放款服務課</v>
      </c>
      <c r="AC248" s="272">
        <v>44533</v>
      </c>
      <c r="AD248" s="272" t="s">
        <v>168</v>
      </c>
      <c r="AE248" s="272">
        <v>44477</v>
      </c>
      <c r="AF248" s="272">
        <v>44477</v>
      </c>
      <c r="AG248" s="209">
        <v>44539</v>
      </c>
      <c r="AH248" s="272" t="s">
        <v>169</v>
      </c>
      <c r="AI248" s="211"/>
      <c r="AJ248" s="272"/>
      <c r="AK248" s="211">
        <f>IFERROR(IF(VLOOKUP(功能_33[[#This Row],[功能代號]],E:U,11,FALSE)=0,"",VLOOKUP(功能_33[[#This Row],[功能代號]],E:U,11,FALSE)),"")</f>
        <v>44488</v>
      </c>
      <c r="AL248" s="265">
        <v>180</v>
      </c>
      <c r="AM248" s="265"/>
      <c r="AN248" s="265"/>
      <c r="AP248" s="264">
        <v>226</v>
      </c>
      <c r="AQ248" s="265" t="s">
        <v>728</v>
      </c>
      <c r="AR248" s="593" t="s">
        <v>3207</v>
      </c>
      <c r="AS248" s="483" t="str">
        <f>IF(COUNTA(AG248)=1,LEFT(D248,3),"")</f>
        <v>2-5</v>
      </c>
      <c r="AT248" s="485" t="str">
        <f>IF(AND(COUNTA(O248)=1,COUNTA(P248)=1,COUNTA(AC248)=1,COUNTA(AF248)=1,COUNTA(AG248)=0),LEFT(D248,3),"")</f>
        <v/>
      </c>
      <c r="AU248" s="487" t="str">
        <f>IF(AND(COUNTA(O248)=1,COUNTA(P248)=1,COUNTA(AC248)=1,COUNTA(AF248)=0,COUNTA(AG248)=0),LEFT(D248,3),"")</f>
        <v/>
      </c>
      <c r="AV248" s="489" t="str">
        <f>IF(AND(COUNTA(P248)=0,COUNTA(AC248)=1),LEFT(D248,3),"")</f>
        <v/>
      </c>
      <c r="AW248" s="491" t="str">
        <f>IF(AND(COUNTA(P248)=1,COUNTA(AC248)=0),LEFT(D248,3),"")</f>
        <v/>
      </c>
      <c r="AX248" s="493" t="str">
        <f>IF(AND(COUNTA(P248)=0,COUNTA(AC248)=0),LEFT(D248,3),"")</f>
        <v/>
      </c>
      <c r="AY248" s="514" t="str">
        <f>IFERROR(VLOOKUP(功能_33[[#This Row],[功能代號]],SIT_FT_2021tmp!D:D,1,FALSE),"")</f>
        <v>L2614</v>
      </c>
      <c r="AZ248" s="587">
        <v>44559</v>
      </c>
      <c r="BA248" s="587">
        <v>44559</v>
      </c>
      <c r="BB248" s="514" t="s">
        <v>3073</v>
      </c>
      <c r="BC248" s="265" t="s">
        <v>3043</v>
      </c>
      <c r="BD248" s="593"/>
      <c r="BE248" s="264" t="str">
        <f>IF(AND(COUNTIF(AY248,"&gt;&lt;0")=1,COUNTA(M248)=1),LEFT(D248,3),"")</f>
        <v>2-5</v>
      </c>
      <c r="BF248" s="264" t="str">
        <f>IF(AND(COUNTIF(AY248,"&gt;&lt;")=1,COUNTA(M248)=0),LEFT(D248,3),"")</f>
        <v/>
      </c>
      <c r="BG248" s="264" t="str">
        <f>IF(AND(COUNTIF(AY248,"&gt;&lt;0")=0,COUNTA(M248)=1),LEFT(D248,3),"")</f>
        <v/>
      </c>
      <c r="BH248" s="264" t="str">
        <f>IF(AND(COUNTIF(AY248,"&gt;&lt;0")=0,COUNTA(M248)=0),LEFT(D248,3),"")</f>
        <v/>
      </c>
    </row>
    <row r="249" spans="1:60" ht="13.5" x14ac:dyDescent="0.3">
      <c r="C249" s="265" t="s">
        <v>68</v>
      </c>
      <c r="D249" s="265" t="s">
        <v>411</v>
      </c>
      <c r="E249" s="264" t="s">
        <v>729</v>
      </c>
      <c r="F249" s="265" t="s">
        <v>730</v>
      </c>
      <c r="G249" s="265"/>
      <c r="H249" s="264" t="s">
        <v>166</v>
      </c>
      <c r="I249" s="264" t="s">
        <v>2433</v>
      </c>
      <c r="J249" s="212" t="s">
        <v>2586</v>
      </c>
      <c r="K249" s="212"/>
      <c r="L249" s="272">
        <v>44582</v>
      </c>
      <c r="M249" s="272">
        <v>44579</v>
      </c>
      <c r="N249" s="272">
        <v>44488</v>
      </c>
      <c r="O249" s="272">
        <v>44488</v>
      </c>
      <c r="P249" s="272">
        <v>44523</v>
      </c>
      <c r="Q249" s="264" t="s">
        <v>4</v>
      </c>
      <c r="R249" s="264" t="s">
        <v>15</v>
      </c>
      <c r="S249" s="264" t="s">
        <v>15</v>
      </c>
      <c r="X249" s="264"/>
      <c r="Z249" s="264"/>
      <c r="AA249" s="264"/>
      <c r="AB249" s="265" t="str">
        <f>VLOOKUP(功能_33[[#This Row],[User]],SKL放款!A:G,7,FALSE)</f>
        <v>放款服務課</v>
      </c>
      <c r="AC249" s="272">
        <v>44533</v>
      </c>
      <c r="AD249" s="272" t="s">
        <v>107</v>
      </c>
      <c r="AE249" s="272">
        <v>44524</v>
      </c>
      <c r="AF249" s="272">
        <v>44524</v>
      </c>
      <c r="AG249" s="209">
        <v>44539</v>
      </c>
      <c r="AH249" s="272"/>
      <c r="AI249" s="272"/>
      <c r="AJ249" s="322"/>
      <c r="AK249" s="272">
        <f>IFERROR(IF(VLOOKUP(功能_33[[#This Row],[功能代號]],E:U,11,FALSE)=0,"",VLOOKUP(功能_33[[#This Row],[功能代號]],E:U,11,FALSE)),"")</f>
        <v>44488</v>
      </c>
      <c r="AL249" s="272"/>
      <c r="AM249" s="272"/>
      <c r="AN249" s="265"/>
      <c r="AO249" s="272"/>
      <c r="AP249" s="264" t="s">
        <v>2603</v>
      </c>
      <c r="AQ249" s="264" t="s">
        <v>163</v>
      </c>
      <c r="AR249" s="593" t="s">
        <v>3207</v>
      </c>
      <c r="AS249" s="483" t="str">
        <f>IF(COUNTA(AG249)=1,LEFT(D249,3),"")</f>
        <v>4-6</v>
      </c>
      <c r="AT249" s="485" t="str">
        <f>IF(AND(COUNTA(O249)=1,COUNTA(P249)=1,COUNTA(AC249)=1,COUNTA(AF249)=1,COUNTA(AG249)=0),LEFT(D249,3),"")</f>
        <v/>
      </c>
      <c r="AU249" s="487" t="str">
        <f>IF(AND(COUNTA(O249)=1,COUNTA(P249)=1,COUNTA(AC249)=1,COUNTA(AF249)=0,COUNTA(AG249)=0),LEFT(D249,3),"")</f>
        <v/>
      </c>
      <c r="AV249" s="489" t="str">
        <f>IF(AND(COUNTA(P249)=0,COUNTA(AC249)=1),LEFT(D249,3),"")</f>
        <v/>
      </c>
      <c r="AW249" s="491" t="str">
        <f>IF(AND(COUNTA(P249)=1,COUNTA(AC249)=0),LEFT(D249,3),"")</f>
        <v/>
      </c>
      <c r="AX249" s="493" t="str">
        <f>IF(AND(COUNTA(P249)=0,COUNTA(AC249)=0),LEFT(D249,3),"")</f>
        <v/>
      </c>
      <c r="AY249" s="514" t="str">
        <f>IFERROR(VLOOKUP(功能_33[[#This Row],[功能代號]],SIT_FT_2021tmp!D:D,1,FALSE),"")</f>
        <v>L4604</v>
      </c>
      <c r="AZ249" s="587">
        <v>44540</v>
      </c>
      <c r="BA249" s="587">
        <v>44540</v>
      </c>
      <c r="BB249" s="514" t="s">
        <v>3000</v>
      </c>
      <c r="BC249" s="265" t="s">
        <v>3031</v>
      </c>
      <c r="BD249" s="593"/>
      <c r="BE249" s="264" t="str">
        <f>IF(AND(COUNTIF(AY249,"&gt;&lt;0")=1,COUNTA(M249)=1),LEFT(D249,3),"")</f>
        <v>4-6</v>
      </c>
      <c r="BF249" s="264" t="str">
        <f>IF(AND(COUNTIF(AY249,"&gt;&lt;")=1,COUNTA(M249)=0),LEFT(D249,3),"")</f>
        <v/>
      </c>
      <c r="BG249" s="264" t="str">
        <f>IF(AND(COUNTIF(AY249,"&gt;&lt;0")=0,COUNTA(M249)=1),LEFT(D249,3),"")</f>
        <v/>
      </c>
      <c r="BH249" s="264" t="str">
        <f>IF(AND(COUNTIF(AY249,"&gt;&lt;0")=0,COUNTA(M249)=0),LEFT(D249,3),"")</f>
        <v/>
      </c>
    </row>
    <row r="250" spans="1:60" ht="13.5" x14ac:dyDescent="0.3">
      <c r="C250" s="265" t="s">
        <v>68</v>
      </c>
      <c r="D250" s="265" t="s">
        <v>411</v>
      </c>
      <c r="E250" s="264" t="s">
        <v>731</v>
      </c>
      <c r="F250" s="265" t="s">
        <v>732</v>
      </c>
      <c r="G250" s="265"/>
      <c r="H250" s="264" t="s">
        <v>166</v>
      </c>
      <c r="I250" s="264" t="s">
        <v>2433</v>
      </c>
      <c r="J250" s="212" t="s">
        <v>3241</v>
      </c>
      <c r="K250" s="212"/>
      <c r="L250" s="272">
        <v>44582</v>
      </c>
      <c r="M250" s="272">
        <v>44579</v>
      </c>
      <c r="N250" s="272">
        <v>44488</v>
      </c>
      <c r="O250" s="272">
        <v>44488</v>
      </c>
      <c r="P250" s="272">
        <v>44523</v>
      </c>
      <c r="Q250" s="264" t="s">
        <v>4</v>
      </c>
      <c r="R250" s="264" t="s">
        <v>15</v>
      </c>
      <c r="S250" s="264" t="s">
        <v>15</v>
      </c>
      <c r="X250" s="264"/>
      <c r="Z250" s="264"/>
      <c r="AA250" s="264"/>
      <c r="AB250" s="265" t="str">
        <f>VLOOKUP(功能_33[[#This Row],[User]],SKL放款!A:G,7,FALSE)</f>
        <v>放款服務課</v>
      </c>
      <c r="AC250" s="272">
        <v>44533</v>
      </c>
      <c r="AD250" s="272" t="s">
        <v>107</v>
      </c>
      <c r="AE250" s="272">
        <v>44524</v>
      </c>
      <c r="AF250" s="272">
        <v>44524</v>
      </c>
      <c r="AG250" s="209" t="s">
        <v>3243</v>
      </c>
      <c r="AH250" s="272"/>
      <c r="AI250" s="272"/>
      <c r="AJ250" s="322"/>
      <c r="AK250" s="272">
        <f>IFERROR(IF(VLOOKUP(功能_33[[#This Row],[功能代號]],E:U,11,FALSE)=0,"",VLOOKUP(功能_33[[#This Row],[功能代號]],E:U,11,FALSE)),"")</f>
        <v>44488</v>
      </c>
      <c r="AL250" s="272"/>
      <c r="AM250" s="272"/>
      <c r="AN250" s="265"/>
      <c r="AO250" s="272"/>
      <c r="AP250" s="264" t="s">
        <v>2602</v>
      </c>
      <c r="AQ250" s="265" t="s">
        <v>2601</v>
      </c>
      <c r="AR250" s="593" t="s">
        <v>3207</v>
      </c>
      <c r="AS250" s="483" t="str">
        <f>IF(COUNTA(AG250)=1,LEFT(D250,3),"")</f>
        <v>4-6</v>
      </c>
      <c r="AT250" s="485" t="str">
        <f>IF(AND(COUNTA(O250)=1,COUNTA(P250)=1,COUNTA(AC250)=1,COUNTA(AF250)=1,COUNTA(AG250)=0),LEFT(D250,3),"")</f>
        <v/>
      </c>
      <c r="AU250" s="487" t="str">
        <f>IF(AND(COUNTA(O250)=1,COUNTA(P250)=1,COUNTA(AC250)=1,COUNTA(AF250)=0,COUNTA(AG250)=0),LEFT(D250,3),"")</f>
        <v/>
      </c>
      <c r="AV250" s="489" t="str">
        <f>IF(AND(COUNTA(P250)=0,COUNTA(AC250)=1),LEFT(D250,3),"")</f>
        <v/>
      </c>
      <c r="AW250" s="491" t="str">
        <f>IF(AND(COUNTA(P250)=1,COUNTA(AC250)=0),LEFT(D250,3),"")</f>
        <v/>
      </c>
      <c r="AX250" s="493" t="str">
        <f>IF(AND(COUNTA(P250)=0,COUNTA(AC250)=0),LEFT(D250,3),"")</f>
        <v/>
      </c>
      <c r="AY250" s="514" t="str">
        <f>IFERROR(VLOOKUP(功能_33[[#This Row],[功能代號]],SIT_FT_2021tmp!D:D,1,FALSE),"")</f>
        <v>L4605</v>
      </c>
      <c r="AZ250" s="587">
        <v>44540</v>
      </c>
      <c r="BA250" s="587">
        <v>44540</v>
      </c>
      <c r="BB250" s="514" t="s">
        <v>3000</v>
      </c>
      <c r="BC250" s="265" t="s">
        <v>3031</v>
      </c>
      <c r="BD250" s="593"/>
      <c r="BE250" s="264" t="str">
        <f>IF(AND(COUNTIF(AY250,"&gt;&lt;0")=1,COUNTA(M250)=1),LEFT(D250,3),"")</f>
        <v>4-6</v>
      </c>
      <c r="BF250" s="264" t="str">
        <f>IF(AND(COUNTIF(AY250,"&gt;&lt;")=1,COUNTA(M250)=0),LEFT(D250,3),"")</f>
        <v/>
      </c>
      <c r="BG250" s="264" t="str">
        <f>IF(AND(COUNTIF(AY250,"&gt;&lt;0")=0,COUNTA(M250)=1),LEFT(D250,3),"")</f>
        <v/>
      </c>
      <c r="BH250" s="264" t="str">
        <f>IF(AND(COUNTIF(AY250,"&gt;&lt;0")=0,COUNTA(M250)=0),LEFT(D250,3),"")</f>
        <v/>
      </c>
    </row>
    <row r="251" spans="1:60" ht="40.5" x14ac:dyDescent="0.3">
      <c r="C251" s="265" t="s">
        <v>68</v>
      </c>
      <c r="D251" s="265" t="s">
        <v>411</v>
      </c>
      <c r="E251" s="264" t="s">
        <v>733</v>
      </c>
      <c r="F251" s="265" t="s">
        <v>734</v>
      </c>
      <c r="G251" s="265"/>
      <c r="H251" s="264" t="s">
        <v>166</v>
      </c>
      <c r="I251" s="264" t="s">
        <v>2433</v>
      </c>
      <c r="J251" s="212" t="s">
        <v>2586</v>
      </c>
      <c r="K251" s="212"/>
      <c r="L251" s="272">
        <v>44582</v>
      </c>
      <c r="M251" s="272">
        <v>44579</v>
      </c>
      <c r="N251" s="272">
        <v>44488</v>
      </c>
      <c r="O251" s="272">
        <v>44488</v>
      </c>
      <c r="P251" s="272">
        <v>44523</v>
      </c>
      <c r="Q251" s="264" t="s">
        <v>4</v>
      </c>
      <c r="R251" s="264" t="s">
        <v>15</v>
      </c>
      <c r="S251" s="264" t="s">
        <v>15</v>
      </c>
      <c r="X251" s="264"/>
      <c r="Z251" s="264"/>
      <c r="AA251" s="264"/>
      <c r="AB251" s="265" t="str">
        <f>VLOOKUP(功能_33[[#This Row],[User]],SKL放款!A:G,7,FALSE)</f>
        <v>放款服務課</v>
      </c>
      <c r="AC251" s="272">
        <v>44533</v>
      </c>
      <c r="AD251" s="272" t="s">
        <v>107</v>
      </c>
      <c r="AE251" s="272">
        <v>44524</v>
      </c>
      <c r="AF251" s="272">
        <v>44524</v>
      </c>
      <c r="AG251" s="209">
        <v>44539</v>
      </c>
      <c r="AH251" s="272"/>
      <c r="AI251" s="272"/>
      <c r="AJ251" s="322"/>
      <c r="AK251" s="272">
        <f>IFERROR(IF(VLOOKUP(功能_33[[#This Row],[功能代號]],E:U,11,FALSE)=0,"",VLOOKUP(功能_33[[#This Row],[功能代號]],E:U,11,FALSE)),"")</f>
        <v>44488</v>
      </c>
      <c r="AL251" s="272"/>
      <c r="AM251" s="272"/>
      <c r="AN251" s="265"/>
      <c r="AO251" s="272"/>
      <c r="AP251" s="281" t="s">
        <v>2644</v>
      </c>
      <c r="AQ251" s="206" t="s">
        <v>2645</v>
      </c>
      <c r="AR251" s="593" t="s">
        <v>3207</v>
      </c>
      <c r="AS251" s="483" t="str">
        <f>IF(COUNTA(AG251)=1,LEFT(D251,3),"")</f>
        <v>4-6</v>
      </c>
      <c r="AT251" s="485" t="str">
        <f>IF(AND(COUNTA(O251)=1,COUNTA(P251)=1,COUNTA(AC251)=1,COUNTA(AF251)=1,COUNTA(AG251)=0),LEFT(D251,3),"")</f>
        <v/>
      </c>
      <c r="AU251" s="487" t="str">
        <f>IF(AND(COUNTA(O251)=1,COUNTA(P251)=1,COUNTA(AC251)=1,COUNTA(AF251)=0,COUNTA(AG251)=0),LEFT(D251,3),"")</f>
        <v/>
      </c>
      <c r="AV251" s="489" t="str">
        <f>IF(AND(COUNTA(P251)=0,COUNTA(AC251)=1),LEFT(D251,3),"")</f>
        <v/>
      </c>
      <c r="AW251" s="491" t="str">
        <f>IF(AND(COUNTA(P251)=1,COUNTA(AC251)=0),LEFT(D251,3),"")</f>
        <v/>
      </c>
      <c r="AX251" s="493" t="str">
        <f>IF(AND(COUNTA(P251)=0,COUNTA(AC251)=0),LEFT(D251,3),"")</f>
        <v/>
      </c>
      <c r="AY251" s="514" t="str">
        <f>IFERROR(VLOOKUP(功能_33[[#This Row],[功能代號]],SIT_FT_2021tmp!D:D,1,FALSE),"")</f>
        <v>L4606</v>
      </c>
      <c r="AZ251" s="587">
        <v>44551</v>
      </c>
      <c r="BA251" s="587">
        <v>44551</v>
      </c>
      <c r="BB251" s="514" t="s">
        <v>3000</v>
      </c>
      <c r="BC251" s="265" t="s">
        <v>3047</v>
      </c>
      <c r="BD251" s="593"/>
      <c r="BE251" s="264" t="str">
        <f>IF(AND(COUNTIF(AY251,"&gt;&lt;0")=1,COUNTA(M251)=1),LEFT(D251,3),"")</f>
        <v>4-6</v>
      </c>
      <c r="BF251" s="264" t="str">
        <f>IF(AND(COUNTIF(AY251,"&gt;&lt;")=1,COUNTA(M251)=0),LEFT(D251,3),"")</f>
        <v/>
      </c>
      <c r="BG251" s="264" t="str">
        <f>IF(AND(COUNTIF(AY251,"&gt;&lt;0")=0,COUNTA(M251)=1),LEFT(D251,3),"")</f>
        <v/>
      </c>
      <c r="BH251" s="264" t="str">
        <f>IF(AND(COUNTIF(AY251,"&gt;&lt;0")=0,COUNTA(M251)=0),LEFT(D251,3),"")</f>
        <v/>
      </c>
    </row>
    <row r="252" spans="1:60" ht="13.5" x14ac:dyDescent="0.3">
      <c r="C252" s="265" t="s">
        <v>68</v>
      </c>
      <c r="D252" s="265" t="s">
        <v>411</v>
      </c>
      <c r="E252" s="264" t="s">
        <v>735</v>
      </c>
      <c r="F252" s="265" t="s">
        <v>736</v>
      </c>
      <c r="G252" s="265" t="s">
        <v>640</v>
      </c>
      <c r="H252" s="264" t="s">
        <v>166</v>
      </c>
      <c r="I252" s="264" t="s">
        <v>2433</v>
      </c>
      <c r="J252" s="212" t="s">
        <v>2586</v>
      </c>
      <c r="K252" s="212"/>
      <c r="L252" s="272">
        <v>44582</v>
      </c>
      <c r="M252" s="272">
        <v>44574</v>
      </c>
      <c r="N252" s="272">
        <v>44488</v>
      </c>
      <c r="O252" s="272">
        <v>44488</v>
      </c>
      <c r="P252" s="272">
        <v>44523</v>
      </c>
      <c r="Q252" s="264" t="s">
        <v>4</v>
      </c>
      <c r="R252" s="264" t="s">
        <v>15</v>
      </c>
      <c r="S252" s="264" t="s">
        <v>15</v>
      </c>
      <c r="X252" s="264"/>
      <c r="Z252" s="264"/>
      <c r="AA252" s="264"/>
      <c r="AB252" s="265" t="str">
        <f>VLOOKUP(功能_33[[#This Row],[User]],SKL放款!A:G,7,FALSE)</f>
        <v>放款服務課</v>
      </c>
      <c r="AC252" s="272">
        <v>44533</v>
      </c>
      <c r="AD252" s="272" t="s">
        <v>318</v>
      </c>
      <c r="AE252" s="272">
        <v>44524</v>
      </c>
      <c r="AF252" s="272">
        <v>44524</v>
      </c>
      <c r="AG252" s="209">
        <v>44539</v>
      </c>
      <c r="AH252" s="272"/>
      <c r="AI252" s="272"/>
      <c r="AJ252" s="322"/>
      <c r="AK252" s="272">
        <f>IFERROR(IF(VLOOKUP(功能_33[[#This Row],[功能代號]],E:U,11,FALSE)=0,"",VLOOKUP(功能_33[[#This Row],[功能代號]],E:U,11,FALSE)),"")</f>
        <v>44488</v>
      </c>
      <c r="AL252" s="272"/>
      <c r="AM252" s="272"/>
      <c r="AN252" s="265"/>
      <c r="AO252" s="272"/>
      <c r="AP252" s="264" t="s">
        <v>2603</v>
      </c>
      <c r="AQ252" s="264" t="s">
        <v>163</v>
      </c>
      <c r="AR252" s="593" t="s">
        <v>3207</v>
      </c>
      <c r="AS252" s="483" t="str">
        <f>IF(COUNTA(AG252)=1,LEFT(D252,3),"")</f>
        <v>4-6</v>
      </c>
      <c r="AT252" s="485" t="str">
        <f>IF(AND(COUNTA(O252)=1,COUNTA(P252)=1,COUNTA(AC252)=1,COUNTA(AF252)=1,COUNTA(AG252)=0),LEFT(D252,3),"")</f>
        <v/>
      </c>
      <c r="AU252" s="487" t="str">
        <f>IF(AND(COUNTA(O252)=1,COUNTA(P252)=1,COUNTA(AC252)=1,COUNTA(AF252)=0,COUNTA(AG252)=0),LEFT(D252,3),"")</f>
        <v/>
      </c>
      <c r="AV252" s="489" t="str">
        <f>IF(AND(COUNTA(P252)=0,COUNTA(AC252)=1),LEFT(D252,3),"")</f>
        <v/>
      </c>
      <c r="AW252" s="491" t="str">
        <f>IF(AND(COUNTA(P252)=1,COUNTA(AC252)=0),LEFT(D252,3),"")</f>
        <v/>
      </c>
      <c r="AX252" s="493" t="str">
        <f>IF(AND(COUNTA(P252)=0,COUNTA(AC252)=0),LEFT(D252,3),"")</f>
        <v/>
      </c>
      <c r="AY252" s="514" t="str">
        <f>IFERROR(VLOOKUP(功能_33[[#This Row],[功能代號]],SIT_FT_2021tmp!D:D,1,FALSE),"")</f>
        <v>L4607</v>
      </c>
      <c r="AZ252" s="587">
        <v>44546</v>
      </c>
      <c r="BA252" s="587">
        <v>44546</v>
      </c>
      <c r="BB252" s="514" t="s">
        <v>3000</v>
      </c>
      <c r="BC252" s="265" t="s">
        <v>3030</v>
      </c>
      <c r="BD252" s="593"/>
      <c r="BE252" s="264" t="str">
        <f>IF(AND(COUNTIF(AY252,"&gt;&lt;0")=1,COUNTA(M252)=1),LEFT(D252,3),"")</f>
        <v>4-6</v>
      </c>
      <c r="BF252" s="264" t="str">
        <f>IF(AND(COUNTIF(AY252,"&gt;&lt;")=1,COUNTA(M252)=0),LEFT(D252,3),"")</f>
        <v/>
      </c>
      <c r="BG252" s="264" t="str">
        <f>IF(AND(COUNTIF(AY252,"&gt;&lt;0")=0,COUNTA(M252)=1),LEFT(D252,3),"")</f>
        <v/>
      </c>
      <c r="BH252" s="264" t="str">
        <f>IF(AND(COUNTIF(AY252,"&gt;&lt;0")=0,COUNTA(M252)=0),LEFT(D252,3),"")</f>
        <v/>
      </c>
    </row>
    <row r="253" spans="1:60" ht="13.5" x14ac:dyDescent="0.3">
      <c r="C253" s="265" t="s">
        <v>68</v>
      </c>
      <c r="D253" s="265" t="s">
        <v>411</v>
      </c>
      <c r="E253" s="264" t="s">
        <v>737</v>
      </c>
      <c r="F253" s="265" t="s">
        <v>738</v>
      </c>
      <c r="G253" s="265" t="s">
        <v>640</v>
      </c>
      <c r="H253" s="264" t="s">
        <v>166</v>
      </c>
      <c r="I253" s="264" t="s">
        <v>2433</v>
      </c>
      <c r="J253" s="212" t="s">
        <v>3242</v>
      </c>
      <c r="K253" s="212"/>
      <c r="L253" s="272">
        <v>44582</v>
      </c>
      <c r="M253" s="272">
        <v>44574</v>
      </c>
      <c r="N253" s="272">
        <v>44488</v>
      </c>
      <c r="O253" s="272">
        <v>44488</v>
      </c>
      <c r="P253" s="272">
        <v>44523</v>
      </c>
      <c r="Q253" s="264" t="s">
        <v>4</v>
      </c>
      <c r="R253" s="264" t="s">
        <v>15</v>
      </c>
      <c r="S253" s="264" t="s">
        <v>15</v>
      </c>
      <c r="X253" s="264"/>
      <c r="Z253" s="264"/>
      <c r="AA253" s="264"/>
      <c r="AB253" s="265" t="str">
        <f>VLOOKUP(功能_33[[#This Row],[User]],SKL放款!A:G,7,FALSE)</f>
        <v>放款服務課</v>
      </c>
      <c r="AC253" s="272">
        <v>44533</v>
      </c>
      <c r="AD253" s="272">
        <v>44524</v>
      </c>
      <c r="AE253" s="272">
        <v>44524</v>
      </c>
      <c r="AF253" s="272">
        <v>44524</v>
      </c>
      <c r="AG253" s="209" t="s">
        <v>3243</v>
      </c>
      <c r="AH253" s="272"/>
      <c r="AI253" s="272"/>
      <c r="AJ253" s="322"/>
      <c r="AK253" s="272">
        <f>IFERROR(IF(VLOOKUP(功能_33[[#This Row],[功能代號]],E:U,11,FALSE)=0,"",VLOOKUP(功能_33[[#This Row],[功能代號]],E:U,11,FALSE)),"")</f>
        <v>44488</v>
      </c>
      <c r="AL253" s="272"/>
      <c r="AM253" s="272"/>
      <c r="AN253" s="265"/>
      <c r="AO253" s="272"/>
      <c r="AP253" s="264" t="s">
        <v>2603</v>
      </c>
      <c r="AQ253" s="264" t="s">
        <v>163</v>
      </c>
      <c r="AR253" s="593" t="s">
        <v>3207</v>
      </c>
      <c r="AS253" s="483" t="str">
        <f>IF(COUNTA(AG253)=1,LEFT(D253,3),"")</f>
        <v>4-6</v>
      </c>
      <c r="AT253" s="485" t="str">
        <f>IF(AND(COUNTA(O253)=1,COUNTA(P253)=1,COUNTA(AC253)=1,COUNTA(AF253)=1,COUNTA(AG253)=0),LEFT(D253,3),"")</f>
        <v/>
      </c>
      <c r="AU253" s="487" t="str">
        <f>IF(AND(COUNTA(O253)=1,COUNTA(P253)=1,COUNTA(AC253)=1,COUNTA(AF253)=0,COUNTA(AG253)=0),LEFT(D253,3),"")</f>
        <v/>
      </c>
      <c r="AV253" s="489" t="str">
        <f>IF(AND(COUNTA(P253)=0,COUNTA(AC253)=1),LEFT(D253,3),"")</f>
        <v/>
      </c>
      <c r="AW253" s="491" t="str">
        <f>IF(AND(COUNTA(P253)=1,COUNTA(AC253)=0),LEFT(D253,3),"")</f>
        <v/>
      </c>
      <c r="AX253" s="493" t="str">
        <f>IF(AND(COUNTA(P253)=0,COUNTA(AC253)=0),LEFT(D253,3),"")</f>
        <v/>
      </c>
      <c r="AY253" s="514" t="str">
        <f>IFERROR(VLOOKUP(功能_33[[#This Row],[功能代號]],SIT_FT_2021tmp!D:D,1,FALSE),"")</f>
        <v>L4966</v>
      </c>
      <c r="AZ253" s="587">
        <v>44551</v>
      </c>
      <c r="BA253" s="587">
        <v>44551</v>
      </c>
      <c r="BB253" s="514" t="s">
        <v>3000</v>
      </c>
      <c r="BC253" s="265" t="s">
        <v>3047</v>
      </c>
      <c r="BD253" s="593"/>
      <c r="BE253" s="264" t="str">
        <f>IF(AND(COUNTIF(AY253,"&gt;&lt;0")=1,COUNTA(M253)=1),LEFT(D253,3),"")</f>
        <v>4-6</v>
      </c>
      <c r="BF253" s="264" t="str">
        <f>IF(AND(COUNTIF(AY253,"&gt;&lt;")=1,COUNTA(M253)=0),LEFT(D253,3),"")</f>
        <v/>
      </c>
      <c r="BG253" s="264" t="str">
        <f>IF(AND(COUNTIF(AY253,"&gt;&lt;0")=0,COUNTA(M253)=1),LEFT(D253,3),"")</f>
        <v/>
      </c>
      <c r="BH253" s="264" t="str">
        <f>IF(AND(COUNTIF(AY253,"&gt;&lt;0")=0,COUNTA(M253)=0),LEFT(D253,3),"")</f>
        <v/>
      </c>
    </row>
    <row r="254" spans="1:60" ht="13.5" x14ac:dyDescent="0.3">
      <c r="A254" s="589"/>
      <c r="C254" s="265" t="s">
        <v>70</v>
      </c>
      <c r="D254" s="265" t="s">
        <v>2487</v>
      </c>
      <c r="E254" s="264" t="s">
        <v>739</v>
      </c>
      <c r="F254" s="265" t="s">
        <v>740</v>
      </c>
      <c r="G254" s="265"/>
      <c r="H254" s="264" t="s">
        <v>166</v>
      </c>
      <c r="I254" s="264" t="s">
        <v>167</v>
      </c>
      <c r="J254" s="212" t="s">
        <v>2853</v>
      </c>
      <c r="K254" s="212"/>
      <c r="L254" s="272">
        <v>44571</v>
      </c>
      <c r="M254" s="272">
        <v>44575</v>
      </c>
      <c r="N254" s="272">
        <v>44488</v>
      </c>
      <c r="O254" s="272">
        <v>44491</v>
      </c>
      <c r="P254" s="272">
        <v>44533</v>
      </c>
      <c r="Q254" s="264" t="s">
        <v>1</v>
      </c>
      <c r="R254" s="264" t="s">
        <v>15</v>
      </c>
      <c r="S254" s="264" t="s">
        <v>15</v>
      </c>
      <c r="T254" s="265" t="s">
        <v>8</v>
      </c>
      <c r="X254" s="264"/>
      <c r="Z254" s="264"/>
      <c r="AA254" s="264"/>
      <c r="AB254" s="265" t="str">
        <f>VLOOKUP(功能_33[[#This Row],[User]],SKL放款!A:G,7,FALSE)</f>
        <v>放款服務課</v>
      </c>
      <c r="AC254" s="272">
        <v>44533</v>
      </c>
      <c r="AD254" s="272" t="s">
        <v>168</v>
      </c>
      <c r="AE254" s="272">
        <v>44531</v>
      </c>
      <c r="AF254" s="272">
        <v>44531</v>
      </c>
      <c r="AG254" s="209">
        <v>44550</v>
      </c>
      <c r="AH254" s="272"/>
      <c r="AI254" s="272"/>
      <c r="AJ254" s="322"/>
      <c r="AK254" s="272">
        <f>IFERROR(IF(VLOOKUP(功能_33[[#This Row],[功能代號]],E:U,11,FALSE)=0,"",VLOOKUP(功能_33[[#This Row],[功能代號]],E:U,11,FALSE)),"")</f>
        <v>44491</v>
      </c>
      <c r="AL254" s="272"/>
      <c r="AM254" s="272"/>
      <c r="AN254" s="265"/>
      <c r="AO254" s="272"/>
      <c r="AP254" s="264" t="s">
        <v>163</v>
      </c>
      <c r="AQ254" s="264" t="s">
        <v>163</v>
      </c>
      <c r="AR254" s="593" t="s">
        <v>3207</v>
      </c>
      <c r="AS254" s="483" t="str">
        <f>IF(COUNTA(AG254)=1,LEFT(D254,3),"")</f>
        <v>6-8</v>
      </c>
      <c r="AT254" s="485" t="str">
        <f>IF(AND(COUNTA(O254)=1,COUNTA(P254)=1,COUNTA(AC254)=1,COUNTA(AF254)=1,COUNTA(AG254)=0),LEFT(D254,3),"")</f>
        <v/>
      </c>
      <c r="AU254" s="487" t="str">
        <f>IF(AND(COUNTA(O254)=1,COUNTA(P254)=1,COUNTA(AC254)=1,COUNTA(AF254)=0,COUNTA(AG254)=0),LEFT(D254,3),"")</f>
        <v/>
      </c>
      <c r="AV254" s="489" t="str">
        <f>IF(AND(COUNTA(P254)=0,COUNTA(AC254)=1),LEFT(D254,3),"")</f>
        <v/>
      </c>
      <c r="AW254" s="491" t="str">
        <f>IF(AND(COUNTA(P254)=1,COUNTA(AC254)=0),LEFT(D254,3),"")</f>
        <v/>
      </c>
      <c r="AX254" s="493" t="str">
        <f>IF(AND(COUNTA(P254)=0,COUNTA(AC254)=0),LEFT(D254,3),"")</f>
        <v/>
      </c>
      <c r="AY254" s="514" t="str">
        <f>IFERROR(VLOOKUP(功能_33[[#This Row],[功能代號]],SIT_FT_2021tmp!D:D,1,FALSE),"")</f>
        <v>L6982</v>
      </c>
      <c r="AZ254" s="587">
        <v>44559</v>
      </c>
      <c r="BA254" s="587">
        <v>44559</v>
      </c>
      <c r="BB254" s="514" t="s">
        <v>3073</v>
      </c>
      <c r="BC254" s="265" t="s">
        <v>3043</v>
      </c>
      <c r="BD254" s="593"/>
      <c r="BE254" s="264" t="str">
        <f>IF(AND(COUNTIF(AY254,"&gt;&lt;0")=1,COUNTA(M254)=1),LEFT(D254,3),"")</f>
        <v>6-8</v>
      </c>
      <c r="BF254" s="264" t="str">
        <f>IF(AND(COUNTIF(AY254,"&gt;&lt;")=1,COUNTA(M254)=0),LEFT(D254,3),"")</f>
        <v/>
      </c>
      <c r="BG254" s="264" t="str">
        <f>IF(AND(COUNTIF(AY254,"&gt;&lt;0")=0,COUNTA(M254)=1),LEFT(D254,3),"")</f>
        <v/>
      </c>
      <c r="BH254" s="264" t="str">
        <f>IF(AND(COUNTIF(AY254,"&gt;&lt;0")=0,COUNTA(M254)=0),LEFT(D254,3),"")</f>
        <v/>
      </c>
    </row>
    <row r="255" spans="1:60" ht="13.5" x14ac:dyDescent="0.3">
      <c r="A255" s="589"/>
      <c r="C255" s="265" t="s">
        <v>70</v>
      </c>
      <c r="D255" s="265" t="s">
        <v>2487</v>
      </c>
      <c r="E255" s="264" t="s">
        <v>741</v>
      </c>
      <c r="F255" s="265" t="s">
        <v>742</v>
      </c>
      <c r="G255" s="265"/>
      <c r="H255" s="264" t="s">
        <v>166</v>
      </c>
      <c r="I255" s="264" t="s">
        <v>167</v>
      </c>
      <c r="J255" s="212" t="s">
        <v>2853</v>
      </c>
      <c r="K255" s="212"/>
      <c r="L255" s="272">
        <v>44571</v>
      </c>
      <c r="M255" s="272">
        <v>44575</v>
      </c>
      <c r="N255" s="272">
        <v>44488</v>
      </c>
      <c r="O255" s="272">
        <v>44488</v>
      </c>
      <c r="P255" s="272">
        <v>44533</v>
      </c>
      <c r="Q255" s="264" t="s">
        <v>1</v>
      </c>
      <c r="R255" s="264" t="s">
        <v>15</v>
      </c>
      <c r="S255" s="264" t="s">
        <v>15</v>
      </c>
      <c r="T255" s="265" t="s">
        <v>8</v>
      </c>
      <c r="X255" s="264"/>
      <c r="Z255" s="264"/>
      <c r="AA255" s="264"/>
      <c r="AB255" s="265" t="str">
        <f>VLOOKUP(功能_33[[#This Row],[User]],SKL放款!A:G,7,FALSE)</f>
        <v>放款服務課</v>
      </c>
      <c r="AC255" s="272">
        <v>44533</v>
      </c>
      <c r="AD255" s="272" t="s">
        <v>168</v>
      </c>
      <c r="AE255" s="272">
        <v>44531</v>
      </c>
      <c r="AF255" s="272">
        <v>44531</v>
      </c>
      <c r="AG255" s="209">
        <v>44550</v>
      </c>
      <c r="AH255" s="272"/>
      <c r="AI255" s="272"/>
      <c r="AJ255" s="322"/>
      <c r="AK255" s="272">
        <f>IFERROR(IF(VLOOKUP(功能_33[[#This Row],[功能代號]],E:U,11,FALSE)=0,"",VLOOKUP(功能_33[[#This Row],[功能代號]],E:U,11,FALSE)),"")</f>
        <v>44488</v>
      </c>
      <c r="AL255" s="272"/>
      <c r="AM255" s="272"/>
      <c r="AN255" s="265"/>
      <c r="AO255" s="211" t="s">
        <v>743</v>
      </c>
      <c r="AP255" s="264" t="s">
        <v>163</v>
      </c>
      <c r="AQ255" s="264" t="s">
        <v>163</v>
      </c>
      <c r="AR255" s="593" t="s">
        <v>3207</v>
      </c>
      <c r="AS255" s="483" t="str">
        <f>IF(COUNTA(AG255)=1,LEFT(D255,3),"")</f>
        <v>6-8</v>
      </c>
      <c r="AT255" s="485" t="str">
        <f>IF(AND(COUNTA(O255)=1,COUNTA(P255)=1,COUNTA(AC255)=1,COUNTA(AF255)=1,COUNTA(AG255)=0),LEFT(D255,3),"")</f>
        <v/>
      </c>
      <c r="AU255" s="487" t="str">
        <f>IF(AND(COUNTA(O255)=1,COUNTA(P255)=1,COUNTA(AC255)=1,COUNTA(AF255)=0,COUNTA(AG255)=0),LEFT(D255,3),"")</f>
        <v/>
      </c>
      <c r="AV255" s="489" t="str">
        <f>IF(AND(COUNTA(P255)=0,COUNTA(AC255)=1),LEFT(D255,3),"")</f>
        <v/>
      </c>
      <c r="AW255" s="491" t="str">
        <f>IF(AND(COUNTA(P255)=1,COUNTA(AC255)=0),LEFT(D255,3),"")</f>
        <v/>
      </c>
      <c r="AX255" s="493" t="str">
        <f>IF(AND(COUNTA(P255)=0,COUNTA(AC255)=0),LEFT(D255,3),"")</f>
        <v/>
      </c>
      <c r="AY255" s="514" t="str">
        <f>IFERROR(VLOOKUP(功能_33[[#This Row],[功能代號]],SIT_FT_2021tmp!D:D,1,FALSE),"")</f>
        <v>L6983</v>
      </c>
      <c r="AZ255" s="587">
        <v>44559</v>
      </c>
      <c r="BA255" s="587">
        <v>44559</v>
      </c>
      <c r="BB255" s="514" t="s">
        <v>3073</v>
      </c>
      <c r="BC255" s="265" t="s">
        <v>3043</v>
      </c>
      <c r="BD255" s="593"/>
      <c r="BE255" s="264" t="str">
        <f>IF(AND(COUNTIF(AY255,"&gt;&lt;0")=1,COUNTA(M255)=1),LEFT(D255,3),"")</f>
        <v>6-8</v>
      </c>
      <c r="BF255" s="264" t="str">
        <f>IF(AND(COUNTIF(AY255,"&gt;&lt;")=1,COUNTA(M255)=0),LEFT(D255,3),"")</f>
        <v/>
      </c>
      <c r="BG255" s="264" t="str">
        <f>IF(AND(COUNTIF(AY255,"&gt;&lt;0")=0,COUNTA(M255)=1),LEFT(D255,3),"")</f>
        <v/>
      </c>
      <c r="BH255" s="264" t="str">
        <f>IF(AND(COUNTIF(AY255,"&gt;&lt;0")=0,COUNTA(M255)=0),LEFT(D255,3),"")</f>
        <v/>
      </c>
    </row>
    <row r="256" spans="1:60" ht="13.5" x14ac:dyDescent="0.3">
      <c r="A256" s="590"/>
      <c r="B256" s="360"/>
      <c r="C256" s="265" t="s">
        <v>70</v>
      </c>
      <c r="D256" s="265" t="s">
        <v>2487</v>
      </c>
      <c r="E256" s="264" t="s">
        <v>2934</v>
      </c>
      <c r="F256" s="257" t="s">
        <v>3074</v>
      </c>
      <c r="G256" s="257" t="s">
        <v>3157</v>
      </c>
      <c r="H256" s="264" t="s">
        <v>166</v>
      </c>
      <c r="I256" s="264" t="s">
        <v>167</v>
      </c>
      <c r="J256" s="212" t="s">
        <v>3110</v>
      </c>
      <c r="K256" s="271" t="s">
        <v>2834</v>
      </c>
      <c r="L256" s="272">
        <v>44578</v>
      </c>
      <c r="M256" s="272">
        <v>44582</v>
      </c>
      <c r="N256" s="272"/>
      <c r="O256" s="272"/>
      <c r="P256" s="272" t="str">
        <f>IFERROR(IF(VLOOKUP(功能_33[[#This Row],[功能代號]],討論項目!A:H,8,FALSE)=0,"",VLOOKUP(功能_33[[#This Row],[功能代號]],討論項目!A:H,8,FALSE)),"")</f>
        <v/>
      </c>
      <c r="Q256" s="264" t="s">
        <v>1</v>
      </c>
      <c r="R256" s="264" t="e">
        <v>#N/A</v>
      </c>
      <c r="S256" s="664" t="s">
        <v>15</v>
      </c>
      <c r="T256" s="265" t="s">
        <v>8</v>
      </c>
      <c r="X256" s="264"/>
      <c r="Z256" s="264"/>
      <c r="AA256" s="264"/>
      <c r="AB256" s="360" t="str">
        <f>VLOOKUP(功能_33[[#This Row],[User]],SKL放款!A:G,7,FALSE)</f>
        <v>放款服務課</v>
      </c>
      <c r="AC256" s="272"/>
      <c r="AD256" s="272"/>
      <c r="AE256" s="258"/>
      <c r="AF256" s="259"/>
      <c r="AG256" s="583">
        <v>44578</v>
      </c>
      <c r="AH256" s="259"/>
      <c r="AI256" s="259"/>
      <c r="AJ256" s="259"/>
      <c r="AK256" s="259" t="str">
        <f>IFERROR(IF(VLOOKUP(功能_33[[#This Row],[功能代號]],E:U,11,FALSE)=0,"",VLOOKUP(功能_33[[#This Row],[功能代號]],E:U,11,FALSE)),"")</f>
        <v/>
      </c>
      <c r="AL256" s="259"/>
      <c r="AM256" s="259"/>
      <c r="AN256" s="360"/>
      <c r="AP256" s="556" t="s">
        <v>2603</v>
      </c>
      <c r="AQ256" s="264" t="s">
        <v>163</v>
      </c>
      <c r="AR256" s="593" t="s">
        <v>3207</v>
      </c>
      <c r="AS256" s="536" t="str">
        <f>IF(COUNTA(AG256)=1,LEFT(D256,3),"")</f>
        <v>6-8</v>
      </c>
      <c r="AT256" s="485" t="str">
        <f>IF(AND(COUNTA(O256)=1,COUNTA(P256)=1,COUNTA(AC256)=1,COUNTA(AF256)=1,COUNTA(AG256)=0),LEFT(D256,3),"")</f>
        <v/>
      </c>
      <c r="AU256" s="487" t="str">
        <f>IF(AND(COUNTA(O256)=1,COUNTA(P256)=1,COUNTA(AC256)=1,COUNTA(AF256)=0,COUNTA(AG256)=0),LEFT(D256,3),"")</f>
        <v/>
      </c>
      <c r="AV256" s="489" t="str">
        <f>IF(AND(COUNTA(P256)=0,COUNTA(AC256)=1),LEFT(D256,3),"")</f>
        <v/>
      </c>
      <c r="AW256" s="491" t="str">
        <f>IF(AND(COUNTA(P256)=1,COUNTA(AC256)=0),LEFT(D256,3),"")</f>
        <v>6-8</v>
      </c>
      <c r="AX256" s="493" t="str">
        <f>IF(AND(COUNTA(P256)=0,COUNTA(AC256)=0),LEFT(D256,3),"")</f>
        <v/>
      </c>
      <c r="AY256" s="514" t="str">
        <f>IFERROR(VLOOKUP(功能_33[[#This Row],[功能代號]],SIT_FT_2021tmp!D:D,1,FALSE),"")</f>
        <v/>
      </c>
      <c r="AZ256" s="587">
        <v>44583</v>
      </c>
      <c r="BA256" s="587">
        <v>44560</v>
      </c>
      <c r="BB256" s="514" t="s">
        <v>3073</v>
      </c>
      <c r="BC256" s="360" t="s">
        <v>3078</v>
      </c>
      <c r="BD256" s="593"/>
      <c r="BE256" s="360" t="str">
        <f>IF(AND(COUNTIF(AY256,"&gt;&lt;0")=1,COUNTA(M256)=1),LEFT(D256,3),"")</f>
        <v/>
      </c>
      <c r="BF256" s="360" t="str">
        <f>IF(AND(COUNTIF(AY256,"&gt;&lt;")=1,COUNTA(M256)=0),LEFT(D256,3),"")</f>
        <v/>
      </c>
      <c r="BG256" s="360" t="str">
        <f>IF(AND(COUNTIF(AY256,"&gt;&lt;0")=0,COUNTA(M256)=1),LEFT(D256,3),"")</f>
        <v>6-8</v>
      </c>
      <c r="BH256" s="360" t="str">
        <f>IF(AND(COUNTIF(AY256,"&gt;&lt;0")=0,COUNTA(M256)=0),LEFT(D256,3),"")</f>
        <v/>
      </c>
    </row>
    <row r="257" spans="1:60" ht="13.5" x14ac:dyDescent="0.3">
      <c r="A257" s="590"/>
      <c r="B257" s="360"/>
      <c r="C257" s="265" t="s">
        <v>70</v>
      </c>
      <c r="D257" s="265" t="s">
        <v>2487</v>
      </c>
      <c r="E257" s="264" t="s">
        <v>2935</v>
      </c>
      <c r="F257" s="257" t="s">
        <v>3075</v>
      </c>
      <c r="G257" s="257" t="s">
        <v>3157</v>
      </c>
      <c r="H257" s="264" t="s">
        <v>166</v>
      </c>
      <c r="I257" s="264" t="s">
        <v>167</v>
      </c>
      <c r="J257" s="212" t="s">
        <v>3109</v>
      </c>
      <c r="K257" s="271" t="s">
        <v>2834</v>
      </c>
      <c r="L257" s="272">
        <v>44578</v>
      </c>
      <c r="M257" s="272">
        <v>44582</v>
      </c>
      <c r="N257" s="272"/>
      <c r="O257" s="272"/>
      <c r="P257" s="272" t="str">
        <f>IFERROR(IF(VLOOKUP(功能_33[[#This Row],[功能代號]],討論項目!A:H,8,FALSE)=0,"",VLOOKUP(功能_33[[#This Row],[功能代號]],討論項目!A:H,8,FALSE)),"")</f>
        <v/>
      </c>
      <c r="Q257" s="264" t="s">
        <v>1</v>
      </c>
      <c r="R257" s="264" t="e">
        <v>#N/A</v>
      </c>
      <c r="S257" s="664" t="s">
        <v>15</v>
      </c>
      <c r="T257" s="265" t="s">
        <v>8</v>
      </c>
      <c r="X257" s="264"/>
      <c r="Z257" s="264"/>
      <c r="AA257" s="264"/>
      <c r="AB257" s="360" t="str">
        <f>VLOOKUP(功能_33[[#This Row],[User]],SKL放款!A:G,7,FALSE)</f>
        <v>放款服務課</v>
      </c>
      <c r="AC257" s="272"/>
      <c r="AD257" s="272"/>
      <c r="AE257" s="258"/>
      <c r="AF257" s="259"/>
      <c r="AG257" s="583">
        <v>44578</v>
      </c>
      <c r="AH257" s="259"/>
      <c r="AI257" s="259"/>
      <c r="AJ257" s="259"/>
      <c r="AK257" s="259" t="str">
        <f>IFERROR(IF(VLOOKUP(功能_33[[#This Row],[功能代號]],E:U,11,FALSE)=0,"",VLOOKUP(功能_33[[#This Row],[功能代號]],E:U,11,FALSE)),"")</f>
        <v/>
      </c>
      <c r="AL257" s="259"/>
      <c r="AM257" s="259"/>
      <c r="AN257" s="360"/>
      <c r="AP257" s="556" t="s">
        <v>2603</v>
      </c>
      <c r="AQ257" s="264" t="s">
        <v>163</v>
      </c>
      <c r="AR257" s="593" t="s">
        <v>3207</v>
      </c>
      <c r="AS257" s="536" t="str">
        <f>IF(COUNTA(AG257)=1,LEFT(D257,3),"")</f>
        <v>6-8</v>
      </c>
      <c r="AT257" s="485" t="str">
        <f>IF(AND(COUNTA(O257)=1,COUNTA(P257)=1,COUNTA(AC257)=1,COUNTA(AF257)=1,COUNTA(AG257)=0),LEFT(D257,3),"")</f>
        <v/>
      </c>
      <c r="AU257" s="487" t="str">
        <f>IF(AND(COUNTA(O257)=1,COUNTA(P257)=1,COUNTA(AC257)=1,COUNTA(AF257)=0,COUNTA(AG257)=0),LEFT(D257,3),"")</f>
        <v/>
      </c>
      <c r="AV257" s="489" t="str">
        <f>IF(AND(COUNTA(P257)=0,COUNTA(AC257)=1),LEFT(D257,3),"")</f>
        <v/>
      </c>
      <c r="AW257" s="491" t="str">
        <f>IF(AND(COUNTA(P257)=1,COUNTA(AC257)=0),LEFT(D257,3),"")</f>
        <v>6-8</v>
      </c>
      <c r="AX257" s="493" t="str">
        <f>IF(AND(COUNTA(P257)=0,COUNTA(AC257)=0),LEFT(D257,3),"")</f>
        <v/>
      </c>
      <c r="AY257" s="514" t="str">
        <f>IFERROR(VLOOKUP(功能_33[[#This Row],[功能代號]],SIT_FT_2021tmp!D:D,1,FALSE),"")</f>
        <v/>
      </c>
      <c r="AZ257" s="587">
        <v>44583</v>
      </c>
      <c r="BA257" s="587">
        <v>44560</v>
      </c>
      <c r="BB257" s="514" t="s">
        <v>3073</v>
      </c>
      <c r="BC257" s="360" t="s">
        <v>3077</v>
      </c>
      <c r="BD257" s="593"/>
      <c r="BE257" s="360" t="str">
        <f>IF(AND(COUNTIF(AY257,"&gt;&lt;0")=1,COUNTA(M257)=1),LEFT(D257,3),"")</f>
        <v/>
      </c>
      <c r="BF257" s="360" t="str">
        <f>IF(AND(COUNTIF(AY257,"&gt;&lt;")=1,COUNTA(M257)=0),LEFT(D257,3),"")</f>
        <v/>
      </c>
      <c r="BG257" s="360" t="str">
        <f>IF(AND(COUNTIF(AY257,"&gt;&lt;0")=0,COUNTA(M257)=1),LEFT(D257,3),"")</f>
        <v>6-8</v>
      </c>
      <c r="BH257" s="360" t="str">
        <f>IF(AND(COUNTIF(AY257,"&gt;&lt;0")=0,COUNTA(M257)=0),LEFT(D257,3),"")</f>
        <v/>
      </c>
    </row>
    <row r="258" spans="1:60" ht="13.5" x14ac:dyDescent="0.3">
      <c r="A258" s="590"/>
      <c r="B258" s="360"/>
      <c r="C258" s="265" t="s">
        <v>70</v>
      </c>
      <c r="D258" s="265" t="s">
        <v>2487</v>
      </c>
      <c r="E258" s="264" t="s">
        <v>3111</v>
      </c>
      <c r="F258" s="257" t="s">
        <v>3112</v>
      </c>
      <c r="G258" s="257" t="s">
        <v>3157</v>
      </c>
      <c r="H258" s="264" t="s">
        <v>166</v>
      </c>
      <c r="I258" s="264" t="s">
        <v>167</v>
      </c>
      <c r="J258" s="212" t="s">
        <v>3109</v>
      </c>
      <c r="K258" s="271" t="s">
        <v>2834</v>
      </c>
      <c r="L258" s="272">
        <v>44578</v>
      </c>
      <c r="M258" s="272">
        <v>44582</v>
      </c>
      <c r="N258" s="272"/>
      <c r="O258" s="272"/>
      <c r="P258" s="272" t="str">
        <f>IFERROR(IF(VLOOKUP(功能_33[[#This Row],[功能代號]],討論項目!A:H,8,FALSE)=0,"",VLOOKUP(功能_33[[#This Row],[功能代號]],討論項目!A:H,8,FALSE)),"")</f>
        <v/>
      </c>
      <c r="Q258" s="264" t="s">
        <v>1</v>
      </c>
      <c r="R258" s="264" t="e">
        <v>#N/A</v>
      </c>
      <c r="S258" s="664" t="s">
        <v>15</v>
      </c>
      <c r="T258" s="265" t="s">
        <v>8</v>
      </c>
      <c r="X258" s="264"/>
      <c r="Z258" s="264"/>
      <c r="AA258" s="264"/>
      <c r="AB258" s="360" t="str">
        <f>VLOOKUP(功能_33[[#This Row],[User]],SKL放款!A:G,7,FALSE)</f>
        <v>放款服務課</v>
      </c>
      <c r="AC258" s="272"/>
      <c r="AD258" s="272"/>
      <c r="AE258" s="258"/>
      <c r="AF258" s="259"/>
      <c r="AG258" s="583">
        <v>44578</v>
      </c>
      <c r="AH258" s="259"/>
      <c r="AI258" s="259"/>
      <c r="AJ258" s="259"/>
      <c r="AK258" s="259" t="str">
        <f>IFERROR(IF(VLOOKUP(功能_33[[#This Row],[功能代號]],E:U,11,FALSE)=0,"",VLOOKUP(功能_33[[#This Row],[功能代號]],E:U,11,FALSE)),"")</f>
        <v/>
      </c>
      <c r="AL258" s="259"/>
      <c r="AM258" s="259"/>
      <c r="AN258" s="360"/>
      <c r="AP258" s="556" t="s">
        <v>2603</v>
      </c>
      <c r="AQ258" s="264" t="s">
        <v>163</v>
      </c>
      <c r="AR258" s="593" t="s">
        <v>3207</v>
      </c>
      <c r="AS258" s="536" t="str">
        <f>IF(COUNTA(AG258)=1,LEFT(D258,3),"")</f>
        <v>6-8</v>
      </c>
      <c r="AT258" s="485" t="str">
        <f>IF(AND(COUNTA(O258)=1,COUNTA(P258)=1,COUNTA(AC258)=1,COUNTA(AF258)=1,COUNTA(AG258)=0),LEFT(D258,3),"")</f>
        <v/>
      </c>
      <c r="AU258" s="487" t="str">
        <f>IF(AND(COUNTA(O258)=1,COUNTA(P258)=1,COUNTA(AC258)=1,COUNTA(AF258)=0,COUNTA(AG258)=0),LEFT(D258,3),"")</f>
        <v/>
      </c>
      <c r="AV258" s="489" t="str">
        <f>IF(AND(COUNTA(P258)=0,COUNTA(AC258)=1),LEFT(D258,3),"")</f>
        <v/>
      </c>
      <c r="AW258" s="491" t="str">
        <f>IF(AND(COUNTA(P258)=1,COUNTA(AC258)=0),LEFT(D258,3),"")</f>
        <v>6-8</v>
      </c>
      <c r="AX258" s="493" t="str">
        <f>IF(AND(COUNTA(P258)=0,COUNTA(AC258)=0),LEFT(D258,3),"")</f>
        <v/>
      </c>
      <c r="AY258" s="514" t="str">
        <f>IFERROR(VLOOKUP(功能_33[[#This Row],[功能代號]],SIT_FT_2021tmp!D:D,1,FALSE),"")</f>
        <v/>
      </c>
      <c r="AZ258" s="587">
        <v>44583</v>
      </c>
      <c r="BA258" s="587">
        <v>44560</v>
      </c>
      <c r="BB258" s="514" t="s">
        <v>3073</v>
      </c>
      <c r="BC258" s="360" t="s">
        <v>3077</v>
      </c>
      <c r="BD258" s="593"/>
      <c r="BE258" s="360" t="str">
        <f>IF(AND(COUNTIF(AY258,"&gt;&lt;0")=1,COUNTA(M258)=1),LEFT(D258,3),"")</f>
        <v/>
      </c>
      <c r="BF258" s="360" t="str">
        <f>IF(AND(COUNTIF(AY258,"&gt;&lt;")=1,COUNTA(M258)=0),LEFT(D258,3),"")</f>
        <v/>
      </c>
      <c r="BG258" s="360" t="str">
        <f>IF(AND(COUNTIF(AY258,"&gt;&lt;0")=0,COUNTA(M258)=1),LEFT(D258,3),"")</f>
        <v>6-8</v>
      </c>
      <c r="BH258" s="360" t="str">
        <f>IF(AND(COUNTIF(AY258,"&gt;&lt;0")=0,COUNTA(M258)=0),LEFT(D258,3),"")</f>
        <v/>
      </c>
    </row>
    <row r="259" spans="1:60" x14ac:dyDescent="0.3">
      <c r="A259" s="589"/>
      <c r="C259" s="265" t="s">
        <v>70</v>
      </c>
      <c r="D259" s="265" t="s">
        <v>2487</v>
      </c>
      <c r="E259" s="264" t="s">
        <v>1785</v>
      </c>
      <c r="F259" s="257" t="s">
        <v>3076</v>
      </c>
      <c r="G259" s="257" t="s">
        <v>3157</v>
      </c>
      <c r="H259" s="264" t="s">
        <v>166</v>
      </c>
      <c r="I259" s="264" t="s">
        <v>167</v>
      </c>
      <c r="J259" s="212" t="s">
        <v>3109</v>
      </c>
      <c r="K259" s="271" t="s">
        <v>2834</v>
      </c>
      <c r="L259" s="272">
        <v>44578</v>
      </c>
      <c r="M259" s="272">
        <v>44582</v>
      </c>
      <c r="Q259" s="264" t="s">
        <v>1</v>
      </c>
      <c r="R259" s="264" t="e">
        <v>#N/A</v>
      </c>
      <c r="S259" s="664" t="s">
        <v>15</v>
      </c>
      <c r="AG259" s="583">
        <v>44578</v>
      </c>
      <c r="AP259" s="556" t="s">
        <v>2603</v>
      </c>
      <c r="AQ259" s="264" t="s">
        <v>163</v>
      </c>
      <c r="AR259" s="593" t="s">
        <v>3207</v>
      </c>
      <c r="AY259" s="514" t="str">
        <f>IFERROR(VLOOKUP(功能_33[[#This Row],[功能代號]],SIT_FT_2021tmp!D:D,1,FALSE),"")</f>
        <v/>
      </c>
      <c r="AZ259" s="587">
        <v>44583</v>
      </c>
      <c r="BA259" s="587">
        <v>44540</v>
      </c>
      <c r="BB259" s="514" t="s">
        <v>3000</v>
      </c>
      <c r="BC259" s="265" t="s">
        <v>3079</v>
      </c>
      <c r="BD259" s="593"/>
      <c r="BE259" s="265" t="str">
        <f>IF(AND(COUNTIF(AY259,"&gt;&lt;0")=1,COUNTA(M259)=1),LEFT(D259,3),"")</f>
        <v/>
      </c>
      <c r="BF259" s="265" t="str">
        <f>IF(AND(COUNTIF(AY259,"&gt;&lt;")=1,COUNTA(M259)=0),LEFT(D259,3),"")</f>
        <v/>
      </c>
      <c r="BG259" s="265" t="str">
        <f>IF(AND(COUNTIF(AY259,"&gt;&lt;0")=0,COUNTA(M259)=1),LEFT(D259,3),"")</f>
        <v>6-8</v>
      </c>
      <c r="BH259" s="265" t="str">
        <f>IF(AND(COUNTIF(AY259,"&gt;&lt;0")=0,COUNTA(M259)=0),LEFT(D259,3),"")</f>
        <v/>
      </c>
    </row>
    <row r="260" spans="1:60" ht="13.5" x14ac:dyDescent="0.3">
      <c r="A260" s="589"/>
      <c r="B260" s="265">
        <v>1</v>
      </c>
      <c r="C260" s="265" t="s">
        <v>67</v>
      </c>
      <c r="D260" s="325" t="s">
        <v>2486</v>
      </c>
      <c r="E260" s="264" t="s">
        <v>744</v>
      </c>
      <c r="F260" s="265" t="s">
        <v>745</v>
      </c>
      <c r="G260" s="265"/>
      <c r="H260" s="264" t="s">
        <v>166</v>
      </c>
      <c r="I260" s="264" t="s">
        <v>167</v>
      </c>
      <c r="J260" s="212" t="s">
        <v>283</v>
      </c>
      <c r="K260" s="212"/>
      <c r="L260" s="272">
        <v>44579</v>
      </c>
      <c r="M260" s="272">
        <v>44581</v>
      </c>
      <c r="N260" s="272">
        <v>44487</v>
      </c>
      <c r="O260" s="272">
        <v>44487</v>
      </c>
      <c r="P260" s="272">
        <v>44487</v>
      </c>
      <c r="Q260" s="264" t="s">
        <v>1</v>
      </c>
      <c r="R260" s="264" t="s">
        <v>15</v>
      </c>
      <c r="S260" s="264" t="s">
        <v>15</v>
      </c>
      <c r="T260" s="265" t="s">
        <v>8</v>
      </c>
      <c r="X260" s="264"/>
      <c r="Z260" s="264"/>
      <c r="AA260" s="264"/>
      <c r="AB260" s="265" t="str">
        <f>VLOOKUP(功能_33[[#This Row],[User]],SKL放款!A:G,7,FALSE)</f>
        <v>放款服務課</v>
      </c>
      <c r="AC260" s="272">
        <v>44496</v>
      </c>
      <c r="AD260" s="272" t="s">
        <v>168</v>
      </c>
      <c r="AE260" s="272">
        <v>44496</v>
      </c>
      <c r="AF260" s="272">
        <v>44496</v>
      </c>
      <c r="AG260" s="209">
        <v>44512</v>
      </c>
      <c r="AH260" s="272" t="s">
        <v>169</v>
      </c>
      <c r="AI260" s="272"/>
      <c r="AJ260" s="322"/>
      <c r="AK260" s="272">
        <f>IFERROR(IF(VLOOKUP(功能_33[[#This Row],[功能代號]],E:U,11,FALSE)=0,"",VLOOKUP(功能_33[[#This Row],[功能代號]],E:U,11,FALSE)),"")</f>
        <v>44487</v>
      </c>
      <c r="AL260" s="272"/>
      <c r="AM260" s="272"/>
      <c r="AN260" s="265"/>
      <c r="AO260" s="272"/>
      <c r="AP260" s="264">
        <v>366</v>
      </c>
      <c r="AQ260" s="265" t="s">
        <v>746</v>
      </c>
      <c r="AR260" s="593" t="s">
        <v>3207</v>
      </c>
      <c r="AS260" s="483" t="str">
        <f>IF(COUNTA(AG260)=1,LEFT(D260,3),"")</f>
        <v>3-4</v>
      </c>
      <c r="AT260" s="485" t="str">
        <f>IF(AND(COUNTA(O260)=1,COUNTA(P260)=1,COUNTA(AC260)=1,COUNTA(AF260)=1,COUNTA(AG260)=0),LEFT(D260,3),"")</f>
        <v/>
      </c>
      <c r="AU260" s="487" t="str">
        <f>IF(AND(COUNTA(O260)=1,COUNTA(P260)=1,COUNTA(AC260)=1,COUNTA(AF260)=0,COUNTA(AG260)=0),LEFT(D260,3),"")</f>
        <v/>
      </c>
      <c r="AV260" s="489" t="str">
        <f>IF(AND(COUNTA(P260)=0,COUNTA(AC260)=1),LEFT(D260,3),"")</f>
        <v/>
      </c>
      <c r="AW260" s="491" t="str">
        <f>IF(AND(COUNTA(P260)=1,COUNTA(AC260)=0),LEFT(D260,3),"")</f>
        <v/>
      </c>
      <c r="AX260" s="493" t="str">
        <f>IF(AND(COUNTA(P260)=0,COUNTA(AC260)=0),LEFT(D260,3),"")</f>
        <v/>
      </c>
      <c r="AY260" s="514" t="str">
        <f>IFERROR(VLOOKUP(功能_33[[#This Row],[功能代號]],SIT_FT_2021tmp!D:D,1,FALSE),"")</f>
        <v>L3440</v>
      </c>
      <c r="AZ260" s="587">
        <v>44560</v>
      </c>
      <c r="BA260" s="587">
        <v>44560</v>
      </c>
      <c r="BB260" s="514" t="s">
        <v>3073</v>
      </c>
      <c r="BC260" s="265" t="s">
        <v>3044</v>
      </c>
      <c r="BD260" s="593"/>
      <c r="BE260" s="264" t="str">
        <f>IF(AND(COUNTIF(AY260,"&gt;&lt;0")=1,COUNTA(M260)=1),LEFT(D260,3),"")</f>
        <v>3-4</v>
      </c>
      <c r="BF260" s="264" t="str">
        <f>IF(AND(COUNTIF(AY260,"&gt;&lt;")=1,COUNTA(M260)=0),LEFT(D260,3),"")</f>
        <v/>
      </c>
      <c r="BG260" s="264" t="str">
        <f>IF(AND(COUNTIF(AY260,"&gt;&lt;0")=0,COUNTA(M260)=1),LEFT(D260,3),"")</f>
        <v/>
      </c>
      <c r="BH260" s="264" t="str">
        <f>IF(AND(COUNTIF(AY260,"&gt;&lt;0")=0,COUNTA(M260)=0),LEFT(D260,3),"")</f>
        <v/>
      </c>
    </row>
    <row r="261" spans="1:60" ht="13.5" x14ac:dyDescent="0.3">
      <c r="A261" s="589"/>
      <c r="C261" s="265" t="s">
        <v>66</v>
      </c>
      <c r="D261" s="265" t="s">
        <v>2493</v>
      </c>
      <c r="E261" s="264" t="s">
        <v>747</v>
      </c>
      <c r="F261" s="265" t="s">
        <v>748</v>
      </c>
      <c r="G261" s="265"/>
      <c r="H261" s="264" t="s">
        <v>166</v>
      </c>
      <c r="I261" s="264" t="s">
        <v>176</v>
      </c>
      <c r="J261" s="212" t="s">
        <v>2949</v>
      </c>
      <c r="K261" s="212" t="s">
        <v>2990</v>
      </c>
      <c r="L261" s="272">
        <v>44564</v>
      </c>
      <c r="M261" s="272">
        <v>44564</v>
      </c>
      <c r="N261" s="272">
        <v>44487</v>
      </c>
      <c r="O261" s="272">
        <v>44488</v>
      </c>
      <c r="P261" s="272">
        <v>44488</v>
      </c>
      <c r="Q261" s="264" t="s">
        <v>6</v>
      </c>
      <c r="R261" s="264" t="s">
        <v>145</v>
      </c>
      <c r="S261" s="264" t="s">
        <v>145</v>
      </c>
      <c r="T261" s="265" t="s">
        <v>10</v>
      </c>
      <c r="X261" s="264"/>
      <c r="Z261" s="264"/>
      <c r="AA261" s="264"/>
      <c r="AB261" s="265" t="str">
        <f>VLOOKUP(功能_33[[#This Row],[User]],SKL放款!A:G,7,FALSE)</f>
        <v>放款服務課</v>
      </c>
      <c r="AC261" s="272">
        <v>44524</v>
      </c>
      <c r="AD261" s="272" t="s">
        <v>168</v>
      </c>
      <c r="AE261" s="272">
        <v>44524</v>
      </c>
      <c r="AF261" s="272">
        <v>44524</v>
      </c>
      <c r="AG261" s="209" t="s">
        <v>2965</v>
      </c>
      <c r="AH261" s="272" t="s">
        <v>169</v>
      </c>
      <c r="AI261" s="272"/>
      <c r="AJ261" s="322"/>
      <c r="AK261" s="272">
        <f>IFERROR(IF(VLOOKUP(功能_33[[#This Row],[功能代號]],E:U,11,FALSE)=0,"",VLOOKUP(功能_33[[#This Row],[功能代號]],E:U,11,FALSE)),"")</f>
        <v>44488</v>
      </c>
      <c r="AL261" s="272"/>
      <c r="AM261" s="272"/>
      <c r="AN261" s="265"/>
      <c r="AO261" s="211" t="s">
        <v>743</v>
      </c>
      <c r="AP261" s="264">
        <v>226</v>
      </c>
      <c r="AQ261" s="265" t="s">
        <v>749</v>
      </c>
      <c r="AR261" s="593" t="s">
        <v>3207</v>
      </c>
      <c r="AS261" s="483" t="str">
        <f>IF(COUNTA(AG261)=1,LEFT(D261,3),"")</f>
        <v>2-2</v>
      </c>
      <c r="AT261" s="485" t="str">
        <f>IF(AND(COUNTA(O261)=1,COUNTA(P261)=1,COUNTA(AC261)=1,COUNTA(AF261)=1,COUNTA(AG261)=0),LEFT(D261,3),"")</f>
        <v/>
      </c>
      <c r="AU261" s="487" t="str">
        <f>IF(AND(COUNTA(O261)=1,COUNTA(P261)=1,COUNTA(AC261)=1,COUNTA(AF261)=0,COUNTA(AG261)=0),LEFT(D261,3),"")</f>
        <v/>
      </c>
      <c r="AV261" s="489" t="str">
        <f>IF(AND(COUNTA(P261)=0,COUNTA(AC261)=1),LEFT(D261,3),"")</f>
        <v/>
      </c>
      <c r="AW261" s="491" t="str">
        <f>IF(AND(COUNTA(P261)=1,COUNTA(AC261)=0),LEFT(D261,3),"")</f>
        <v/>
      </c>
      <c r="AX261" s="493" t="str">
        <f>IF(AND(COUNTA(P261)=0,COUNTA(AC261)=0),LEFT(D261,3),"")</f>
        <v/>
      </c>
      <c r="AY261" s="514" t="str">
        <f>IFERROR(VLOOKUP(功能_33[[#This Row],[功能代號]],SIT_FT_2021tmp!D:D,1,FALSE),"")</f>
        <v/>
      </c>
      <c r="AZ261" s="587">
        <v>44610</v>
      </c>
      <c r="BB261" s="514" t="s">
        <v>2453</v>
      </c>
      <c r="BC261" s="265" t="s">
        <v>2453</v>
      </c>
      <c r="BD261" s="593"/>
      <c r="BE261" s="265" t="str">
        <f>IF(AND(COUNTIF(AY261,"&gt;&lt;0")=1,COUNTA(M261)=1),LEFT(D261,3),"")</f>
        <v/>
      </c>
      <c r="BF261" s="265" t="str">
        <f>IF(AND(COUNTIF(AY261,"&gt;&lt;")=1,COUNTA(M261)=0),LEFT(D261,3),"")</f>
        <v/>
      </c>
      <c r="BG261" s="265" t="str">
        <f>IF(AND(COUNTIF(AY261,"&gt;&lt;0")=0,COUNTA(M261)=1),LEFT(D261,3),"")</f>
        <v>2-2</v>
      </c>
      <c r="BH261" s="265" t="str">
        <f>IF(AND(COUNTIF(AY261,"&gt;&lt;0")=0,COUNTA(M261)=0),LEFT(D261,3),"")</f>
        <v/>
      </c>
    </row>
    <row r="262" spans="1:60" ht="13.5" x14ac:dyDescent="0.3">
      <c r="C262" s="265" t="s">
        <v>70</v>
      </c>
      <c r="D262" s="265" t="s">
        <v>2487</v>
      </c>
      <c r="E262" s="264" t="s">
        <v>750</v>
      </c>
      <c r="F262" s="265" t="s">
        <v>751</v>
      </c>
      <c r="G262" s="265"/>
      <c r="H262" s="264" t="s">
        <v>166</v>
      </c>
      <c r="I262" s="264" t="s">
        <v>167</v>
      </c>
      <c r="J262" s="212" t="s">
        <v>2853</v>
      </c>
      <c r="K262" s="212"/>
      <c r="L262" s="272">
        <v>44571</v>
      </c>
      <c r="M262" s="272">
        <v>44575</v>
      </c>
      <c r="N262" s="272">
        <v>44488</v>
      </c>
      <c r="O262" s="272">
        <v>44488</v>
      </c>
      <c r="P262" s="272">
        <v>44533</v>
      </c>
      <c r="Q262" s="264" t="s">
        <v>1</v>
      </c>
      <c r="R262" s="264" t="s">
        <v>15</v>
      </c>
      <c r="S262" s="264" t="s">
        <v>15</v>
      </c>
      <c r="T262" s="265" t="s">
        <v>8</v>
      </c>
      <c r="X262" s="264"/>
      <c r="Z262" s="264"/>
      <c r="AA262" s="264"/>
      <c r="AB262" s="265" t="str">
        <f>VLOOKUP(功能_33[[#This Row],[User]],SKL放款!A:G,7,FALSE)</f>
        <v>放款服務課</v>
      </c>
      <c r="AC262" s="272">
        <v>44533</v>
      </c>
      <c r="AD262" s="272" t="s">
        <v>168</v>
      </c>
      <c r="AE262" s="272">
        <v>44531</v>
      </c>
      <c r="AF262" s="272">
        <v>44531</v>
      </c>
      <c r="AG262" s="209">
        <v>44550</v>
      </c>
      <c r="AH262" s="272"/>
      <c r="AI262" s="272"/>
      <c r="AJ262" s="322"/>
      <c r="AK262" s="272">
        <f>IFERROR(IF(VLOOKUP(功能_33[[#This Row],[功能代號]],E:U,11,FALSE)=0,"",VLOOKUP(功能_33[[#This Row],[功能代號]],E:U,11,FALSE)),"")</f>
        <v>44488</v>
      </c>
      <c r="AL262" s="272"/>
      <c r="AM262" s="272"/>
      <c r="AN262" s="265"/>
      <c r="AO262" s="211" t="s">
        <v>743</v>
      </c>
      <c r="AP262" s="264" t="s">
        <v>163</v>
      </c>
      <c r="AQ262" s="264" t="s">
        <v>163</v>
      </c>
      <c r="AR262" s="593" t="s">
        <v>3207</v>
      </c>
      <c r="AS262" s="483" t="str">
        <f>IF(COUNTA(AG262)=1,LEFT(D262,3),"")</f>
        <v>6-8</v>
      </c>
      <c r="AT262" s="485" t="str">
        <f>IF(AND(COUNTA(O262)=1,COUNTA(P262)=1,COUNTA(AC262)=1,COUNTA(AF262)=1,COUNTA(AG262)=0),LEFT(D262,3),"")</f>
        <v/>
      </c>
      <c r="AU262" s="487" t="str">
        <f>IF(AND(COUNTA(O262)=1,COUNTA(P262)=1,COUNTA(AC262)=1,COUNTA(AF262)=0,COUNTA(AG262)=0),LEFT(D262,3),"")</f>
        <v/>
      </c>
      <c r="AV262" s="489" t="str">
        <f>IF(AND(COUNTA(P262)=0,COUNTA(AC262)=1),LEFT(D262,3),"")</f>
        <v/>
      </c>
      <c r="AW262" s="491" t="str">
        <f>IF(AND(COUNTA(P262)=1,COUNTA(AC262)=0),LEFT(D262,3),"")</f>
        <v/>
      </c>
      <c r="AX262" s="493" t="str">
        <f>IF(AND(COUNTA(P262)=0,COUNTA(AC262)=0),LEFT(D262,3),"")</f>
        <v/>
      </c>
      <c r="AY262" s="514" t="str">
        <f>IFERROR(VLOOKUP(功能_33[[#This Row],[功能代號]],SIT_FT_2021tmp!D:D,1,FALSE),"")</f>
        <v>L6981</v>
      </c>
      <c r="AZ262" s="587">
        <v>44560</v>
      </c>
      <c r="BA262" s="587">
        <v>44560</v>
      </c>
      <c r="BB262" s="514" t="s">
        <v>3000</v>
      </c>
      <c r="BC262" s="265" t="s">
        <v>3048</v>
      </c>
      <c r="BD262" s="593"/>
      <c r="BE262" s="264" t="str">
        <f>IF(AND(COUNTIF(AY262,"&gt;&lt;0")=1,COUNTA(M262)=1),LEFT(D262,3),"")</f>
        <v>6-8</v>
      </c>
      <c r="BF262" s="264" t="str">
        <f>IF(AND(COUNTIF(AY262,"&gt;&lt;")=1,COUNTA(M262)=0),LEFT(D262,3),"")</f>
        <v/>
      </c>
      <c r="BG262" s="264" t="str">
        <f>IF(AND(COUNTIF(AY262,"&gt;&lt;0")=0,COUNTA(M262)=1),LEFT(D262,3),"")</f>
        <v/>
      </c>
      <c r="BH262" s="264" t="str">
        <f>IF(AND(COUNTIF(AY262,"&gt;&lt;0")=0,COUNTA(M262)=0),LEFT(D262,3),"")</f>
        <v/>
      </c>
    </row>
    <row r="263" spans="1:60" ht="13.5" x14ac:dyDescent="0.3">
      <c r="A263" s="535"/>
      <c r="B263" s="360"/>
      <c r="C263" s="265" t="s">
        <v>70</v>
      </c>
      <c r="D263" s="407" t="s">
        <v>2463</v>
      </c>
      <c r="E263" s="264" t="s">
        <v>2803</v>
      </c>
      <c r="F263" s="265" t="s">
        <v>2805</v>
      </c>
      <c r="G263" s="265" t="s">
        <v>2807</v>
      </c>
      <c r="H263" s="264" t="s">
        <v>166</v>
      </c>
      <c r="I263" s="264" t="s">
        <v>287</v>
      </c>
      <c r="J263" s="212" t="s">
        <v>389</v>
      </c>
      <c r="K263" s="212"/>
      <c r="L263" s="272">
        <v>44568</v>
      </c>
      <c r="M263" s="272">
        <v>44567</v>
      </c>
      <c r="N263" s="272">
        <v>44529</v>
      </c>
      <c r="O263" s="272">
        <v>44529</v>
      </c>
      <c r="P263" s="272">
        <v>44538</v>
      </c>
      <c r="Q263" s="264" t="s">
        <v>6</v>
      </c>
      <c r="R263" s="264" t="s">
        <v>145</v>
      </c>
      <c r="S263" s="264" t="s">
        <v>145</v>
      </c>
      <c r="U263" s="272">
        <v>44533</v>
      </c>
      <c r="V263" s="272" t="s">
        <v>107</v>
      </c>
      <c r="W263" s="272" t="s">
        <v>2585</v>
      </c>
      <c r="X263" s="272">
        <v>44544</v>
      </c>
      <c r="Y263" s="272">
        <v>44544</v>
      </c>
      <c r="Z263" s="264" t="s">
        <v>163</v>
      </c>
      <c r="AB263" s="265" t="e">
        <v>#N/A</v>
      </c>
      <c r="AC263" s="272">
        <v>44544</v>
      </c>
      <c r="AD263" s="272" t="s">
        <v>2557</v>
      </c>
      <c r="AE263" s="272" t="s">
        <v>2585</v>
      </c>
      <c r="AF263" s="272">
        <v>44544</v>
      </c>
      <c r="AG263" s="209">
        <v>44544</v>
      </c>
      <c r="AH263" s="259"/>
      <c r="AI263" s="259"/>
      <c r="AJ263" s="259"/>
      <c r="AK263" s="259">
        <f>IFERROR(IF(VLOOKUP(功能_33[[#This Row],[功能代號]],E:U,11,FALSE)=0,"",VLOOKUP(功能_33[[#This Row],[功能代號]],E:U,11,FALSE)),"")</f>
        <v>44529</v>
      </c>
      <c r="AL263" s="259"/>
      <c r="AM263" s="259"/>
      <c r="AN263" s="360"/>
      <c r="AP263" s="264" t="s">
        <v>163</v>
      </c>
      <c r="AQ263" s="264" t="s">
        <v>163</v>
      </c>
      <c r="AR263" s="593" t="s">
        <v>3207</v>
      </c>
      <c r="AS263" s="536" t="str">
        <f>IF(COUNTA(AG263)=1,LEFT(D263,3),"")</f>
        <v>6-4</v>
      </c>
      <c r="AT263" s="485" t="str">
        <f>IF(AND(COUNTA(O263)=1,COUNTA(P263)=1,COUNTA(AC263)=1,COUNTA(AF263)=1,COUNTA(AG263)=0),LEFT(D263,3),"")</f>
        <v/>
      </c>
      <c r="AU263" s="487" t="str">
        <f>IF(AND(COUNTA(O263)=1,COUNTA(P263)=1,COUNTA(AC263)=1,COUNTA(AF263)=0,COUNTA(AG263)=0),LEFT(D263,3),"")</f>
        <v/>
      </c>
      <c r="AV263" s="489" t="str">
        <f>IF(AND(COUNTA(P263)=0,COUNTA(AC263)=1),LEFT(D263,3),"")</f>
        <v/>
      </c>
      <c r="AW263" s="491" t="str">
        <f>IF(AND(COUNTA(P263)=1,COUNTA(AC263)=0),LEFT(D263,3),"")</f>
        <v/>
      </c>
      <c r="AX263" s="493" t="str">
        <f>IF(AND(COUNTA(P263)=0,COUNTA(AC263)=0),LEFT(D263,3),"")</f>
        <v/>
      </c>
      <c r="AY263" s="514" t="str">
        <f>IFERROR(VLOOKUP(功能_33[[#This Row],[功能代號]],SIT_FT_2021tmp!D:D,1,FALSE),"")</f>
        <v>L6933</v>
      </c>
      <c r="AZ263" s="587">
        <v>44512</v>
      </c>
      <c r="BA263" s="587">
        <v>44512</v>
      </c>
      <c r="BB263" s="514" t="s">
        <v>3000</v>
      </c>
      <c r="BC263" s="265" t="s">
        <v>3040</v>
      </c>
      <c r="BD263" s="593"/>
      <c r="BE263" s="264" t="str">
        <f>IF(AND(COUNTIF(AY263,"&gt;&lt;0")=1,COUNTA(M263)=1),LEFT(D263,3),"")</f>
        <v>6-4</v>
      </c>
      <c r="BF263" s="264" t="str">
        <f>IF(AND(COUNTIF(AY263,"&gt;&lt;")=1,COUNTA(M263)=0),LEFT(D263,3),"")</f>
        <v/>
      </c>
      <c r="BG263" s="264" t="str">
        <f>IF(AND(COUNTIF(AY263,"&gt;&lt;0")=0,COUNTA(M263)=1),LEFT(D263,3),"")</f>
        <v/>
      </c>
      <c r="BH263" s="264" t="str">
        <f>IF(AND(COUNTIF(AY263,"&gt;&lt;0")=0,COUNTA(M263)=0),LEFT(D263,3),"")</f>
        <v/>
      </c>
    </row>
    <row r="264" spans="1:60" ht="13.5" x14ac:dyDescent="0.3">
      <c r="A264" s="535"/>
      <c r="B264" s="360"/>
      <c r="C264" s="265" t="s">
        <v>70</v>
      </c>
      <c r="D264" s="407" t="s">
        <v>2463</v>
      </c>
      <c r="E264" s="264" t="s">
        <v>2804</v>
      </c>
      <c r="F264" s="265" t="s">
        <v>2806</v>
      </c>
      <c r="G264" s="265" t="s">
        <v>2807</v>
      </c>
      <c r="H264" s="264" t="s">
        <v>166</v>
      </c>
      <c r="I264" s="264" t="s">
        <v>287</v>
      </c>
      <c r="J264" s="212" t="s">
        <v>2857</v>
      </c>
      <c r="K264" s="212"/>
      <c r="L264" s="272">
        <v>44568</v>
      </c>
      <c r="M264" s="272">
        <v>44567</v>
      </c>
      <c r="N264" s="272">
        <v>44529</v>
      </c>
      <c r="O264" s="272">
        <v>44529</v>
      </c>
      <c r="P264" s="272">
        <v>44538</v>
      </c>
      <c r="Q264" s="264" t="s">
        <v>6</v>
      </c>
      <c r="R264" s="264" t="s">
        <v>145</v>
      </c>
      <c r="S264" s="264" t="s">
        <v>145</v>
      </c>
      <c r="U264" s="272">
        <v>44533</v>
      </c>
      <c r="V264" s="272" t="s">
        <v>107</v>
      </c>
      <c r="W264" s="272" t="s">
        <v>2585</v>
      </c>
      <c r="X264" s="272">
        <v>44544</v>
      </c>
      <c r="Y264" s="272">
        <v>44544</v>
      </c>
      <c r="Z264" s="264" t="s">
        <v>163</v>
      </c>
      <c r="AB264" s="265" t="e">
        <v>#N/A</v>
      </c>
      <c r="AC264" s="272">
        <v>44544</v>
      </c>
      <c r="AD264" s="272" t="s">
        <v>2557</v>
      </c>
      <c r="AE264" s="272" t="s">
        <v>2585</v>
      </c>
      <c r="AF264" s="272">
        <v>44544</v>
      </c>
      <c r="AG264" s="209">
        <v>44544</v>
      </c>
      <c r="AH264" s="259"/>
      <c r="AI264" s="259"/>
      <c r="AJ264" s="259"/>
      <c r="AK264" s="259">
        <f>IFERROR(IF(VLOOKUP(功能_33[[#This Row],[功能代號]],E:U,11,FALSE)=0,"",VLOOKUP(功能_33[[#This Row],[功能代號]],E:U,11,FALSE)),"")</f>
        <v>44529</v>
      </c>
      <c r="AL264" s="259"/>
      <c r="AM264" s="259"/>
      <c r="AN264" s="360"/>
      <c r="AP264" s="264" t="s">
        <v>163</v>
      </c>
      <c r="AQ264" s="264" t="s">
        <v>163</v>
      </c>
      <c r="AR264" s="593" t="s">
        <v>3207</v>
      </c>
      <c r="AS264" s="536" t="str">
        <f>IF(COUNTA(AG264)=1,LEFT(D264,3),"")</f>
        <v>6-4</v>
      </c>
      <c r="AT264" s="485" t="str">
        <f>IF(AND(COUNTA(O264)=1,COUNTA(P264)=1,COUNTA(AC264)=1,COUNTA(AF264)=1,COUNTA(AG264)=0),LEFT(D264,3),"")</f>
        <v/>
      </c>
      <c r="AU264" s="487" t="str">
        <f>IF(AND(COUNTA(O264)=1,COUNTA(P264)=1,COUNTA(AC264)=1,COUNTA(AF264)=0,COUNTA(AG264)=0),LEFT(D264,3),"")</f>
        <v/>
      </c>
      <c r="AV264" s="489" t="str">
        <f>IF(AND(COUNTA(P264)=0,COUNTA(AC264)=1),LEFT(D264,3),"")</f>
        <v/>
      </c>
      <c r="AW264" s="491" t="str">
        <f>IF(AND(COUNTA(P264)=1,COUNTA(AC264)=0),LEFT(D264,3),"")</f>
        <v/>
      </c>
      <c r="AX264" s="493" t="str">
        <f>IF(AND(COUNTA(P264)=0,COUNTA(AC264)=0),LEFT(D264,3),"")</f>
        <v/>
      </c>
      <c r="AY264" s="514" t="str">
        <f>IFERROR(VLOOKUP(功能_33[[#This Row],[功能代號]],SIT_FT_2021tmp!D:D,1,FALSE),"")</f>
        <v>L6934</v>
      </c>
      <c r="AZ264" s="587">
        <v>44512</v>
      </c>
      <c r="BA264" s="587">
        <v>44512</v>
      </c>
      <c r="BB264" s="514" t="s">
        <v>3000</v>
      </c>
      <c r="BC264" s="265" t="s">
        <v>3040</v>
      </c>
      <c r="BD264" s="593"/>
      <c r="BE264" s="264" t="str">
        <f>IF(AND(COUNTIF(AY264,"&gt;&lt;0")=1,COUNTA(M264)=1),LEFT(D264,3),"")</f>
        <v>6-4</v>
      </c>
      <c r="BF264" s="264" t="str">
        <f>IF(AND(COUNTIF(AY264,"&gt;&lt;")=1,COUNTA(M264)=0),LEFT(D264,3),"")</f>
        <v/>
      </c>
      <c r="BG264" s="264" t="str">
        <f>IF(AND(COUNTIF(AY264,"&gt;&lt;0")=0,COUNTA(M264)=1),LEFT(D264,3),"")</f>
        <v/>
      </c>
      <c r="BH264" s="264" t="str">
        <f>IF(AND(COUNTIF(AY264,"&gt;&lt;0")=0,COUNTA(M264)=0),LEFT(D264,3),"")</f>
        <v/>
      </c>
    </row>
    <row r="265" spans="1:60" ht="13.5" x14ac:dyDescent="0.3">
      <c r="C265" s="265" t="s">
        <v>70</v>
      </c>
      <c r="D265" s="407" t="s">
        <v>2464</v>
      </c>
      <c r="E265" s="264" t="s">
        <v>592</v>
      </c>
      <c r="F265" s="265" t="s">
        <v>593</v>
      </c>
      <c r="G265" s="265"/>
      <c r="H265" s="264" t="s">
        <v>166</v>
      </c>
      <c r="I265" s="264" t="s">
        <v>287</v>
      </c>
      <c r="J265" s="212" t="s">
        <v>389</v>
      </c>
      <c r="K265" s="212"/>
      <c r="L265" s="272">
        <v>44567</v>
      </c>
      <c r="M265" s="272">
        <v>44567</v>
      </c>
      <c r="N265" s="272">
        <v>44516</v>
      </c>
      <c r="O265" s="272">
        <v>44467</v>
      </c>
      <c r="P265" s="272">
        <v>44472</v>
      </c>
      <c r="Q265" s="264" t="s">
        <v>6</v>
      </c>
      <c r="R265" s="264" t="s">
        <v>145</v>
      </c>
      <c r="S265" s="264" t="s">
        <v>145</v>
      </c>
      <c r="X265" s="264"/>
      <c r="Z265" s="264"/>
      <c r="AA265" s="264"/>
      <c r="AB265" s="265" t="str">
        <f>VLOOKUP(功能_33[[#This Row],[User]],SKL放款!A:G,7,FALSE)</f>
        <v>放款服務課</v>
      </c>
      <c r="AC265" s="272">
        <v>44472</v>
      </c>
      <c r="AD265" s="272" t="s">
        <v>107</v>
      </c>
      <c r="AE265" s="258">
        <v>44544</v>
      </c>
      <c r="AF265" s="258">
        <v>44544</v>
      </c>
      <c r="AG265" s="209">
        <v>44544</v>
      </c>
      <c r="AH265" s="272"/>
      <c r="AI265" s="272"/>
      <c r="AJ265" s="322"/>
      <c r="AK265" s="272">
        <f>IFERROR(IF(VLOOKUP(功能_33[[#This Row],[功能代號]],E:U,11,FALSE)=0,"",VLOOKUP(功能_33[[#This Row],[功能代號]],E:U,11,FALSE)),"")</f>
        <v>44467</v>
      </c>
      <c r="AL265" s="272"/>
      <c r="AM265" s="272"/>
      <c r="AN265" s="265"/>
      <c r="AO265" s="272"/>
      <c r="AP265" s="264" t="s">
        <v>163</v>
      </c>
      <c r="AQ265" s="264" t="s">
        <v>163</v>
      </c>
      <c r="AR265" s="593" t="s">
        <v>3207</v>
      </c>
      <c r="AS265" s="483" t="str">
        <f>IF(COUNTA(AG265)=1,LEFT(D265,3),"")</f>
        <v>6-5</v>
      </c>
      <c r="AT265" s="485" t="str">
        <f>IF(AND(COUNTA(O265)=1,COUNTA(P265)=1,COUNTA(AC265)=1,COUNTA(AF265)=1,COUNTA(AG265)=0),LEFT(D265,3),"")</f>
        <v/>
      </c>
      <c r="AU265" s="487" t="str">
        <f>IF(AND(COUNTA(O265)=1,COUNTA(P265)=1,COUNTA(AC265)=1,COUNTA(AF265)=0,COUNTA(AG265)=0),LEFT(D265,3),"")</f>
        <v/>
      </c>
      <c r="AV265" s="489" t="str">
        <f>IF(AND(COUNTA(P265)=0,COUNTA(AC265)=1),LEFT(D265,3),"")</f>
        <v/>
      </c>
      <c r="AW265" s="491" t="str">
        <f>IF(AND(COUNTA(P265)=1,COUNTA(AC265)=0),LEFT(D265,3),"")</f>
        <v/>
      </c>
      <c r="AX265" s="493" t="str">
        <f>IF(AND(COUNTA(P265)=0,COUNTA(AC265)=0),LEFT(D265,3),"")</f>
        <v/>
      </c>
      <c r="AY265" s="514" t="str">
        <f>IFERROR(VLOOKUP(功能_33[[#This Row],[功能代號]],SIT_FT_2021tmp!D:D,1,FALSE),"")</f>
        <v>L6052</v>
      </c>
      <c r="AZ265" s="587">
        <v>44512</v>
      </c>
      <c r="BA265" s="587">
        <v>44512</v>
      </c>
      <c r="BB265" s="514" t="s">
        <v>3000</v>
      </c>
      <c r="BC265" s="265" t="s">
        <v>3049</v>
      </c>
      <c r="BD265" s="593"/>
      <c r="BE265" s="264" t="str">
        <f>IF(AND(COUNTIF(AY265,"&gt;&lt;0")=1,COUNTA(M265)=1),LEFT(D265,3),"")</f>
        <v>6-5</v>
      </c>
      <c r="BF265" s="264" t="str">
        <f>IF(AND(COUNTIF(AY265,"&gt;&lt;")=1,COUNTA(M265)=0),LEFT(D265,3),"")</f>
        <v/>
      </c>
      <c r="BG265" s="264" t="str">
        <f>IF(AND(COUNTIF(AY265,"&gt;&lt;0")=0,COUNTA(M265)=1),LEFT(D265,3),"")</f>
        <v/>
      </c>
      <c r="BH265" s="264" t="str">
        <f>IF(AND(COUNTIF(AY265,"&gt;&lt;0")=0,COUNTA(M265)=0),LEFT(D265,3),"")</f>
        <v/>
      </c>
    </row>
    <row r="266" spans="1:60" ht="13.5" x14ac:dyDescent="0.3">
      <c r="C266" s="265" t="s">
        <v>70</v>
      </c>
      <c r="D266" s="407" t="s">
        <v>2464</v>
      </c>
      <c r="E266" s="264" t="s">
        <v>594</v>
      </c>
      <c r="F266" s="265" t="s">
        <v>595</v>
      </c>
      <c r="G266" s="265"/>
      <c r="H266" s="264" t="s">
        <v>166</v>
      </c>
      <c r="I266" s="264" t="s">
        <v>287</v>
      </c>
      <c r="J266" s="212" t="s">
        <v>389</v>
      </c>
      <c r="K266" s="212"/>
      <c r="L266" s="272">
        <v>44567</v>
      </c>
      <c r="M266" s="272">
        <v>44567</v>
      </c>
      <c r="N266" s="272">
        <v>44516</v>
      </c>
      <c r="O266" s="272">
        <v>44467</v>
      </c>
      <c r="P266" s="272">
        <v>44472</v>
      </c>
      <c r="Q266" s="264" t="s">
        <v>6</v>
      </c>
      <c r="R266" s="264" t="s">
        <v>145</v>
      </c>
      <c r="S266" s="264" t="s">
        <v>145</v>
      </c>
      <c r="X266" s="264"/>
      <c r="Z266" s="264"/>
      <c r="AA266" s="264"/>
      <c r="AB266" s="265" t="str">
        <f>VLOOKUP(功能_33[[#This Row],[User]],SKL放款!A:G,7,FALSE)</f>
        <v>放款服務課</v>
      </c>
      <c r="AC266" s="272">
        <v>44472</v>
      </c>
      <c r="AD266" s="272" t="s">
        <v>107</v>
      </c>
      <c r="AE266" s="258">
        <v>44544</v>
      </c>
      <c r="AF266" s="258">
        <v>44544</v>
      </c>
      <c r="AG266" s="209">
        <v>44544</v>
      </c>
      <c r="AH266" s="272"/>
      <c r="AI266" s="272"/>
      <c r="AJ266" s="322"/>
      <c r="AK266" s="272">
        <f>IFERROR(IF(VLOOKUP(功能_33[[#This Row],[功能代號]],E:U,11,FALSE)=0,"",VLOOKUP(功能_33[[#This Row],[功能代號]],E:U,11,FALSE)),"")</f>
        <v>44467</v>
      </c>
      <c r="AL266" s="272"/>
      <c r="AM266" s="272"/>
      <c r="AN266" s="265"/>
      <c r="AO266" s="272"/>
      <c r="AP266" s="264" t="s">
        <v>163</v>
      </c>
      <c r="AQ266" s="264" t="s">
        <v>163</v>
      </c>
      <c r="AR266" s="593" t="s">
        <v>3207</v>
      </c>
      <c r="AS266" s="483" t="str">
        <f>IF(COUNTA(AG266)=1,LEFT(D266,3),"")</f>
        <v>6-5</v>
      </c>
      <c r="AT266" s="485" t="str">
        <f>IF(AND(COUNTA(O266)=1,COUNTA(P266)=1,COUNTA(AC266)=1,COUNTA(AF266)=1,COUNTA(AG266)=0),LEFT(D266,3),"")</f>
        <v/>
      </c>
      <c r="AU266" s="487" t="str">
        <f>IF(AND(COUNTA(O266)=1,COUNTA(P266)=1,COUNTA(AC266)=1,COUNTA(AF266)=0,COUNTA(AG266)=0),LEFT(D266,3),"")</f>
        <v/>
      </c>
      <c r="AV266" s="489" t="str">
        <f>IF(AND(COUNTA(P266)=0,COUNTA(AC266)=1),LEFT(D266,3),"")</f>
        <v/>
      </c>
      <c r="AW266" s="491" t="str">
        <f>IF(AND(COUNTA(P266)=1,COUNTA(AC266)=0),LEFT(D266,3),"")</f>
        <v/>
      </c>
      <c r="AX266" s="493" t="str">
        <f>IF(AND(COUNTA(P266)=0,COUNTA(AC266)=0),LEFT(D266,3),"")</f>
        <v/>
      </c>
      <c r="AY266" s="514" t="str">
        <f>IFERROR(VLOOKUP(功能_33[[#This Row],[功能代號]],SIT_FT_2021tmp!D:D,1,FALSE),"")</f>
        <v>L6502</v>
      </c>
      <c r="AZ266" s="587">
        <v>44512</v>
      </c>
      <c r="BA266" s="587">
        <v>44512</v>
      </c>
      <c r="BB266" s="514" t="s">
        <v>3000</v>
      </c>
      <c r="BC266" s="265" t="s">
        <v>3049</v>
      </c>
      <c r="BD266" s="593"/>
      <c r="BE266" s="264" t="str">
        <f>IF(AND(COUNTIF(AY266,"&gt;&lt;0")=1,COUNTA(M266)=1),LEFT(D266,3),"")</f>
        <v>6-5</v>
      </c>
      <c r="BF266" s="264" t="str">
        <f>IF(AND(COUNTIF(AY266,"&gt;&lt;")=1,COUNTA(M266)=0),LEFT(D266,3),"")</f>
        <v/>
      </c>
      <c r="BG266" s="264" t="str">
        <f>IF(AND(COUNTIF(AY266,"&gt;&lt;0")=0,COUNTA(M266)=1),LEFT(D266,3),"")</f>
        <v/>
      </c>
      <c r="BH266" s="264" t="str">
        <f>IF(AND(COUNTIF(AY266,"&gt;&lt;0")=0,COUNTA(M266)=0),LEFT(D266,3),"")</f>
        <v/>
      </c>
    </row>
    <row r="267" spans="1:60" ht="13.5" x14ac:dyDescent="0.3">
      <c r="C267" s="265" t="s">
        <v>70</v>
      </c>
      <c r="D267" s="407" t="s">
        <v>2464</v>
      </c>
      <c r="E267" s="264" t="s">
        <v>1025</v>
      </c>
      <c r="F267" s="265" t="s">
        <v>1026</v>
      </c>
      <c r="G267" s="265"/>
      <c r="H267" s="264" t="s">
        <v>166</v>
      </c>
      <c r="I267" s="264" t="s">
        <v>287</v>
      </c>
      <c r="J267" s="212" t="s">
        <v>389</v>
      </c>
      <c r="K267" s="212"/>
      <c r="L267" s="272">
        <v>44565</v>
      </c>
      <c r="M267" s="272">
        <v>44565</v>
      </c>
      <c r="N267" s="272">
        <v>44397</v>
      </c>
      <c r="O267" s="272">
        <v>44397</v>
      </c>
      <c r="P267" s="272">
        <v>44537</v>
      </c>
      <c r="Q267" s="264" t="s">
        <v>6</v>
      </c>
      <c r="R267" s="264" t="s">
        <v>145</v>
      </c>
      <c r="S267" s="264" t="s">
        <v>145</v>
      </c>
      <c r="X267" s="264"/>
      <c r="Z267" s="264"/>
      <c r="AA267" s="264"/>
      <c r="AB267" s="265" t="str">
        <f>VLOOKUP(功能_33[[#This Row],[User]],SKL放款!A:G,7,FALSE)</f>
        <v>放款服務課</v>
      </c>
      <c r="AC267" s="272">
        <v>44537</v>
      </c>
      <c r="AD267" s="272" t="s">
        <v>107</v>
      </c>
      <c r="AE267" s="258">
        <v>44544</v>
      </c>
      <c r="AF267" s="258">
        <v>44544</v>
      </c>
      <c r="AG267" s="209">
        <v>44544</v>
      </c>
      <c r="AH267" s="272"/>
      <c r="AI267" s="272"/>
      <c r="AJ267" s="322"/>
      <c r="AK267" s="272">
        <f>IFERROR(IF(VLOOKUP(功能_33[[#This Row],[功能代號]],E:U,11,FALSE)=0,"",VLOOKUP(功能_33[[#This Row],[功能代號]],E:U,11,FALSE)),"")</f>
        <v>44397</v>
      </c>
      <c r="AL267" s="272"/>
      <c r="AM267" s="272"/>
      <c r="AN267" s="265"/>
      <c r="AO267" s="272">
        <v>44397</v>
      </c>
      <c r="AP267" s="264" t="s">
        <v>163</v>
      </c>
      <c r="AQ267" s="264" t="s">
        <v>163</v>
      </c>
      <c r="AR267" s="593" t="s">
        <v>3207</v>
      </c>
      <c r="AS267" s="483" t="str">
        <f>IF(COUNTA(AG267)=1,LEFT(D267,3),"")</f>
        <v>6-5</v>
      </c>
      <c r="AT267" s="485" t="str">
        <f>IF(AND(COUNTA(O267)=1,COUNTA(P267)=1,COUNTA(AC267)=1,COUNTA(AF267)=1,COUNTA(AG267)=0),LEFT(D267,3),"")</f>
        <v/>
      </c>
      <c r="AU267" s="487" t="str">
        <f>IF(AND(COUNTA(O267)=1,COUNTA(P267)=1,COUNTA(AC267)=1,COUNTA(AF267)=0,COUNTA(AG267)=0),LEFT(D267,3),"")</f>
        <v/>
      </c>
      <c r="AV267" s="489" t="str">
        <f>IF(AND(COUNTA(P267)=0,COUNTA(AC267)=1),LEFT(D267,3),"")</f>
        <v/>
      </c>
      <c r="AW267" s="491" t="str">
        <f>IF(AND(COUNTA(P267)=1,COUNTA(AC267)=0),LEFT(D267,3),"")</f>
        <v/>
      </c>
      <c r="AX267" s="493" t="str">
        <f>IF(AND(COUNTA(P267)=0,COUNTA(AC267)=0),LEFT(D267,3),"")</f>
        <v/>
      </c>
      <c r="AY267" s="514" t="str">
        <f>IFERROR(VLOOKUP(功能_33[[#This Row],[功能代號]],SIT_FT_2021tmp!D:D,1,FALSE),"")</f>
        <v>L6501</v>
      </c>
      <c r="AZ267" s="587">
        <v>44512</v>
      </c>
      <c r="BA267" s="587">
        <v>44512</v>
      </c>
      <c r="BB267" s="514" t="s">
        <v>3000</v>
      </c>
      <c r="BC267" s="265" t="s">
        <v>3049</v>
      </c>
      <c r="BD267" s="593"/>
      <c r="BE267" s="264" t="str">
        <f>IF(AND(COUNTIF(AY267,"&gt;&lt;0")=1,COUNTA(M267)=1),LEFT(D267,3),"")</f>
        <v>6-5</v>
      </c>
      <c r="BF267" s="264" t="str">
        <f>IF(AND(COUNTIF(AY267,"&gt;&lt;")=1,COUNTA(M267)=0),LEFT(D267,3),"")</f>
        <v/>
      </c>
      <c r="BG267" s="264" t="str">
        <f>IF(AND(COUNTIF(AY267,"&gt;&lt;0")=0,COUNTA(M267)=1),LEFT(D267,3),"")</f>
        <v/>
      </c>
      <c r="BH267" s="264" t="str">
        <f>IF(AND(COUNTIF(AY267,"&gt;&lt;0")=0,COUNTA(M267)=0),LEFT(D267,3),"")</f>
        <v/>
      </c>
    </row>
    <row r="268" spans="1:60" ht="13.5" x14ac:dyDescent="0.3">
      <c r="C268" s="265" t="s">
        <v>70</v>
      </c>
      <c r="D268" s="265" t="s">
        <v>2465</v>
      </c>
      <c r="E268" s="264" t="s">
        <v>522</v>
      </c>
      <c r="F268" s="265" t="s">
        <v>523</v>
      </c>
      <c r="G268" s="265"/>
      <c r="H268" s="264" t="s">
        <v>166</v>
      </c>
      <c r="I268" s="264" t="s">
        <v>287</v>
      </c>
      <c r="J268" s="212" t="s">
        <v>2853</v>
      </c>
      <c r="K268" s="212"/>
      <c r="L268" s="272">
        <v>44565</v>
      </c>
      <c r="M268" s="272">
        <v>44565</v>
      </c>
      <c r="N268" s="272">
        <v>44515</v>
      </c>
      <c r="O268" s="272">
        <v>44466</v>
      </c>
      <c r="P268" s="272">
        <v>44466</v>
      </c>
      <c r="Q268" s="264" t="s">
        <v>6</v>
      </c>
      <c r="R268" s="264" t="s">
        <v>5</v>
      </c>
      <c r="S268" s="264" t="s">
        <v>5</v>
      </c>
      <c r="X268" s="264"/>
      <c r="Z268" s="264"/>
      <c r="AA268" s="264"/>
      <c r="AB268" s="265" t="str">
        <f>VLOOKUP(功能_33[[#This Row],[User]],SKL放款!A:G,7,FALSE)</f>
        <v>放款服務課</v>
      </c>
      <c r="AC268" s="272">
        <v>44533</v>
      </c>
      <c r="AD268" s="272" t="s">
        <v>168</v>
      </c>
      <c r="AE268" s="272">
        <v>44529</v>
      </c>
      <c r="AF268" s="272">
        <v>44529</v>
      </c>
      <c r="AG268" s="209">
        <v>44550</v>
      </c>
      <c r="AH268" s="272"/>
      <c r="AI268" s="272"/>
      <c r="AJ268" s="322"/>
      <c r="AK268" s="272">
        <f>IFERROR(IF(VLOOKUP(功能_33[[#This Row],[功能代號]],E:U,11,FALSE)=0,"",VLOOKUP(功能_33[[#This Row],[功能代號]],E:U,11,FALSE)),"")</f>
        <v>44466</v>
      </c>
      <c r="AL268" s="272"/>
      <c r="AM268" s="272"/>
      <c r="AN268" s="265"/>
      <c r="AO268" s="272"/>
      <c r="AP268" s="276" t="s">
        <v>524</v>
      </c>
      <c r="AQ268" s="277" t="s">
        <v>525</v>
      </c>
      <c r="AR268" s="593" t="s">
        <v>3207</v>
      </c>
      <c r="AS268" s="483" t="str">
        <f>IF(COUNTA(AG268)=1,LEFT(D268,3),"")</f>
        <v>6-6</v>
      </c>
      <c r="AT268" s="485" t="str">
        <f>IF(AND(COUNTA(O268)=1,COUNTA(P268)=1,COUNTA(AC268)=1,COUNTA(AF268)=1,COUNTA(AG268)=0),LEFT(D268,3),"")</f>
        <v/>
      </c>
      <c r="AU268" s="487" t="str">
        <f>IF(AND(COUNTA(O268)=1,COUNTA(P268)=1,COUNTA(AC268)=1,COUNTA(AF268)=0,COUNTA(AG268)=0),LEFT(D268,3),"")</f>
        <v/>
      </c>
      <c r="AV268" s="489" t="str">
        <f>IF(AND(COUNTA(P268)=0,COUNTA(AC268)=1),LEFT(D268,3),"")</f>
        <v/>
      </c>
      <c r="AW268" s="491" t="str">
        <f>IF(AND(COUNTA(P268)=1,COUNTA(AC268)=0),LEFT(D268,3),"")</f>
        <v/>
      </c>
      <c r="AX268" s="493" t="str">
        <f>IF(AND(COUNTA(P268)=0,COUNTA(AC268)=0),LEFT(D268,3),"")</f>
        <v/>
      </c>
      <c r="AY268" s="514" t="str">
        <f>IFERROR(VLOOKUP(功能_33[[#This Row],[功能代號]],SIT_FT_2021tmp!D:D,1,FALSE),"")</f>
        <v>L6061</v>
      </c>
      <c r="AZ268" s="587">
        <v>44517</v>
      </c>
      <c r="BA268" s="587">
        <v>44517</v>
      </c>
      <c r="BB268" s="514" t="s">
        <v>3073</v>
      </c>
      <c r="BC268" s="265" t="s">
        <v>3034</v>
      </c>
      <c r="BD268" s="593"/>
      <c r="BE268" s="264" t="str">
        <f>IF(AND(COUNTIF(AY268,"&gt;&lt;0")=1,COUNTA(M268)=1),LEFT(D268,3),"")</f>
        <v>6-6</v>
      </c>
      <c r="BF268" s="264" t="str">
        <f>IF(AND(COUNTIF(AY268,"&gt;&lt;")=1,COUNTA(M268)=0),LEFT(D268,3),"")</f>
        <v/>
      </c>
      <c r="BG268" s="264" t="str">
        <f>IF(AND(COUNTIF(AY268,"&gt;&lt;0")=0,COUNTA(M268)=1),LEFT(D268,3),"")</f>
        <v/>
      </c>
      <c r="BH268" s="264" t="str">
        <f>IF(AND(COUNTIF(AY268,"&gt;&lt;0")=0,COUNTA(M268)=0),LEFT(D268,3),"")</f>
        <v/>
      </c>
    </row>
    <row r="269" spans="1:60" ht="13.5" x14ac:dyDescent="0.3">
      <c r="C269" s="265" t="s">
        <v>70</v>
      </c>
      <c r="D269" s="265" t="s">
        <v>2465</v>
      </c>
      <c r="E269" s="264" t="s">
        <v>555</v>
      </c>
      <c r="F269" s="265" t="s">
        <v>556</v>
      </c>
      <c r="G269" s="265"/>
      <c r="H269" s="264" t="s">
        <v>166</v>
      </c>
      <c r="I269" s="264" t="s">
        <v>287</v>
      </c>
      <c r="J269" s="212" t="s">
        <v>2853</v>
      </c>
      <c r="K269" s="212"/>
      <c r="L269" s="272">
        <v>44565</v>
      </c>
      <c r="M269" s="272">
        <v>44565</v>
      </c>
      <c r="N269" s="272">
        <v>44516</v>
      </c>
      <c r="O269" s="272">
        <v>44467</v>
      </c>
      <c r="P269" s="272">
        <v>44467</v>
      </c>
      <c r="Q269" s="264" t="s">
        <v>6</v>
      </c>
      <c r="R269" s="264" t="s">
        <v>539</v>
      </c>
      <c r="S269" s="264" t="s">
        <v>539</v>
      </c>
      <c r="X269" s="264"/>
      <c r="Z269" s="264"/>
      <c r="AA269" s="264"/>
      <c r="AB269" s="265" t="str">
        <f>VLOOKUP(功能_33[[#This Row],[User]],SKL放款!A:G,7,FALSE)</f>
        <v>放款審查課</v>
      </c>
      <c r="AC269" s="272">
        <v>44533</v>
      </c>
      <c r="AD269" s="272" t="s">
        <v>168</v>
      </c>
      <c r="AE269" s="272">
        <v>44467</v>
      </c>
      <c r="AF269" s="272">
        <v>44467</v>
      </c>
      <c r="AG269" s="209">
        <v>44550</v>
      </c>
      <c r="AH269" s="272"/>
      <c r="AI269" s="272"/>
      <c r="AJ269" s="322"/>
      <c r="AK269" s="272">
        <f>IFERROR(IF(VLOOKUP(功能_33[[#This Row],[功能代號]],E:U,11,FALSE)=0,"",VLOOKUP(功能_33[[#This Row],[功能代號]],E:U,11,FALSE)),"")</f>
        <v>44467</v>
      </c>
      <c r="AL269" s="272"/>
      <c r="AM269" s="272"/>
      <c r="AN269" s="265"/>
      <c r="AO269" s="272"/>
      <c r="AP269" s="276" t="s">
        <v>557</v>
      </c>
      <c r="AQ269" s="277" t="s">
        <v>558</v>
      </c>
      <c r="AR269" s="593" t="s">
        <v>3207</v>
      </c>
      <c r="AS269" s="483" t="str">
        <f>IF(COUNTA(AG269)=1,LEFT(D269,3),"")</f>
        <v>6-6</v>
      </c>
      <c r="AT269" s="485" t="str">
        <f>IF(AND(COUNTA(O269)=1,COUNTA(P269)=1,COUNTA(AC269)=1,COUNTA(AF269)=1,COUNTA(AG269)=0),LEFT(D269,3),"")</f>
        <v/>
      </c>
      <c r="AU269" s="487" t="str">
        <f>IF(AND(COUNTA(O269)=1,COUNTA(P269)=1,COUNTA(AC269)=1,COUNTA(AF269)=0,COUNTA(AG269)=0),LEFT(D269,3),"")</f>
        <v/>
      </c>
      <c r="AV269" s="489" t="str">
        <f>IF(AND(COUNTA(P269)=0,COUNTA(AC269)=1),LEFT(D269,3),"")</f>
        <v/>
      </c>
      <c r="AW269" s="491" t="str">
        <f>IF(AND(COUNTA(P269)=1,COUNTA(AC269)=0),LEFT(D269,3),"")</f>
        <v/>
      </c>
      <c r="AX269" s="493" t="str">
        <f>IF(AND(COUNTA(P269)=0,COUNTA(AC269)=0),LEFT(D269,3),"")</f>
        <v/>
      </c>
      <c r="AY269" s="514" t="str">
        <f>IFERROR(VLOOKUP(功能_33[[#This Row],[功能代號]],SIT_FT_2021tmp!D:D,1,FALSE),"")</f>
        <v>L6062</v>
      </c>
      <c r="AZ269" s="587">
        <v>44512</v>
      </c>
      <c r="BA269" s="587">
        <v>44512</v>
      </c>
      <c r="BB269" s="514" t="s">
        <v>3000</v>
      </c>
      <c r="BC269" s="265" t="s">
        <v>3050</v>
      </c>
      <c r="BD269" s="593"/>
      <c r="BE269" s="264" t="str">
        <f>IF(AND(COUNTIF(AY269,"&gt;&lt;0")=1,COUNTA(M269)=1),LEFT(D269,3),"")</f>
        <v>6-6</v>
      </c>
      <c r="BF269" s="264" t="str">
        <f>IF(AND(COUNTIF(AY269,"&gt;&lt;")=1,COUNTA(M269)=0),LEFT(D269,3),"")</f>
        <v/>
      </c>
      <c r="BG269" s="264" t="str">
        <f>IF(AND(COUNTIF(AY269,"&gt;&lt;0")=0,COUNTA(M269)=1),LEFT(D269,3),"")</f>
        <v/>
      </c>
      <c r="BH269" s="264" t="str">
        <f>IF(AND(COUNTIF(AY269,"&gt;&lt;0")=0,COUNTA(M269)=0),LEFT(D269,3),"")</f>
        <v/>
      </c>
    </row>
    <row r="270" spans="1:60" ht="13.5" x14ac:dyDescent="0.3">
      <c r="C270" s="265" t="s">
        <v>70</v>
      </c>
      <c r="D270" s="265" t="s">
        <v>2465</v>
      </c>
      <c r="E270" s="264" t="s">
        <v>537</v>
      </c>
      <c r="F270" s="265" t="s">
        <v>538</v>
      </c>
      <c r="G270" s="265"/>
      <c r="H270" s="264" t="s">
        <v>166</v>
      </c>
      <c r="I270" s="264" t="s">
        <v>287</v>
      </c>
      <c r="J270" s="212" t="s">
        <v>2853</v>
      </c>
      <c r="K270" s="212"/>
      <c r="L270" s="272">
        <v>44565</v>
      </c>
      <c r="M270" s="272">
        <v>44565</v>
      </c>
      <c r="N270" s="272">
        <v>44467</v>
      </c>
      <c r="O270" s="272">
        <v>44467</v>
      </c>
      <c r="P270" s="272">
        <v>44467</v>
      </c>
      <c r="Q270" s="264" t="s">
        <v>6</v>
      </c>
      <c r="R270" s="264" t="s">
        <v>539</v>
      </c>
      <c r="S270" s="264" t="s">
        <v>539</v>
      </c>
      <c r="X270" s="264"/>
      <c r="Z270" s="264"/>
      <c r="AA270" s="264"/>
      <c r="AB270" s="265" t="str">
        <f>VLOOKUP(功能_33[[#This Row],[User]],SKL放款!A:G,7,FALSE)</f>
        <v>放款審查課</v>
      </c>
      <c r="AC270" s="272">
        <v>44533</v>
      </c>
      <c r="AD270" s="272" t="s">
        <v>168</v>
      </c>
      <c r="AE270" s="272">
        <v>44467</v>
      </c>
      <c r="AF270" s="272">
        <v>44467</v>
      </c>
      <c r="AG270" s="209">
        <v>44550</v>
      </c>
      <c r="AH270" s="272"/>
      <c r="AI270" s="272"/>
      <c r="AJ270" s="322"/>
      <c r="AK270" s="272">
        <f>IFERROR(IF(VLOOKUP(功能_33[[#This Row],[功能代號]],E:U,11,FALSE)=0,"",VLOOKUP(功能_33[[#This Row],[功能代號]],E:U,11,FALSE)),"")</f>
        <v>44467</v>
      </c>
      <c r="AL270" s="272"/>
      <c r="AM270" s="272"/>
      <c r="AN270" s="265"/>
      <c r="AO270" s="272"/>
      <c r="AP270" s="276" t="s">
        <v>540</v>
      </c>
      <c r="AQ270" s="277" t="s">
        <v>541</v>
      </c>
      <c r="AR270" s="593" t="s">
        <v>3207</v>
      </c>
      <c r="AS270" s="483" t="str">
        <f>IF(COUNTA(AG270)=1,LEFT(D270,3),"")</f>
        <v>6-6</v>
      </c>
      <c r="AT270" s="485" t="str">
        <f>IF(AND(COUNTA(O270)=1,COUNTA(P270)=1,COUNTA(AC270)=1,COUNTA(AF270)=1,COUNTA(AG270)=0),LEFT(D270,3),"")</f>
        <v/>
      </c>
      <c r="AU270" s="487" t="str">
        <f>IF(AND(COUNTA(O270)=1,COUNTA(P270)=1,COUNTA(AC270)=1,COUNTA(AF270)=0,COUNTA(AG270)=0),LEFT(D270,3),"")</f>
        <v/>
      </c>
      <c r="AV270" s="489" t="str">
        <f>IF(AND(COUNTA(P270)=0,COUNTA(AC270)=1),LEFT(D270,3),"")</f>
        <v/>
      </c>
      <c r="AW270" s="491" t="str">
        <f>IF(AND(COUNTA(P270)=1,COUNTA(AC270)=0),LEFT(D270,3),"")</f>
        <v/>
      </c>
      <c r="AX270" s="493" t="str">
        <f>IF(AND(COUNTA(P270)=0,COUNTA(AC270)=0),LEFT(D270,3),"")</f>
        <v/>
      </c>
      <c r="AY270" s="514" t="str">
        <f>IFERROR(VLOOKUP(功能_33[[#This Row],[功能代號]],SIT_FT_2021tmp!D:D,1,FALSE),"")</f>
        <v>L6063</v>
      </c>
      <c r="AZ270" s="587">
        <v>44517</v>
      </c>
      <c r="BA270" s="587">
        <v>44517</v>
      </c>
      <c r="BB270" s="514" t="s">
        <v>3000</v>
      </c>
      <c r="BC270" s="265" t="s">
        <v>3051</v>
      </c>
      <c r="BD270" s="593"/>
      <c r="BE270" s="264" t="str">
        <f>IF(AND(COUNTIF(AY270,"&gt;&lt;0")=1,COUNTA(M270)=1),LEFT(D270,3),"")</f>
        <v>6-6</v>
      </c>
      <c r="BF270" s="264" t="str">
        <f>IF(AND(COUNTIF(AY270,"&gt;&lt;")=1,COUNTA(M270)=0),LEFT(D270,3),"")</f>
        <v/>
      </c>
      <c r="BG270" s="264" t="str">
        <f>IF(AND(COUNTIF(AY270,"&gt;&lt;0")=0,COUNTA(M270)=1),LEFT(D270,3),"")</f>
        <v/>
      </c>
      <c r="BH270" s="264" t="str">
        <f>IF(AND(COUNTIF(AY270,"&gt;&lt;0")=0,COUNTA(M270)=0),LEFT(D270,3),"")</f>
        <v/>
      </c>
    </row>
    <row r="271" spans="1:60" ht="13.5" x14ac:dyDescent="0.3">
      <c r="C271" s="265" t="s">
        <v>70</v>
      </c>
      <c r="D271" s="265" t="s">
        <v>2465</v>
      </c>
      <c r="E271" s="264" t="s">
        <v>518</v>
      </c>
      <c r="F271" s="265" t="s">
        <v>519</v>
      </c>
      <c r="G271" s="265"/>
      <c r="H271" s="264" t="s">
        <v>166</v>
      </c>
      <c r="I271" s="264" t="s">
        <v>287</v>
      </c>
      <c r="J271" s="212" t="s">
        <v>2853</v>
      </c>
      <c r="K271" s="212"/>
      <c r="L271" s="272">
        <v>44565</v>
      </c>
      <c r="M271" s="272">
        <v>44565</v>
      </c>
      <c r="N271" s="272">
        <v>44515</v>
      </c>
      <c r="O271" s="272">
        <v>44466</v>
      </c>
      <c r="P271" s="272">
        <v>44472</v>
      </c>
      <c r="Q271" s="264" t="s">
        <v>2</v>
      </c>
      <c r="R271" s="264" t="s">
        <v>145</v>
      </c>
      <c r="S271" s="264" t="s">
        <v>145</v>
      </c>
      <c r="X271" s="264"/>
      <c r="Z271" s="264"/>
      <c r="AA271" s="264"/>
      <c r="AB271" s="265" t="str">
        <f>VLOOKUP(功能_33[[#This Row],[User]],SKL放款!A:G,7,FALSE)</f>
        <v>放款服務課</v>
      </c>
      <c r="AC271" s="272">
        <v>44472</v>
      </c>
      <c r="AD271" s="272" t="s">
        <v>107</v>
      </c>
      <c r="AE271" s="258">
        <v>44544</v>
      </c>
      <c r="AF271" s="258">
        <v>44544</v>
      </c>
      <c r="AG271" s="209">
        <v>44550</v>
      </c>
      <c r="AH271" s="272"/>
      <c r="AI271" s="272"/>
      <c r="AJ271" s="322"/>
      <c r="AK271" s="272">
        <f>IFERROR(IF(VLOOKUP(功能_33[[#This Row],[功能代號]],E:U,11,FALSE)=0,"",VLOOKUP(功能_33[[#This Row],[功能代號]],E:U,11,FALSE)),"")</f>
        <v>44466</v>
      </c>
      <c r="AL271" s="272"/>
      <c r="AM271" s="272"/>
      <c r="AN271" s="265"/>
      <c r="AO271" s="272"/>
      <c r="AP271" s="264" t="s">
        <v>163</v>
      </c>
      <c r="AQ271" s="264" t="s">
        <v>163</v>
      </c>
      <c r="AR271" s="593" t="s">
        <v>3207</v>
      </c>
      <c r="AS271" s="483" t="str">
        <f>IF(COUNTA(AG271)=1,LEFT(D271,3),"")</f>
        <v>6-6</v>
      </c>
      <c r="AT271" s="485" t="str">
        <f>IF(AND(COUNTA(O271)=1,COUNTA(P271)=1,COUNTA(AC271)=1,COUNTA(AF271)=1,COUNTA(AG271)=0),LEFT(D271,3),"")</f>
        <v/>
      </c>
      <c r="AU271" s="487" t="str">
        <f>IF(AND(COUNTA(O271)=1,COUNTA(P271)=1,COUNTA(AC271)=1,COUNTA(AF271)=0,COUNTA(AG271)=0),LEFT(D271,3),"")</f>
        <v/>
      </c>
      <c r="AV271" s="489" t="str">
        <f>IF(AND(COUNTA(P271)=0,COUNTA(AC271)=1),LEFT(D271,3),"")</f>
        <v/>
      </c>
      <c r="AW271" s="491" t="str">
        <f>IF(AND(COUNTA(P271)=1,COUNTA(AC271)=0),LEFT(D271,3),"")</f>
        <v/>
      </c>
      <c r="AX271" s="493" t="str">
        <f>IF(AND(COUNTA(P271)=0,COUNTA(AC271)=0),LEFT(D271,3),"")</f>
        <v/>
      </c>
      <c r="AY271" s="514" t="str">
        <f>IFERROR(VLOOKUP(功能_33[[#This Row],[功能代號]],SIT_FT_2021tmp!D:D,1,FALSE),"")</f>
        <v>L6064</v>
      </c>
      <c r="AZ271" s="587">
        <v>44512</v>
      </c>
      <c r="BA271" s="587">
        <v>44512</v>
      </c>
      <c r="BB271" s="514" t="s">
        <v>3000</v>
      </c>
      <c r="BC271" s="265" t="s">
        <v>3052</v>
      </c>
      <c r="BD271" s="593"/>
      <c r="BE271" s="264" t="str">
        <f>IF(AND(COUNTIF(AY271,"&gt;&lt;0")=1,COUNTA(M271)=1),LEFT(D271,3),"")</f>
        <v>6-6</v>
      </c>
      <c r="BF271" s="264" t="str">
        <f>IF(AND(COUNTIF(AY271,"&gt;&lt;")=1,COUNTA(M271)=0),LEFT(D271,3),"")</f>
        <v/>
      </c>
      <c r="BG271" s="264" t="str">
        <f>IF(AND(COUNTIF(AY271,"&gt;&lt;0")=0,COUNTA(M271)=1),LEFT(D271,3),"")</f>
        <v/>
      </c>
      <c r="BH271" s="264" t="str">
        <f>IF(AND(COUNTIF(AY271,"&gt;&lt;0")=0,COUNTA(M271)=0),LEFT(D271,3),"")</f>
        <v/>
      </c>
    </row>
    <row r="272" spans="1:60" ht="13.5" x14ac:dyDescent="0.3">
      <c r="C272" s="265" t="s">
        <v>70</v>
      </c>
      <c r="D272" s="265" t="s">
        <v>2465</v>
      </c>
      <c r="E272" s="264" t="s">
        <v>2961</v>
      </c>
      <c r="F272" s="265" t="s">
        <v>2962</v>
      </c>
      <c r="G272" s="265" t="s">
        <v>3158</v>
      </c>
      <c r="H272" s="264" t="s">
        <v>166</v>
      </c>
      <c r="I272" s="264" t="s">
        <v>287</v>
      </c>
      <c r="J272" s="212" t="s">
        <v>2946</v>
      </c>
      <c r="K272" s="251" t="s">
        <v>2988</v>
      </c>
      <c r="L272" s="272">
        <v>44565</v>
      </c>
      <c r="M272" s="272">
        <v>44565</v>
      </c>
      <c r="N272" s="272">
        <v>44515</v>
      </c>
      <c r="O272" s="272">
        <v>44466</v>
      </c>
      <c r="P272" s="272">
        <v>44472</v>
      </c>
      <c r="Q272" s="264" t="s">
        <v>2</v>
      </c>
      <c r="R272" s="264" t="e">
        <v>#N/A</v>
      </c>
      <c r="S272" s="664" t="s">
        <v>145</v>
      </c>
      <c r="X272" s="264"/>
      <c r="Z272" s="264"/>
      <c r="AA272" s="264"/>
      <c r="AB272" s="265" t="str">
        <f>VLOOKUP(功能_33[[#This Row],[User]],SKL放款!A:G,7,FALSE)</f>
        <v>放款服務課</v>
      </c>
      <c r="AC272" s="272">
        <v>44472</v>
      </c>
      <c r="AD272" s="272" t="s">
        <v>107</v>
      </c>
      <c r="AE272" s="258">
        <v>44544</v>
      </c>
      <c r="AF272" s="258">
        <v>44544</v>
      </c>
      <c r="AG272" s="209">
        <v>44568</v>
      </c>
      <c r="AH272" s="272"/>
      <c r="AI272" s="272"/>
      <c r="AJ272" s="322"/>
      <c r="AK272" s="272">
        <f>IFERROR(IF(VLOOKUP(功能_33[[#This Row],[功能代號]],E:U,11,FALSE)=0,"",VLOOKUP(功能_33[[#This Row],[功能代號]],E:U,11,FALSE)),"")</f>
        <v>44466</v>
      </c>
      <c r="AL272" s="272"/>
      <c r="AM272" s="272"/>
      <c r="AN272" s="265"/>
      <c r="AO272" s="272"/>
      <c r="AP272" s="264" t="s">
        <v>163</v>
      </c>
      <c r="AQ272" s="264" t="s">
        <v>163</v>
      </c>
      <c r="AR272" s="593" t="s">
        <v>3207</v>
      </c>
      <c r="AS272" s="483" t="str">
        <f>IF(COUNTA(AG272)=1,LEFT(D272,3),"")</f>
        <v>6-6</v>
      </c>
      <c r="AT272" s="485" t="str">
        <f>IF(AND(COUNTA(O272)=1,COUNTA(P272)=1,COUNTA(AC272)=1,COUNTA(AF272)=1,COUNTA(AG272)=0),LEFT(D272,3),"")</f>
        <v/>
      </c>
      <c r="AU272" s="487" t="str">
        <f>IF(AND(COUNTA(O272)=1,COUNTA(P272)=1,COUNTA(AC272)=1,COUNTA(AF272)=0,COUNTA(AG272)=0),LEFT(D272,3),"")</f>
        <v/>
      </c>
      <c r="AV272" s="489" t="str">
        <f>IF(AND(COUNTA(P272)=0,COUNTA(AC272)=1),LEFT(D272,3),"")</f>
        <v/>
      </c>
      <c r="AW272" s="491" t="str">
        <f>IF(AND(COUNTA(P272)=1,COUNTA(AC272)=0),LEFT(D272,3),"")</f>
        <v/>
      </c>
      <c r="AX272" s="493" t="str">
        <f>IF(AND(COUNTA(P272)=0,COUNTA(AC272)=0),LEFT(D272,3),"")</f>
        <v/>
      </c>
      <c r="AY272" s="514" t="str">
        <f>IFERROR(VLOOKUP(功能_33[[#This Row],[功能代號]],SIT_FT_2021tmp!D:D,1,FALSE),"")</f>
        <v>L6069</v>
      </c>
      <c r="AZ272" s="587">
        <v>44512</v>
      </c>
      <c r="BA272" s="587">
        <v>44512</v>
      </c>
      <c r="BB272" s="514" t="s">
        <v>3000</v>
      </c>
      <c r="BC272" s="265" t="s">
        <v>3052</v>
      </c>
      <c r="BD272" s="593"/>
      <c r="BE272" s="264" t="str">
        <f>IF(AND(COUNTIF(AY272,"&gt;&lt;0")=1,COUNTA(M272)=1),LEFT(D272,3),"")</f>
        <v>6-6</v>
      </c>
      <c r="BF272" s="264" t="str">
        <f>IF(AND(COUNTIF(AY272,"&gt;&lt;")=1,COUNTA(M272)=0),LEFT(D272,3),"")</f>
        <v/>
      </c>
      <c r="BG272" s="264" t="str">
        <f>IF(AND(COUNTIF(AY272,"&gt;&lt;0")=0,COUNTA(M272)=1),LEFT(D272,3),"")</f>
        <v/>
      </c>
      <c r="BH272" s="264" t="str">
        <f>IF(AND(COUNTIF(AY272,"&gt;&lt;0")=0,COUNTA(M272)=0),LEFT(D272,3),"")</f>
        <v/>
      </c>
    </row>
    <row r="273" spans="3:60" ht="13.5" x14ac:dyDescent="0.3">
      <c r="C273" s="265" t="s">
        <v>70</v>
      </c>
      <c r="D273" s="265" t="s">
        <v>2465</v>
      </c>
      <c r="E273" s="264" t="s">
        <v>564</v>
      </c>
      <c r="F273" s="265" t="s">
        <v>565</v>
      </c>
      <c r="G273" s="265"/>
      <c r="H273" s="264" t="s">
        <v>166</v>
      </c>
      <c r="I273" s="264" t="s">
        <v>287</v>
      </c>
      <c r="J273" s="212" t="s">
        <v>2853</v>
      </c>
      <c r="K273" s="212"/>
      <c r="L273" s="272">
        <v>44565</v>
      </c>
      <c r="M273" s="272">
        <v>44565</v>
      </c>
      <c r="N273" s="272">
        <v>44516</v>
      </c>
      <c r="O273" s="272">
        <v>44467</v>
      </c>
      <c r="P273" s="272">
        <v>44467</v>
      </c>
      <c r="Q273" s="264" t="s">
        <v>2</v>
      </c>
      <c r="R273" s="264" t="s">
        <v>8</v>
      </c>
      <c r="S273" s="264" t="s">
        <v>8</v>
      </c>
      <c r="X273" s="264"/>
      <c r="Z273" s="264"/>
      <c r="AA273" s="264"/>
      <c r="AB273" s="265" t="str">
        <f>VLOOKUP(功能_33[[#This Row],[User]],SKL放款!A:G,7,FALSE)</f>
        <v>放款管理課</v>
      </c>
      <c r="AC273" s="272">
        <v>44533</v>
      </c>
      <c r="AD273" s="272" t="s">
        <v>168</v>
      </c>
      <c r="AE273" s="272">
        <v>44530</v>
      </c>
      <c r="AF273" s="272">
        <v>44530</v>
      </c>
      <c r="AG273" s="209">
        <v>44550</v>
      </c>
      <c r="AH273" s="272"/>
      <c r="AI273" s="272"/>
      <c r="AJ273" s="322"/>
      <c r="AK273" s="272">
        <f>IFERROR(IF(VLOOKUP(功能_33[[#This Row],[功能代號]],E:U,11,FALSE)=0,"",VLOOKUP(功能_33[[#This Row],[功能代號]],E:U,11,FALSE)),"")</f>
        <v>44467</v>
      </c>
      <c r="AL273" s="272"/>
      <c r="AM273" s="272"/>
      <c r="AN273" s="265"/>
      <c r="AO273" s="272"/>
      <c r="AP273" s="276" t="s">
        <v>566</v>
      </c>
      <c r="AQ273" s="277" t="s">
        <v>567</v>
      </c>
      <c r="AR273" s="593" t="s">
        <v>3207</v>
      </c>
      <c r="AS273" s="483" t="str">
        <f>IF(COUNTA(AG273)=1,LEFT(D273,3),"")</f>
        <v>6-6</v>
      </c>
      <c r="AT273" s="485" t="str">
        <f>IF(AND(COUNTA(O273)=1,COUNTA(P273)=1,COUNTA(AC273)=1,COUNTA(AF273)=1,COUNTA(AG273)=0),LEFT(D273,3),"")</f>
        <v/>
      </c>
      <c r="AU273" s="487" t="str">
        <f>IF(AND(COUNTA(O273)=1,COUNTA(P273)=1,COUNTA(AC273)=1,COUNTA(AF273)=0,COUNTA(AG273)=0),LEFT(D273,3),"")</f>
        <v/>
      </c>
      <c r="AV273" s="489" t="str">
        <f>IF(AND(COUNTA(P273)=0,COUNTA(AC273)=1),LEFT(D273,3),"")</f>
        <v/>
      </c>
      <c r="AW273" s="491" t="str">
        <f>IF(AND(COUNTA(P273)=1,COUNTA(AC273)=0),LEFT(D273,3),"")</f>
        <v/>
      </c>
      <c r="AX273" s="493" t="str">
        <f>IF(AND(COUNTA(P273)=0,COUNTA(AC273)=0),LEFT(D273,3),"")</f>
        <v/>
      </c>
      <c r="AY273" s="514" t="str">
        <f>IFERROR(VLOOKUP(功能_33[[#This Row],[功能代號]],SIT_FT_2021tmp!D:D,1,FALSE),"")</f>
        <v>L6065</v>
      </c>
      <c r="AZ273" s="587">
        <v>44512</v>
      </c>
      <c r="BA273" s="587">
        <v>44512</v>
      </c>
      <c r="BB273" s="514" t="s">
        <v>3000</v>
      </c>
      <c r="BC273" s="265" t="s">
        <v>3053</v>
      </c>
      <c r="BD273" s="593"/>
      <c r="BE273" s="264" t="str">
        <f>IF(AND(COUNTIF(AY273,"&gt;&lt;0")=1,COUNTA(M273)=1),LEFT(D273,3),"")</f>
        <v>6-6</v>
      </c>
      <c r="BF273" s="264" t="str">
        <f>IF(AND(COUNTIF(AY273,"&gt;&lt;")=1,COUNTA(M273)=0),LEFT(D273,3),"")</f>
        <v/>
      </c>
      <c r="BG273" s="264" t="str">
        <f>IF(AND(COUNTIF(AY273,"&gt;&lt;0")=0,COUNTA(M273)=1),LEFT(D273,3),"")</f>
        <v/>
      </c>
      <c r="BH273" s="264" t="str">
        <f>IF(AND(COUNTIF(AY273,"&gt;&lt;0")=0,COUNTA(M273)=0),LEFT(D273,3),"")</f>
        <v/>
      </c>
    </row>
    <row r="274" spans="3:60" ht="13.5" x14ac:dyDescent="0.3">
      <c r="C274" s="265" t="s">
        <v>66</v>
      </c>
      <c r="D274" s="265" t="s">
        <v>2481</v>
      </c>
      <c r="E274" s="264" t="s">
        <v>776</v>
      </c>
      <c r="F274" s="265" t="s">
        <v>777</v>
      </c>
      <c r="G274" s="265"/>
      <c r="H274" s="264" t="s">
        <v>166</v>
      </c>
      <c r="I274" s="264" t="s">
        <v>167</v>
      </c>
      <c r="J274" s="212" t="s">
        <v>2754</v>
      </c>
      <c r="K274" s="212"/>
      <c r="L274" s="272">
        <v>44558</v>
      </c>
      <c r="M274" s="272">
        <v>44558</v>
      </c>
      <c r="N274" s="272">
        <v>44491</v>
      </c>
      <c r="O274" s="272">
        <v>44498</v>
      </c>
      <c r="P274" s="272">
        <v>44537</v>
      </c>
      <c r="Q274" s="264" t="s">
        <v>2</v>
      </c>
      <c r="R274" s="264" t="s">
        <v>5</v>
      </c>
      <c r="S274" s="264" t="s">
        <v>2678</v>
      </c>
      <c r="T274" s="265" t="s">
        <v>15</v>
      </c>
      <c r="X274" s="264"/>
      <c r="Z274" s="264"/>
      <c r="AA274" s="264"/>
      <c r="AB274" s="265" t="str">
        <f>VLOOKUP(功能_33[[#This Row],[User]],SKL放款!A:G,7,FALSE)</f>
        <v>放款服務課</v>
      </c>
      <c r="AC274" s="272">
        <v>44533</v>
      </c>
      <c r="AD274" s="272" t="s">
        <v>2394</v>
      </c>
      <c r="AE274" s="272">
        <v>44543</v>
      </c>
      <c r="AF274" s="272">
        <v>44544</v>
      </c>
      <c r="AG274" s="209">
        <v>44544</v>
      </c>
      <c r="AH274" s="272" t="s">
        <v>169</v>
      </c>
      <c r="AI274" s="272"/>
      <c r="AJ274" s="322"/>
      <c r="AK274" s="272">
        <f>IFERROR(IF(VLOOKUP(功能_33[[#This Row],[功能代號]],E:U,11,FALSE)=0,"",VLOOKUP(功能_33[[#This Row],[功能代號]],E:U,11,FALSE)),"")</f>
        <v>44498</v>
      </c>
      <c r="AL274" s="272"/>
      <c r="AM274" s="272"/>
      <c r="AN274" s="265"/>
      <c r="AO274" s="209" t="s">
        <v>778</v>
      </c>
      <c r="AP274" s="264" t="s">
        <v>779</v>
      </c>
      <c r="AQ274" s="265" t="s">
        <v>780</v>
      </c>
      <c r="AR274" s="593" t="s">
        <v>3207</v>
      </c>
      <c r="AS274" s="483" t="str">
        <f>IF(COUNTA(AG274)=1,LEFT(D274,3),"")</f>
        <v>2-6</v>
      </c>
      <c r="AT274" s="485" t="str">
        <f>IF(AND(COUNTA(O274)=1,COUNTA(P274)=1,COUNTA(AC274)=1,COUNTA(AF274)=1,COUNTA(AG274)=0),LEFT(D274,3),"")</f>
        <v/>
      </c>
      <c r="AU274" s="487" t="str">
        <f>IF(AND(COUNTA(O274)=1,COUNTA(P274)=1,COUNTA(AC274)=1,COUNTA(AF274)=0,COUNTA(AG274)=0),LEFT(D274,3),"")</f>
        <v/>
      </c>
      <c r="AV274" s="489" t="str">
        <f>IF(AND(COUNTA(P274)=0,COUNTA(AC274)=1),LEFT(D274,3),"")</f>
        <v/>
      </c>
      <c r="AW274" s="491" t="str">
        <f>IF(AND(COUNTA(P274)=1,COUNTA(AC274)=0),LEFT(D274,3),"")</f>
        <v/>
      </c>
      <c r="AX274" s="493" t="str">
        <f>IF(AND(COUNTA(P274)=0,COUNTA(AC274)=0),LEFT(D274,3),"")</f>
        <v/>
      </c>
      <c r="AY274" s="514" t="str">
        <f>IFERROR(VLOOKUP(功能_33[[#This Row],[功能代號]],SIT_FT_2021tmp!D:D,1,FALSE),"")</f>
        <v/>
      </c>
      <c r="AZ274" s="587">
        <v>44614</v>
      </c>
      <c r="BB274" s="514" t="s">
        <v>2453</v>
      </c>
      <c r="BC274" s="265" t="s">
        <v>2453</v>
      </c>
      <c r="BD274" s="593"/>
      <c r="BE274" s="265" t="str">
        <f>IF(AND(COUNTIF(AY274,"&gt;&lt;0")=1,COUNTA(M274)=1),LEFT(D274,3),"")</f>
        <v/>
      </c>
      <c r="BF274" s="265" t="str">
        <f>IF(AND(COUNTIF(AY274,"&gt;&lt;")=1,COUNTA(M274)=0),LEFT(D274,3),"")</f>
        <v/>
      </c>
      <c r="BG274" s="265" t="str">
        <f>IF(AND(COUNTIF(AY274,"&gt;&lt;0")=0,COUNTA(M274)=1),LEFT(D274,3),"")</f>
        <v>2-6</v>
      </c>
      <c r="BH274" s="265" t="str">
        <f>IF(AND(COUNTIF(AY274,"&gt;&lt;0")=0,COUNTA(M274)=0),LEFT(D274,3),"")</f>
        <v/>
      </c>
    </row>
    <row r="275" spans="3:60" ht="13.5" x14ac:dyDescent="0.3">
      <c r="C275" s="265" t="s">
        <v>66</v>
      </c>
      <c r="D275" s="265" t="s">
        <v>2481</v>
      </c>
      <c r="E275" s="264" t="s">
        <v>781</v>
      </c>
      <c r="F275" s="265" t="s">
        <v>782</v>
      </c>
      <c r="G275" s="265"/>
      <c r="H275" s="264" t="s">
        <v>166</v>
      </c>
      <c r="I275" s="264" t="s">
        <v>167</v>
      </c>
      <c r="J275" s="212" t="s">
        <v>2754</v>
      </c>
      <c r="K275" s="212"/>
      <c r="L275" s="272">
        <v>44558</v>
      </c>
      <c r="M275" s="272">
        <v>44558</v>
      </c>
      <c r="N275" s="272">
        <v>44491</v>
      </c>
      <c r="O275" s="272">
        <v>44498</v>
      </c>
      <c r="P275" s="272">
        <v>44537</v>
      </c>
      <c r="Q275" s="264" t="s">
        <v>2</v>
      </c>
      <c r="R275" s="264" t="s">
        <v>5</v>
      </c>
      <c r="S275" s="264" t="s">
        <v>5</v>
      </c>
      <c r="X275" s="264"/>
      <c r="Z275" s="264"/>
      <c r="AA275" s="264"/>
      <c r="AB275" s="265" t="str">
        <f>VLOOKUP(功能_33[[#This Row],[User]],SKL放款!A:G,7,FALSE)</f>
        <v>放款服務課</v>
      </c>
      <c r="AC275" s="272">
        <v>44533</v>
      </c>
      <c r="AD275" s="272" t="s">
        <v>107</v>
      </c>
      <c r="AE275" s="272">
        <v>44529</v>
      </c>
      <c r="AF275" s="272">
        <v>44529</v>
      </c>
      <c r="AG275" s="209">
        <v>44544</v>
      </c>
      <c r="AH275" s="272" t="s">
        <v>783</v>
      </c>
      <c r="AI275" s="272"/>
      <c r="AJ275" s="322"/>
      <c r="AK275" s="272">
        <f>IFERROR(IF(VLOOKUP(功能_33[[#This Row],[功能代號]],E:U,11,FALSE)=0,"",VLOOKUP(功能_33[[#This Row],[功能代號]],E:U,11,FALSE)),"")</f>
        <v>44498</v>
      </c>
      <c r="AL275" s="272"/>
      <c r="AM275" s="272"/>
      <c r="AN275" s="265"/>
      <c r="AO275" s="272">
        <v>44491</v>
      </c>
      <c r="AP275" s="264">
        <v>232</v>
      </c>
      <c r="AQ275" s="265" t="s">
        <v>784</v>
      </c>
      <c r="AR275" s="593" t="s">
        <v>3207</v>
      </c>
      <c r="AS275" s="483" t="str">
        <f>IF(COUNTA(AG275)=1,LEFT(D275,3),"")</f>
        <v>2-6</v>
      </c>
      <c r="AT275" s="485" t="str">
        <f>IF(AND(COUNTA(O275)=1,COUNTA(P275)=1,COUNTA(AC275)=1,COUNTA(AF275)=1,COUNTA(AG275)=0),LEFT(D275,3),"")</f>
        <v/>
      </c>
      <c r="AU275" s="487" t="str">
        <f>IF(AND(COUNTA(O275)=1,COUNTA(P275)=1,COUNTA(AC275)=1,COUNTA(AF275)=0,COUNTA(AG275)=0),LEFT(D275,3),"")</f>
        <v/>
      </c>
      <c r="AV275" s="489" t="str">
        <f>IF(AND(COUNTA(P275)=0,COUNTA(AC275)=1),LEFT(D275,3),"")</f>
        <v/>
      </c>
      <c r="AW275" s="491" t="str">
        <f>IF(AND(COUNTA(P275)=1,COUNTA(AC275)=0),LEFT(D275,3),"")</f>
        <v/>
      </c>
      <c r="AX275" s="493" t="str">
        <f>IF(AND(COUNTA(P275)=0,COUNTA(AC275)=0),LEFT(D275,3),"")</f>
        <v/>
      </c>
      <c r="AY275" s="514" t="str">
        <f>IFERROR(VLOOKUP(功能_33[[#This Row],[功能代號]],SIT_FT_2021tmp!D:D,1,FALSE),"")</f>
        <v/>
      </c>
      <c r="AZ275" s="587">
        <v>44614</v>
      </c>
      <c r="BB275" s="514" t="s">
        <v>2453</v>
      </c>
      <c r="BC275" s="265" t="s">
        <v>2453</v>
      </c>
      <c r="BD275" s="593"/>
      <c r="BE275" s="265" t="str">
        <f>IF(AND(COUNTIF(AY275,"&gt;&lt;0")=1,COUNTA(M275)=1),LEFT(D275,3),"")</f>
        <v/>
      </c>
      <c r="BF275" s="265" t="str">
        <f>IF(AND(COUNTIF(AY275,"&gt;&lt;")=1,COUNTA(M275)=0),LEFT(D275,3),"")</f>
        <v/>
      </c>
      <c r="BG275" s="265" t="str">
        <f>IF(AND(COUNTIF(AY275,"&gt;&lt;0")=0,COUNTA(M275)=1),LEFT(D275,3),"")</f>
        <v>2-6</v>
      </c>
      <c r="BH275" s="265" t="str">
        <f>IF(AND(COUNTIF(AY275,"&gt;&lt;0")=0,COUNTA(M275)=0),LEFT(D275,3),"")</f>
        <v/>
      </c>
    </row>
    <row r="276" spans="3:60" ht="13.5" x14ac:dyDescent="0.3">
      <c r="C276" s="265" t="s">
        <v>66</v>
      </c>
      <c r="D276" s="265" t="s">
        <v>2481</v>
      </c>
      <c r="E276" s="264" t="s">
        <v>785</v>
      </c>
      <c r="F276" s="265" t="s">
        <v>786</v>
      </c>
      <c r="G276" s="265"/>
      <c r="H276" s="264" t="s">
        <v>166</v>
      </c>
      <c r="I276" s="264" t="s">
        <v>167</v>
      </c>
      <c r="J276" s="212" t="s">
        <v>2754</v>
      </c>
      <c r="K276" s="212"/>
      <c r="L276" s="272">
        <v>44558</v>
      </c>
      <c r="M276" s="272">
        <v>44558</v>
      </c>
      <c r="N276" s="272">
        <v>44491</v>
      </c>
      <c r="O276" s="272">
        <v>44498</v>
      </c>
      <c r="P276" s="272">
        <v>44498</v>
      </c>
      <c r="Q276" s="264" t="s">
        <v>2</v>
      </c>
      <c r="R276" s="264" t="s">
        <v>5</v>
      </c>
      <c r="S276" s="264" t="s">
        <v>5</v>
      </c>
      <c r="X276" s="264"/>
      <c r="Z276" s="264"/>
      <c r="AA276" s="264"/>
      <c r="AB276" s="265" t="str">
        <f>VLOOKUP(功能_33[[#This Row],[User]],SKL放款!A:G,7,FALSE)</f>
        <v>放款服務課</v>
      </c>
      <c r="AC276" s="272">
        <v>44533</v>
      </c>
      <c r="AD276" s="272" t="s">
        <v>168</v>
      </c>
      <c r="AE276" s="272">
        <v>44543</v>
      </c>
      <c r="AF276" s="272">
        <v>44544</v>
      </c>
      <c r="AG276" s="209">
        <v>44544</v>
      </c>
      <c r="AH276" s="272" t="s">
        <v>169</v>
      </c>
      <c r="AI276" s="272"/>
      <c r="AJ276" s="322"/>
      <c r="AK276" s="272">
        <f>IFERROR(IF(VLOOKUP(功能_33[[#This Row],[功能代號]],E:U,11,FALSE)=0,"",VLOOKUP(功能_33[[#This Row],[功能代號]],E:U,11,FALSE)),"")</f>
        <v>44498</v>
      </c>
      <c r="AL276" s="272"/>
      <c r="AM276" s="272"/>
      <c r="AN276" s="265"/>
      <c r="AO276" s="272">
        <v>44491</v>
      </c>
      <c r="AP276" s="264">
        <v>232</v>
      </c>
      <c r="AQ276" s="265" t="s">
        <v>787</v>
      </c>
      <c r="AR276" s="593" t="s">
        <v>3207</v>
      </c>
      <c r="AS276" s="483" t="str">
        <f>IF(COUNTA(AG276)=1,LEFT(D276,3),"")</f>
        <v>2-6</v>
      </c>
      <c r="AT276" s="485" t="str">
        <f>IF(AND(COUNTA(O276)=1,COUNTA(P276)=1,COUNTA(AC276)=1,COUNTA(AF276)=1,COUNTA(AG276)=0),LEFT(D276,3),"")</f>
        <v/>
      </c>
      <c r="AU276" s="487" t="str">
        <f>IF(AND(COUNTA(O276)=1,COUNTA(P276)=1,COUNTA(AC276)=1,COUNTA(AF276)=0,COUNTA(AG276)=0),LEFT(D276,3),"")</f>
        <v/>
      </c>
      <c r="AV276" s="489" t="str">
        <f>IF(AND(COUNTA(P276)=0,COUNTA(AC276)=1),LEFT(D276,3),"")</f>
        <v/>
      </c>
      <c r="AW276" s="491" t="str">
        <f>IF(AND(COUNTA(P276)=1,COUNTA(AC276)=0),LEFT(D276,3),"")</f>
        <v/>
      </c>
      <c r="AX276" s="493" t="str">
        <f>IF(AND(COUNTA(P276)=0,COUNTA(AC276)=0),LEFT(D276,3),"")</f>
        <v/>
      </c>
      <c r="AY276" s="514" t="str">
        <f>IFERROR(VLOOKUP(功能_33[[#This Row],[功能代號]],SIT_FT_2021tmp!D:D,1,FALSE),"")</f>
        <v/>
      </c>
      <c r="AZ276" s="587">
        <v>44614</v>
      </c>
      <c r="BB276" s="514" t="s">
        <v>2453</v>
      </c>
      <c r="BC276" s="265" t="s">
        <v>2453</v>
      </c>
      <c r="BD276" s="593"/>
      <c r="BE276" s="265" t="str">
        <f>IF(AND(COUNTIF(AY276,"&gt;&lt;0")=1,COUNTA(M276)=1),LEFT(D276,3),"")</f>
        <v/>
      </c>
      <c r="BF276" s="265" t="str">
        <f>IF(AND(COUNTIF(AY276,"&gt;&lt;")=1,COUNTA(M276)=0),LEFT(D276,3),"")</f>
        <v/>
      </c>
      <c r="BG276" s="265" t="str">
        <f>IF(AND(COUNTIF(AY276,"&gt;&lt;0")=0,COUNTA(M276)=1),LEFT(D276,3),"")</f>
        <v>2-6</v>
      </c>
      <c r="BH276" s="265" t="str">
        <f>IF(AND(COUNTIF(AY276,"&gt;&lt;0")=0,COUNTA(M276)=0),LEFT(D276,3),"")</f>
        <v/>
      </c>
    </row>
    <row r="277" spans="3:60" ht="13.5" x14ac:dyDescent="0.3">
      <c r="C277" s="265" t="s">
        <v>66</v>
      </c>
      <c r="D277" s="265" t="s">
        <v>2481</v>
      </c>
      <c r="E277" s="264" t="s">
        <v>788</v>
      </c>
      <c r="F277" s="265" t="s">
        <v>789</v>
      </c>
      <c r="G277" s="265"/>
      <c r="H277" s="264" t="s">
        <v>166</v>
      </c>
      <c r="I277" s="264" t="s">
        <v>167</v>
      </c>
      <c r="J277" s="212" t="s">
        <v>2754</v>
      </c>
      <c r="K277" s="212"/>
      <c r="L277" s="272">
        <v>44558</v>
      </c>
      <c r="M277" s="272">
        <v>44558</v>
      </c>
      <c r="N277" s="272">
        <v>44491</v>
      </c>
      <c r="O277" s="272">
        <v>44498</v>
      </c>
      <c r="P277" s="272">
        <v>44537</v>
      </c>
      <c r="Q277" s="264" t="s">
        <v>2</v>
      </c>
      <c r="R277" s="264" t="s">
        <v>5</v>
      </c>
      <c r="S277" s="264" t="s">
        <v>5</v>
      </c>
      <c r="X277" s="264"/>
      <c r="Z277" s="264"/>
      <c r="AA277" s="264"/>
      <c r="AB277" s="265" t="str">
        <f>VLOOKUP(功能_33[[#This Row],[User]],SKL放款!A:G,7,FALSE)</f>
        <v>放款服務課</v>
      </c>
      <c r="AC277" s="272">
        <v>44533</v>
      </c>
      <c r="AD277" s="272" t="s">
        <v>168</v>
      </c>
      <c r="AE277" s="272">
        <v>44543</v>
      </c>
      <c r="AF277" s="272">
        <v>44544</v>
      </c>
      <c r="AG277" s="209">
        <v>44544</v>
      </c>
      <c r="AH277" s="272" t="s">
        <v>169</v>
      </c>
      <c r="AI277" s="272"/>
      <c r="AJ277" s="322"/>
      <c r="AK277" s="272">
        <f>IFERROR(IF(VLOOKUP(功能_33[[#This Row],[功能代號]],E:U,11,FALSE)=0,"",VLOOKUP(功能_33[[#This Row],[功能代號]],E:U,11,FALSE)),"")</f>
        <v>44498</v>
      </c>
      <c r="AL277" s="272"/>
      <c r="AM277" s="272"/>
      <c r="AN277" s="265"/>
      <c r="AO277" s="272">
        <v>44491</v>
      </c>
      <c r="AP277" s="264">
        <v>233</v>
      </c>
      <c r="AQ277" s="265" t="s">
        <v>790</v>
      </c>
      <c r="AR277" s="593" t="s">
        <v>3207</v>
      </c>
      <c r="AS277" s="483" t="str">
        <f>IF(COUNTA(AG277)=1,LEFT(D277,3),"")</f>
        <v>2-6</v>
      </c>
      <c r="AT277" s="485" t="str">
        <f>IF(AND(COUNTA(O277)=1,COUNTA(P277)=1,COUNTA(AC277)=1,COUNTA(AF277)=1,COUNTA(AG277)=0),LEFT(D277,3),"")</f>
        <v/>
      </c>
      <c r="AU277" s="487" t="str">
        <f>IF(AND(COUNTA(O277)=1,COUNTA(P277)=1,COUNTA(AC277)=1,COUNTA(AF277)=0,COUNTA(AG277)=0),LEFT(D277,3),"")</f>
        <v/>
      </c>
      <c r="AV277" s="489" t="str">
        <f>IF(AND(COUNTA(P277)=0,COUNTA(AC277)=1),LEFT(D277,3),"")</f>
        <v/>
      </c>
      <c r="AW277" s="491" t="str">
        <f>IF(AND(COUNTA(P277)=1,COUNTA(AC277)=0),LEFT(D277,3),"")</f>
        <v/>
      </c>
      <c r="AX277" s="493" t="str">
        <f>IF(AND(COUNTA(P277)=0,COUNTA(AC277)=0),LEFT(D277,3),"")</f>
        <v/>
      </c>
      <c r="AY277" s="514" t="str">
        <f>IFERROR(VLOOKUP(功能_33[[#This Row],[功能代號]],SIT_FT_2021tmp!D:D,1,FALSE),"")</f>
        <v/>
      </c>
      <c r="AZ277" s="587">
        <v>44614</v>
      </c>
      <c r="BB277" s="514" t="s">
        <v>2453</v>
      </c>
      <c r="BC277" s="265" t="s">
        <v>2453</v>
      </c>
      <c r="BD277" s="593"/>
      <c r="BE277" s="265" t="str">
        <f>IF(AND(COUNTIF(AY277,"&gt;&lt;0")=1,COUNTA(M277)=1),LEFT(D277,3),"")</f>
        <v/>
      </c>
      <c r="BF277" s="265" t="str">
        <f>IF(AND(COUNTIF(AY277,"&gt;&lt;")=1,COUNTA(M277)=0),LEFT(D277,3),"")</f>
        <v/>
      </c>
      <c r="BG277" s="265" t="str">
        <f>IF(AND(COUNTIF(AY277,"&gt;&lt;0")=0,COUNTA(M277)=1),LEFT(D277,3),"")</f>
        <v>2-6</v>
      </c>
      <c r="BH277" s="265" t="str">
        <f>IF(AND(COUNTIF(AY277,"&gt;&lt;0")=0,COUNTA(M277)=0),LEFT(D277,3),"")</f>
        <v/>
      </c>
    </row>
    <row r="278" spans="3:60" ht="13.5" x14ac:dyDescent="0.3">
      <c r="C278" s="265" t="s">
        <v>66</v>
      </c>
      <c r="D278" s="265" t="s">
        <v>2481</v>
      </c>
      <c r="E278" s="264" t="s">
        <v>791</v>
      </c>
      <c r="F278" s="265" t="s">
        <v>792</v>
      </c>
      <c r="G278" s="265"/>
      <c r="H278" s="264" t="s">
        <v>166</v>
      </c>
      <c r="I278" s="264" t="s">
        <v>167</v>
      </c>
      <c r="J278" s="212" t="s">
        <v>2754</v>
      </c>
      <c r="K278" s="212"/>
      <c r="L278" s="272">
        <v>44558</v>
      </c>
      <c r="M278" s="272">
        <v>44558</v>
      </c>
      <c r="N278" s="272">
        <v>44491</v>
      </c>
      <c r="O278" s="272">
        <v>44498</v>
      </c>
      <c r="P278" s="272">
        <v>44498</v>
      </c>
      <c r="Q278" s="264" t="s">
        <v>2</v>
      </c>
      <c r="R278" s="264" t="s">
        <v>5</v>
      </c>
      <c r="S278" s="264" t="s">
        <v>5</v>
      </c>
      <c r="X278" s="264"/>
      <c r="Z278" s="264"/>
      <c r="AA278" s="264"/>
      <c r="AB278" s="265" t="str">
        <f>VLOOKUP(功能_33[[#This Row],[User]],SKL放款!A:G,7,FALSE)</f>
        <v>放款服務課</v>
      </c>
      <c r="AC278" s="272">
        <v>44533</v>
      </c>
      <c r="AD278" s="272" t="s">
        <v>168</v>
      </c>
      <c r="AE278" s="272">
        <v>44543</v>
      </c>
      <c r="AF278" s="272">
        <v>44544</v>
      </c>
      <c r="AG278" s="209">
        <v>44544</v>
      </c>
      <c r="AH278" s="272" t="s">
        <v>169</v>
      </c>
      <c r="AI278" s="272"/>
      <c r="AJ278" s="322"/>
      <c r="AK278" s="272">
        <f>IFERROR(IF(VLOOKUP(功能_33[[#This Row],[功能代號]],E:U,11,FALSE)=0,"",VLOOKUP(功能_33[[#This Row],[功能代號]],E:U,11,FALSE)),"")</f>
        <v>44498</v>
      </c>
      <c r="AL278" s="272"/>
      <c r="AM278" s="272"/>
      <c r="AN278" s="265"/>
      <c r="AO278" s="272">
        <v>44491</v>
      </c>
      <c r="AP278" s="264" t="s">
        <v>163</v>
      </c>
      <c r="AQ278" s="264" t="s">
        <v>163</v>
      </c>
      <c r="AR278" s="593" t="s">
        <v>3207</v>
      </c>
      <c r="AS278" s="483" t="str">
        <f>IF(COUNTA(AG278)=1,LEFT(D278,3),"")</f>
        <v>2-6</v>
      </c>
      <c r="AT278" s="485" t="str">
        <f>IF(AND(COUNTA(O278)=1,COUNTA(P278)=1,COUNTA(AC278)=1,COUNTA(AF278)=1,COUNTA(AG278)=0),LEFT(D278,3),"")</f>
        <v/>
      </c>
      <c r="AU278" s="487" t="str">
        <f>IF(AND(COUNTA(O278)=1,COUNTA(P278)=1,COUNTA(AC278)=1,COUNTA(AF278)=0,COUNTA(AG278)=0),LEFT(D278,3),"")</f>
        <v/>
      </c>
      <c r="AV278" s="489" t="str">
        <f>IF(AND(COUNTA(P278)=0,COUNTA(AC278)=1),LEFT(D278,3),"")</f>
        <v/>
      </c>
      <c r="AW278" s="491" t="str">
        <f>IF(AND(COUNTA(P278)=1,COUNTA(AC278)=0),LEFT(D278,3),"")</f>
        <v/>
      </c>
      <c r="AX278" s="493" t="str">
        <f>IF(AND(COUNTA(P278)=0,COUNTA(AC278)=0),LEFT(D278,3),"")</f>
        <v/>
      </c>
      <c r="AY278" s="514" t="str">
        <f>IFERROR(VLOOKUP(功能_33[[#This Row],[功能代號]],SIT_FT_2021tmp!D:D,1,FALSE),"")</f>
        <v/>
      </c>
      <c r="AZ278" s="587">
        <v>44614</v>
      </c>
      <c r="BB278" s="514" t="s">
        <v>2453</v>
      </c>
      <c r="BC278" s="265" t="s">
        <v>2453</v>
      </c>
      <c r="BD278" s="593"/>
      <c r="BE278" s="265" t="str">
        <f>IF(AND(COUNTIF(AY278,"&gt;&lt;0")=1,COUNTA(M278)=1),LEFT(D278,3),"")</f>
        <v/>
      </c>
      <c r="BF278" s="265" t="str">
        <f>IF(AND(COUNTIF(AY278,"&gt;&lt;")=1,COUNTA(M278)=0),LEFT(D278,3),"")</f>
        <v/>
      </c>
      <c r="BG278" s="265" t="str">
        <f>IF(AND(COUNTIF(AY278,"&gt;&lt;0")=0,COUNTA(M278)=1),LEFT(D278,3),"")</f>
        <v>2-6</v>
      </c>
      <c r="BH278" s="265" t="str">
        <f>IF(AND(COUNTIF(AY278,"&gt;&lt;0")=0,COUNTA(M278)=0),LEFT(D278,3),"")</f>
        <v/>
      </c>
    </row>
    <row r="279" spans="3:60" ht="13.5" x14ac:dyDescent="0.3">
      <c r="C279" s="265" t="s">
        <v>66</v>
      </c>
      <c r="D279" s="265" t="s">
        <v>2481</v>
      </c>
      <c r="E279" s="264" t="s">
        <v>793</v>
      </c>
      <c r="F279" s="265" t="s">
        <v>794</v>
      </c>
      <c r="G279" s="265"/>
      <c r="H279" s="264" t="s">
        <v>166</v>
      </c>
      <c r="I279" s="264" t="s">
        <v>167</v>
      </c>
      <c r="J279" s="212" t="s">
        <v>2754</v>
      </c>
      <c r="K279" s="212"/>
      <c r="L279" s="272">
        <v>44558</v>
      </c>
      <c r="M279" s="272">
        <v>44558</v>
      </c>
      <c r="N279" s="272">
        <v>44491</v>
      </c>
      <c r="O279" s="272">
        <v>44498</v>
      </c>
      <c r="P279" s="272">
        <v>44537</v>
      </c>
      <c r="Q279" s="264" t="s">
        <v>2</v>
      </c>
      <c r="R279" s="264" t="s">
        <v>5</v>
      </c>
      <c r="S279" s="264" t="s">
        <v>5</v>
      </c>
      <c r="X279" s="264"/>
      <c r="Z279" s="264"/>
      <c r="AA279" s="264"/>
      <c r="AB279" s="265" t="str">
        <f>VLOOKUP(功能_33[[#This Row],[User]],SKL放款!A:G,7,FALSE)</f>
        <v>放款服務課</v>
      </c>
      <c r="AC279" s="272">
        <v>44533</v>
      </c>
      <c r="AD279" s="272" t="s">
        <v>168</v>
      </c>
      <c r="AE279" s="272">
        <v>44543</v>
      </c>
      <c r="AF279" s="272">
        <v>44544</v>
      </c>
      <c r="AG279" s="209">
        <v>44544</v>
      </c>
      <c r="AH279" s="272" t="s">
        <v>169</v>
      </c>
      <c r="AI279" s="272"/>
      <c r="AJ279" s="322"/>
      <c r="AK279" s="272">
        <f>IFERROR(IF(VLOOKUP(功能_33[[#This Row],[功能代號]],E:U,11,FALSE)=0,"",VLOOKUP(功能_33[[#This Row],[功能代號]],E:U,11,FALSE)),"")</f>
        <v>44498</v>
      </c>
      <c r="AL279" s="272"/>
      <c r="AM279" s="272"/>
      <c r="AN279" s="265"/>
      <c r="AO279" s="272">
        <v>44491</v>
      </c>
      <c r="AP279" s="264">
        <v>233</v>
      </c>
      <c r="AQ279" s="265" t="s">
        <v>795</v>
      </c>
      <c r="AR279" s="593" t="s">
        <v>3207</v>
      </c>
      <c r="AS279" s="483" t="str">
        <f>IF(COUNTA(AG279)=1,LEFT(D279,3),"")</f>
        <v>2-6</v>
      </c>
      <c r="AT279" s="485" t="str">
        <f>IF(AND(COUNTA(O279)=1,COUNTA(P279)=1,COUNTA(AC279)=1,COUNTA(AF279)=1,COUNTA(AG279)=0),LEFT(D279,3),"")</f>
        <v/>
      </c>
      <c r="AU279" s="487" t="str">
        <f>IF(AND(COUNTA(O279)=1,COUNTA(P279)=1,COUNTA(AC279)=1,COUNTA(AF279)=0,COUNTA(AG279)=0),LEFT(D279,3),"")</f>
        <v/>
      </c>
      <c r="AV279" s="489" t="str">
        <f>IF(AND(COUNTA(P279)=0,COUNTA(AC279)=1),LEFT(D279,3),"")</f>
        <v/>
      </c>
      <c r="AW279" s="491" t="str">
        <f>IF(AND(COUNTA(P279)=1,COUNTA(AC279)=0),LEFT(D279,3),"")</f>
        <v/>
      </c>
      <c r="AX279" s="493" t="str">
        <f>IF(AND(COUNTA(P279)=0,COUNTA(AC279)=0),LEFT(D279,3),"")</f>
        <v/>
      </c>
      <c r="AY279" s="514" t="str">
        <f>IFERROR(VLOOKUP(功能_33[[#This Row],[功能代號]],SIT_FT_2021tmp!D:D,1,FALSE),"")</f>
        <v/>
      </c>
      <c r="AZ279" s="587">
        <v>44614</v>
      </c>
      <c r="BB279" s="514" t="s">
        <v>2453</v>
      </c>
      <c r="BC279" s="265" t="s">
        <v>2453</v>
      </c>
      <c r="BD279" s="593"/>
      <c r="BE279" s="265" t="str">
        <f>IF(AND(COUNTIF(AY279,"&gt;&lt;0")=1,COUNTA(M279)=1),LEFT(D279,3),"")</f>
        <v/>
      </c>
      <c r="BF279" s="265" t="str">
        <f>IF(AND(COUNTIF(AY279,"&gt;&lt;")=1,COUNTA(M279)=0),LEFT(D279,3),"")</f>
        <v/>
      </c>
      <c r="BG279" s="265" t="str">
        <f>IF(AND(COUNTIF(AY279,"&gt;&lt;0")=0,COUNTA(M279)=1),LEFT(D279,3),"")</f>
        <v>2-6</v>
      </c>
      <c r="BH279" s="265" t="str">
        <f>IF(AND(COUNTIF(AY279,"&gt;&lt;0")=0,COUNTA(M279)=0),LEFT(D279,3),"")</f>
        <v/>
      </c>
    </row>
    <row r="280" spans="3:60" ht="27" x14ac:dyDescent="0.3">
      <c r="C280" s="265" t="s">
        <v>68</v>
      </c>
      <c r="D280" s="265" t="s">
        <v>796</v>
      </c>
      <c r="E280" s="264" t="s">
        <v>797</v>
      </c>
      <c r="F280" s="265" t="s">
        <v>798</v>
      </c>
      <c r="G280" s="265"/>
      <c r="H280" s="264" t="s">
        <v>166</v>
      </c>
      <c r="I280" s="264" t="s">
        <v>2433</v>
      </c>
      <c r="J280" s="212" t="s">
        <v>2586</v>
      </c>
      <c r="K280" s="212"/>
      <c r="L280" s="272">
        <v>44582</v>
      </c>
      <c r="M280" s="272">
        <v>44575</v>
      </c>
      <c r="N280" s="272">
        <v>44490</v>
      </c>
      <c r="O280" s="272">
        <v>44490</v>
      </c>
      <c r="P280" s="272">
        <v>44533</v>
      </c>
      <c r="Q280" s="264" t="s">
        <v>1</v>
      </c>
      <c r="R280" s="264" t="s">
        <v>145</v>
      </c>
      <c r="S280" s="264" t="s">
        <v>145</v>
      </c>
      <c r="X280" s="264"/>
      <c r="Z280" s="264"/>
      <c r="AA280" s="264"/>
      <c r="AB280" s="265" t="str">
        <f>VLOOKUP(功能_33[[#This Row],[User]],SKL放款!A:G,7,FALSE)</f>
        <v>放款服務課</v>
      </c>
      <c r="AC280" s="272">
        <v>44533</v>
      </c>
      <c r="AD280" s="272" t="s">
        <v>168</v>
      </c>
      <c r="AE280" s="272">
        <v>44531</v>
      </c>
      <c r="AF280" s="272">
        <v>44531</v>
      </c>
      <c r="AG280" s="209">
        <v>44539</v>
      </c>
      <c r="AH280" s="272"/>
      <c r="AI280" s="272"/>
      <c r="AJ280" s="322"/>
      <c r="AK280" s="272">
        <f>IFERROR(IF(VLOOKUP(功能_33[[#This Row],[功能代號]],E:U,11,FALSE)=0,"",VLOOKUP(功能_33[[#This Row],[功能代號]],E:U,11,FALSE)),"")</f>
        <v>44490</v>
      </c>
      <c r="AL280" s="272"/>
      <c r="AM280" s="272"/>
      <c r="AN280" s="265"/>
      <c r="AO280" s="272"/>
      <c r="AP280" s="281" t="s">
        <v>2649</v>
      </c>
      <c r="AQ280" s="265" t="s">
        <v>2650</v>
      </c>
      <c r="AR280" s="593" t="s">
        <v>3207</v>
      </c>
      <c r="AS280" s="483" t="str">
        <f>IF(COUNTA(AG280)=1,LEFT(D280,3),"")</f>
        <v>4-3</v>
      </c>
      <c r="AT280" s="485" t="str">
        <f>IF(AND(COUNTA(O280)=1,COUNTA(P280)=1,COUNTA(AC280)=1,COUNTA(AF280)=1,COUNTA(AG280)=0),LEFT(D280,3),"")</f>
        <v/>
      </c>
      <c r="AU280" s="487" t="str">
        <f>IF(AND(COUNTA(O280)=1,COUNTA(P280)=1,COUNTA(AC280)=1,COUNTA(AF280)=0,COUNTA(AG280)=0),LEFT(D280,3),"")</f>
        <v/>
      </c>
      <c r="AV280" s="489" t="str">
        <f>IF(AND(COUNTA(P280)=0,COUNTA(AC280)=1),LEFT(D280,3),"")</f>
        <v/>
      </c>
      <c r="AW280" s="491" t="str">
        <f>IF(AND(COUNTA(P280)=1,COUNTA(AC280)=0),LEFT(D280,3),"")</f>
        <v/>
      </c>
      <c r="AX280" s="493" t="str">
        <f>IF(AND(COUNTA(P280)=0,COUNTA(AC280)=0),LEFT(D280,3),"")</f>
        <v/>
      </c>
      <c r="AY280" s="514" t="str">
        <f>IFERROR(VLOOKUP(功能_33[[#This Row],[功能代號]],SIT_FT_2021tmp!D:D,1,FALSE),"")</f>
        <v>L4322</v>
      </c>
      <c r="AZ280" s="587">
        <v>44550</v>
      </c>
      <c r="BA280" s="587">
        <v>44550</v>
      </c>
      <c r="BB280" s="514" t="s">
        <v>3000</v>
      </c>
      <c r="BC280" s="265" t="s">
        <v>3020</v>
      </c>
      <c r="BD280" s="593"/>
      <c r="BE280" s="264" t="str">
        <f>IF(AND(COUNTIF(AY280,"&gt;&lt;0")=1,COUNTA(M280)=1),LEFT(D280,3),"")</f>
        <v>4-3</v>
      </c>
      <c r="BF280" s="264" t="str">
        <f>IF(AND(COUNTIF(AY280,"&gt;&lt;")=1,COUNTA(M280)=0),LEFT(D280,3),"")</f>
        <v/>
      </c>
      <c r="BG280" s="264" t="str">
        <f>IF(AND(COUNTIF(AY280,"&gt;&lt;0")=0,COUNTA(M280)=1),LEFT(D280,3),"")</f>
        <v/>
      </c>
      <c r="BH280" s="264" t="str">
        <f>IF(AND(COUNTIF(AY280,"&gt;&lt;0")=0,COUNTA(M280)=0),LEFT(D280,3),"")</f>
        <v/>
      </c>
    </row>
    <row r="281" spans="3:60" ht="40.5" x14ac:dyDescent="0.3">
      <c r="C281" s="265" t="s">
        <v>68</v>
      </c>
      <c r="D281" s="265" t="s">
        <v>796</v>
      </c>
      <c r="E281" s="264" t="s">
        <v>799</v>
      </c>
      <c r="F281" s="265" t="s">
        <v>800</v>
      </c>
      <c r="G281" s="265"/>
      <c r="H281" s="264" t="s">
        <v>166</v>
      </c>
      <c r="I281" s="264" t="s">
        <v>2433</v>
      </c>
      <c r="J281" s="212" t="s">
        <v>2586</v>
      </c>
      <c r="K281" s="212"/>
      <c r="L281" s="272">
        <v>44583</v>
      </c>
      <c r="M281" s="272">
        <v>44575</v>
      </c>
      <c r="N281" s="272">
        <v>44490</v>
      </c>
      <c r="O281" s="272">
        <v>44490</v>
      </c>
      <c r="P281" s="272">
        <v>44533</v>
      </c>
      <c r="Q281" s="264" t="s">
        <v>1</v>
      </c>
      <c r="R281" s="264" t="s">
        <v>145</v>
      </c>
      <c r="S281" s="264" t="s">
        <v>145</v>
      </c>
      <c r="X281" s="264"/>
      <c r="Z281" s="264"/>
      <c r="AA281" s="264"/>
      <c r="AB281" s="265" t="str">
        <f>VLOOKUP(功能_33[[#This Row],[User]],SKL放款!A:G,7,FALSE)</f>
        <v>放款服務課</v>
      </c>
      <c r="AC281" s="272">
        <v>44533</v>
      </c>
      <c r="AD281" s="272" t="s">
        <v>107</v>
      </c>
      <c r="AE281" s="272">
        <v>44531</v>
      </c>
      <c r="AF281" s="272">
        <v>44531</v>
      </c>
      <c r="AG281" s="209">
        <v>44539</v>
      </c>
      <c r="AH281" s="272"/>
      <c r="AI281" s="272"/>
      <c r="AJ281" s="322"/>
      <c r="AK281" s="272">
        <f>IFERROR(IF(VLOOKUP(功能_33[[#This Row],[功能代號]],E:U,11,FALSE)=0,"",VLOOKUP(功能_33[[#This Row],[功能代號]],E:U,11,FALSE)),"")</f>
        <v>44490</v>
      </c>
      <c r="AL281" s="272"/>
      <c r="AM281" s="272"/>
      <c r="AN281" s="265"/>
      <c r="AO281" s="272"/>
      <c r="AP281" s="281" t="s">
        <v>2651</v>
      </c>
      <c r="AQ281" s="206" t="s">
        <v>2652</v>
      </c>
      <c r="AR281" s="593" t="s">
        <v>3207</v>
      </c>
      <c r="AS281" s="483" t="str">
        <f>IF(COUNTA(AG281)=1,LEFT(D281,3),"")</f>
        <v>4-3</v>
      </c>
      <c r="AT281" s="485" t="str">
        <f>IF(AND(COUNTA(O281)=1,COUNTA(P281)=1,COUNTA(AC281)=1,COUNTA(AF281)=1,COUNTA(AG281)=0),LEFT(D281,3),"")</f>
        <v/>
      </c>
      <c r="AU281" s="487" t="str">
        <f>IF(AND(COUNTA(O281)=1,COUNTA(P281)=1,COUNTA(AC281)=1,COUNTA(AF281)=0,COUNTA(AG281)=0),LEFT(D281,3),"")</f>
        <v/>
      </c>
      <c r="AV281" s="489" t="str">
        <f>IF(AND(COUNTA(P281)=0,COUNTA(AC281)=1),LEFT(D281,3),"")</f>
        <v/>
      </c>
      <c r="AW281" s="491" t="str">
        <f>IF(AND(COUNTA(P281)=1,COUNTA(AC281)=0),LEFT(D281,3),"")</f>
        <v/>
      </c>
      <c r="AX281" s="493" t="str">
        <f>IF(AND(COUNTA(P281)=0,COUNTA(AC281)=0),LEFT(D281,3),"")</f>
        <v/>
      </c>
      <c r="AY281" s="514" t="str">
        <f>IFERROR(VLOOKUP(功能_33[[#This Row],[功能代號]],SIT_FT_2021tmp!D:D,1,FALSE),"")</f>
        <v>L4320</v>
      </c>
      <c r="AZ281" s="587">
        <v>44550</v>
      </c>
      <c r="BA281" s="587">
        <v>44550</v>
      </c>
      <c r="BB281" s="514" t="s">
        <v>3000</v>
      </c>
      <c r="BC281" s="265" t="s">
        <v>3020</v>
      </c>
      <c r="BD281" s="593"/>
      <c r="BE281" s="264" t="str">
        <f>IF(AND(COUNTIF(AY281,"&gt;&lt;0")=1,COUNTA(M281)=1),LEFT(D281,3),"")</f>
        <v>4-3</v>
      </c>
      <c r="BF281" s="264" t="str">
        <f>IF(AND(COUNTIF(AY281,"&gt;&lt;")=1,COUNTA(M281)=0),LEFT(D281,3),"")</f>
        <v/>
      </c>
      <c r="BG281" s="264" t="str">
        <f>IF(AND(COUNTIF(AY281,"&gt;&lt;0")=0,COUNTA(M281)=1),LEFT(D281,3),"")</f>
        <v/>
      </c>
      <c r="BH281" s="264" t="str">
        <f>IF(AND(COUNTIF(AY281,"&gt;&lt;0")=0,COUNTA(M281)=0),LEFT(D281,3),"")</f>
        <v/>
      </c>
    </row>
    <row r="282" spans="3:60" ht="13.5" x14ac:dyDescent="0.3">
      <c r="C282" s="265" t="s">
        <v>68</v>
      </c>
      <c r="D282" s="265" t="s">
        <v>796</v>
      </c>
      <c r="E282" s="264" t="s">
        <v>801</v>
      </c>
      <c r="F282" s="265" t="s">
        <v>802</v>
      </c>
      <c r="G282" s="265"/>
      <c r="H282" s="264" t="s">
        <v>166</v>
      </c>
      <c r="I282" s="264" t="s">
        <v>2433</v>
      </c>
      <c r="J282" s="212" t="s">
        <v>2586</v>
      </c>
      <c r="K282" s="212"/>
      <c r="L282" s="272">
        <v>44583</v>
      </c>
      <c r="M282" s="272">
        <v>44575</v>
      </c>
      <c r="N282" s="272">
        <v>44490</v>
      </c>
      <c r="O282" s="272">
        <v>44490</v>
      </c>
      <c r="P282" s="272">
        <v>44533</v>
      </c>
      <c r="Q282" s="264" t="s">
        <v>1</v>
      </c>
      <c r="R282" s="264" t="s">
        <v>145</v>
      </c>
      <c r="S282" s="264" t="s">
        <v>145</v>
      </c>
      <c r="X282" s="264"/>
      <c r="Z282" s="264"/>
      <c r="AA282" s="264"/>
      <c r="AB282" s="265" t="str">
        <f>VLOOKUP(功能_33[[#This Row],[User]],SKL放款!A:G,7,FALSE)</f>
        <v>放款服務課</v>
      </c>
      <c r="AC282" s="272">
        <v>44533</v>
      </c>
      <c r="AD282" s="272" t="s">
        <v>107</v>
      </c>
      <c r="AE282" s="272">
        <v>44531</v>
      </c>
      <c r="AF282" s="272">
        <v>44531</v>
      </c>
      <c r="AG282" s="209">
        <v>44539</v>
      </c>
      <c r="AH282" s="272"/>
      <c r="AI282" s="272"/>
      <c r="AJ282" s="322"/>
      <c r="AK282" s="272">
        <f>IFERROR(IF(VLOOKUP(功能_33[[#This Row],[功能代號]],E:U,11,FALSE)=0,"",VLOOKUP(功能_33[[#This Row],[功能代號]],E:U,11,FALSE)),"")</f>
        <v>44490</v>
      </c>
      <c r="AL282" s="272"/>
      <c r="AM282" s="272"/>
      <c r="AN282" s="265"/>
      <c r="AO282" s="272"/>
      <c r="AP282" s="264" t="s">
        <v>2603</v>
      </c>
      <c r="AQ282" s="264" t="s">
        <v>163</v>
      </c>
      <c r="AR282" s="593" t="s">
        <v>3207</v>
      </c>
      <c r="AS282" s="483" t="str">
        <f>IF(COUNTA(AG282)=1,LEFT(D282,3),"")</f>
        <v>4-3</v>
      </c>
      <c r="AT282" s="485" t="str">
        <f>IF(AND(COUNTA(O282)=1,COUNTA(P282)=1,COUNTA(AC282)=1,COUNTA(AF282)=1,COUNTA(AG282)=0),LEFT(D282,3),"")</f>
        <v/>
      </c>
      <c r="AU282" s="487" t="str">
        <f>IF(AND(COUNTA(O282)=1,COUNTA(P282)=1,COUNTA(AC282)=1,COUNTA(AF282)=0,COUNTA(AG282)=0),LEFT(D282,3),"")</f>
        <v/>
      </c>
      <c r="AV282" s="489" t="str">
        <f>IF(AND(COUNTA(P282)=0,COUNTA(AC282)=1),LEFT(D282,3),"")</f>
        <v/>
      </c>
      <c r="AW282" s="491" t="str">
        <f>IF(AND(COUNTA(P282)=1,COUNTA(AC282)=0),LEFT(D282,3),"")</f>
        <v/>
      </c>
      <c r="AX282" s="493" t="str">
        <f>IF(AND(COUNTA(P282)=0,COUNTA(AC282)=0),LEFT(D282,3),"")</f>
        <v/>
      </c>
      <c r="AY282" s="514" t="str">
        <f>IFERROR(VLOOKUP(功能_33[[#This Row],[功能代號]],SIT_FT_2021tmp!D:D,1,FALSE),"")</f>
        <v>L4031</v>
      </c>
      <c r="AZ282" s="587">
        <v>44550</v>
      </c>
      <c r="BA282" s="587">
        <v>44550</v>
      </c>
      <c r="BB282" s="514" t="s">
        <v>3000</v>
      </c>
      <c r="BC282" s="265" t="s">
        <v>3020</v>
      </c>
      <c r="BD282" s="593"/>
      <c r="BE282" s="264" t="str">
        <f>IF(AND(COUNTIF(AY282,"&gt;&lt;0")=1,COUNTA(M282)=1),LEFT(D282,3),"")</f>
        <v>4-3</v>
      </c>
      <c r="BF282" s="264" t="str">
        <f>IF(AND(COUNTIF(AY282,"&gt;&lt;")=1,COUNTA(M282)=0),LEFT(D282,3),"")</f>
        <v/>
      </c>
      <c r="BG282" s="264" t="str">
        <f>IF(AND(COUNTIF(AY282,"&gt;&lt;0")=0,COUNTA(M282)=1),LEFT(D282,3),"")</f>
        <v/>
      </c>
      <c r="BH282" s="264" t="str">
        <f>IF(AND(COUNTIF(AY282,"&gt;&lt;0")=0,COUNTA(M282)=0),LEFT(D282,3),"")</f>
        <v/>
      </c>
    </row>
    <row r="283" spans="3:60" ht="27" x14ac:dyDescent="0.3">
      <c r="C283" s="265" t="s">
        <v>68</v>
      </c>
      <c r="D283" s="265" t="s">
        <v>796</v>
      </c>
      <c r="E283" s="264" t="s">
        <v>803</v>
      </c>
      <c r="F283" s="265" t="s">
        <v>804</v>
      </c>
      <c r="G283" s="265"/>
      <c r="H283" s="264" t="s">
        <v>166</v>
      </c>
      <c r="I283" s="264" t="s">
        <v>2433</v>
      </c>
      <c r="J283" s="212" t="s">
        <v>2586</v>
      </c>
      <c r="K283" s="212"/>
      <c r="L283" s="272">
        <v>44583</v>
      </c>
      <c r="M283" s="272">
        <v>44575</v>
      </c>
      <c r="N283" s="272">
        <v>44490</v>
      </c>
      <c r="O283" s="272">
        <v>44490</v>
      </c>
      <c r="P283" s="272">
        <v>44533</v>
      </c>
      <c r="Q283" s="264" t="s">
        <v>1</v>
      </c>
      <c r="R283" s="264" t="s">
        <v>145</v>
      </c>
      <c r="S283" s="264" t="s">
        <v>145</v>
      </c>
      <c r="X283" s="264"/>
      <c r="Z283" s="264"/>
      <c r="AA283" s="264"/>
      <c r="AB283" s="265" t="str">
        <f>VLOOKUP(功能_33[[#This Row],[User]],SKL放款!A:G,7,FALSE)</f>
        <v>放款服務課</v>
      </c>
      <c r="AC283" s="272">
        <v>44533</v>
      </c>
      <c r="AD283" s="272" t="s">
        <v>107</v>
      </c>
      <c r="AE283" s="272">
        <v>44531</v>
      </c>
      <c r="AF283" s="272">
        <v>44531</v>
      </c>
      <c r="AG283" s="209">
        <v>44539</v>
      </c>
      <c r="AH283" s="272"/>
      <c r="AI283" s="272"/>
      <c r="AJ283" s="322"/>
      <c r="AK283" s="272">
        <f>IFERROR(IF(VLOOKUP(功能_33[[#This Row],[功能代號]],E:U,11,FALSE)=0,"",VLOOKUP(功能_33[[#This Row],[功能代號]],E:U,11,FALSE)),"")</f>
        <v>44490</v>
      </c>
      <c r="AL283" s="272"/>
      <c r="AM283" s="272"/>
      <c r="AN283" s="265"/>
      <c r="AO283" s="272"/>
      <c r="AP283" s="281" t="s">
        <v>2653</v>
      </c>
      <c r="AQ283" s="206" t="s">
        <v>2654</v>
      </c>
      <c r="AR283" s="593" t="s">
        <v>3207</v>
      </c>
      <c r="AS283" s="483" t="str">
        <f>IF(COUNTA(AG283)=1,LEFT(D283,3),"")</f>
        <v>4-3</v>
      </c>
      <c r="AT283" s="485" t="str">
        <f>IF(AND(COUNTA(O283)=1,COUNTA(P283)=1,COUNTA(AC283)=1,COUNTA(AF283)=1,COUNTA(AG283)=0),LEFT(D283,3),"")</f>
        <v/>
      </c>
      <c r="AU283" s="487" t="str">
        <f>IF(AND(COUNTA(O283)=1,COUNTA(P283)=1,COUNTA(AC283)=1,COUNTA(AF283)=0,COUNTA(AG283)=0),LEFT(D283,3),"")</f>
        <v/>
      </c>
      <c r="AV283" s="489" t="str">
        <f>IF(AND(COUNTA(P283)=0,COUNTA(AC283)=1),LEFT(D283,3),"")</f>
        <v/>
      </c>
      <c r="AW283" s="491" t="str">
        <f>IF(AND(COUNTA(P283)=1,COUNTA(AC283)=0),LEFT(D283,3),"")</f>
        <v/>
      </c>
      <c r="AX283" s="493" t="str">
        <f>IF(AND(COUNTA(P283)=0,COUNTA(AC283)=0),LEFT(D283,3),"")</f>
        <v/>
      </c>
      <c r="AY283" s="514" t="str">
        <f>IFERROR(VLOOKUP(功能_33[[#This Row],[功能代號]],SIT_FT_2021tmp!D:D,1,FALSE),"")</f>
        <v>L4321</v>
      </c>
      <c r="AZ283" s="587">
        <v>44550</v>
      </c>
      <c r="BA283" s="587">
        <v>44550</v>
      </c>
      <c r="BB283" s="514" t="s">
        <v>3000</v>
      </c>
      <c r="BC283" s="265" t="s">
        <v>3020</v>
      </c>
      <c r="BD283" s="593"/>
      <c r="BE283" s="264" t="str">
        <f>IF(AND(COUNTIF(AY283,"&gt;&lt;0")=1,COUNTA(M283)=1),LEFT(D283,3),"")</f>
        <v>4-3</v>
      </c>
      <c r="BF283" s="264" t="str">
        <f>IF(AND(COUNTIF(AY283,"&gt;&lt;")=1,COUNTA(M283)=0),LEFT(D283,3),"")</f>
        <v/>
      </c>
      <c r="BG283" s="264" t="str">
        <f>IF(AND(COUNTIF(AY283,"&gt;&lt;0")=0,COUNTA(M283)=1),LEFT(D283,3),"")</f>
        <v/>
      </c>
      <c r="BH283" s="264" t="str">
        <f>IF(AND(COUNTIF(AY283,"&gt;&lt;0")=0,COUNTA(M283)=0),LEFT(D283,3),"")</f>
        <v/>
      </c>
    </row>
    <row r="284" spans="3:60" ht="13.5" x14ac:dyDescent="0.3">
      <c r="C284" s="265" t="s">
        <v>68</v>
      </c>
      <c r="D284" s="265" t="s">
        <v>796</v>
      </c>
      <c r="E284" s="264" t="s">
        <v>805</v>
      </c>
      <c r="F284" s="265" t="s">
        <v>806</v>
      </c>
      <c r="G284" s="265" t="s">
        <v>807</v>
      </c>
      <c r="H284" s="264" t="s">
        <v>166</v>
      </c>
      <c r="I284" s="264" t="s">
        <v>2433</v>
      </c>
      <c r="J284" s="212" t="s">
        <v>2586</v>
      </c>
      <c r="K284" s="212"/>
      <c r="L284" s="272">
        <v>44582</v>
      </c>
      <c r="M284" s="272">
        <v>44579</v>
      </c>
      <c r="N284" s="272">
        <v>44490</v>
      </c>
      <c r="O284" s="272">
        <v>44490</v>
      </c>
      <c r="P284" s="272">
        <v>44533</v>
      </c>
      <c r="Q284" s="264" t="s">
        <v>1</v>
      </c>
      <c r="R284" s="264" t="s">
        <v>145</v>
      </c>
      <c r="S284" s="264" t="s">
        <v>145</v>
      </c>
      <c r="X284" s="264"/>
      <c r="Z284" s="264"/>
      <c r="AA284" s="264"/>
      <c r="AB284" s="265" t="str">
        <f>VLOOKUP(功能_33[[#This Row],[User]],SKL放款!A:G,7,FALSE)</f>
        <v>放款服務課</v>
      </c>
      <c r="AC284" s="272">
        <v>44533</v>
      </c>
      <c r="AD284" s="272" t="s">
        <v>168</v>
      </c>
      <c r="AE284" s="272">
        <v>44531</v>
      </c>
      <c r="AF284" s="272">
        <v>44531</v>
      </c>
      <c r="AG284" s="209">
        <v>44539</v>
      </c>
      <c r="AH284" s="272"/>
      <c r="AI284" s="272"/>
      <c r="AJ284" s="322"/>
      <c r="AK284" s="272">
        <f>IFERROR(IF(VLOOKUP(功能_33[[#This Row],[功能代號]],E:U,11,FALSE)=0,"",VLOOKUP(功能_33[[#This Row],[功能代號]],E:U,11,FALSE)),"")</f>
        <v>44490</v>
      </c>
      <c r="AL284" s="272"/>
      <c r="AM284" s="272"/>
      <c r="AN284" s="265"/>
      <c r="AO284" s="272"/>
      <c r="AP284" s="264" t="s">
        <v>2603</v>
      </c>
      <c r="AQ284" s="264" t="s">
        <v>163</v>
      </c>
      <c r="AR284" s="593" t="s">
        <v>3207</v>
      </c>
      <c r="AS284" s="483" t="str">
        <f>IF(COUNTA(AG284)=1,LEFT(D284,3),"")</f>
        <v>4-3</v>
      </c>
      <c r="AT284" s="485" t="str">
        <f>IF(AND(COUNTA(O284)=1,COUNTA(P284)=1,COUNTA(AC284)=1,COUNTA(AF284)=1,COUNTA(AG284)=0),LEFT(D284,3),"")</f>
        <v/>
      </c>
      <c r="AU284" s="487" t="str">
        <f>IF(AND(COUNTA(O284)=1,COUNTA(P284)=1,COUNTA(AC284)=1,COUNTA(AF284)=0,COUNTA(AG284)=0),LEFT(D284,3),"")</f>
        <v/>
      </c>
      <c r="AV284" s="489" t="str">
        <f>IF(AND(COUNTA(P284)=0,COUNTA(AC284)=1),LEFT(D284,3),"")</f>
        <v/>
      </c>
      <c r="AW284" s="491" t="str">
        <f>IF(AND(COUNTA(P284)=1,COUNTA(AC284)=0),LEFT(D284,3),"")</f>
        <v/>
      </c>
      <c r="AX284" s="493" t="str">
        <f>IF(AND(COUNTA(P284)=0,COUNTA(AC284)=0),LEFT(D284,3),"")</f>
        <v/>
      </c>
      <c r="AY284" s="514" t="str">
        <f>IFERROR(VLOOKUP(功能_33[[#This Row],[功能代號]],SIT_FT_2021tmp!D:D,1,FALSE),"")</f>
        <v>L4325</v>
      </c>
      <c r="AZ284" s="587">
        <v>44551</v>
      </c>
      <c r="BA284" s="587">
        <v>44551</v>
      </c>
      <c r="BB284" s="514" t="s">
        <v>3000</v>
      </c>
      <c r="BC284" s="265" t="s">
        <v>3054</v>
      </c>
      <c r="BD284" s="593"/>
      <c r="BE284" s="264" t="str">
        <f>IF(AND(COUNTIF(AY284,"&gt;&lt;0")=1,COUNTA(M284)=1),LEFT(D284,3),"")</f>
        <v>4-3</v>
      </c>
      <c r="BF284" s="264" t="str">
        <f>IF(AND(COUNTIF(AY284,"&gt;&lt;")=1,COUNTA(M284)=0),LEFT(D284,3),"")</f>
        <v/>
      </c>
      <c r="BG284" s="264" t="str">
        <f>IF(AND(COUNTIF(AY284,"&gt;&lt;0")=0,COUNTA(M284)=1),LEFT(D284,3),"")</f>
        <v/>
      </c>
      <c r="BH284" s="264" t="str">
        <f>IF(AND(COUNTIF(AY284,"&gt;&lt;0")=0,COUNTA(M284)=0),LEFT(D284,3),"")</f>
        <v/>
      </c>
    </row>
    <row r="285" spans="3:60" ht="13.5" x14ac:dyDescent="0.3">
      <c r="C285" s="265" t="s">
        <v>68</v>
      </c>
      <c r="D285" s="265" t="s">
        <v>796</v>
      </c>
      <c r="E285" s="264" t="s">
        <v>808</v>
      </c>
      <c r="F285" s="265" t="s">
        <v>809</v>
      </c>
      <c r="G285" s="265"/>
      <c r="H285" s="264" t="s">
        <v>166</v>
      </c>
      <c r="I285" s="264" t="s">
        <v>2433</v>
      </c>
      <c r="J285" s="212" t="s">
        <v>2586</v>
      </c>
      <c r="K285" s="212"/>
      <c r="L285" s="272">
        <v>44583</v>
      </c>
      <c r="M285" s="272">
        <v>44575</v>
      </c>
      <c r="N285" s="272">
        <v>44490</v>
      </c>
      <c r="O285" s="272">
        <v>44490</v>
      </c>
      <c r="P285" s="272">
        <v>44533</v>
      </c>
      <c r="Q285" s="264" t="s">
        <v>1</v>
      </c>
      <c r="R285" s="264" t="s">
        <v>145</v>
      </c>
      <c r="S285" s="264" t="s">
        <v>145</v>
      </c>
      <c r="X285" s="264"/>
      <c r="Z285" s="264"/>
      <c r="AA285" s="264"/>
      <c r="AB285" s="265" t="str">
        <f>VLOOKUP(功能_33[[#This Row],[User]],SKL放款!A:G,7,FALSE)</f>
        <v>放款服務課</v>
      </c>
      <c r="AC285" s="272">
        <v>44533</v>
      </c>
      <c r="AD285" s="272" t="s">
        <v>107</v>
      </c>
      <c r="AE285" s="272">
        <v>44531</v>
      </c>
      <c r="AF285" s="272">
        <v>44531</v>
      </c>
      <c r="AG285" s="209">
        <v>44539</v>
      </c>
      <c r="AH285" s="272"/>
      <c r="AI285" s="272"/>
      <c r="AJ285" s="322"/>
      <c r="AK285" s="272">
        <f>IFERROR(IF(VLOOKUP(功能_33[[#This Row],[功能代號]],E:U,11,FALSE)=0,"",VLOOKUP(功能_33[[#This Row],[功能代號]],E:U,11,FALSE)),"")</f>
        <v>44490</v>
      </c>
      <c r="AL285" s="272"/>
      <c r="AM285" s="272"/>
      <c r="AN285" s="265"/>
      <c r="AO285" s="272"/>
      <c r="AP285" s="264" t="s">
        <v>2603</v>
      </c>
      <c r="AQ285" s="264" t="s">
        <v>163</v>
      </c>
      <c r="AR285" s="593" t="s">
        <v>3207</v>
      </c>
      <c r="AS285" s="483" t="str">
        <f>IF(COUNTA(AG285)=1,LEFT(D285,3),"")</f>
        <v>4-3</v>
      </c>
      <c r="AT285" s="485" t="str">
        <f>IF(AND(COUNTA(O285)=1,COUNTA(P285)=1,COUNTA(AC285)=1,COUNTA(AF285)=1,COUNTA(AG285)=0),LEFT(D285,3),"")</f>
        <v/>
      </c>
      <c r="AU285" s="487" t="str">
        <f>IF(AND(COUNTA(O285)=1,COUNTA(P285)=1,COUNTA(AC285)=1,COUNTA(AF285)=0,COUNTA(AG285)=0),LEFT(D285,3),"")</f>
        <v/>
      </c>
      <c r="AV285" s="489" t="str">
        <f>IF(AND(COUNTA(P285)=0,COUNTA(AC285)=1),LEFT(D285,3),"")</f>
        <v/>
      </c>
      <c r="AW285" s="491" t="str">
        <f>IF(AND(COUNTA(P285)=1,COUNTA(AC285)=0),LEFT(D285,3),"")</f>
        <v/>
      </c>
      <c r="AX285" s="493" t="str">
        <f>IF(AND(COUNTA(P285)=0,COUNTA(AC285)=0),LEFT(D285,3),"")</f>
        <v/>
      </c>
      <c r="AY285" s="514" t="str">
        <f>IFERROR(VLOOKUP(功能_33[[#This Row],[功能代號]],SIT_FT_2021tmp!D:D,1,FALSE),"")</f>
        <v>L4931</v>
      </c>
      <c r="AZ285" s="587">
        <v>44550</v>
      </c>
      <c r="BA285" s="587">
        <v>44550</v>
      </c>
      <c r="BB285" s="514" t="s">
        <v>3000</v>
      </c>
      <c r="BC285" s="265" t="s">
        <v>3020</v>
      </c>
      <c r="BD285" s="593"/>
      <c r="BE285" s="264" t="str">
        <f>IF(AND(COUNTIF(AY285,"&gt;&lt;0")=1,COUNTA(M285)=1),LEFT(D285,3),"")</f>
        <v>4-3</v>
      </c>
      <c r="BF285" s="264" t="str">
        <f>IF(AND(COUNTIF(AY285,"&gt;&lt;")=1,COUNTA(M285)=0),LEFT(D285,3),"")</f>
        <v/>
      </c>
      <c r="BG285" s="264" t="str">
        <f>IF(AND(COUNTIF(AY285,"&gt;&lt;0")=0,COUNTA(M285)=1),LEFT(D285,3),"")</f>
        <v/>
      </c>
      <c r="BH285" s="264" t="str">
        <f>IF(AND(COUNTIF(AY285,"&gt;&lt;0")=0,COUNTA(M285)=0),LEFT(D285,3),"")</f>
        <v/>
      </c>
    </row>
    <row r="286" spans="3:60" ht="27" x14ac:dyDescent="0.3">
      <c r="C286" s="265" t="s">
        <v>68</v>
      </c>
      <c r="D286" s="265" t="s">
        <v>796</v>
      </c>
      <c r="E286" s="264" t="s">
        <v>810</v>
      </c>
      <c r="F286" s="265" t="s">
        <v>811</v>
      </c>
      <c r="G286" s="265"/>
      <c r="H286" s="264" t="s">
        <v>166</v>
      </c>
      <c r="I286" s="264" t="s">
        <v>2433</v>
      </c>
      <c r="J286" s="212" t="s">
        <v>2586</v>
      </c>
      <c r="K286" s="212"/>
      <c r="L286" s="272">
        <v>44583</v>
      </c>
      <c r="M286" s="272">
        <v>44575</v>
      </c>
      <c r="N286" s="272">
        <v>44490</v>
      </c>
      <c r="O286" s="272">
        <v>44490</v>
      </c>
      <c r="P286" s="272">
        <v>44533</v>
      </c>
      <c r="Q286" s="264" t="s">
        <v>1</v>
      </c>
      <c r="R286" s="264" t="s">
        <v>145</v>
      </c>
      <c r="S286" s="264" t="s">
        <v>145</v>
      </c>
      <c r="X286" s="264"/>
      <c r="Z286" s="264"/>
      <c r="AA286" s="264"/>
      <c r="AB286" s="265" t="str">
        <f>VLOOKUP(功能_33[[#This Row],[User]],SKL放款!A:G,7,FALSE)</f>
        <v>放款服務課</v>
      </c>
      <c r="AC286" s="272">
        <v>44533</v>
      </c>
      <c r="AD286" s="272" t="s">
        <v>168</v>
      </c>
      <c r="AE286" s="272">
        <v>44531</v>
      </c>
      <c r="AF286" s="272">
        <v>44531</v>
      </c>
      <c r="AG286" s="209">
        <v>44539</v>
      </c>
      <c r="AH286" s="272"/>
      <c r="AI286" s="272"/>
      <c r="AJ286" s="322"/>
      <c r="AK286" s="272">
        <f>IFERROR(IF(VLOOKUP(功能_33[[#This Row],[功能代號]],E:U,11,FALSE)=0,"",VLOOKUP(功能_33[[#This Row],[功能代號]],E:U,11,FALSE)),"")</f>
        <v>44490</v>
      </c>
      <c r="AL286" s="272"/>
      <c r="AM286" s="272"/>
      <c r="AN286" s="265"/>
      <c r="AO286" s="272"/>
      <c r="AP286" s="281" t="s">
        <v>2655</v>
      </c>
      <c r="AQ286" s="265" t="s">
        <v>2656</v>
      </c>
      <c r="AR286" s="593" t="s">
        <v>3207</v>
      </c>
      <c r="AS286" s="483" t="str">
        <f>IF(COUNTA(AG286)=1,LEFT(D286,3),"")</f>
        <v>4-3</v>
      </c>
      <c r="AT286" s="485" t="str">
        <f>IF(AND(COUNTA(O286)=1,COUNTA(P286)=1,COUNTA(AC286)=1,COUNTA(AF286)=1,COUNTA(AG286)=0),LEFT(D286,3),"")</f>
        <v/>
      </c>
      <c r="AU286" s="487" t="str">
        <f>IF(AND(COUNTA(O286)=1,COUNTA(P286)=1,COUNTA(AC286)=1,COUNTA(AF286)=0,COUNTA(AG286)=0),LEFT(D286,3),"")</f>
        <v/>
      </c>
      <c r="AV286" s="489" t="str">
        <f>IF(AND(COUNTA(P286)=0,COUNTA(AC286)=1),LEFT(D286,3),"")</f>
        <v/>
      </c>
      <c r="AW286" s="491" t="str">
        <f>IF(AND(COUNTA(P286)=1,COUNTA(AC286)=0),LEFT(D286,3),"")</f>
        <v/>
      </c>
      <c r="AX286" s="493" t="str">
        <f>IF(AND(COUNTA(P286)=0,COUNTA(AC286)=0),LEFT(D286,3),"")</f>
        <v/>
      </c>
      <c r="AY286" s="514" t="str">
        <f>IFERROR(VLOOKUP(功能_33[[#This Row],[功能代號]],SIT_FT_2021tmp!D:D,1,FALSE),"")</f>
        <v>L4721</v>
      </c>
      <c r="AZ286" s="587">
        <v>44550</v>
      </c>
      <c r="BA286" s="587">
        <v>44550</v>
      </c>
      <c r="BB286" s="514" t="s">
        <v>3000</v>
      </c>
      <c r="BC286" s="265" t="s">
        <v>3020</v>
      </c>
      <c r="BD286" s="593"/>
      <c r="BE286" s="264" t="str">
        <f>IF(AND(COUNTIF(AY286,"&gt;&lt;0")=1,COUNTA(M286)=1),LEFT(D286,3),"")</f>
        <v>4-3</v>
      </c>
      <c r="BF286" s="264" t="str">
        <f>IF(AND(COUNTIF(AY286,"&gt;&lt;")=1,COUNTA(M286)=0),LEFT(D286,3),"")</f>
        <v/>
      </c>
      <c r="BG286" s="264" t="str">
        <f>IF(AND(COUNTIF(AY286,"&gt;&lt;0")=0,COUNTA(M286)=1),LEFT(D286,3),"")</f>
        <v/>
      </c>
      <c r="BH286" s="264" t="str">
        <f>IF(AND(COUNTIF(AY286,"&gt;&lt;0")=0,COUNTA(M286)=0),LEFT(D286,3),"")</f>
        <v/>
      </c>
    </row>
    <row r="287" spans="3:60" ht="13.5" x14ac:dyDescent="0.3">
      <c r="C287" s="265" t="s">
        <v>68</v>
      </c>
      <c r="D287" s="265" t="s">
        <v>796</v>
      </c>
      <c r="E287" s="264" t="s">
        <v>812</v>
      </c>
      <c r="F287" s="265" t="s">
        <v>813</v>
      </c>
      <c r="G287" s="265"/>
      <c r="H287" s="264" t="s">
        <v>166</v>
      </c>
      <c r="I287" s="264" t="s">
        <v>2433</v>
      </c>
      <c r="J287" s="212" t="s">
        <v>2860</v>
      </c>
      <c r="K287" s="212"/>
      <c r="L287" s="272">
        <v>44583</v>
      </c>
      <c r="M287" s="272">
        <v>44575</v>
      </c>
      <c r="N287" s="272">
        <v>44490</v>
      </c>
      <c r="O287" s="272">
        <v>44490</v>
      </c>
      <c r="P287" s="272">
        <v>44533</v>
      </c>
      <c r="Q287" s="264" t="s">
        <v>1</v>
      </c>
      <c r="R287" s="264" t="s">
        <v>5</v>
      </c>
      <c r="S287" s="264" t="s">
        <v>5</v>
      </c>
      <c r="X287" s="264"/>
      <c r="Z287" s="264"/>
      <c r="AA287" s="264"/>
      <c r="AB287" s="265" t="str">
        <f>VLOOKUP(功能_33[[#This Row],[User]],SKL放款!A:G,7,FALSE)</f>
        <v>放款服務課</v>
      </c>
      <c r="AC287" s="272">
        <v>44533</v>
      </c>
      <c r="AD287" s="272" t="s">
        <v>107</v>
      </c>
      <c r="AE287" s="272">
        <v>44531</v>
      </c>
      <c r="AF287" s="272">
        <v>44531</v>
      </c>
      <c r="AG287" s="209">
        <v>44550</v>
      </c>
      <c r="AH287" s="272"/>
      <c r="AI287" s="272"/>
      <c r="AJ287" s="322"/>
      <c r="AK287" s="272">
        <f>IFERROR(IF(VLOOKUP(功能_33[[#This Row],[功能代號]],E:U,11,FALSE)=0,"",VLOOKUP(功能_33[[#This Row],[功能代號]],E:U,11,FALSE)),"")</f>
        <v>44490</v>
      </c>
      <c r="AL287" s="272"/>
      <c r="AM287" s="272"/>
      <c r="AN287" s="265"/>
      <c r="AO287" s="272"/>
      <c r="AP287" s="264" t="s">
        <v>2603</v>
      </c>
      <c r="AQ287" s="264" t="s">
        <v>163</v>
      </c>
      <c r="AR287" s="593" t="s">
        <v>3207</v>
      </c>
      <c r="AS287" s="483" t="str">
        <f>IF(COUNTA(AG287)=1,LEFT(D287,3),"")</f>
        <v>4-3</v>
      </c>
      <c r="AT287" s="485" t="str">
        <f>IF(AND(COUNTA(O287)=1,COUNTA(P287)=1,COUNTA(AC287)=1,COUNTA(AF287)=1,COUNTA(AG287)=0),LEFT(D287,3),"")</f>
        <v/>
      </c>
      <c r="AU287" s="487" t="str">
        <f>IF(AND(COUNTA(O287)=1,COUNTA(P287)=1,COUNTA(AC287)=1,COUNTA(AF287)=0,COUNTA(AG287)=0),LEFT(D287,3),"")</f>
        <v/>
      </c>
      <c r="AV287" s="489" t="str">
        <f>IF(AND(COUNTA(P287)=0,COUNTA(AC287)=1),LEFT(D287,3),"")</f>
        <v/>
      </c>
      <c r="AW287" s="491" t="str">
        <f>IF(AND(COUNTA(P287)=1,COUNTA(AC287)=0),LEFT(D287,3),"")</f>
        <v/>
      </c>
      <c r="AX287" s="493" t="str">
        <f>IF(AND(COUNTA(P287)=0,COUNTA(AC287)=0),LEFT(D287,3),"")</f>
        <v/>
      </c>
      <c r="AY287" s="514" t="str">
        <f>IFERROR(VLOOKUP(功能_33[[#This Row],[功能代號]],SIT_FT_2021tmp!D:D,1,FALSE),"")</f>
        <v>L4030</v>
      </c>
      <c r="AZ287" s="587">
        <v>44545</v>
      </c>
      <c r="BA287" s="587">
        <v>44545</v>
      </c>
      <c r="BB287" s="514" t="s">
        <v>3000</v>
      </c>
      <c r="BC287" s="265" t="s">
        <v>3021</v>
      </c>
      <c r="BD287" s="593"/>
      <c r="BE287" s="264" t="str">
        <f>IF(AND(COUNTIF(AY287,"&gt;&lt;0")=1,COUNTA(M287)=1),LEFT(D287,3),"")</f>
        <v>4-3</v>
      </c>
      <c r="BF287" s="264" t="str">
        <f>IF(AND(COUNTIF(AY287,"&gt;&lt;")=1,COUNTA(M287)=0),LEFT(D287,3),"")</f>
        <v/>
      </c>
      <c r="BG287" s="264" t="str">
        <f>IF(AND(COUNTIF(AY287,"&gt;&lt;0")=0,COUNTA(M287)=1),LEFT(D287,3),"")</f>
        <v/>
      </c>
      <c r="BH287" s="264" t="str">
        <f>IF(AND(COUNTIF(AY287,"&gt;&lt;0")=0,COUNTA(M287)=0),LEFT(D287,3),"")</f>
        <v/>
      </c>
    </row>
    <row r="288" spans="3:60" ht="13.5" x14ac:dyDescent="0.3">
      <c r="C288" s="265" t="s">
        <v>70</v>
      </c>
      <c r="D288" s="265" t="s">
        <v>2465</v>
      </c>
      <c r="E288" s="264" t="s">
        <v>569</v>
      </c>
      <c r="F288" s="265" t="s">
        <v>570</v>
      </c>
      <c r="G288" s="265"/>
      <c r="H288" s="264" t="s">
        <v>166</v>
      </c>
      <c r="I288" s="264" t="s">
        <v>287</v>
      </c>
      <c r="J288" s="212" t="s">
        <v>2853</v>
      </c>
      <c r="K288" s="212"/>
      <c r="L288" s="272">
        <v>44565</v>
      </c>
      <c r="M288" s="272">
        <v>44565</v>
      </c>
      <c r="N288" s="272">
        <v>44516</v>
      </c>
      <c r="O288" s="272">
        <v>44467</v>
      </c>
      <c r="P288" s="272">
        <v>44467</v>
      </c>
      <c r="Q288" s="264" t="s">
        <v>2</v>
      </c>
      <c r="R288" s="264" t="s">
        <v>145</v>
      </c>
      <c r="S288" s="264" t="s">
        <v>145</v>
      </c>
      <c r="X288" s="264"/>
      <c r="Z288" s="264"/>
      <c r="AA288" s="264"/>
      <c r="AB288" s="265" t="str">
        <f>VLOOKUP(功能_33[[#This Row],[User]],SKL放款!A:G,7,FALSE)</f>
        <v>放款服務課</v>
      </c>
      <c r="AC288" s="272">
        <v>44533</v>
      </c>
      <c r="AD288" s="272" t="s">
        <v>168</v>
      </c>
      <c r="AE288" s="272">
        <v>44529</v>
      </c>
      <c r="AF288" s="272">
        <v>44529</v>
      </c>
      <c r="AG288" s="209">
        <v>44550</v>
      </c>
      <c r="AH288" s="272"/>
      <c r="AI288" s="272"/>
      <c r="AJ288" s="322"/>
      <c r="AK288" s="272">
        <f>IFERROR(IF(VLOOKUP(功能_33[[#This Row],[功能代號]],E:U,11,FALSE)=0,"",VLOOKUP(功能_33[[#This Row],[功能代號]],E:U,11,FALSE)),"")</f>
        <v>44467</v>
      </c>
      <c r="AL288" s="272"/>
      <c r="AM288" s="272"/>
      <c r="AN288" s="265"/>
      <c r="AO288" s="272"/>
      <c r="AP288" s="276" t="s">
        <v>571</v>
      </c>
      <c r="AQ288" s="277" t="s">
        <v>572</v>
      </c>
      <c r="AR288" s="593" t="s">
        <v>3207</v>
      </c>
      <c r="AS288" s="483" t="str">
        <f>IF(COUNTA(AG288)=1,LEFT(D288,3),"")</f>
        <v>6-6</v>
      </c>
      <c r="AT288" s="485" t="str">
        <f>IF(AND(COUNTA(O288)=1,COUNTA(P288)=1,COUNTA(AC288)=1,COUNTA(AF288)=1,COUNTA(AG288)=0),LEFT(D288,3),"")</f>
        <v/>
      </c>
      <c r="AU288" s="487" t="str">
        <f>IF(AND(COUNTA(O288)=1,COUNTA(P288)=1,COUNTA(AC288)=1,COUNTA(AF288)=0,COUNTA(AG288)=0),LEFT(D288,3),"")</f>
        <v/>
      </c>
      <c r="AV288" s="489" t="str">
        <f>IF(AND(COUNTA(P288)=0,COUNTA(AC288)=1),LEFT(D288,3),"")</f>
        <v/>
      </c>
      <c r="AW288" s="491" t="str">
        <f>IF(AND(COUNTA(P288)=1,COUNTA(AC288)=0),LEFT(D288,3),"")</f>
        <v/>
      </c>
      <c r="AX288" s="493" t="str">
        <f>IF(AND(COUNTA(P288)=0,COUNTA(AC288)=0),LEFT(D288,3),"")</f>
        <v/>
      </c>
      <c r="AY288" s="514" t="str">
        <f>IFERROR(VLOOKUP(功能_33[[#This Row],[功能代號]],SIT_FT_2021tmp!D:D,1,FALSE),"")</f>
        <v>L6066</v>
      </c>
      <c r="AZ288" s="587">
        <v>44512</v>
      </c>
      <c r="BA288" s="587">
        <v>44512</v>
      </c>
      <c r="BB288" s="514" t="s">
        <v>3000</v>
      </c>
      <c r="BC288" s="265" t="s">
        <v>3055</v>
      </c>
      <c r="BD288" s="593"/>
      <c r="BE288" s="264" t="str">
        <f>IF(AND(COUNTIF(AY288,"&gt;&lt;0")=1,COUNTA(M288)=1),LEFT(D288,3),"")</f>
        <v>6-6</v>
      </c>
      <c r="BF288" s="264" t="str">
        <f>IF(AND(COUNTIF(AY288,"&gt;&lt;")=1,COUNTA(M288)=0),LEFT(D288,3),"")</f>
        <v/>
      </c>
      <c r="BG288" s="264" t="str">
        <f>IF(AND(COUNTIF(AY288,"&gt;&lt;0")=0,COUNTA(M288)=1),LEFT(D288,3),"")</f>
        <v/>
      </c>
      <c r="BH288" s="264" t="str">
        <f>IF(AND(COUNTIF(AY288,"&gt;&lt;0")=0,COUNTA(M288)=0),LEFT(D288,3),"")</f>
        <v/>
      </c>
    </row>
    <row r="289" spans="1:60" ht="13.5" x14ac:dyDescent="0.3">
      <c r="C289" s="265" t="s">
        <v>70</v>
      </c>
      <c r="D289" s="265" t="s">
        <v>2465</v>
      </c>
      <c r="E289" s="264" t="s">
        <v>544</v>
      </c>
      <c r="F289" s="265" t="s">
        <v>545</v>
      </c>
      <c r="G289" s="265"/>
      <c r="H289" s="264" t="s">
        <v>166</v>
      </c>
      <c r="I289" s="264" t="s">
        <v>287</v>
      </c>
      <c r="J289" s="212" t="s">
        <v>2853</v>
      </c>
      <c r="K289" s="212"/>
      <c r="L289" s="272">
        <v>44566</v>
      </c>
      <c r="M289" s="272">
        <v>44566</v>
      </c>
      <c r="N289" s="272">
        <v>44516</v>
      </c>
      <c r="O289" s="272">
        <v>44467</v>
      </c>
      <c r="P289" s="272">
        <v>44467</v>
      </c>
      <c r="Q289" s="264" t="s">
        <v>2</v>
      </c>
      <c r="R289" s="264" t="s">
        <v>539</v>
      </c>
      <c r="S289" s="264" t="s">
        <v>539</v>
      </c>
      <c r="X289" s="264"/>
      <c r="Z289" s="264"/>
      <c r="AA289" s="264"/>
      <c r="AB289" s="265" t="str">
        <f>VLOOKUP(功能_33[[#This Row],[User]],SKL放款!A:G,7,FALSE)</f>
        <v>放款審查課</v>
      </c>
      <c r="AC289" s="272">
        <v>44533</v>
      </c>
      <c r="AD289" s="272" t="s">
        <v>168</v>
      </c>
      <c r="AE289" s="272">
        <v>44467</v>
      </c>
      <c r="AF289" s="272">
        <v>44467</v>
      </c>
      <c r="AG289" s="209">
        <v>44550</v>
      </c>
      <c r="AH289" s="272"/>
      <c r="AI289" s="272"/>
      <c r="AJ289" s="322"/>
      <c r="AK289" s="272">
        <f>IFERROR(IF(VLOOKUP(功能_33[[#This Row],[功能代號]],E:U,11,FALSE)=0,"",VLOOKUP(功能_33[[#This Row],[功能代號]],E:U,11,FALSE)),"")</f>
        <v>44467</v>
      </c>
      <c r="AL289" s="272"/>
      <c r="AM289" s="272"/>
      <c r="AN289" s="265"/>
      <c r="AO289" s="272"/>
      <c r="AP289" s="276" t="s">
        <v>546</v>
      </c>
      <c r="AQ289" s="277" t="s">
        <v>547</v>
      </c>
      <c r="AR289" s="593" t="s">
        <v>3207</v>
      </c>
      <c r="AS289" s="483" t="str">
        <f>IF(COUNTA(AG289)=1,LEFT(D289,3),"")</f>
        <v>6-6</v>
      </c>
      <c r="AT289" s="485" t="str">
        <f>IF(AND(COUNTA(O289)=1,COUNTA(P289)=1,COUNTA(AC289)=1,COUNTA(AF289)=1,COUNTA(AG289)=0),LEFT(D289,3),"")</f>
        <v/>
      </c>
      <c r="AU289" s="487" t="str">
        <f>IF(AND(COUNTA(O289)=1,COUNTA(P289)=1,COUNTA(AC289)=1,COUNTA(AF289)=0,COUNTA(AG289)=0),LEFT(D289,3),"")</f>
        <v/>
      </c>
      <c r="AV289" s="489" t="str">
        <f>IF(AND(COUNTA(P289)=0,COUNTA(AC289)=1),LEFT(D289,3),"")</f>
        <v/>
      </c>
      <c r="AW289" s="491" t="str">
        <f>IF(AND(COUNTA(P289)=1,COUNTA(AC289)=0),LEFT(D289,3),"")</f>
        <v/>
      </c>
      <c r="AX289" s="493" t="str">
        <f>IF(AND(COUNTA(P289)=0,COUNTA(AC289)=0),LEFT(D289,3),"")</f>
        <v/>
      </c>
      <c r="AY289" s="514" t="str">
        <f>IFERROR(VLOOKUP(功能_33[[#This Row],[功能代號]],SIT_FT_2021tmp!D:D,1,FALSE),"")</f>
        <v>L6067</v>
      </c>
      <c r="AZ289" s="587">
        <v>44517</v>
      </c>
      <c r="BA289" s="587">
        <v>44517</v>
      </c>
      <c r="BB289" s="514" t="s">
        <v>3000</v>
      </c>
      <c r="BC289" s="265" t="s">
        <v>3056</v>
      </c>
      <c r="BD289" s="593"/>
      <c r="BE289" s="264" t="str">
        <f>IF(AND(COUNTIF(AY289,"&gt;&lt;0")=1,COUNTA(M289)=1),LEFT(D289,3),"")</f>
        <v>6-6</v>
      </c>
      <c r="BF289" s="264" t="str">
        <f>IF(AND(COUNTIF(AY289,"&gt;&lt;")=1,COUNTA(M289)=0),LEFT(D289,3),"")</f>
        <v/>
      </c>
      <c r="BG289" s="264" t="str">
        <f>IF(AND(COUNTIF(AY289,"&gt;&lt;0")=0,COUNTA(M289)=1),LEFT(D289,3),"")</f>
        <v/>
      </c>
      <c r="BH289" s="264" t="str">
        <f>IF(AND(COUNTIF(AY289,"&gt;&lt;0")=0,COUNTA(M289)=0),LEFT(D289,3),"")</f>
        <v/>
      </c>
    </row>
    <row r="290" spans="1:60" ht="13.5" x14ac:dyDescent="0.3">
      <c r="C290" s="265" t="s">
        <v>70</v>
      </c>
      <c r="D290" s="407" t="s">
        <v>2465</v>
      </c>
      <c r="E290" s="264" t="s">
        <v>1078</v>
      </c>
      <c r="F290" s="251" t="s">
        <v>1079</v>
      </c>
      <c r="G290" s="265"/>
      <c r="H290" s="264" t="s">
        <v>166</v>
      </c>
      <c r="I290" s="264" t="s">
        <v>287</v>
      </c>
      <c r="J290" s="212" t="s">
        <v>2853</v>
      </c>
      <c r="K290" s="212"/>
      <c r="L290" s="272">
        <v>44566</v>
      </c>
      <c r="M290" s="272">
        <v>44566</v>
      </c>
      <c r="N290" s="272">
        <v>44529</v>
      </c>
      <c r="O290" s="272">
        <v>44533</v>
      </c>
      <c r="P290" s="272">
        <v>44537</v>
      </c>
      <c r="Q290" s="264" t="s">
        <v>6</v>
      </c>
      <c r="R290" s="264" t="s">
        <v>5</v>
      </c>
      <c r="S290" s="264" t="s">
        <v>5</v>
      </c>
      <c r="X290" s="264"/>
      <c r="Z290" s="264"/>
      <c r="AA290" s="264"/>
      <c r="AB290" s="265" t="str">
        <f>VLOOKUP(功能_33[[#This Row],[User]],SKL放款!A:G,7,FALSE)</f>
        <v>放款服務課</v>
      </c>
      <c r="AC290" s="272">
        <v>44533</v>
      </c>
      <c r="AD290" s="272" t="s">
        <v>2557</v>
      </c>
      <c r="AE290" s="272"/>
      <c r="AF290" s="272">
        <v>44533</v>
      </c>
      <c r="AG290" s="209">
        <v>44550</v>
      </c>
      <c r="AH290" s="272"/>
      <c r="AI290" s="272"/>
      <c r="AJ290" s="322"/>
      <c r="AK290" s="272">
        <f>IFERROR(IF(VLOOKUP(功能_33[[#This Row],[功能代號]],E:U,11,FALSE)=0,"",VLOOKUP(功能_33[[#This Row],[功能代號]],E:U,11,FALSE)),"")</f>
        <v>44533</v>
      </c>
      <c r="AL290" s="272"/>
      <c r="AM290" s="272"/>
      <c r="AN290" s="265"/>
      <c r="AO290" s="272"/>
      <c r="AP290" s="264" t="s">
        <v>163</v>
      </c>
      <c r="AQ290" s="264" t="s">
        <v>163</v>
      </c>
      <c r="AR290" s="593" t="s">
        <v>3207</v>
      </c>
      <c r="AS290" s="483" t="str">
        <f>IF(COUNTA(AG290)=1,LEFT(D290,3),"")</f>
        <v>6-6</v>
      </c>
      <c r="AT290" s="485" t="str">
        <f>IF(AND(COUNTA(O290)=1,COUNTA(P290)=1,COUNTA(AC290)=1,COUNTA(AF290)=1,COUNTA(AG290)=0),LEFT(D290,3),"")</f>
        <v/>
      </c>
      <c r="AU290" s="487" t="str">
        <f>IF(AND(COUNTA(O290)=1,COUNTA(P290)=1,COUNTA(AC290)=1,COUNTA(AF290)=0,COUNTA(AG290)=0),LEFT(D290,3),"")</f>
        <v/>
      </c>
      <c r="AV290" s="489" t="str">
        <f>IF(AND(COUNTA(P290)=0,COUNTA(AC290)=1),LEFT(D290,3),"")</f>
        <v/>
      </c>
      <c r="AW290" s="491" t="str">
        <f>IF(AND(COUNTA(P290)=1,COUNTA(AC290)=0),LEFT(D290,3),"")</f>
        <v/>
      </c>
      <c r="AX290" s="493" t="str">
        <f>IF(AND(COUNTA(P290)=0,COUNTA(AC290)=0),LEFT(D290,3),"")</f>
        <v/>
      </c>
      <c r="AY290" s="514" t="str">
        <f>IFERROR(VLOOKUP(功能_33[[#This Row],[功能代號]],SIT_FT_2021tmp!D:D,1,FALSE),"")</f>
        <v>L6068</v>
      </c>
      <c r="AZ290" s="587">
        <v>44512</v>
      </c>
      <c r="BA290" s="587">
        <v>44512</v>
      </c>
      <c r="BB290" s="514" t="s">
        <v>3000</v>
      </c>
      <c r="BC290" s="265" t="s">
        <v>3049</v>
      </c>
      <c r="BD290" s="593"/>
      <c r="BE290" s="264" t="str">
        <f>IF(AND(COUNTIF(AY290,"&gt;&lt;0")=1,COUNTA(M290)=1),LEFT(D290,3),"")</f>
        <v>6-6</v>
      </c>
      <c r="BF290" s="264" t="str">
        <f>IF(AND(COUNTIF(AY290,"&gt;&lt;")=1,COUNTA(M290)=0),LEFT(D290,3),"")</f>
        <v/>
      </c>
      <c r="BG290" s="264" t="str">
        <f>IF(AND(COUNTIF(AY290,"&gt;&lt;0")=0,COUNTA(M290)=1),LEFT(D290,3),"")</f>
        <v/>
      </c>
      <c r="BH290" s="264" t="str">
        <f>IF(AND(COUNTIF(AY290,"&gt;&lt;0")=0,COUNTA(M290)=0),LEFT(D290,3),"")</f>
        <v/>
      </c>
    </row>
    <row r="291" spans="1:60" ht="13.5" x14ac:dyDescent="0.3">
      <c r="C291" s="265" t="s">
        <v>70</v>
      </c>
      <c r="D291" s="265" t="s">
        <v>2465</v>
      </c>
      <c r="E291" s="264" t="s">
        <v>526</v>
      </c>
      <c r="F291" s="265" t="s">
        <v>527</v>
      </c>
      <c r="G291" s="265"/>
      <c r="H291" s="264" t="s">
        <v>166</v>
      </c>
      <c r="I291" s="264" t="s">
        <v>287</v>
      </c>
      <c r="J291" s="212" t="s">
        <v>2853</v>
      </c>
      <c r="K291" s="212"/>
      <c r="L291" s="272">
        <v>44565</v>
      </c>
      <c r="M291" s="272">
        <v>44565</v>
      </c>
      <c r="N291" s="272">
        <v>44515</v>
      </c>
      <c r="O291" s="272">
        <v>44466</v>
      </c>
      <c r="P291" s="272">
        <v>44466</v>
      </c>
      <c r="Q291" s="264" t="s">
        <v>6</v>
      </c>
      <c r="R291" s="264" t="s">
        <v>5</v>
      </c>
      <c r="S291" s="264" t="s">
        <v>5</v>
      </c>
      <c r="X291" s="264"/>
      <c r="Z291" s="264"/>
      <c r="AA291" s="264"/>
      <c r="AB291" s="265" t="str">
        <f>VLOOKUP(功能_33[[#This Row],[User]],SKL放款!A:G,7,FALSE)</f>
        <v>放款服務課</v>
      </c>
      <c r="AC291" s="272">
        <v>44533</v>
      </c>
      <c r="AD291" s="272" t="s">
        <v>168</v>
      </c>
      <c r="AE291" s="272">
        <v>44529</v>
      </c>
      <c r="AF291" s="272">
        <v>44529</v>
      </c>
      <c r="AG291" s="209">
        <v>44550</v>
      </c>
      <c r="AH291" s="272"/>
      <c r="AI291" s="272"/>
      <c r="AJ291" s="322"/>
      <c r="AK291" s="272">
        <f>IFERROR(IF(VLOOKUP(功能_33[[#This Row],[功能代號]],E:U,11,FALSE)=0,"",VLOOKUP(功能_33[[#This Row],[功能代號]],E:U,11,FALSE)),"")</f>
        <v>44466</v>
      </c>
      <c r="AL291" s="272"/>
      <c r="AM291" s="272"/>
      <c r="AN291" s="265"/>
      <c r="AO291" s="272"/>
      <c r="AP291" s="276" t="s">
        <v>524</v>
      </c>
      <c r="AQ291" s="277" t="s">
        <v>525</v>
      </c>
      <c r="AR291" s="593" t="s">
        <v>3207</v>
      </c>
      <c r="AS291" s="483" t="str">
        <f>IF(COUNTA(AG291)=1,LEFT(D291,3),"")</f>
        <v>6-6</v>
      </c>
      <c r="AT291" s="485" t="str">
        <f>IF(AND(COUNTA(O291)=1,COUNTA(P291)=1,COUNTA(AC291)=1,COUNTA(AF291)=1,COUNTA(AG291)=0),LEFT(D291,3),"")</f>
        <v/>
      </c>
      <c r="AU291" s="487" t="str">
        <f>IF(AND(COUNTA(O291)=1,COUNTA(P291)=1,COUNTA(AC291)=1,COUNTA(AF291)=0,COUNTA(AG291)=0),LEFT(D291,3),"")</f>
        <v/>
      </c>
      <c r="AV291" s="489" t="str">
        <f>IF(AND(COUNTA(P291)=0,COUNTA(AC291)=1),LEFT(D291,3),"")</f>
        <v/>
      </c>
      <c r="AW291" s="491" t="str">
        <f>IF(AND(COUNTA(P291)=1,COUNTA(AC291)=0),LEFT(D291,3),"")</f>
        <v/>
      </c>
      <c r="AX291" s="493" t="str">
        <f>IF(AND(COUNTA(P291)=0,COUNTA(AC291)=0),LEFT(D291,3),"")</f>
        <v/>
      </c>
      <c r="AY291" s="514" t="str">
        <f>IFERROR(VLOOKUP(功能_33[[#This Row],[功能代號]],SIT_FT_2021tmp!D:D,1,FALSE),"")</f>
        <v>L6601</v>
      </c>
      <c r="AZ291" s="587">
        <v>44512</v>
      </c>
      <c r="BA291" s="587">
        <v>44512</v>
      </c>
      <c r="BB291" s="514" t="s">
        <v>3073</v>
      </c>
      <c r="BC291" s="265" t="s">
        <v>3014</v>
      </c>
      <c r="BD291" s="593"/>
      <c r="BE291" s="264" t="str">
        <f>IF(AND(COUNTIF(AY291,"&gt;&lt;0")=1,COUNTA(M291)=1),LEFT(D291,3),"")</f>
        <v>6-6</v>
      </c>
      <c r="BF291" s="264" t="str">
        <f>IF(AND(COUNTIF(AY291,"&gt;&lt;")=1,COUNTA(M291)=0),LEFT(D291,3),"")</f>
        <v/>
      </c>
      <c r="BG291" s="264" t="str">
        <f>IF(AND(COUNTIF(AY291,"&gt;&lt;0")=0,COUNTA(M291)=1),LEFT(D291,3),"")</f>
        <v/>
      </c>
      <c r="BH291" s="264" t="str">
        <f>IF(AND(COUNTIF(AY291,"&gt;&lt;0")=0,COUNTA(M291)=0),LEFT(D291,3),"")</f>
        <v/>
      </c>
    </row>
    <row r="292" spans="1:60" ht="13.5" x14ac:dyDescent="0.3">
      <c r="C292" s="265" t="s">
        <v>66</v>
      </c>
      <c r="D292" s="265" t="s">
        <v>2489</v>
      </c>
      <c r="E292" s="264" t="s">
        <v>822</v>
      </c>
      <c r="F292" s="265" t="s">
        <v>823</v>
      </c>
      <c r="G292" s="265" t="s">
        <v>646</v>
      </c>
      <c r="H292" s="264" t="s">
        <v>166</v>
      </c>
      <c r="I292" s="264" t="s">
        <v>176</v>
      </c>
      <c r="J292" s="212" t="s">
        <v>2583</v>
      </c>
      <c r="K292" s="212"/>
      <c r="L292" s="272">
        <v>44566</v>
      </c>
      <c r="M292" s="272">
        <v>44566</v>
      </c>
      <c r="N292" s="272">
        <v>44494</v>
      </c>
      <c r="O292" s="272">
        <v>44494</v>
      </c>
      <c r="P292" s="272">
        <v>44536</v>
      </c>
      <c r="Q292" s="264" t="s">
        <v>6</v>
      </c>
      <c r="R292" s="264" t="s">
        <v>8</v>
      </c>
      <c r="S292" s="264" t="s">
        <v>8</v>
      </c>
      <c r="T292" s="265" t="s">
        <v>824</v>
      </c>
      <c r="X292" s="264"/>
      <c r="Z292" s="264"/>
      <c r="AA292" s="264"/>
      <c r="AC292" s="272">
        <v>44533</v>
      </c>
      <c r="AD292" s="272" t="s">
        <v>168</v>
      </c>
      <c r="AE292" s="272">
        <v>44477</v>
      </c>
      <c r="AF292" s="272">
        <v>44477</v>
      </c>
      <c r="AG292" s="209">
        <v>44539</v>
      </c>
      <c r="AH292" s="272" t="s">
        <v>169</v>
      </c>
      <c r="AI292" s="272"/>
      <c r="AJ292" s="322"/>
      <c r="AK292" s="272">
        <f>IFERROR(IF(VLOOKUP(功能_33[[#This Row],[功能代號]],E:U,11,FALSE)=0,"",VLOOKUP(功能_33[[#This Row],[功能代號]],E:U,11,FALSE)),"")</f>
        <v>44494</v>
      </c>
      <c r="AL292" s="272"/>
      <c r="AM292" s="272"/>
      <c r="AN292" s="265"/>
      <c r="AP292" s="264">
        <v>227</v>
      </c>
      <c r="AQ292" s="265" t="s">
        <v>825</v>
      </c>
      <c r="AR292" s="593" t="s">
        <v>3207</v>
      </c>
      <c r="AS292" s="483" t="str">
        <f>IF(COUNTA(AG292)=1,LEFT(D292,3),"")</f>
        <v>2-3</v>
      </c>
      <c r="AT292" s="485" t="str">
        <f>IF(AND(COUNTA(O292)=1,COUNTA(P292)=1,COUNTA(AC292)=1,COUNTA(AF292)=1,COUNTA(AG292)=0),LEFT(D292,3),"")</f>
        <v/>
      </c>
      <c r="AU292" s="487" t="str">
        <f>IF(AND(COUNTA(O292)=1,COUNTA(P292)=1,COUNTA(AC292)=1,COUNTA(AF292)=0,COUNTA(AG292)=0),LEFT(D292,3),"")</f>
        <v/>
      </c>
      <c r="AV292" s="489" t="str">
        <f>IF(AND(COUNTA(P292)=0,COUNTA(AC292)=1),LEFT(D292,3),"")</f>
        <v/>
      </c>
      <c r="AW292" s="491" t="str">
        <f>IF(AND(COUNTA(P292)=1,COUNTA(AC292)=0),LEFT(D292,3),"")</f>
        <v/>
      </c>
      <c r="AX292" s="493" t="str">
        <f>IF(AND(COUNTA(P292)=0,COUNTA(AC292)=0),LEFT(D292,3),"")</f>
        <v/>
      </c>
      <c r="AY292" s="514" t="str">
        <f>IFERROR(VLOOKUP(功能_33[[#This Row],[功能代號]],SIT_FT_2021tmp!D:D,1,FALSE),"")</f>
        <v>L2036</v>
      </c>
      <c r="AZ292" s="587">
        <v>44529</v>
      </c>
      <c r="BA292" s="587">
        <v>44529</v>
      </c>
      <c r="BB292" s="514" t="s">
        <v>3073</v>
      </c>
      <c r="BC292" s="265" t="s">
        <v>3011</v>
      </c>
      <c r="BD292" s="593"/>
      <c r="BE292" s="264" t="str">
        <f>IF(AND(COUNTIF(AY292,"&gt;&lt;0")=1,COUNTA(M292)=1),LEFT(D292,3),"")</f>
        <v>2-3</v>
      </c>
      <c r="BF292" s="264" t="str">
        <f>IF(AND(COUNTIF(AY292,"&gt;&lt;")=1,COUNTA(M292)=0),LEFT(D292,3),"")</f>
        <v/>
      </c>
      <c r="BG292" s="264" t="str">
        <f>IF(AND(COUNTIF(AY292,"&gt;&lt;0")=0,COUNTA(M292)=1),LEFT(D292,3),"")</f>
        <v/>
      </c>
      <c r="BH292" s="264" t="str">
        <f>IF(AND(COUNTIF(AY292,"&gt;&lt;0")=0,COUNTA(M292)=0),LEFT(D292,3),"")</f>
        <v/>
      </c>
    </row>
    <row r="293" spans="1:60" ht="13.5" x14ac:dyDescent="0.3">
      <c r="C293" s="265" t="s">
        <v>66</v>
      </c>
      <c r="D293" s="265" t="s">
        <v>2489</v>
      </c>
      <c r="E293" s="264" t="s">
        <v>826</v>
      </c>
      <c r="F293" s="206" t="s">
        <v>827</v>
      </c>
      <c r="G293" s="265" t="s">
        <v>828</v>
      </c>
      <c r="H293" s="264" t="s">
        <v>166</v>
      </c>
      <c r="I293" s="264" t="s">
        <v>176</v>
      </c>
      <c r="J293" s="212" t="s">
        <v>2583</v>
      </c>
      <c r="K293" s="212"/>
      <c r="L293" s="272">
        <v>44566</v>
      </c>
      <c r="M293" s="272">
        <v>44566</v>
      </c>
      <c r="N293" s="272">
        <v>44494</v>
      </c>
      <c r="O293" s="272">
        <v>44494</v>
      </c>
      <c r="P293" s="272">
        <v>44536</v>
      </c>
      <c r="Q293" s="264" t="s">
        <v>6</v>
      </c>
      <c r="R293" s="264" t="s">
        <v>8</v>
      </c>
      <c r="S293" s="264" t="s">
        <v>8</v>
      </c>
      <c r="T293" s="265" t="s">
        <v>824</v>
      </c>
      <c r="X293" s="264"/>
      <c r="Z293" s="264"/>
      <c r="AA293" s="264"/>
      <c r="AB293" s="265" t="str">
        <f>VLOOKUP(功能_33[[#This Row],[User]],SKL放款!A:G,7,FALSE)</f>
        <v>放款管理課</v>
      </c>
      <c r="AC293" s="272">
        <v>44533</v>
      </c>
      <c r="AD293" s="272">
        <v>44470</v>
      </c>
      <c r="AE293" s="272">
        <f>IF(功能_33[[#This Row],[URS交二審]]=0,"",功能_33[[#This Row],[URS交二審]]+7)</f>
        <v>44477</v>
      </c>
      <c r="AF293" s="272">
        <f>IF(功能_33[[#This Row],[URS交二審]]=0,"",功能_33[[#This Row],[URS交二審]]+7)</f>
        <v>44477</v>
      </c>
      <c r="AG293" s="209">
        <v>44539</v>
      </c>
      <c r="AH293" s="272" t="s">
        <v>169</v>
      </c>
      <c r="AI293" s="272"/>
      <c r="AJ293" s="322"/>
      <c r="AK293" s="272">
        <f>IFERROR(IF(VLOOKUP(功能_33[[#This Row],[功能代號]],E:U,11,FALSE)=0,"",VLOOKUP(功能_33[[#This Row],[功能代號]],E:U,11,FALSE)),"")</f>
        <v>44494</v>
      </c>
      <c r="AL293" s="272"/>
      <c r="AM293" s="272"/>
      <c r="AN293" s="265"/>
      <c r="AP293" s="264">
        <v>227</v>
      </c>
      <c r="AQ293" s="265" t="s">
        <v>829</v>
      </c>
      <c r="AR293" s="593" t="s">
        <v>3207</v>
      </c>
      <c r="AS293" s="483" t="str">
        <f>IF(COUNTA(AG293)=1,LEFT(D293,3),"")</f>
        <v>2-3</v>
      </c>
      <c r="AT293" s="485" t="str">
        <f>IF(AND(COUNTA(O293)=1,COUNTA(P293)=1,COUNTA(AC293)=1,COUNTA(AF293)=1,COUNTA(AG293)=0),LEFT(D293,3),"")</f>
        <v/>
      </c>
      <c r="AU293" s="487" t="str">
        <f>IF(AND(COUNTA(O293)=1,COUNTA(P293)=1,COUNTA(AC293)=1,COUNTA(AF293)=0,COUNTA(AG293)=0),LEFT(D293,3),"")</f>
        <v/>
      </c>
      <c r="AV293" s="489" t="str">
        <f>IF(AND(COUNTA(P293)=0,COUNTA(AC293)=1),LEFT(D293,3),"")</f>
        <v/>
      </c>
      <c r="AW293" s="491" t="str">
        <f>IF(AND(COUNTA(P293)=1,COUNTA(AC293)=0),LEFT(D293,3),"")</f>
        <v/>
      </c>
      <c r="AX293" s="493" t="str">
        <f>IF(AND(COUNTA(P293)=0,COUNTA(AC293)=0),LEFT(D293,3),"")</f>
        <v/>
      </c>
      <c r="AY293" s="514" t="str">
        <f>IFERROR(VLOOKUP(功能_33[[#This Row],[功能代號]],SIT_FT_2021tmp!D:D,1,FALSE),"")</f>
        <v>L2035</v>
      </c>
      <c r="AZ293" s="587">
        <v>44529</v>
      </c>
      <c r="BA293" s="587">
        <v>44529</v>
      </c>
      <c r="BB293" s="514" t="s">
        <v>3073</v>
      </c>
      <c r="BC293" s="265" t="s">
        <v>3011</v>
      </c>
      <c r="BD293" s="593"/>
      <c r="BE293" s="264" t="str">
        <f>IF(AND(COUNTIF(AY293,"&gt;&lt;0")=1,COUNTA(M293)=1),LEFT(D293,3),"")</f>
        <v>2-3</v>
      </c>
      <c r="BF293" s="264" t="str">
        <f>IF(AND(COUNTIF(AY293,"&gt;&lt;")=1,COUNTA(M293)=0),LEFT(D293,3),"")</f>
        <v/>
      </c>
      <c r="BG293" s="264" t="str">
        <f>IF(AND(COUNTIF(AY293,"&gt;&lt;0")=0,COUNTA(M293)=1),LEFT(D293,3),"")</f>
        <v/>
      </c>
      <c r="BH293" s="264" t="str">
        <f>IF(AND(COUNTIF(AY293,"&gt;&lt;0")=0,COUNTA(M293)=0),LEFT(D293,3),"")</f>
        <v/>
      </c>
    </row>
    <row r="294" spans="1:60" ht="13.5" x14ac:dyDescent="0.3">
      <c r="C294" s="265" t="s">
        <v>66</v>
      </c>
      <c r="D294" s="265" t="s">
        <v>2489</v>
      </c>
      <c r="E294" s="264" t="s">
        <v>830</v>
      </c>
      <c r="F294" s="265" t="s">
        <v>831</v>
      </c>
      <c r="G294" s="265" t="s">
        <v>646</v>
      </c>
      <c r="H294" s="264" t="s">
        <v>166</v>
      </c>
      <c r="I294" s="264" t="s">
        <v>176</v>
      </c>
      <c r="J294" s="212" t="s">
        <v>2583</v>
      </c>
      <c r="K294" s="212"/>
      <c r="L294" s="272">
        <v>44566</v>
      </c>
      <c r="M294" s="272">
        <v>44566</v>
      </c>
      <c r="N294" s="272">
        <v>44494</v>
      </c>
      <c r="O294" s="272">
        <v>44494</v>
      </c>
      <c r="P294" s="272">
        <v>44536</v>
      </c>
      <c r="Q294" s="264" t="s">
        <v>6</v>
      </c>
      <c r="R294" s="264" t="s">
        <v>8</v>
      </c>
      <c r="S294" s="264" t="s">
        <v>8</v>
      </c>
      <c r="T294" s="265" t="s">
        <v>824</v>
      </c>
      <c r="X294" s="264"/>
      <c r="Z294" s="264"/>
      <c r="AA294" s="264"/>
      <c r="AB294" s="265" t="str">
        <f>VLOOKUP(功能_33[[#This Row],[User]],SKL放款!A:G,7,FALSE)</f>
        <v>放款管理課</v>
      </c>
      <c r="AC294" s="272">
        <v>44533</v>
      </c>
      <c r="AD294" s="272" t="s">
        <v>168</v>
      </c>
      <c r="AE294" s="272">
        <v>44477</v>
      </c>
      <c r="AF294" s="272">
        <v>44477</v>
      </c>
      <c r="AG294" s="209">
        <v>44539</v>
      </c>
      <c r="AH294" s="272" t="s">
        <v>169</v>
      </c>
      <c r="AI294" s="272"/>
      <c r="AJ294" s="322"/>
      <c r="AK294" s="272">
        <f>IFERROR(IF(VLOOKUP(功能_33[[#This Row],[功能代號]],E:U,11,FALSE)=0,"",VLOOKUP(功能_33[[#This Row],[功能代號]],E:U,11,FALSE)),"")</f>
        <v>44494</v>
      </c>
      <c r="AL294" s="272"/>
      <c r="AM294" s="272"/>
      <c r="AN294" s="265"/>
      <c r="AP294" s="264" t="s">
        <v>163</v>
      </c>
      <c r="AQ294" s="264" t="s">
        <v>163</v>
      </c>
      <c r="AR294" s="593" t="s">
        <v>3207</v>
      </c>
      <c r="AS294" s="483" t="str">
        <f>IF(COUNTA(AG294)=1,LEFT(D294,3),"")</f>
        <v>2-3</v>
      </c>
      <c r="AT294" s="485" t="str">
        <f>IF(AND(COUNTA(O294)=1,COUNTA(P294)=1,COUNTA(AC294)=1,COUNTA(AF294)=1,COUNTA(AG294)=0),LEFT(D294,3),"")</f>
        <v/>
      </c>
      <c r="AU294" s="487" t="str">
        <f>IF(AND(COUNTA(O294)=1,COUNTA(P294)=1,COUNTA(AC294)=1,COUNTA(AF294)=0,COUNTA(AG294)=0),LEFT(D294,3),"")</f>
        <v/>
      </c>
      <c r="AV294" s="489" t="str">
        <f>IF(AND(COUNTA(P294)=0,COUNTA(AC294)=1),LEFT(D294,3),"")</f>
        <v/>
      </c>
      <c r="AW294" s="491" t="str">
        <f>IF(AND(COUNTA(P294)=1,COUNTA(AC294)=0),LEFT(D294,3),"")</f>
        <v/>
      </c>
      <c r="AX294" s="493" t="str">
        <f>IF(AND(COUNTA(P294)=0,COUNTA(AC294)=0),LEFT(D294,3),"")</f>
        <v/>
      </c>
      <c r="AY294" s="514" t="str">
        <f>IFERROR(VLOOKUP(功能_33[[#This Row],[功能代號]],SIT_FT_2021tmp!D:D,1,FALSE),"")</f>
        <v>L2305</v>
      </c>
      <c r="AZ294" s="587">
        <v>44529</v>
      </c>
      <c r="BA294" s="587">
        <v>44529</v>
      </c>
      <c r="BB294" s="514" t="s">
        <v>3073</v>
      </c>
      <c r="BC294" s="265" t="s">
        <v>3011</v>
      </c>
      <c r="BD294" s="593"/>
      <c r="BE294" s="264" t="str">
        <f>IF(AND(COUNTIF(AY294,"&gt;&lt;0")=1,COUNTA(M294)=1),LEFT(D294,3),"")</f>
        <v>2-3</v>
      </c>
      <c r="BF294" s="264" t="str">
        <f>IF(AND(COUNTIF(AY294,"&gt;&lt;")=1,COUNTA(M294)=0),LEFT(D294,3),"")</f>
        <v/>
      </c>
      <c r="BG294" s="264" t="str">
        <f>IF(AND(COUNTIF(AY294,"&gt;&lt;0")=0,COUNTA(M294)=1),LEFT(D294,3),"")</f>
        <v/>
      </c>
      <c r="BH294" s="264" t="str">
        <f>IF(AND(COUNTIF(AY294,"&gt;&lt;0")=0,COUNTA(M294)=0),LEFT(D294,3),"")</f>
        <v/>
      </c>
    </row>
    <row r="295" spans="1:60" ht="13.5" x14ac:dyDescent="0.3">
      <c r="C295" s="265" t="s">
        <v>66</v>
      </c>
      <c r="D295" s="265" t="s">
        <v>2489</v>
      </c>
      <c r="E295" s="264" t="s">
        <v>832</v>
      </c>
      <c r="F295" s="265" t="s">
        <v>833</v>
      </c>
      <c r="G295" s="265" t="s">
        <v>834</v>
      </c>
      <c r="H295" s="264" t="s">
        <v>166</v>
      </c>
      <c r="I295" s="264" t="s">
        <v>176</v>
      </c>
      <c r="J295" s="212" t="s">
        <v>2583</v>
      </c>
      <c r="K295" s="212"/>
      <c r="L295" s="272">
        <v>44566</v>
      </c>
      <c r="M295" s="272">
        <v>44566</v>
      </c>
      <c r="N295" s="272">
        <v>44494</v>
      </c>
      <c r="O295" s="272">
        <v>44494</v>
      </c>
      <c r="P295" s="272">
        <v>44536</v>
      </c>
      <c r="Q295" s="264" t="s">
        <v>6</v>
      </c>
      <c r="R295" s="264" t="s">
        <v>8</v>
      </c>
      <c r="S295" s="264" t="s">
        <v>8</v>
      </c>
      <c r="T295" s="265" t="s">
        <v>824</v>
      </c>
      <c r="X295" s="264"/>
      <c r="Z295" s="264"/>
      <c r="AA295" s="264"/>
      <c r="AB295" s="265" t="str">
        <f>VLOOKUP(功能_33[[#This Row],[User]],SKL放款!A:G,7,FALSE)</f>
        <v>放款管理課</v>
      </c>
      <c r="AC295" s="272">
        <v>44533</v>
      </c>
      <c r="AD295" s="272">
        <v>44470</v>
      </c>
      <c r="AE295" s="272">
        <f>IF(功能_33[[#This Row],[URS交二審]]=0,"",功能_33[[#This Row],[URS交二審]]+7)</f>
        <v>44477</v>
      </c>
      <c r="AF295" s="272">
        <f>IF(功能_33[[#This Row],[URS交二審]]=0,"",功能_33[[#This Row],[URS交二審]]+7)</f>
        <v>44477</v>
      </c>
      <c r="AG295" s="209">
        <v>44539</v>
      </c>
      <c r="AH295" s="272" t="s">
        <v>169</v>
      </c>
      <c r="AI295" s="272"/>
      <c r="AJ295" s="322"/>
      <c r="AK295" s="272">
        <f>IFERROR(IF(VLOOKUP(功能_33[[#This Row],[功能代號]],E:U,11,FALSE)=0,"",VLOOKUP(功能_33[[#This Row],[功能代號]],E:U,11,FALSE)),"")</f>
        <v>44494</v>
      </c>
      <c r="AL295" s="272"/>
      <c r="AM295" s="272"/>
      <c r="AN295" s="265"/>
      <c r="AP295" s="264">
        <v>227</v>
      </c>
      <c r="AQ295" s="265" t="s">
        <v>835</v>
      </c>
      <c r="AR295" s="593" t="s">
        <v>3225</v>
      </c>
      <c r="AS295" s="483" t="str">
        <f>IF(COUNTA(AG295)=1,LEFT(D295,3),"")</f>
        <v>2-3</v>
      </c>
      <c r="AT295" s="485" t="str">
        <f>IF(AND(COUNTA(O295)=1,COUNTA(P295)=1,COUNTA(AC295)=1,COUNTA(AF295)=1,COUNTA(AG295)=0),LEFT(D295,3),"")</f>
        <v/>
      </c>
      <c r="AU295" s="487" t="str">
        <f>IF(AND(COUNTA(O295)=1,COUNTA(P295)=1,COUNTA(AC295)=1,COUNTA(AF295)=0,COUNTA(AG295)=0),LEFT(D295,3),"")</f>
        <v/>
      </c>
      <c r="AV295" s="489" t="str">
        <f>IF(AND(COUNTA(P295)=0,COUNTA(AC295)=1),LEFT(D295,3),"")</f>
        <v/>
      </c>
      <c r="AW295" s="491" t="str">
        <f>IF(AND(COUNTA(P295)=1,COUNTA(AC295)=0),LEFT(D295,3),"")</f>
        <v/>
      </c>
      <c r="AX295" s="493" t="str">
        <f>IF(AND(COUNTA(P295)=0,COUNTA(AC295)=0),LEFT(D295,3),"")</f>
        <v/>
      </c>
      <c r="AY295" s="514" t="str">
        <f>IFERROR(VLOOKUP(功能_33[[#This Row],[功能代號]],SIT_FT_2021tmp!D:D,1,FALSE),"")</f>
        <v>L2306</v>
      </c>
      <c r="AZ295" s="587">
        <v>44529</v>
      </c>
      <c r="BA295" s="587">
        <v>44529</v>
      </c>
      <c r="BB295" s="514" t="s">
        <v>3073</v>
      </c>
      <c r="BC295" s="265" t="s">
        <v>3011</v>
      </c>
      <c r="BD295" s="593"/>
      <c r="BE295" s="264" t="str">
        <f>IF(AND(COUNTIF(AY295,"&gt;&lt;0")=1,COUNTA(M295)=1),LEFT(D295,3),"")</f>
        <v>2-3</v>
      </c>
      <c r="BF295" s="264" t="str">
        <f>IF(AND(COUNTIF(AY295,"&gt;&lt;")=1,COUNTA(M295)=0),LEFT(D295,3),"")</f>
        <v/>
      </c>
      <c r="BG295" s="264" t="str">
        <f>IF(AND(COUNTIF(AY295,"&gt;&lt;0")=0,COUNTA(M295)=1),LEFT(D295,3),"")</f>
        <v/>
      </c>
      <c r="BH295" s="264" t="str">
        <f>IF(AND(COUNTIF(AY295,"&gt;&lt;0")=0,COUNTA(M295)=0),LEFT(D295,3),"")</f>
        <v/>
      </c>
    </row>
    <row r="296" spans="1:60" ht="13.5" x14ac:dyDescent="0.3">
      <c r="C296" s="265" t="s">
        <v>66</v>
      </c>
      <c r="D296" s="265" t="s">
        <v>2494</v>
      </c>
      <c r="E296" s="264" t="s">
        <v>836</v>
      </c>
      <c r="F296" s="265" t="s">
        <v>837</v>
      </c>
      <c r="G296" s="265" t="s">
        <v>646</v>
      </c>
      <c r="H296" s="264" t="s">
        <v>110</v>
      </c>
      <c r="I296" s="264" t="s">
        <v>176</v>
      </c>
      <c r="J296" s="212" t="s">
        <v>2754</v>
      </c>
      <c r="K296" s="212"/>
      <c r="L296" s="272">
        <v>44571</v>
      </c>
      <c r="M296" s="272">
        <v>44568</v>
      </c>
      <c r="N296" s="272">
        <v>44494</v>
      </c>
      <c r="O296" s="272">
        <v>44494</v>
      </c>
      <c r="P296" s="272">
        <v>44536</v>
      </c>
      <c r="Q296" s="264" t="s">
        <v>6</v>
      </c>
      <c r="R296" s="264" t="s">
        <v>8</v>
      </c>
      <c r="S296" s="264" t="s">
        <v>8</v>
      </c>
      <c r="T296" s="265" t="s">
        <v>824</v>
      </c>
      <c r="X296" s="264"/>
      <c r="Z296" s="264"/>
      <c r="AA296" s="264"/>
      <c r="AB296" s="265" t="str">
        <f>VLOOKUP(功能_33[[#This Row],[User]],SKL放款!A:G,7,FALSE)</f>
        <v>放款管理課</v>
      </c>
      <c r="AC296" s="272">
        <v>44533</v>
      </c>
      <c r="AD296" s="272" t="s">
        <v>168</v>
      </c>
      <c r="AE296" s="272">
        <v>44543</v>
      </c>
      <c r="AF296" s="272">
        <v>44543</v>
      </c>
      <c r="AG296" s="209">
        <v>44544</v>
      </c>
      <c r="AH296" s="272" t="s">
        <v>169</v>
      </c>
      <c r="AI296" s="272"/>
      <c r="AJ296" s="322"/>
      <c r="AK296" s="272">
        <f>IFERROR(IF(VLOOKUP(功能_33[[#This Row],[功能代號]],E:U,11,FALSE)=0,"",VLOOKUP(功能_33[[#This Row],[功能代號]],E:U,11,FALSE)),"")</f>
        <v>44494</v>
      </c>
      <c r="AL296" s="272"/>
      <c r="AM296" s="272"/>
      <c r="AN296" s="265"/>
      <c r="AP296" s="264" t="s">
        <v>163</v>
      </c>
      <c r="AQ296" s="264" t="s">
        <v>163</v>
      </c>
      <c r="AR296" s="593" t="s">
        <v>3207</v>
      </c>
      <c r="AS296" s="483" t="str">
        <f>IF(COUNTA(AG296)=1,LEFT(D296,3),"")</f>
        <v>2-2</v>
      </c>
      <c r="AT296" s="485" t="str">
        <f>IF(AND(COUNTA(O296)=1,COUNTA(P296)=1,COUNTA(AC296)=1,COUNTA(AF296)=1,COUNTA(AG296)=0),LEFT(D296,3),"")</f>
        <v/>
      </c>
      <c r="AU296" s="487" t="str">
        <f>IF(AND(COUNTA(O296)=1,COUNTA(P296)=1,COUNTA(AC296)=1,COUNTA(AF296)=0,COUNTA(AG296)=0),LEFT(D296,3),"")</f>
        <v/>
      </c>
      <c r="AV296" s="489" t="str">
        <f>IF(AND(COUNTA(P296)=0,COUNTA(AC296)=1),LEFT(D296,3),"")</f>
        <v/>
      </c>
      <c r="AW296" s="491" t="str">
        <f>IF(AND(COUNTA(P296)=1,COUNTA(AC296)=0),LEFT(D296,3),"")</f>
        <v/>
      </c>
      <c r="AX296" s="493" t="str">
        <f>IF(AND(COUNTA(P296)=0,COUNTA(AC296)=0),LEFT(D296,3),"")</f>
        <v/>
      </c>
      <c r="AY296" s="514" t="str">
        <f>IFERROR(VLOOKUP(功能_33[[#This Row],[功能代號]],SIT_FT_2021tmp!D:D,1,FALSE),"")</f>
        <v>L2022</v>
      </c>
      <c r="AZ296" s="587">
        <v>44529</v>
      </c>
      <c r="BA296" s="587">
        <v>44529</v>
      </c>
      <c r="BB296" s="514" t="s">
        <v>3073</v>
      </c>
      <c r="BC296" s="265" t="s">
        <v>3011</v>
      </c>
      <c r="BD296" s="593"/>
      <c r="BE296" s="264" t="str">
        <f>IF(AND(COUNTIF(AY296,"&gt;&lt;0")=1,COUNTA(M296)=1),LEFT(D296,3),"")</f>
        <v>2-2</v>
      </c>
      <c r="BF296" s="264" t="str">
        <f>IF(AND(COUNTIF(AY296,"&gt;&lt;")=1,COUNTA(M296)=0),LEFT(D296,3),"")</f>
        <v/>
      </c>
      <c r="BG296" s="264" t="str">
        <f>IF(AND(COUNTIF(AY296,"&gt;&lt;0")=0,COUNTA(M296)=1),LEFT(D296,3),"")</f>
        <v/>
      </c>
      <c r="BH296" s="264" t="str">
        <f>IF(AND(COUNTIF(AY296,"&gt;&lt;0")=0,COUNTA(M296)=0),LEFT(D296,3),"")</f>
        <v/>
      </c>
    </row>
    <row r="297" spans="1:60" ht="13.5" x14ac:dyDescent="0.3">
      <c r="C297" s="265" t="s">
        <v>66</v>
      </c>
      <c r="D297" s="265" t="s">
        <v>2494</v>
      </c>
      <c r="E297" s="264" t="s">
        <v>838</v>
      </c>
      <c r="F297" s="265" t="s">
        <v>839</v>
      </c>
      <c r="G297" s="265" t="s">
        <v>840</v>
      </c>
      <c r="H297" s="264" t="s">
        <v>110</v>
      </c>
      <c r="I297" s="264" t="s">
        <v>176</v>
      </c>
      <c r="J297" s="212" t="s">
        <v>2754</v>
      </c>
      <c r="K297" s="212"/>
      <c r="L297" s="272">
        <v>44571</v>
      </c>
      <c r="M297" s="272">
        <v>44568</v>
      </c>
      <c r="N297" s="272">
        <v>44494</v>
      </c>
      <c r="O297" s="272">
        <v>44494</v>
      </c>
      <c r="P297" s="272">
        <v>44536</v>
      </c>
      <c r="Q297" s="264" t="s">
        <v>6</v>
      </c>
      <c r="R297" s="264" t="s">
        <v>8</v>
      </c>
      <c r="S297" s="264" t="s">
        <v>8</v>
      </c>
      <c r="T297" s="265" t="s">
        <v>824</v>
      </c>
      <c r="X297" s="264"/>
      <c r="Z297" s="264"/>
      <c r="AA297" s="264"/>
      <c r="AB297" s="265" t="str">
        <f>VLOOKUP(功能_33[[#This Row],[User]],SKL放款!A:G,7,FALSE)</f>
        <v>放款管理課</v>
      </c>
      <c r="AC297" s="272">
        <v>44536</v>
      </c>
      <c r="AD297" s="272" t="s">
        <v>107</v>
      </c>
      <c r="AE297" s="272">
        <v>44543</v>
      </c>
      <c r="AF297" s="272">
        <v>44543</v>
      </c>
      <c r="AG297" s="209">
        <v>44544</v>
      </c>
      <c r="AH297" s="272"/>
      <c r="AI297" s="272"/>
      <c r="AJ297" s="322"/>
      <c r="AK297" s="272">
        <f>IFERROR(IF(VLOOKUP(功能_33[[#This Row],[功能代號]],E:U,11,FALSE)=0,"",VLOOKUP(功能_33[[#This Row],[功能代號]],E:U,11,FALSE)),"")</f>
        <v>44494</v>
      </c>
      <c r="AL297" s="272"/>
      <c r="AM297" s="272"/>
      <c r="AN297" s="265"/>
      <c r="AP297" s="264" t="s">
        <v>163</v>
      </c>
      <c r="AQ297" s="264" t="s">
        <v>163</v>
      </c>
      <c r="AR297" s="593" t="s">
        <v>3207</v>
      </c>
      <c r="AS297" s="483" t="str">
        <f>IF(COUNTA(AG297)=1,LEFT(D297,3),"")</f>
        <v>2-2</v>
      </c>
      <c r="AT297" s="485" t="str">
        <f>IF(AND(COUNTA(O297)=1,COUNTA(P297)=1,COUNTA(AC297)=1,COUNTA(AF297)=1,COUNTA(AG297)=0),LEFT(D297,3),"")</f>
        <v/>
      </c>
      <c r="AU297" s="487" t="str">
        <f>IF(AND(COUNTA(O297)=1,COUNTA(P297)=1,COUNTA(AC297)=1,COUNTA(AF297)=0,COUNTA(AG297)=0),LEFT(D297,3),"")</f>
        <v/>
      </c>
      <c r="AV297" s="489" t="str">
        <f>IF(AND(COUNTA(P297)=0,COUNTA(AC297)=1),LEFT(D297,3),"")</f>
        <v/>
      </c>
      <c r="AW297" s="491" t="str">
        <f>IF(AND(COUNTA(P297)=1,COUNTA(AC297)=0),LEFT(D297,3),"")</f>
        <v/>
      </c>
      <c r="AX297" s="493" t="str">
        <f>IF(AND(COUNTA(P297)=0,COUNTA(AC297)=0),LEFT(D297,3),"")</f>
        <v/>
      </c>
      <c r="AY297" s="514" t="str">
        <f>IFERROR(VLOOKUP(功能_33[[#This Row],[功能代號]],SIT_FT_2021tmp!D:D,1,FALSE),"")</f>
        <v>L2023</v>
      </c>
      <c r="AZ297" s="587">
        <v>44529</v>
      </c>
      <c r="BA297" s="587">
        <v>44529</v>
      </c>
      <c r="BB297" s="514" t="s">
        <v>3073</v>
      </c>
      <c r="BC297" s="265" t="s">
        <v>3011</v>
      </c>
      <c r="BD297" s="593"/>
      <c r="BE297" s="264" t="str">
        <f>IF(AND(COUNTIF(AY297,"&gt;&lt;0")=1,COUNTA(M297)=1),LEFT(D297,3),"")</f>
        <v>2-2</v>
      </c>
      <c r="BF297" s="264" t="str">
        <f>IF(AND(COUNTIF(AY297,"&gt;&lt;")=1,COUNTA(M297)=0),LEFT(D297,3),"")</f>
        <v/>
      </c>
      <c r="BG297" s="264" t="str">
        <f>IF(AND(COUNTIF(AY297,"&gt;&lt;0")=0,COUNTA(M297)=1),LEFT(D297,3),"")</f>
        <v/>
      </c>
      <c r="BH297" s="264" t="str">
        <f>IF(AND(COUNTIF(AY297,"&gt;&lt;0")=0,COUNTA(M297)=0),LEFT(D297,3),"")</f>
        <v/>
      </c>
    </row>
    <row r="298" spans="1:60" ht="13.5" x14ac:dyDescent="0.3">
      <c r="C298" s="265" t="s">
        <v>66</v>
      </c>
      <c r="D298" s="265" t="s">
        <v>2494</v>
      </c>
      <c r="E298" s="264" t="s">
        <v>841</v>
      </c>
      <c r="F298" s="206" t="s">
        <v>842</v>
      </c>
      <c r="G298" s="265" t="s">
        <v>646</v>
      </c>
      <c r="H298" s="264" t="s">
        <v>110</v>
      </c>
      <c r="I298" s="264" t="s">
        <v>176</v>
      </c>
      <c r="J298" s="212" t="s">
        <v>2754</v>
      </c>
      <c r="K298" s="212"/>
      <c r="L298" s="272">
        <v>44571</v>
      </c>
      <c r="M298" s="272">
        <v>44568</v>
      </c>
      <c r="N298" s="272">
        <v>44494</v>
      </c>
      <c r="O298" s="272">
        <v>44494</v>
      </c>
      <c r="P298" s="272">
        <v>44536</v>
      </c>
      <c r="Q298" s="264" t="s">
        <v>6</v>
      </c>
      <c r="R298" s="264" t="s">
        <v>7</v>
      </c>
      <c r="S298" s="264" t="s">
        <v>7</v>
      </c>
      <c r="T298" s="265" t="s">
        <v>843</v>
      </c>
      <c r="X298" s="264"/>
      <c r="Z298" s="264"/>
      <c r="AA298" s="264"/>
      <c r="AB298" s="265" t="str">
        <f>VLOOKUP(功能_33[[#This Row],[User]],SKL放款!A:G,7,FALSE)</f>
        <v>放款推展課</v>
      </c>
      <c r="AC298" s="272">
        <v>44533</v>
      </c>
      <c r="AD298" s="272">
        <v>44533</v>
      </c>
      <c r="AE298" s="272">
        <v>44543</v>
      </c>
      <c r="AF298" s="272">
        <v>44543</v>
      </c>
      <c r="AG298" s="209">
        <v>44544</v>
      </c>
      <c r="AH298" s="272"/>
      <c r="AI298" s="272"/>
      <c r="AJ298" s="322"/>
      <c r="AK298" s="272">
        <f>IFERROR(IF(VLOOKUP(功能_33[[#This Row],[功能代號]],E:U,11,FALSE)=0,"",VLOOKUP(功能_33[[#This Row],[功能代號]],E:U,11,FALSE)),"")</f>
        <v>44494</v>
      </c>
      <c r="AL298" s="272"/>
      <c r="AM298" s="272"/>
      <c r="AN298" s="265"/>
      <c r="AP298" s="264" t="s">
        <v>163</v>
      </c>
      <c r="AQ298" s="264" t="s">
        <v>163</v>
      </c>
      <c r="AR298" s="593" t="s">
        <v>3207</v>
      </c>
      <c r="AS298" s="483" t="str">
        <f>IF(COUNTA(AG298)=1,LEFT(D298,3),"")</f>
        <v>2-2</v>
      </c>
      <c r="AT298" s="485" t="str">
        <f>IF(AND(COUNTA(O298)=1,COUNTA(P298)=1,COUNTA(AC298)=1,COUNTA(AF298)=1,COUNTA(AG298)=0),LEFT(D298,3),"")</f>
        <v/>
      </c>
      <c r="AU298" s="487" t="str">
        <f>IF(AND(COUNTA(O298)=1,COUNTA(P298)=1,COUNTA(AC298)=1,COUNTA(AF298)=0,COUNTA(AG298)=0),LEFT(D298,3),"")</f>
        <v/>
      </c>
      <c r="AV298" s="489" t="str">
        <f>IF(AND(COUNTA(P298)=0,COUNTA(AC298)=1),LEFT(D298,3),"")</f>
        <v/>
      </c>
      <c r="AW298" s="491" t="str">
        <f>IF(AND(COUNTA(P298)=1,COUNTA(AC298)=0),LEFT(D298,3),"")</f>
        <v/>
      </c>
      <c r="AX298" s="493" t="str">
        <f>IF(AND(COUNTA(P298)=0,COUNTA(AC298)=0),LEFT(D298,3),"")</f>
        <v/>
      </c>
      <c r="AY298" s="514" t="str">
        <f>IFERROR(VLOOKUP(功能_33[[#This Row],[功能代號]],SIT_FT_2021tmp!D:D,1,FALSE),"")</f>
        <v>L2222</v>
      </c>
      <c r="AZ298" s="587">
        <v>44529</v>
      </c>
      <c r="BA298" s="587">
        <v>44529</v>
      </c>
      <c r="BB298" s="514" t="s">
        <v>3073</v>
      </c>
      <c r="BC298" s="265" t="s">
        <v>3011</v>
      </c>
      <c r="BD298" s="593"/>
      <c r="BE298" s="264" t="str">
        <f>IF(AND(COUNTIF(AY298,"&gt;&lt;0")=1,COUNTA(M298)=1),LEFT(D298,3),"")</f>
        <v>2-2</v>
      </c>
      <c r="BF298" s="264" t="str">
        <f>IF(AND(COUNTIF(AY298,"&gt;&lt;")=1,COUNTA(M298)=0),LEFT(D298,3),"")</f>
        <v/>
      </c>
      <c r="BG298" s="264" t="str">
        <f>IF(AND(COUNTIF(AY298,"&gt;&lt;0")=0,COUNTA(M298)=1),LEFT(D298,3),"")</f>
        <v/>
      </c>
      <c r="BH298" s="264" t="str">
        <f>IF(AND(COUNTIF(AY298,"&gt;&lt;0")=0,COUNTA(M298)=0),LEFT(D298,3),"")</f>
        <v/>
      </c>
    </row>
    <row r="299" spans="1:60" ht="13.5" x14ac:dyDescent="0.3">
      <c r="C299" s="265" t="s">
        <v>66</v>
      </c>
      <c r="D299" s="265" t="s">
        <v>2489</v>
      </c>
      <c r="E299" s="264" t="s">
        <v>844</v>
      </c>
      <c r="F299" s="265" t="s">
        <v>845</v>
      </c>
      <c r="G299" s="265"/>
      <c r="H299" s="264" t="s">
        <v>166</v>
      </c>
      <c r="I299" s="264" t="s">
        <v>176</v>
      </c>
      <c r="J299" s="212" t="s">
        <v>2583</v>
      </c>
      <c r="K299" s="212"/>
      <c r="L299" s="272">
        <v>44566</v>
      </c>
      <c r="M299" s="272">
        <v>44565</v>
      </c>
      <c r="N299" s="272">
        <v>44494</v>
      </c>
      <c r="O299" s="272">
        <v>44494</v>
      </c>
      <c r="P299" s="272">
        <v>44536</v>
      </c>
      <c r="Q299" s="264" t="s">
        <v>4</v>
      </c>
      <c r="R299" s="264" t="s">
        <v>7</v>
      </c>
      <c r="S299" s="264" t="s">
        <v>7</v>
      </c>
      <c r="X299" s="264"/>
      <c r="Z299" s="264"/>
      <c r="AA299" s="264"/>
      <c r="AB299" s="265" t="str">
        <f>VLOOKUP(功能_33[[#This Row],[User]],SKL放款!A:G,7,FALSE)</f>
        <v>放款推展課</v>
      </c>
      <c r="AC299" s="272">
        <v>44533</v>
      </c>
      <c r="AD299" s="272">
        <v>44477</v>
      </c>
      <c r="AE299" s="272">
        <v>44477</v>
      </c>
      <c r="AF299" s="272">
        <v>44477</v>
      </c>
      <c r="AG299" s="209">
        <v>44539</v>
      </c>
      <c r="AH299" s="272" t="s">
        <v>169</v>
      </c>
      <c r="AI299" s="272"/>
      <c r="AJ299" s="322"/>
      <c r="AK299" s="272">
        <f>IFERROR(IF(VLOOKUP(功能_33[[#This Row],[功能代號]],E:U,11,FALSE)=0,"",VLOOKUP(功能_33[[#This Row],[功能代號]],E:U,11,FALSE)),"")</f>
        <v>44494</v>
      </c>
      <c r="AL299" s="272"/>
      <c r="AM299" s="272"/>
      <c r="AN299" s="265"/>
      <c r="AO299" s="272"/>
      <c r="AP299" s="264">
        <v>217</v>
      </c>
      <c r="AQ299" s="265" t="s">
        <v>846</v>
      </c>
      <c r="AR299" s="593" t="s">
        <v>3207</v>
      </c>
      <c r="AS299" s="483" t="str">
        <f>IF(COUNTA(AG299)=1,LEFT(D299,3),"")</f>
        <v>2-3</v>
      </c>
      <c r="AT299" s="485" t="str">
        <f>IF(AND(COUNTA(O299)=1,COUNTA(P299)=1,COUNTA(AC299)=1,COUNTA(AF299)=1,COUNTA(AG299)=0),LEFT(D299,3),"")</f>
        <v/>
      </c>
      <c r="AU299" s="487" t="str">
        <f>IF(AND(COUNTA(O299)=1,COUNTA(P299)=1,COUNTA(AC299)=1,COUNTA(AF299)=0,COUNTA(AG299)=0),LEFT(D299,3),"")</f>
        <v/>
      </c>
      <c r="AV299" s="489" t="str">
        <f>IF(AND(COUNTA(P299)=0,COUNTA(AC299)=1),LEFT(D299,3),"")</f>
        <v/>
      </c>
      <c r="AW299" s="491" t="str">
        <f>IF(AND(COUNTA(P299)=1,COUNTA(AC299)=0),LEFT(D299,3),"")</f>
        <v/>
      </c>
      <c r="AX299" s="493" t="str">
        <f>IF(AND(COUNTA(P299)=0,COUNTA(AC299)=0),LEFT(D299,3),"")</f>
        <v/>
      </c>
      <c r="AY299" s="514" t="str">
        <f>IFERROR(VLOOKUP(功能_33[[#This Row],[功能代號]],SIT_FT_2021tmp!D:D,1,FALSE),"")</f>
        <v>L2903</v>
      </c>
      <c r="AZ299" s="587">
        <v>44529</v>
      </c>
      <c r="BA299" s="587">
        <v>44529</v>
      </c>
      <c r="BB299" s="514" t="s">
        <v>3073</v>
      </c>
      <c r="BC299" s="265" t="s">
        <v>3011</v>
      </c>
      <c r="BD299" s="593"/>
      <c r="BE299" s="264" t="str">
        <f>IF(AND(COUNTIF(AY299,"&gt;&lt;0")=1,COUNTA(M299)=1),LEFT(D299,3),"")</f>
        <v>2-3</v>
      </c>
      <c r="BF299" s="264" t="str">
        <f>IF(AND(COUNTIF(AY299,"&gt;&lt;")=1,COUNTA(M299)=0),LEFT(D299,3),"")</f>
        <v/>
      </c>
      <c r="BG299" s="264" t="str">
        <f>IF(AND(COUNTIF(AY299,"&gt;&lt;0")=0,COUNTA(M299)=1),LEFT(D299,3),"")</f>
        <v/>
      </c>
      <c r="BH299" s="264" t="str">
        <f>IF(AND(COUNTIF(AY299,"&gt;&lt;0")=0,COUNTA(M299)=0),LEFT(D299,3),"")</f>
        <v/>
      </c>
    </row>
    <row r="300" spans="1:60" ht="13.5" x14ac:dyDescent="0.3">
      <c r="C300" s="265" t="s">
        <v>66</v>
      </c>
      <c r="D300" s="363" t="s">
        <v>2480</v>
      </c>
      <c r="E300" s="264" t="s">
        <v>847</v>
      </c>
      <c r="F300" s="251" t="s">
        <v>848</v>
      </c>
      <c r="G300" s="251"/>
      <c r="H300" s="264" t="s">
        <v>166</v>
      </c>
      <c r="I300" s="264" t="s">
        <v>176</v>
      </c>
      <c r="J300" s="212" t="s">
        <v>2842</v>
      </c>
      <c r="K300" s="212"/>
      <c r="L300" s="272">
        <v>44558</v>
      </c>
      <c r="M300" s="272">
        <v>44558</v>
      </c>
      <c r="N300" s="272">
        <v>44494</v>
      </c>
      <c r="O300" s="272">
        <v>44490</v>
      </c>
      <c r="P300" s="272">
        <f>IFERROR(IF(VLOOKUP(功能_33[[#This Row],[功能代號]],討論項目!A:H,8,FALSE)=0,"",VLOOKUP(功能_33[[#This Row],[功能代號]],討論項目!A:H,8,FALSE)),"")</f>
        <v>44490</v>
      </c>
      <c r="Q300" s="264" t="s">
        <v>1</v>
      </c>
      <c r="R300" s="264" t="s">
        <v>145</v>
      </c>
      <c r="S300" s="264" t="s">
        <v>145</v>
      </c>
      <c r="X300" s="264"/>
      <c r="Z300" s="264"/>
      <c r="AA300" s="264"/>
      <c r="AB300" s="265" t="str">
        <f>VLOOKUP(功能_33[[#This Row],[User]],SKL放款!A:G,7,FALSE)</f>
        <v>放款服務課</v>
      </c>
      <c r="AC300" s="272">
        <v>44533</v>
      </c>
      <c r="AD300" s="272" t="s">
        <v>107</v>
      </c>
      <c r="AE300" s="272">
        <v>44531</v>
      </c>
      <c r="AF300" s="272">
        <v>44531</v>
      </c>
      <c r="AG300" s="209">
        <v>44546</v>
      </c>
      <c r="AH300" s="272"/>
      <c r="AI300" s="272"/>
      <c r="AJ300" s="322"/>
      <c r="AK300" s="272">
        <f>IFERROR(IF(VLOOKUP(功能_33[[#This Row],[功能代號]],E:U,11,FALSE)=0,"",VLOOKUP(功能_33[[#This Row],[功能代號]],E:U,11,FALSE)),"")</f>
        <v>44490</v>
      </c>
      <c r="AL300" s="272"/>
      <c r="AM300" s="272"/>
      <c r="AN300" s="265"/>
      <c r="AO300" s="272"/>
      <c r="AP300" s="264" t="s">
        <v>163</v>
      </c>
      <c r="AQ300" s="264" t="s">
        <v>163</v>
      </c>
      <c r="AR300" s="593" t="s">
        <v>3207</v>
      </c>
      <c r="AS300" s="483" t="str">
        <f>IF(COUNTA(AG300)=1,LEFT(D300,3),"")</f>
        <v>2-9</v>
      </c>
      <c r="AT300" s="485" t="str">
        <f>IF(AND(COUNTA(O300)=1,COUNTA(P300)=1,COUNTA(AC300)=1,COUNTA(AF300)=1,COUNTA(AG300)=0),LEFT(D300,3),"")</f>
        <v/>
      </c>
      <c r="AU300" s="487" t="str">
        <f>IF(AND(COUNTA(O300)=1,COUNTA(P300)=1,COUNTA(AC300)=1,COUNTA(AF300)=0,COUNTA(AG300)=0),LEFT(D300,3),"")</f>
        <v/>
      </c>
      <c r="AV300" s="489" t="str">
        <f>IF(AND(COUNTA(P300)=0,COUNTA(AC300)=1),LEFT(D300,3),"")</f>
        <v/>
      </c>
      <c r="AW300" s="491" t="str">
        <f>IF(AND(COUNTA(P300)=1,COUNTA(AC300)=0),LEFT(D300,3),"")</f>
        <v/>
      </c>
      <c r="AX300" s="493" t="str">
        <f>IF(AND(COUNTA(P300)=0,COUNTA(AC300)=0),LEFT(D300,3),"")</f>
        <v/>
      </c>
      <c r="AY300" s="514" t="str">
        <f>IFERROR(VLOOKUP(功能_33[[#This Row],[功能代號]],SIT_FT_2021tmp!D:D,1,FALSE),"")</f>
        <v>L2980</v>
      </c>
      <c r="AZ300" s="587">
        <v>44545</v>
      </c>
      <c r="BA300" s="587">
        <v>44545</v>
      </c>
      <c r="BB300" s="514" t="s">
        <v>3000</v>
      </c>
      <c r="BC300" s="265" t="s">
        <v>3057</v>
      </c>
      <c r="BD300" s="593"/>
      <c r="BE300" s="264" t="str">
        <f>IF(AND(COUNTIF(AY300,"&gt;&lt;0")=1,COUNTA(M300)=1),LEFT(D300,3),"")</f>
        <v>2-9</v>
      </c>
      <c r="BF300" s="264" t="str">
        <f>IF(AND(COUNTIF(AY300,"&gt;&lt;")=1,COUNTA(M300)=0),LEFT(D300,3),"")</f>
        <v/>
      </c>
      <c r="BG300" s="264" t="str">
        <f>IF(AND(COUNTIF(AY300,"&gt;&lt;0")=0,COUNTA(M300)=1),LEFT(D300,3),"")</f>
        <v/>
      </c>
      <c r="BH300" s="264" t="str">
        <f>IF(AND(COUNTIF(AY300,"&gt;&lt;0")=0,COUNTA(M300)=0),LEFT(D300,3),"")</f>
        <v/>
      </c>
    </row>
    <row r="301" spans="1:60" ht="13.5" x14ac:dyDescent="0.3">
      <c r="C301" s="265" t="s">
        <v>66</v>
      </c>
      <c r="D301" s="325" t="s">
        <v>2491</v>
      </c>
      <c r="E301" s="264" t="s">
        <v>849</v>
      </c>
      <c r="F301" s="265" t="s">
        <v>850</v>
      </c>
      <c r="G301" s="265"/>
      <c r="H301" s="264" t="s">
        <v>166</v>
      </c>
      <c r="I301" s="264" t="s">
        <v>176</v>
      </c>
      <c r="J301" s="212" t="s">
        <v>2842</v>
      </c>
      <c r="K301" s="212"/>
      <c r="L301" s="272">
        <v>44558</v>
      </c>
      <c r="M301" s="272">
        <v>44558</v>
      </c>
      <c r="N301" s="272">
        <v>44494</v>
      </c>
      <c r="O301" s="272">
        <v>44494</v>
      </c>
      <c r="P301" s="272">
        <v>44536</v>
      </c>
      <c r="Q301" s="264" t="s">
        <v>6</v>
      </c>
      <c r="R301" s="264" t="s">
        <v>145</v>
      </c>
      <c r="S301" s="264" t="s">
        <v>145</v>
      </c>
      <c r="X301" s="264"/>
      <c r="Z301" s="264"/>
      <c r="AA301" s="264"/>
      <c r="AB301" s="265" t="str">
        <f>VLOOKUP(功能_33[[#This Row],[User]],SKL放款!A:G,7,FALSE)</f>
        <v>放款服務課</v>
      </c>
      <c r="AC301" s="272">
        <v>44533</v>
      </c>
      <c r="AD301" s="272" t="s">
        <v>168</v>
      </c>
      <c r="AE301" s="272">
        <v>44477</v>
      </c>
      <c r="AF301" s="272">
        <v>44477</v>
      </c>
      <c r="AG301" s="209">
        <v>44546</v>
      </c>
      <c r="AH301" s="272" t="s">
        <v>169</v>
      </c>
      <c r="AI301" s="272"/>
      <c r="AJ301" s="322"/>
      <c r="AK301" s="272">
        <f>IFERROR(IF(VLOOKUP(功能_33[[#This Row],[功能代號]],E:U,11,FALSE)=0,"",VLOOKUP(功能_33[[#This Row],[功能代號]],E:U,11,FALSE)),"")</f>
        <v>44494</v>
      </c>
      <c r="AL301" s="272"/>
      <c r="AM301" s="272"/>
      <c r="AN301" s="265"/>
      <c r="AO301" s="272"/>
      <c r="AP301" s="264">
        <v>210</v>
      </c>
      <c r="AQ301" s="265" t="s">
        <v>851</v>
      </c>
      <c r="AR301" s="593" t="s">
        <v>3207</v>
      </c>
      <c r="AS301" s="483" t="str">
        <f>IF(COUNTA(AG301)=1,LEFT(D301,3),"")</f>
        <v>2-9</v>
      </c>
      <c r="AT301" s="485" t="str">
        <f>IF(AND(COUNTA(O301)=1,COUNTA(P301)=1,COUNTA(AC301)=1,COUNTA(AF301)=1,COUNTA(AG301)=0),LEFT(D301,3),"")</f>
        <v/>
      </c>
      <c r="AU301" s="487" t="str">
        <f>IF(AND(COUNTA(O301)=1,COUNTA(P301)=1,COUNTA(AC301)=1,COUNTA(AF301)=0,COUNTA(AG301)=0),LEFT(D301,3),"")</f>
        <v/>
      </c>
      <c r="AV301" s="489" t="str">
        <f>IF(AND(COUNTA(P301)=0,COUNTA(AC301)=1),LEFT(D301,3),"")</f>
        <v/>
      </c>
      <c r="AW301" s="491" t="str">
        <f>IF(AND(COUNTA(P301)=1,COUNTA(AC301)=0),LEFT(D301,3),"")</f>
        <v/>
      </c>
      <c r="AX301" s="493" t="str">
        <f>IF(AND(COUNTA(P301)=0,COUNTA(AC301)=0),LEFT(D301,3),"")</f>
        <v/>
      </c>
      <c r="AY301" s="514" t="str">
        <f>IFERROR(VLOOKUP(功能_33[[#This Row],[功能代號]],SIT_FT_2021tmp!D:D,1,FALSE),"")</f>
        <v>L2073</v>
      </c>
      <c r="AZ301" s="587">
        <v>44516</v>
      </c>
      <c r="BA301" s="587">
        <v>44516</v>
      </c>
      <c r="BB301" s="514" t="s">
        <v>3073</v>
      </c>
      <c r="BC301" s="265" t="s">
        <v>3058</v>
      </c>
      <c r="BD301" s="593"/>
      <c r="BE301" s="264" t="str">
        <f>IF(AND(COUNTIF(AY301,"&gt;&lt;0")=1,COUNTA(M301)=1),LEFT(D301,3),"")</f>
        <v>2-9</v>
      </c>
      <c r="BF301" s="264" t="str">
        <f>IF(AND(COUNTIF(AY301,"&gt;&lt;")=1,COUNTA(M301)=0),LEFT(D301,3),"")</f>
        <v/>
      </c>
      <c r="BG301" s="264" t="str">
        <f>IF(AND(COUNTIF(AY301,"&gt;&lt;0")=0,COUNTA(M301)=1),LEFT(D301,3),"")</f>
        <v/>
      </c>
      <c r="BH301" s="264" t="str">
        <f>IF(AND(COUNTIF(AY301,"&gt;&lt;0")=0,COUNTA(M301)=0),LEFT(D301,3),"")</f>
        <v/>
      </c>
    </row>
    <row r="302" spans="1:60" ht="13.5" x14ac:dyDescent="0.3">
      <c r="C302" s="265" t="s">
        <v>66</v>
      </c>
      <c r="D302" s="325" t="s">
        <v>2491</v>
      </c>
      <c r="E302" s="264" t="s">
        <v>852</v>
      </c>
      <c r="F302" s="265" t="s">
        <v>853</v>
      </c>
      <c r="G302" s="265"/>
      <c r="H302" s="264" t="s">
        <v>166</v>
      </c>
      <c r="I302" s="264" t="s">
        <v>176</v>
      </c>
      <c r="J302" s="212" t="s">
        <v>2842</v>
      </c>
      <c r="K302" s="212"/>
      <c r="L302" s="272">
        <v>44558</v>
      </c>
      <c r="M302" s="272">
        <v>44558</v>
      </c>
      <c r="N302" s="272">
        <v>44494</v>
      </c>
      <c r="O302" s="272">
        <v>44494</v>
      </c>
      <c r="P302" s="272">
        <f>IFERROR(IF(VLOOKUP(功能_33[[#This Row],[功能代號]],討論項目!A:H,8,FALSE)=0,"",VLOOKUP(功能_33[[#This Row],[功能代號]],討論項目!A:H,8,FALSE)),"")</f>
        <v>44494</v>
      </c>
      <c r="Q302" s="264" t="s">
        <v>6</v>
      </c>
      <c r="R302" s="264" t="s">
        <v>145</v>
      </c>
      <c r="S302" s="264" t="s">
        <v>145</v>
      </c>
      <c r="X302" s="264"/>
      <c r="Z302" s="264"/>
      <c r="AA302" s="264"/>
      <c r="AB302" s="265" t="str">
        <f>VLOOKUP(功能_33[[#This Row],[User]],SKL放款!A:G,7,FALSE)</f>
        <v>放款服務課</v>
      </c>
      <c r="AC302" s="272">
        <v>44533</v>
      </c>
      <c r="AD302" s="272" t="s">
        <v>107</v>
      </c>
      <c r="AE302" s="272">
        <v>44529</v>
      </c>
      <c r="AF302" s="272">
        <v>44529</v>
      </c>
      <c r="AG302" s="209">
        <v>44546</v>
      </c>
      <c r="AH302" s="272"/>
      <c r="AI302" s="272"/>
      <c r="AJ302" s="322"/>
      <c r="AK302" s="272">
        <f>IFERROR(IF(VLOOKUP(功能_33[[#This Row],[功能代號]],E:U,11,FALSE)=0,"",VLOOKUP(功能_33[[#This Row],[功能代號]],E:U,11,FALSE)),"")</f>
        <v>44494</v>
      </c>
      <c r="AL302" s="272"/>
      <c r="AM302" s="272"/>
      <c r="AN302" s="265"/>
      <c r="AO302" s="272"/>
      <c r="AP302" s="264">
        <v>231</v>
      </c>
      <c r="AQ302" s="265" t="s">
        <v>854</v>
      </c>
      <c r="AR302" s="593" t="s">
        <v>3207</v>
      </c>
      <c r="AS302" s="483" t="str">
        <f>IF(COUNTA(AG302)=1,LEFT(D302,3),"")</f>
        <v>2-9</v>
      </c>
      <c r="AT302" s="485" t="str">
        <f>IF(AND(COUNTA(O302)=1,COUNTA(P302)=1,COUNTA(AC302)=1,COUNTA(AF302)=1,COUNTA(AG302)=0),LEFT(D302,3),"")</f>
        <v/>
      </c>
      <c r="AU302" s="487" t="str">
        <f>IF(AND(COUNTA(O302)=1,COUNTA(P302)=1,COUNTA(AC302)=1,COUNTA(AF302)=0,COUNTA(AG302)=0),LEFT(D302,3),"")</f>
        <v/>
      </c>
      <c r="AV302" s="489" t="str">
        <f>IF(AND(COUNTA(P302)=0,COUNTA(AC302)=1),LEFT(D302,3),"")</f>
        <v/>
      </c>
      <c r="AW302" s="491" t="str">
        <f>IF(AND(COUNTA(P302)=1,COUNTA(AC302)=0),LEFT(D302,3),"")</f>
        <v/>
      </c>
      <c r="AX302" s="493" t="str">
        <f>IF(AND(COUNTA(P302)=0,COUNTA(AC302)=0),LEFT(D302,3),"")</f>
        <v/>
      </c>
      <c r="AY302" s="514" t="str">
        <f>IFERROR(VLOOKUP(功能_33[[#This Row],[功能代號]],SIT_FT_2021tmp!D:D,1,FALSE),"")</f>
        <v>L2703</v>
      </c>
      <c r="AZ302" s="587">
        <v>44516</v>
      </c>
      <c r="BA302" s="587">
        <v>44516</v>
      </c>
      <c r="BB302" s="514" t="s">
        <v>3073</v>
      </c>
      <c r="BC302" s="265" t="s">
        <v>3058</v>
      </c>
      <c r="BD302" s="593"/>
      <c r="BE302" s="264" t="str">
        <f>IF(AND(COUNTIF(AY302,"&gt;&lt;0")=1,COUNTA(M302)=1),LEFT(D302,3),"")</f>
        <v>2-9</v>
      </c>
      <c r="BF302" s="264" t="str">
        <f>IF(AND(COUNTIF(AY302,"&gt;&lt;")=1,COUNTA(M302)=0),LEFT(D302,3),"")</f>
        <v/>
      </c>
      <c r="BG302" s="264" t="str">
        <f>IF(AND(COUNTIF(AY302,"&gt;&lt;0")=0,COUNTA(M302)=1),LEFT(D302,3),"")</f>
        <v/>
      </c>
      <c r="BH302" s="264" t="str">
        <f>IF(AND(COUNTIF(AY302,"&gt;&lt;0")=0,COUNTA(M302)=0),LEFT(D302,3),"")</f>
        <v/>
      </c>
    </row>
    <row r="303" spans="1:60" ht="13.5" x14ac:dyDescent="0.3">
      <c r="C303" s="265" t="s">
        <v>66</v>
      </c>
      <c r="D303" s="265" t="s">
        <v>2479</v>
      </c>
      <c r="E303" s="264" t="s">
        <v>855</v>
      </c>
      <c r="F303" s="265" t="s">
        <v>856</v>
      </c>
      <c r="G303" s="265"/>
      <c r="H303" s="264" t="s">
        <v>166</v>
      </c>
      <c r="I303" s="264" t="s">
        <v>176</v>
      </c>
      <c r="J303" s="212" t="s">
        <v>2754</v>
      </c>
      <c r="K303" s="212"/>
      <c r="L303" s="272">
        <v>44558</v>
      </c>
      <c r="M303" s="272">
        <v>44558</v>
      </c>
      <c r="N303" s="272">
        <v>44494</v>
      </c>
      <c r="O303" s="272">
        <v>44494</v>
      </c>
      <c r="P303" s="272">
        <f>IFERROR(IF(VLOOKUP(功能_33[[#This Row],[功能代號]],討論項目!A:H,8,FALSE)=0,"",VLOOKUP(功能_33[[#This Row],[功能代號]],討論項目!A:H,8,FALSE)),"")</f>
        <v>44494</v>
      </c>
      <c r="Q303" s="264" t="s">
        <v>4</v>
      </c>
      <c r="R303" s="264" t="s">
        <v>16</v>
      </c>
      <c r="S303" s="264" t="s">
        <v>16</v>
      </c>
      <c r="T303" s="265" t="s">
        <v>843</v>
      </c>
      <c r="X303" s="264"/>
      <c r="Z303" s="264"/>
      <c r="AA303" s="264"/>
      <c r="AB303" s="265" t="str">
        <f>VLOOKUP(功能_33[[#This Row],[User]],SKL放款!A:G,7,FALSE)</f>
        <v>放款管理課</v>
      </c>
      <c r="AC303" s="272">
        <v>44533</v>
      </c>
      <c r="AD303" s="272" t="s">
        <v>107</v>
      </c>
      <c r="AE303" s="272">
        <v>44525</v>
      </c>
      <c r="AF303" s="272">
        <v>44525</v>
      </c>
      <c r="AG303" s="209">
        <v>44544</v>
      </c>
      <c r="AH303" s="272"/>
      <c r="AI303" s="272"/>
      <c r="AJ303" s="322"/>
      <c r="AK303" s="272">
        <f>IFERROR(IF(VLOOKUP(功能_33[[#This Row],[功能代號]],E:U,11,FALSE)=0,"",VLOOKUP(功能_33[[#This Row],[功能代號]],E:U,11,FALSE)),"")</f>
        <v>44494</v>
      </c>
      <c r="AL303" s="272"/>
      <c r="AM303" s="272"/>
      <c r="AN303" s="265"/>
      <c r="AO303" s="272"/>
      <c r="AP303" s="264" t="s">
        <v>163</v>
      </c>
      <c r="AQ303" s="264" t="s">
        <v>163</v>
      </c>
      <c r="AR303" s="593" t="s">
        <v>3207</v>
      </c>
      <c r="AS303" s="483" t="str">
        <f>IF(COUNTA(AG303)=1,LEFT(D303,3),"")</f>
        <v>2-4</v>
      </c>
      <c r="AT303" s="485" t="str">
        <f>IF(AND(COUNTA(O303)=1,COUNTA(P303)=1,COUNTA(AC303)=1,COUNTA(AF303)=1,COUNTA(AG303)=0),LEFT(D303,3),"")</f>
        <v/>
      </c>
      <c r="AU303" s="487" t="str">
        <f>IF(AND(COUNTA(O303)=1,COUNTA(P303)=1,COUNTA(AC303)=1,COUNTA(AF303)=0,COUNTA(AG303)=0),LEFT(D303,3),"")</f>
        <v/>
      </c>
      <c r="AV303" s="489" t="str">
        <f>IF(AND(COUNTA(P303)=0,COUNTA(AC303)=1),LEFT(D303,3),"")</f>
        <v/>
      </c>
      <c r="AW303" s="491" t="str">
        <f>IF(AND(COUNTA(P303)=1,COUNTA(AC303)=0),LEFT(D303,3),"")</f>
        <v/>
      </c>
      <c r="AX303" s="493" t="str">
        <f>IF(AND(COUNTA(P303)=0,COUNTA(AC303)=0),LEFT(D303,3),"")</f>
        <v/>
      </c>
      <c r="AY303" s="514" t="str">
        <f>IFERROR(VLOOKUP(功能_33[[#This Row],[功能代號]],SIT_FT_2021tmp!D:D,1,FALSE),"")</f>
        <v>L2039</v>
      </c>
      <c r="AZ303" s="587">
        <v>44525</v>
      </c>
      <c r="BA303" s="587">
        <v>44525</v>
      </c>
      <c r="BB303" s="514" t="s">
        <v>3073</v>
      </c>
      <c r="BC303" s="265" t="s">
        <v>3059</v>
      </c>
      <c r="BD303" s="593"/>
      <c r="BE303" s="264" t="str">
        <f>IF(AND(COUNTIF(AY303,"&gt;&lt;0")=1,COUNTA(M303)=1),LEFT(D303,3),"")</f>
        <v>2-4</v>
      </c>
      <c r="BF303" s="264" t="str">
        <f>IF(AND(COUNTIF(AY303,"&gt;&lt;")=1,COUNTA(M303)=0),LEFT(D303,3),"")</f>
        <v/>
      </c>
      <c r="BG303" s="264" t="str">
        <f>IF(AND(COUNTIF(AY303,"&gt;&lt;0")=0,COUNTA(M303)=1),LEFT(D303,3),"")</f>
        <v/>
      </c>
      <c r="BH303" s="264" t="str">
        <f>IF(AND(COUNTIF(AY303,"&gt;&lt;0")=0,COUNTA(M303)=0),LEFT(D303,3),"")</f>
        <v/>
      </c>
    </row>
    <row r="304" spans="1:60" ht="13.5" x14ac:dyDescent="0.3">
      <c r="A304" s="535"/>
      <c r="B304" s="360"/>
      <c r="C304" s="265" t="s">
        <v>66</v>
      </c>
      <c r="D304" s="265" t="s">
        <v>2479</v>
      </c>
      <c r="E304" s="264" t="s">
        <v>2801</v>
      </c>
      <c r="F304" s="551" t="s">
        <v>2802</v>
      </c>
      <c r="G304" s="265"/>
      <c r="H304" s="264" t="s">
        <v>166</v>
      </c>
      <c r="I304" s="264" t="s">
        <v>176</v>
      </c>
      <c r="J304" s="212" t="s">
        <v>2842</v>
      </c>
      <c r="K304" s="212"/>
      <c r="L304" s="272">
        <v>44564</v>
      </c>
      <c r="M304" s="272">
        <v>44564</v>
      </c>
      <c r="N304" s="272">
        <v>44494</v>
      </c>
      <c r="O304" s="272">
        <v>44517</v>
      </c>
      <c r="P304" s="272">
        <v>44517</v>
      </c>
      <c r="Q304" s="264" t="s">
        <v>4</v>
      </c>
      <c r="R304" s="264" t="s">
        <v>15</v>
      </c>
      <c r="S304" s="264" t="s">
        <v>15</v>
      </c>
      <c r="X304" s="264"/>
      <c r="Z304" s="264"/>
      <c r="AA304" s="264"/>
      <c r="AB304" s="265" t="str">
        <f>VLOOKUP(功能_33[[#This Row],[User]],SKL放款!A:G,7,FALSE)</f>
        <v>放款服務課</v>
      </c>
      <c r="AC304" s="272">
        <v>44533</v>
      </c>
      <c r="AD304" s="272" t="s">
        <v>168</v>
      </c>
      <c r="AE304" s="272">
        <v>44517</v>
      </c>
      <c r="AF304" s="272">
        <v>44517</v>
      </c>
      <c r="AG304" s="209">
        <v>44546</v>
      </c>
      <c r="AH304" s="272"/>
      <c r="AI304" s="272"/>
      <c r="AJ304" s="322"/>
      <c r="AK304" s="272">
        <f>IFERROR(IF(VLOOKUP(功能_33[[#This Row],[功能代號]],E:U,11,FALSE)=0,"",VLOOKUP(功能_33[[#This Row],[功能代號]],E:U,11,FALSE)),"")</f>
        <v>44517</v>
      </c>
      <c r="AL304" s="272"/>
      <c r="AM304" s="272"/>
      <c r="AN304" s="265"/>
      <c r="AO304" s="272"/>
      <c r="AP304" s="264" t="s">
        <v>163</v>
      </c>
      <c r="AQ304" s="264" t="s">
        <v>163</v>
      </c>
      <c r="AR304" s="593" t="s">
        <v>3207</v>
      </c>
      <c r="AS304" s="483" t="str">
        <f>IF(COUNTA(AG304)=1,LEFT(D304,3),"")</f>
        <v>2-4</v>
      </c>
      <c r="AT304" s="485" t="str">
        <f>IF(AND(COUNTA(O304)=1,COUNTA(P304)=1,COUNTA(AC304)=1,COUNTA(AF304)=1,COUNTA(AG304)=0),LEFT(D304,3),"")</f>
        <v/>
      </c>
      <c r="AU304" s="487" t="str">
        <f>IF(AND(COUNTA(O304)=1,COUNTA(P304)=1,COUNTA(AC304)=1,COUNTA(AF304)=0,COUNTA(AG304)=0),LEFT(D304,3),"")</f>
        <v/>
      </c>
      <c r="AV304" s="489" t="str">
        <f>IF(AND(COUNTA(P304)=0,COUNTA(AC304)=1),LEFT(D304,3),"")</f>
        <v/>
      </c>
      <c r="AW304" s="491" t="str">
        <f>IF(AND(COUNTA(P304)=1,COUNTA(AC304)=0),LEFT(D304,3),"")</f>
        <v/>
      </c>
      <c r="AX304" s="493" t="str">
        <f>IF(AND(COUNTA(P304)=0,COUNTA(AC304)=0),LEFT(D304,3),"")</f>
        <v/>
      </c>
      <c r="AY304" s="514" t="str">
        <f>IFERROR(VLOOKUP(功能_33[[#This Row],[功能代號]],SIT_FT_2021tmp!D:D,1,FALSE),"")</f>
        <v>L2040</v>
      </c>
      <c r="AZ304" s="587">
        <v>44524</v>
      </c>
      <c r="BA304" s="587">
        <v>44524</v>
      </c>
      <c r="BB304" s="514" t="s">
        <v>3073</v>
      </c>
      <c r="BC304" s="265" t="s">
        <v>3006</v>
      </c>
      <c r="BD304" s="593"/>
      <c r="BE304" s="264" t="str">
        <f>IF(AND(COUNTIF(AY304,"&gt;&lt;0")=1,COUNTA(M304)=1),LEFT(D304,3),"")</f>
        <v>2-4</v>
      </c>
      <c r="BF304" s="264" t="str">
        <f>IF(AND(COUNTIF(AY304,"&gt;&lt;")=1,COUNTA(M304)=0),LEFT(D304,3),"")</f>
        <v/>
      </c>
      <c r="BG304" s="264" t="str">
        <f>IF(AND(COUNTIF(AY304,"&gt;&lt;0")=0,COUNTA(M304)=1),LEFT(D304,3),"")</f>
        <v/>
      </c>
      <c r="BH304" s="264" t="str">
        <f>IF(AND(COUNTIF(AY304,"&gt;&lt;0")=0,COUNTA(M304)=0),LEFT(D304,3),"")</f>
        <v/>
      </c>
    </row>
    <row r="305" spans="3:60" ht="13.5" x14ac:dyDescent="0.3">
      <c r="C305" s="265" t="s">
        <v>66</v>
      </c>
      <c r="D305" s="265" t="s">
        <v>2479</v>
      </c>
      <c r="E305" s="264" t="s">
        <v>857</v>
      </c>
      <c r="F305" s="265" t="s">
        <v>858</v>
      </c>
      <c r="G305" s="265"/>
      <c r="H305" s="264" t="s">
        <v>166</v>
      </c>
      <c r="I305" s="264" t="s">
        <v>176</v>
      </c>
      <c r="J305" s="212" t="s">
        <v>2754</v>
      </c>
      <c r="K305" s="212"/>
      <c r="L305" s="272">
        <v>44558</v>
      </c>
      <c r="M305" s="272">
        <v>44558</v>
      </c>
      <c r="N305" s="272">
        <v>44494</v>
      </c>
      <c r="O305" s="272">
        <v>44494</v>
      </c>
      <c r="P305" s="272">
        <f>IFERROR(IF(VLOOKUP(功能_33[[#This Row],[功能代號]],討論項目!A:H,8,FALSE)=0,"",VLOOKUP(功能_33[[#This Row],[功能代號]],討論項目!A:H,8,FALSE)),"")</f>
        <v>44494</v>
      </c>
      <c r="Q305" s="264" t="s">
        <v>4</v>
      </c>
      <c r="R305" s="264" t="s">
        <v>16</v>
      </c>
      <c r="S305" s="264" t="s">
        <v>16</v>
      </c>
      <c r="T305" s="265" t="s">
        <v>843</v>
      </c>
      <c r="X305" s="264"/>
      <c r="Z305" s="264"/>
      <c r="AA305" s="264"/>
      <c r="AB305" s="265" t="str">
        <f>VLOOKUP(功能_33[[#This Row],[User]],SKL放款!A:G,7,FALSE)</f>
        <v>放款管理課</v>
      </c>
      <c r="AC305" s="272">
        <v>44533</v>
      </c>
      <c r="AD305" s="272" t="s">
        <v>107</v>
      </c>
      <c r="AE305" s="272">
        <v>44525</v>
      </c>
      <c r="AF305" s="272">
        <v>44525</v>
      </c>
      <c r="AG305" s="209">
        <v>44544</v>
      </c>
      <c r="AH305" s="272"/>
      <c r="AI305" s="272"/>
      <c r="AJ305" s="322"/>
      <c r="AK305" s="272">
        <f>IFERROR(IF(VLOOKUP(功能_33[[#This Row],[功能代號]],E:U,11,FALSE)=0,"",VLOOKUP(功能_33[[#This Row],[功能代號]],E:U,11,FALSE)),"")</f>
        <v>44494</v>
      </c>
      <c r="AL305" s="272"/>
      <c r="AM305" s="272"/>
      <c r="AN305" s="265"/>
      <c r="AO305" s="272"/>
      <c r="AP305" s="264" t="s">
        <v>163</v>
      </c>
      <c r="AQ305" s="264" t="s">
        <v>163</v>
      </c>
      <c r="AR305" s="593" t="s">
        <v>3207</v>
      </c>
      <c r="AS305" s="483" t="str">
        <f>IF(COUNTA(AG305)=1,LEFT(D305,3),"")</f>
        <v>2-4</v>
      </c>
      <c r="AT305" s="485" t="str">
        <f>IF(AND(COUNTA(O305)=1,COUNTA(P305)=1,COUNTA(AC305)=1,COUNTA(AF305)=1,COUNTA(AG305)=0),LEFT(D305,3),"")</f>
        <v/>
      </c>
      <c r="AU305" s="487" t="str">
        <f>IF(AND(COUNTA(O305)=1,COUNTA(P305)=1,COUNTA(AC305)=1,COUNTA(AF305)=0,COUNTA(AG305)=0),LEFT(D305,3),"")</f>
        <v/>
      </c>
      <c r="AV305" s="489" t="str">
        <f>IF(AND(COUNTA(P305)=0,COUNTA(AC305)=1),LEFT(D305,3),"")</f>
        <v/>
      </c>
      <c r="AW305" s="491" t="str">
        <f>IF(AND(COUNTA(P305)=1,COUNTA(AC305)=0),LEFT(D305,3),"")</f>
        <v/>
      </c>
      <c r="AX305" s="493" t="str">
        <f>IF(AND(COUNTA(P305)=0,COUNTA(AC305)=0),LEFT(D305,3),"")</f>
        <v/>
      </c>
      <c r="AY305" s="514" t="str">
        <f>IFERROR(VLOOKUP(功能_33[[#This Row],[功能代號]],SIT_FT_2021tmp!D:D,1,FALSE),"")</f>
        <v>L2480</v>
      </c>
      <c r="AZ305" s="587">
        <v>44525</v>
      </c>
      <c r="BA305" s="587">
        <v>44525</v>
      </c>
      <c r="BB305" s="514" t="s">
        <v>3073</v>
      </c>
      <c r="BC305" s="265" t="s">
        <v>3059</v>
      </c>
      <c r="BD305" s="593"/>
      <c r="BE305" s="264" t="str">
        <f>IF(AND(COUNTIF(AY305,"&gt;&lt;0")=1,COUNTA(M305)=1),LEFT(D305,3),"")</f>
        <v>2-4</v>
      </c>
      <c r="BF305" s="264" t="str">
        <f>IF(AND(COUNTIF(AY305,"&gt;&lt;")=1,COUNTA(M305)=0),LEFT(D305,3),"")</f>
        <v/>
      </c>
      <c r="BG305" s="264" t="str">
        <f>IF(AND(COUNTIF(AY305,"&gt;&lt;0")=0,COUNTA(M305)=1),LEFT(D305,3),"")</f>
        <v/>
      </c>
      <c r="BH305" s="264" t="str">
        <f>IF(AND(COUNTIF(AY305,"&gt;&lt;0")=0,COUNTA(M305)=0),LEFT(D305,3),"")</f>
        <v/>
      </c>
    </row>
    <row r="306" spans="3:60" ht="13.5" x14ac:dyDescent="0.3">
      <c r="C306" s="265" t="s">
        <v>69</v>
      </c>
      <c r="D306" s="265" t="s">
        <v>2469</v>
      </c>
      <c r="E306" s="264" t="s">
        <v>859</v>
      </c>
      <c r="F306" s="265" t="s">
        <v>860</v>
      </c>
      <c r="G306" s="265"/>
      <c r="H306" s="264" t="s">
        <v>452</v>
      </c>
      <c r="I306" s="264" t="s">
        <v>452</v>
      </c>
      <c r="J306" s="212" t="s">
        <v>3099</v>
      </c>
      <c r="K306" s="212" t="s">
        <v>3088</v>
      </c>
      <c r="L306" s="272">
        <v>44571</v>
      </c>
      <c r="M306" s="272">
        <v>44579</v>
      </c>
      <c r="N306" s="272">
        <v>44496</v>
      </c>
      <c r="O306" s="272">
        <v>44496</v>
      </c>
      <c r="P306" s="272">
        <v>44537</v>
      </c>
      <c r="Q306" s="264" t="s">
        <v>1</v>
      </c>
      <c r="R306" s="264" t="s">
        <v>8</v>
      </c>
      <c r="S306" s="264" t="s">
        <v>8</v>
      </c>
      <c r="T306" s="265" t="s">
        <v>2584</v>
      </c>
      <c r="X306" s="264"/>
      <c r="Z306" s="264"/>
      <c r="AA306" s="264"/>
      <c r="AB306" s="265" t="str">
        <f>VLOOKUP(功能_33[[#This Row],[User]],SKL放款!A:G,7,FALSE)</f>
        <v>放款管理課</v>
      </c>
      <c r="AC306" s="272">
        <v>44537</v>
      </c>
      <c r="AD306" s="272" t="s">
        <v>107</v>
      </c>
      <c r="AE306" s="272">
        <v>44539</v>
      </c>
      <c r="AF306" s="272">
        <v>44539</v>
      </c>
      <c r="AG306" s="209" t="s">
        <v>3102</v>
      </c>
      <c r="AH306" s="272"/>
      <c r="AI306" s="272"/>
      <c r="AJ306" s="322"/>
      <c r="AK306" s="272">
        <f>IFERROR(IF(VLOOKUP(功能_33[[#This Row],[功能代號]],E:U,11,FALSE)=0,"",VLOOKUP(功能_33[[#This Row],[功能代號]],E:U,11,FALSE)),"")</f>
        <v>44496</v>
      </c>
      <c r="AL306" s="272"/>
      <c r="AM306" s="272"/>
      <c r="AN306" s="265"/>
      <c r="AO306" s="209">
        <v>44488</v>
      </c>
      <c r="AP306" s="264" t="s">
        <v>2680</v>
      </c>
      <c r="AQ306" s="265" t="s">
        <v>2681</v>
      </c>
      <c r="AR306" s="593" t="s">
        <v>3207</v>
      </c>
      <c r="AS306" s="483" t="str">
        <f>IF(COUNTA(AG306)=1,LEFT(D306,3),"")</f>
        <v>5-4</v>
      </c>
      <c r="AT306" s="485" t="str">
        <f>IF(AND(COUNTA(O306)=1,COUNTA(P306)=1,COUNTA(AC306)=1,COUNTA(AF306)=1,COUNTA(AG306)=0),LEFT(D306,3),"")</f>
        <v/>
      </c>
      <c r="AU306" s="487" t="str">
        <f>IF(AND(COUNTA(O306)=1,COUNTA(P306)=1,COUNTA(AC306)=1,COUNTA(AF306)=0,COUNTA(AG306)=0),LEFT(D306,3),"")</f>
        <v/>
      </c>
      <c r="AV306" s="489" t="str">
        <f>IF(AND(COUNTA(P306)=0,COUNTA(AC306)=1),LEFT(D306,3),"")</f>
        <v/>
      </c>
      <c r="AW306" s="491" t="str">
        <f>IF(AND(COUNTA(P306)=1,COUNTA(AC306)=0),LEFT(D306,3),"")</f>
        <v/>
      </c>
      <c r="AX306" s="493" t="str">
        <f>IF(AND(COUNTA(P306)=0,COUNTA(AC306)=0),LEFT(D306,3),"")</f>
        <v/>
      </c>
      <c r="AY306" s="514" t="str">
        <f>IFERROR(VLOOKUP(功能_33[[#This Row],[功能代號]],SIT_FT_2021tmp!D:D,1,FALSE),"")</f>
        <v/>
      </c>
      <c r="AZ306" s="587">
        <v>44589</v>
      </c>
      <c r="BA306" s="587">
        <v>44585</v>
      </c>
      <c r="BB306" s="514" t="s">
        <v>2425</v>
      </c>
      <c r="BC306" s="265" t="s">
        <v>2453</v>
      </c>
      <c r="BD306" s="593"/>
      <c r="BE306" s="265" t="str">
        <f>IF(AND(COUNTIF(AY306,"&gt;&lt;0")=1,COUNTA(M306)=1),LEFT(D306,3),"")</f>
        <v/>
      </c>
      <c r="BF306" s="265" t="str">
        <f>IF(AND(COUNTIF(AY306,"&gt;&lt;")=1,COUNTA(M306)=0),LEFT(D306,3),"")</f>
        <v/>
      </c>
      <c r="BG306" s="265" t="str">
        <f>IF(AND(COUNTIF(AY306,"&gt;&lt;0")=0,COUNTA(M306)=1),LEFT(D306,3),"")</f>
        <v>5-4</v>
      </c>
      <c r="BH306" s="265" t="str">
        <f>IF(AND(COUNTIF(AY306,"&gt;&lt;0")=0,COUNTA(M306)=0),LEFT(D306,3),"")</f>
        <v/>
      </c>
    </row>
    <row r="307" spans="3:60" ht="13.5" x14ac:dyDescent="0.3">
      <c r="C307" s="265" t="s">
        <v>69</v>
      </c>
      <c r="D307" s="265" t="s">
        <v>2469</v>
      </c>
      <c r="E307" s="264" t="s">
        <v>861</v>
      </c>
      <c r="F307" s="265" t="s">
        <v>862</v>
      </c>
      <c r="G307" s="265"/>
      <c r="H307" s="264" t="s">
        <v>452</v>
      </c>
      <c r="I307" s="264" t="s">
        <v>452</v>
      </c>
      <c r="J307" s="212" t="s">
        <v>2683</v>
      </c>
      <c r="K307" s="212"/>
      <c r="L307" s="272">
        <v>44571</v>
      </c>
      <c r="M307" s="272">
        <v>44571</v>
      </c>
      <c r="N307" s="272">
        <v>44496</v>
      </c>
      <c r="O307" s="272">
        <v>44496</v>
      </c>
      <c r="P307" s="272">
        <v>44496</v>
      </c>
      <c r="Q307" s="264" t="s">
        <v>1</v>
      </c>
      <c r="R307" s="264" t="s">
        <v>8</v>
      </c>
      <c r="S307" s="264" t="s">
        <v>8</v>
      </c>
      <c r="T307" s="265" t="s">
        <v>2584</v>
      </c>
      <c r="X307" s="264"/>
      <c r="Z307" s="264"/>
      <c r="AA307" s="264"/>
      <c r="AB307" s="265" t="str">
        <f>VLOOKUP(功能_33[[#This Row],[User]],SKL放款!A:G,7,FALSE)</f>
        <v>放款管理課</v>
      </c>
      <c r="AC307" s="272">
        <v>44496</v>
      </c>
      <c r="AD307" s="272" t="s">
        <v>168</v>
      </c>
      <c r="AE307" s="272">
        <v>44539</v>
      </c>
      <c r="AF307" s="272">
        <v>44539</v>
      </c>
      <c r="AG307" s="209">
        <v>44539</v>
      </c>
      <c r="AH307" s="272"/>
      <c r="AI307" s="272"/>
      <c r="AJ307" s="322"/>
      <c r="AK307" s="272">
        <f>IFERROR(IF(VLOOKUP(功能_33[[#This Row],[功能代號]],E:U,11,FALSE)=0,"",VLOOKUP(功能_33[[#This Row],[功能代號]],E:U,11,FALSE)),"")</f>
        <v>44496</v>
      </c>
      <c r="AL307" s="272"/>
      <c r="AM307" s="272"/>
      <c r="AN307" s="265"/>
      <c r="AO307" s="272"/>
      <c r="AP307" s="264" t="s">
        <v>2680</v>
      </c>
      <c r="AQ307" s="265" t="s">
        <v>2681</v>
      </c>
      <c r="AR307" s="593" t="s">
        <v>3207</v>
      </c>
      <c r="AS307" s="483" t="str">
        <f>IF(COUNTA(AG307)=1,LEFT(D307,3),"")</f>
        <v>5-4</v>
      </c>
      <c r="AT307" s="485" t="str">
        <f>IF(AND(COUNTA(O307)=1,COUNTA(P307)=1,COUNTA(AC307)=1,COUNTA(AF307)=1,COUNTA(AG307)=0),LEFT(D307,3),"")</f>
        <v/>
      </c>
      <c r="AU307" s="487" t="str">
        <f>IF(AND(COUNTA(O307)=1,COUNTA(P307)=1,COUNTA(AC307)=1,COUNTA(AF307)=0,COUNTA(AG307)=0),LEFT(D307,3),"")</f>
        <v/>
      </c>
      <c r="AV307" s="489" t="str">
        <f>IF(AND(COUNTA(P307)=0,COUNTA(AC307)=1),LEFT(D307,3),"")</f>
        <v/>
      </c>
      <c r="AW307" s="491" t="str">
        <f>IF(AND(COUNTA(P307)=1,COUNTA(AC307)=0),LEFT(D307,3),"")</f>
        <v/>
      </c>
      <c r="AX307" s="493" t="str">
        <f>IF(AND(COUNTA(P307)=0,COUNTA(AC307)=0),LEFT(D307,3),"")</f>
        <v/>
      </c>
      <c r="AY307" s="514" t="str">
        <f>IFERROR(VLOOKUP(功能_33[[#This Row],[功能代號]],SIT_FT_2021tmp!D:D,1,FALSE),"")</f>
        <v/>
      </c>
      <c r="AZ307" s="587">
        <v>44589</v>
      </c>
      <c r="BA307" s="587">
        <v>44585</v>
      </c>
      <c r="BB307" s="514" t="s">
        <v>2425</v>
      </c>
      <c r="BC307" s="265" t="s">
        <v>2453</v>
      </c>
      <c r="BD307" s="593"/>
      <c r="BE307" s="265" t="str">
        <f>IF(AND(COUNTIF(AY307,"&gt;&lt;0")=1,COUNTA(M307)=1),LEFT(D307,3),"")</f>
        <v/>
      </c>
      <c r="BF307" s="265" t="str">
        <f>IF(AND(COUNTIF(AY307,"&gt;&lt;")=1,COUNTA(M307)=0),LEFT(D307,3),"")</f>
        <v/>
      </c>
      <c r="BG307" s="265" t="str">
        <f>IF(AND(COUNTIF(AY307,"&gt;&lt;0")=0,COUNTA(M307)=1),LEFT(D307,3),"")</f>
        <v>5-4</v>
      </c>
      <c r="BH307" s="265" t="str">
        <f>IF(AND(COUNTIF(AY307,"&gt;&lt;0")=0,COUNTA(M307)=0),LEFT(D307,3),"")</f>
        <v/>
      </c>
    </row>
    <row r="308" spans="3:60" ht="13.5" x14ac:dyDescent="0.3">
      <c r="C308" s="265" t="s">
        <v>69</v>
      </c>
      <c r="D308" s="265" t="s">
        <v>2469</v>
      </c>
      <c r="E308" s="264" t="s">
        <v>863</v>
      </c>
      <c r="F308" s="265" t="s">
        <v>864</v>
      </c>
      <c r="G308" s="265"/>
      <c r="H308" s="264" t="s">
        <v>452</v>
      </c>
      <c r="I308" s="264" t="s">
        <v>452</v>
      </c>
      <c r="J308" s="212" t="s">
        <v>2947</v>
      </c>
      <c r="K308" s="212" t="s">
        <v>2993</v>
      </c>
      <c r="L308" s="272">
        <v>44571</v>
      </c>
      <c r="M308" s="272">
        <v>44571</v>
      </c>
      <c r="N308" s="272">
        <v>44496</v>
      </c>
      <c r="O308" s="272">
        <v>44496</v>
      </c>
      <c r="P308" s="272">
        <v>44515</v>
      </c>
      <c r="Q308" s="264" t="s">
        <v>1</v>
      </c>
      <c r="R308" s="264" t="s">
        <v>8</v>
      </c>
      <c r="S308" s="264" t="s">
        <v>8</v>
      </c>
      <c r="T308" s="265" t="s">
        <v>2584</v>
      </c>
      <c r="X308" s="264"/>
      <c r="Z308" s="264"/>
      <c r="AA308" s="264"/>
      <c r="AB308" s="265" t="str">
        <f>VLOOKUP(功能_33[[#This Row],[User]],SKL放款!A:G,7,FALSE)</f>
        <v>放款管理課</v>
      </c>
      <c r="AC308" s="272">
        <v>44515</v>
      </c>
      <c r="AD308" s="272" t="s">
        <v>107</v>
      </c>
      <c r="AE308" s="272">
        <v>44539</v>
      </c>
      <c r="AF308" s="272">
        <v>44539</v>
      </c>
      <c r="AG308" s="209" t="s">
        <v>2964</v>
      </c>
      <c r="AH308" s="272"/>
      <c r="AI308" s="272"/>
      <c r="AJ308" s="322"/>
      <c r="AK308" s="272">
        <f>IFERROR(IF(VLOOKUP(功能_33[[#This Row],[功能代號]],E:U,11,FALSE)=0,"",VLOOKUP(功能_33[[#This Row],[功能代號]],E:U,11,FALSE)),"")</f>
        <v>44496</v>
      </c>
      <c r="AL308" s="272"/>
      <c r="AM308" s="272"/>
      <c r="AN308" s="265"/>
      <c r="AO308" s="272"/>
      <c r="AP308" s="264" t="s">
        <v>2680</v>
      </c>
      <c r="AQ308" s="265" t="s">
        <v>2681</v>
      </c>
      <c r="AR308" s="593" t="s">
        <v>3207</v>
      </c>
      <c r="AS308" s="483" t="str">
        <f>IF(COUNTA(AG308)=1,LEFT(D308,3),"")</f>
        <v>5-4</v>
      </c>
      <c r="AT308" s="485" t="str">
        <f>IF(AND(COUNTA(O308)=1,COUNTA(P308)=1,COUNTA(AC308)=1,COUNTA(AF308)=1,COUNTA(AG308)=0),LEFT(D308,3),"")</f>
        <v/>
      </c>
      <c r="AU308" s="487" t="str">
        <f>IF(AND(COUNTA(O308)=1,COUNTA(P308)=1,COUNTA(AC308)=1,COUNTA(AF308)=0,COUNTA(AG308)=0),LEFT(D308,3),"")</f>
        <v/>
      </c>
      <c r="AV308" s="489" t="str">
        <f>IF(AND(COUNTA(P308)=0,COUNTA(AC308)=1),LEFT(D308,3),"")</f>
        <v/>
      </c>
      <c r="AW308" s="491" t="str">
        <f>IF(AND(COUNTA(P308)=1,COUNTA(AC308)=0),LEFT(D308,3),"")</f>
        <v/>
      </c>
      <c r="AX308" s="493" t="str">
        <f>IF(AND(COUNTA(P308)=0,COUNTA(AC308)=0),LEFT(D308,3),"")</f>
        <v/>
      </c>
      <c r="AY308" s="514" t="str">
        <f>IFERROR(VLOOKUP(功能_33[[#This Row],[功能代號]],SIT_FT_2021tmp!D:D,1,FALSE),"")</f>
        <v/>
      </c>
      <c r="AZ308" s="587">
        <v>44589</v>
      </c>
      <c r="BA308" s="587">
        <v>44585</v>
      </c>
      <c r="BB308" s="514" t="s">
        <v>2425</v>
      </c>
      <c r="BC308" s="265" t="s">
        <v>2453</v>
      </c>
      <c r="BD308" s="593"/>
      <c r="BE308" s="265" t="str">
        <f>IF(AND(COUNTIF(AY308,"&gt;&lt;0")=1,COUNTA(M308)=1),LEFT(D308,3),"")</f>
        <v/>
      </c>
      <c r="BF308" s="265" t="str">
        <f>IF(AND(COUNTIF(AY308,"&gt;&lt;")=1,COUNTA(M308)=0),LEFT(D308,3),"")</f>
        <v/>
      </c>
      <c r="BG308" s="265" t="str">
        <f>IF(AND(COUNTIF(AY308,"&gt;&lt;0")=0,COUNTA(M308)=1),LEFT(D308,3),"")</f>
        <v>5-4</v>
      </c>
      <c r="BH308" s="265" t="str">
        <f>IF(AND(COUNTIF(AY308,"&gt;&lt;0")=0,COUNTA(M308)=0),LEFT(D308,3),"")</f>
        <v/>
      </c>
    </row>
    <row r="309" spans="3:60" ht="13.5" x14ac:dyDescent="0.3">
      <c r="C309" s="265" t="s">
        <v>69</v>
      </c>
      <c r="D309" s="265" t="s">
        <v>2469</v>
      </c>
      <c r="E309" s="264" t="s">
        <v>865</v>
      </c>
      <c r="F309" s="265" t="s">
        <v>866</v>
      </c>
      <c r="G309" s="265"/>
      <c r="H309" s="264" t="s">
        <v>452</v>
      </c>
      <c r="I309" s="264" t="s">
        <v>452</v>
      </c>
      <c r="J309" s="212" t="s">
        <v>3087</v>
      </c>
      <c r="K309" s="212" t="s">
        <v>3088</v>
      </c>
      <c r="L309" s="272">
        <v>44571</v>
      </c>
      <c r="M309" s="272">
        <v>44578</v>
      </c>
      <c r="N309" s="272">
        <v>44496</v>
      </c>
      <c r="O309" s="272">
        <v>44496</v>
      </c>
      <c r="P309" s="272">
        <v>44503</v>
      </c>
      <c r="Q309" s="264" t="s">
        <v>1</v>
      </c>
      <c r="R309" s="264" t="s">
        <v>8</v>
      </c>
      <c r="S309" s="264" t="s">
        <v>8</v>
      </c>
      <c r="T309" s="265" t="s">
        <v>2584</v>
      </c>
      <c r="X309" s="264"/>
      <c r="Z309" s="264"/>
      <c r="AA309" s="264"/>
      <c r="AB309" s="265" t="str">
        <f>VLOOKUP(功能_33[[#This Row],[User]],SKL放款!A:G,7,FALSE)</f>
        <v>放款管理課</v>
      </c>
      <c r="AC309" s="272">
        <v>44503</v>
      </c>
      <c r="AD309" s="272" t="s">
        <v>107</v>
      </c>
      <c r="AE309" s="272">
        <v>44539</v>
      </c>
      <c r="AF309" s="272">
        <v>44539</v>
      </c>
      <c r="AG309" s="209" t="s">
        <v>3102</v>
      </c>
      <c r="AH309" s="272"/>
      <c r="AI309" s="272"/>
      <c r="AJ309" s="322"/>
      <c r="AK309" s="272">
        <f>IFERROR(IF(VLOOKUP(功能_33[[#This Row],[功能代號]],E:U,11,FALSE)=0,"",VLOOKUP(功能_33[[#This Row],[功能代號]],E:U,11,FALSE)),"")</f>
        <v>44496</v>
      </c>
      <c r="AL309" s="272"/>
      <c r="AM309" s="272"/>
      <c r="AN309" s="265"/>
      <c r="AO309" s="272"/>
      <c r="AP309" s="264" t="s">
        <v>2680</v>
      </c>
      <c r="AQ309" s="265" t="s">
        <v>2681</v>
      </c>
      <c r="AR309" s="593" t="s">
        <v>3207</v>
      </c>
      <c r="AS309" s="483" t="str">
        <f>IF(COUNTA(AG309)=1,LEFT(D309,3),"")</f>
        <v>5-4</v>
      </c>
      <c r="AT309" s="485" t="str">
        <f>IF(AND(COUNTA(O309)=1,COUNTA(P309)=1,COUNTA(AC309)=1,COUNTA(AF309)=1,COUNTA(AG309)=0),LEFT(D309,3),"")</f>
        <v/>
      </c>
      <c r="AU309" s="487" t="str">
        <f>IF(AND(COUNTA(O309)=1,COUNTA(P309)=1,COUNTA(AC309)=1,COUNTA(AF309)=0,COUNTA(AG309)=0),LEFT(D309,3),"")</f>
        <v/>
      </c>
      <c r="AV309" s="489" t="str">
        <f>IF(AND(COUNTA(P309)=0,COUNTA(AC309)=1),LEFT(D309,3),"")</f>
        <v/>
      </c>
      <c r="AW309" s="491" t="str">
        <f>IF(AND(COUNTA(P309)=1,COUNTA(AC309)=0),LEFT(D309,3),"")</f>
        <v/>
      </c>
      <c r="AX309" s="493" t="str">
        <f>IF(AND(COUNTA(P309)=0,COUNTA(AC309)=0),LEFT(D309,3),"")</f>
        <v/>
      </c>
      <c r="AY309" s="514" t="str">
        <f>IFERROR(VLOOKUP(功能_33[[#This Row],[功能代號]],SIT_FT_2021tmp!D:D,1,FALSE),"")</f>
        <v/>
      </c>
      <c r="AZ309" s="587">
        <v>44589</v>
      </c>
      <c r="BA309" s="587">
        <v>44585</v>
      </c>
      <c r="BB309" s="514" t="s">
        <v>2425</v>
      </c>
      <c r="BC309" s="265" t="s">
        <v>2453</v>
      </c>
      <c r="BD309" s="593"/>
      <c r="BE309" s="265" t="str">
        <f>IF(AND(COUNTIF(AY309,"&gt;&lt;0")=1,COUNTA(M309)=1),LEFT(D309,3),"")</f>
        <v/>
      </c>
      <c r="BF309" s="265" t="str">
        <f>IF(AND(COUNTIF(AY309,"&gt;&lt;")=1,COUNTA(M309)=0),LEFT(D309,3),"")</f>
        <v/>
      </c>
      <c r="BG309" s="265" t="str">
        <f>IF(AND(COUNTIF(AY309,"&gt;&lt;0")=0,COUNTA(M309)=1),LEFT(D309,3),"")</f>
        <v>5-4</v>
      </c>
      <c r="BH309" s="265" t="str">
        <f>IF(AND(COUNTIF(AY309,"&gt;&lt;0")=0,COUNTA(M309)=0),LEFT(D309,3),"")</f>
        <v/>
      </c>
    </row>
    <row r="310" spans="3:60" ht="13.5" x14ac:dyDescent="0.3">
      <c r="C310" s="265" t="s">
        <v>69</v>
      </c>
      <c r="D310" s="265" t="s">
        <v>2469</v>
      </c>
      <c r="E310" s="264" t="s">
        <v>867</v>
      </c>
      <c r="F310" s="265" t="s">
        <v>868</v>
      </c>
      <c r="G310" s="265"/>
      <c r="H310" s="264" t="s">
        <v>452</v>
      </c>
      <c r="I310" s="264" t="s">
        <v>452</v>
      </c>
      <c r="J310" s="212" t="s">
        <v>2947</v>
      </c>
      <c r="K310" s="212" t="s">
        <v>2993</v>
      </c>
      <c r="L310" s="272">
        <v>44571</v>
      </c>
      <c r="M310" s="272">
        <v>44573</v>
      </c>
      <c r="N310" s="272">
        <v>44496</v>
      </c>
      <c r="O310" s="272">
        <v>44496</v>
      </c>
      <c r="P310" s="272">
        <v>44501</v>
      </c>
      <c r="Q310" s="264" t="s">
        <v>1</v>
      </c>
      <c r="R310" s="264" t="s">
        <v>8</v>
      </c>
      <c r="S310" s="264" t="s">
        <v>8</v>
      </c>
      <c r="T310" s="265" t="s">
        <v>2584</v>
      </c>
      <c r="X310" s="264"/>
      <c r="Z310" s="264"/>
      <c r="AA310" s="264"/>
      <c r="AB310" s="265" t="str">
        <f>VLOOKUP(功能_33[[#This Row],[User]],SKL放款!A:G,7,FALSE)</f>
        <v>放款管理課</v>
      </c>
      <c r="AC310" s="272">
        <v>44501</v>
      </c>
      <c r="AD310" s="272" t="s">
        <v>107</v>
      </c>
      <c r="AE310" s="272">
        <v>44539</v>
      </c>
      <c r="AF310" s="272">
        <v>44539</v>
      </c>
      <c r="AG310" s="209" t="s">
        <v>2964</v>
      </c>
      <c r="AH310" s="272"/>
      <c r="AI310" s="272"/>
      <c r="AJ310" s="322"/>
      <c r="AK310" s="272">
        <f>IFERROR(IF(VLOOKUP(功能_33[[#This Row],[功能代號]],E:U,11,FALSE)=0,"",VLOOKUP(功能_33[[#This Row],[功能代號]],E:U,11,FALSE)),"")</f>
        <v>44496</v>
      </c>
      <c r="AL310" s="272"/>
      <c r="AM310" s="272"/>
      <c r="AN310" s="265"/>
      <c r="AO310" s="272"/>
      <c r="AP310" s="264" t="s">
        <v>2680</v>
      </c>
      <c r="AQ310" s="265" t="s">
        <v>2681</v>
      </c>
      <c r="AR310" s="593" t="s">
        <v>3207</v>
      </c>
      <c r="AS310" s="483" t="str">
        <f>IF(COUNTA(AG310)=1,LEFT(D310,3),"")</f>
        <v>5-4</v>
      </c>
      <c r="AT310" s="485" t="str">
        <f>IF(AND(COUNTA(O310)=1,COUNTA(P310)=1,COUNTA(AC310)=1,COUNTA(AF310)=1,COUNTA(AG310)=0),LEFT(D310,3),"")</f>
        <v/>
      </c>
      <c r="AU310" s="487" t="str">
        <f>IF(AND(COUNTA(O310)=1,COUNTA(P310)=1,COUNTA(AC310)=1,COUNTA(AF310)=0,COUNTA(AG310)=0),LEFT(D310,3),"")</f>
        <v/>
      </c>
      <c r="AV310" s="489" t="str">
        <f>IF(AND(COUNTA(P310)=0,COUNTA(AC310)=1),LEFT(D310,3),"")</f>
        <v/>
      </c>
      <c r="AW310" s="491" t="str">
        <f>IF(AND(COUNTA(P310)=1,COUNTA(AC310)=0),LEFT(D310,3),"")</f>
        <v/>
      </c>
      <c r="AX310" s="493" t="str">
        <f>IF(AND(COUNTA(P310)=0,COUNTA(AC310)=0),LEFT(D310,3),"")</f>
        <v/>
      </c>
      <c r="AY310" s="514" t="str">
        <f>IFERROR(VLOOKUP(功能_33[[#This Row],[功能代號]],SIT_FT_2021tmp!D:D,1,FALSE),"")</f>
        <v/>
      </c>
      <c r="AZ310" s="587">
        <v>44589</v>
      </c>
      <c r="BA310" s="587">
        <v>44585</v>
      </c>
      <c r="BB310" s="514" t="s">
        <v>2425</v>
      </c>
      <c r="BC310" s="265" t="s">
        <v>2453</v>
      </c>
      <c r="BD310" s="593"/>
      <c r="BE310" s="265" t="str">
        <f>IF(AND(COUNTIF(AY310,"&gt;&lt;0")=1,COUNTA(M310)=1),LEFT(D310,3),"")</f>
        <v/>
      </c>
      <c r="BF310" s="265" t="str">
        <f>IF(AND(COUNTIF(AY310,"&gt;&lt;")=1,COUNTA(M310)=0),LEFT(D310,3),"")</f>
        <v/>
      </c>
      <c r="BG310" s="265" t="str">
        <f>IF(AND(COUNTIF(AY310,"&gt;&lt;0")=0,COUNTA(M310)=1),LEFT(D310,3),"")</f>
        <v>5-4</v>
      </c>
      <c r="BH310" s="265" t="str">
        <f>IF(AND(COUNTIF(AY310,"&gt;&lt;0")=0,COUNTA(M310)=0),LEFT(D310,3),"")</f>
        <v/>
      </c>
    </row>
    <row r="311" spans="3:60" ht="13.5" x14ac:dyDescent="0.3">
      <c r="C311" s="265" t="s">
        <v>69</v>
      </c>
      <c r="D311" s="265" t="s">
        <v>2469</v>
      </c>
      <c r="E311" s="264" t="s">
        <v>869</v>
      </c>
      <c r="F311" s="265" t="s">
        <v>870</v>
      </c>
      <c r="G311" s="265"/>
      <c r="H311" s="264" t="s">
        <v>452</v>
      </c>
      <c r="I311" s="264" t="s">
        <v>452</v>
      </c>
      <c r="J311" s="212" t="s">
        <v>3087</v>
      </c>
      <c r="K311" s="212" t="s">
        <v>3088</v>
      </c>
      <c r="L311" s="272">
        <v>44571</v>
      </c>
      <c r="M311" s="272">
        <v>44578</v>
      </c>
      <c r="N311" s="272">
        <v>44496</v>
      </c>
      <c r="O311" s="272">
        <v>44496</v>
      </c>
      <c r="P311" s="272">
        <v>44503</v>
      </c>
      <c r="Q311" s="264" t="s">
        <v>1</v>
      </c>
      <c r="R311" s="264" t="s">
        <v>8</v>
      </c>
      <c r="S311" s="264" t="s">
        <v>8</v>
      </c>
      <c r="T311" s="265" t="s">
        <v>2584</v>
      </c>
      <c r="X311" s="264"/>
      <c r="Z311" s="264"/>
      <c r="AA311" s="264"/>
      <c r="AB311" s="265" t="str">
        <f>VLOOKUP(功能_33[[#This Row],[User]],SKL放款!A:G,7,FALSE)</f>
        <v>放款管理課</v>
      </c>
      <c r="AC311" s="272">
        <v>44503</v>
      </c>
      <c r="AD311" s="272" t="s">
        <v>107</v>
      </c>
      <c r="AE311" s="272">
        <v>44539</v>
      </c>
      <c r="AF311" s="272">
        <v>44539</v>
      </c>
      <c r="AG311" s="209" t="s">
        <v>3102</v>
      </c>
      <c r="AH311" s="272"/>
      <c r="AI311" s="272"/>
      <c r="AJ311" s="322"/>
      <c r="AK311" s="272">
        <f>IFERROR(IF(VLOOKUP(功能_33[[#This Row],[功能代號]],E:U,11,FALSE)=0,"",VLOOKUP(功能_33[[#This Row],[功能代號]],E:U,11,FALSE)),"")</f>
        <v>44496</v>
      </c>
      <c r="AL311" s="272"/>
      <c r="AM311" s="272"/>
      <c r="AN311" s="265"/>
      <c r="AO311" s="272"/>
      <c r="AP311" s="264" t="s">
        <v>2680</v>
      </c>
      <c r="AQ311" s="265" t="s">
        <v>2681</v>
      </c>
      <c r="AR311" s="593" t="s">
        <v>3207</v>
      </c>
      <c r="AS311" s="483" t="str">
        <f>IF(COUNTA(AG311)=1,LEFT(D311,3),"")</f>
        <v>5-4</v>
      </c>
      <c r="AT311" s="485" t="str">
        <f>IF(AND(COUNTA(O311)=1,COUNTA(P311)=1,COUNTA(AC311)=1,COUNTA(AF311)=1,COUNTA(AG311)=0),LEFT(D311,3),"")</f>
        <v/>
      </c>
      <c r="AU311" s="487" t="str">
        <f>IF(AND(COUNTA(O311)=1,COUNTA(P311)=1,COUNTA(AC311)=1,COUNTA(AF311)=0,COUNTA(AG311)=0),LEFT(D311,3),"")</f>
        <v/>
      </c>
      <c r="AV311" s="489" t="str">
        <f>IF(AND(COUNTA(P311)=0,COUNTA(AC311)=1),LEFT(D311,3),"")</f>
        <v/>
      </c>
      <c r="AW311" s="491" t="str">
        <f>IF(AND(COUNTA(P311)=1,COUNTA(AC311)=0),LEFT(D311,3),"")</f>
        <v/>
      </c>
      <c r="AX311" s="493" t="str">
        <f>IF(AND(COUNTA(P311)=0,COUNTA(AC311)=0),LEFT(D311,3),"")</f>
        <v/>
      </c>
      <c r="AY311" s="514" t="str">
        <f>IFERROR(VLOOKUP(功能_33[[#This Row],[功能代號]],SIT_FT_2021tmp!D:D,1,FALSE),"")</f>
        <v/>
      </c>
      <c r="AZ311" s="587">
        <v>44589</v>
      </c>
      <c r="BA311" s="587">
        <v>44585</v>
      </c>
      <c r="BB311" s="514" t="s">
        <v>2425</v>
      </c>
      <c r="BC311" s="265" t="s">
        <v>2453</v>
      </c>
      <c r="BD311" s="593"/>
      <c r="BE311" s="265" t="str">
        <f>IF(AND(COUNTIF(AY311,"&gt;&lt;0")=1,COUNTA(M311)=1),LEFT(D311,3),"")</f>
        <v/>
      </c>
      <c r="BF311" s="265" t="str">
        <f>IF(AND(COUNTIF(AY311,"&gt;&lt;")=1,COUNTA(M311)=0),LEFT(D311,3),"")</f>
        <v/>
      </c>
      <c r="BG311" s="265" t="str">
        <f>IF(AND(COUNTIF(AY311,"&gt;&lt;0")=0,COUNTA(M311)=1),LEFT(D311,3),"")</f>
        <v>5-4</v>
      </c>
      <c r="BH311" s="265" t="str">
        <f>IF(AND(COUNTIF(AY311,"&gt;&lt;0")=0,COUNTA(M311)=0),LEFT(D311,3),"")</f>
        <v/>
      </c>
    </row>
    <row r="312" spans="3:60" ht="13.5" x14ac:dyDescent="0.3">
      <c r="C312" s="265" t="s">
        <v>69</v>
      </c>
      <c r="D312" s="265" t="s">
        <v>2469</v>
      </c>
      <c r="E312" s="264" t="s">
        <v>871</v>
      </c>
      <c r="F312" s="265" t="s">
        <v>872</v>
      </c>
      <c r="G312" s="265"/>
      <c r="H312" s="264" t="s">
        <v>452</v>
      </c>
      <c r="I312" s="264" t="s">
        <v>452</v>
      </c>
      <c r="J312" s="212" t="s">
        <v>2947</v>
      </c>
      <c r="K312" s="212" t="s">
        <v>2993</v>
      </c>
      <c r="L312" s="272">
        <v>44571</v>
      </c>
      <c r="M312" s="272">
        <v>44578</v>
      </c>
      <c r="N312" s="272">
        <v>44496</v>
      </c>
      <c r="O312" s="272">
        <v>44496</v>
      </c>
      <c r="P312" s="272">
        <v>44516</v>
      </c>
      <c r="Q312" s="264" t="s">
        <v>1</v>
      </c>
      <c r="R312" s="264" t="s">
        <v>8</v>
      </c>
      <c r="S312" s="264" t="s">
        <v>8</v>
      </c>
      <c r="T312" s="265" t="s">
        <v>2584</v>
      </c>
      <c r="X312" s="264"/>
      <c r="Z312" s="264"/>
      <c r="AA312" s="264"/>
      <c r="AB312" s="265" t="str">
        <f>VLOOKUP(功能_33[[#This Row],[User]],SKL放款!A:G,7,FALSE)</f>
        <v>放款管理課</v>
      </c>
      <c r="AC312" s="272">
        <v>44516</v>
      </c>
      <c r="AD312" s="272" t="s">
        <v>107</v>
      </c>
      <c r="AE312" s="272">
        <v>44539</v>
      </c>
      <c r="AF312" s="272">
        <v>44539</v>
      </c>
      <c r="AG312" s="209" t="s">
        <v>2964</v>
      </c>
      <c r="AH312" s="272"/>
      <c r="AI312" s="272"/>
      <c r="AJ312" s="322"/>
      <c r="AK312" s="272">
        <f>IFERROR(IF(VLOOKUP(功能_33[[#This Row],[功能代號]],E:U,11,FALSE)=0,"",VLOOKUP(功能_33[[#This Row],[功能代號]],E:U,11,FALSE)),"")</f>
        <v>44496</v>
      </c>
      <c r="AL312" s="272"/>
      <c r="AM312" s="272"/>
      <c r="AN312" s="265"/>
      <c r="AO312" s="272"/>
      <c r="AP312" s="264" t="s">
        <v>2680</v>
      </c>
      <c r="AQ312" s="265" t="s">
        <v>2681</v>
      </c>
      <c r="AR312" s="593" t="s">
        <v>3207</v>
      </c>
      <c r="AS312" s="483" t="str">
        <f>IF(COUNTA(AG312)=1,LEFT(D312,3),"")</f>
        <v>5-4</v>
      </c>
      <c r="AT312" s="485" t="str">
        <f>IF(AND(COUNTA(O312)=1,COUNTA(P312)=1,COUNTA(AC312)=1,COUNTA(AF312)=1,COUNTA(AG312)=0),LEFT(D312,3),"")</f>
        <v/>
      </c>
      <c r="AU312" s="487" t="str">
        <f>IF(AND(COUNTA(O312)=1,COUNTA(P312)=1,COUNTA(AC312)=1,COUNTA(AF312)=0,COUNTA(AG312)=0),LEFT(D312,3),"")</f>
        <v/>
      </c>
      <c r="AV312" s="489" t="str">
        <f>IF(AND(COUNTA(P312)=0,COUNTA(AC312)=1),LEFT(D312,3),"")</f>
        <v/>
      </c>
      <c r="AW312" s="491" t="str">
        <f>IF(AND(COUNTA(P312)=1,COUNTA(AC312)=0),LEFT(D312,3),"")</f>
        <v/>
      </c>
      <c r="AX312" s="493" t="str">
        <f>IF(AND(COUNTA(P312)=0,COUNTA(AC312)=0),LEFT(D312,3),"")</f>
        <v/>
      </c>
      <c r="AY312" s="514" t="str">
        <f>IFERROR(VLOOKUP(功能_33[[#This Row],[功能代號]],SIT_FT_2021tmp!D:D,1,FALSE),"")</f>
        <v/>
      </c>
      <c r="AZ312" s="587">
        <v>44589</v>
      </c>
      <c r="BA312" s="587">
        <v>44585</v>
      </c>
      <c r="BB312" s="514" t="s">
        <v>2425</v>
      </c>
      <c r="BC312" s="265" t="s">
        <v>2453</v>
      </c>
      <c r="BD312" s="593"/>
      <c r="BE312" s="265" t="str">
        <f>IF(AND(COUNTIF(AY312,"&gt;&lt;0")=1,COUNTA(M312)=1),LEFT(D312,3),"")</f>
        <v/>
      </c>
      <c r="BF312" s="265" t="str">
        <f>IF(AND(COUNTIF(AY312,"&gt;&lt;")=1,COUNTA(M312)=0),LEFT(D312,3),"")</f>
        <v/>
      </c>
      <c r="BG312" s="265" t="str">
        <f>IF(AND(COUNTIF(AY312,"&gt;&lt;0")=0,COUNTA(M312)=1),LEFT(D312,3),"")</f>
        <v>5-4</v>
      </c>
      <c r="BH312" s="265" t="str">
        <f>IF(AND(COUNTIF(AY312,"&gt;&lt;0")=0,COUNTA(M312)=0),LEFT(D312,3),"")</f>
        <v/>
      </c>
    </row>
    <row r="313" spans="3:60" ht="13.5" x14ac:dyDescent="0.3">
      <c r="C313" s="265" t="s">
        <v>69</v>
      </c>
      <c r="D313" s="265" t="s">
        <v>2469</v>
      </c>
      <c r="E313" s="264" t="s">
        <v>873</v>
      </c>
      <c r="F313" s="265" t="s">
        <v>874</v>
      </c>
      <c r="G313" s="265"/>
      <c r="H313" s="264" t="s">
        <v>452</v>
      </c>
      <c r="I313" s="264" t="s">
        <v>452</v>
      </c>
      <c r="J313" s="212" t="s">
        <v>3087</v>
      </c>
      <c r="K313" s="212" t="s">
        <v>3088</v>
      </c>
      <c r="L313" s="272">
        <v>44571</v>
      </c>
      <c r="M313" s="272">
        <v>44578</v>
      </c>
      <c r="N313" s="272">
        <v>44496</v>
      </c>
      <c r="O313" s="272">
        <v>44496</v>
      </c>
      <c r="P313" s="272">
        <v>44517</v>
      </c>
      <c r="Q313" s="264" t="s">
        <v>1</v>
      </c>
      <c r="R313" s="264" t="s">
        <v>8</v>
      </c>
      <c r="S313" s="264" t="s">
        <v>8</v>
      </c>
      <c r="T313" s="265" t="s">
        <v>2584</v>
      </c>
      <c r="X313" s="264"/>
      <c r="Z313" s="264"/>
      <c r="AA313" s="264"/>
      <c r="AB313" s="265" t="str">
        <f>VLOOKUP(功能_33[[#This Row],[User]],SKL放款!A:G,7,FALSE)</f>
        <v>放款管理課</v>
      </c>
      <c r="AC313" s="272">
        <v>44517</v>
      </c>
      <c r="AD313" s="272" t="s">
        <v>107</v>
      </c>
      <c r="AE313" s="272">
        <v>44539</v>
      </c>
      <c r="AF313" s="272">
        <v>44539</v>
      </c>
      <c r="AG313" s="209" t="s">
        <v>3103</v>
      </c>
      <c r="AH313" s="272"/>
      <c r="AI313" s="272"/>
      <c r="AJ313" s="322"/>
      <c r="AK313" s="272">
        <f>IFERROR(IF(VLOOKUP(功能_33[[#This Row],[功能代號]],E:U,11,FALSE)=0,"",VLOOKUP(功能_33[[#This Row],[功能代號]],E:U,11,FALSE)),"")</f>
        <v>44496</v>
      </c>
      <c r="AL313" s="272"/>
      <c r="AM313" s="272"/>
      <c r="AN313" s="265"/>
      <c r="AO313" s="272"/>
      <c r="AP313" s="264" t="s">
        <v>2680</v>
      </c>
      <c r="AQ313" s="265" t="s">
        <v>2681</v>
      </c>
      <c r="AR313" s="593" t="s">
        <v>3207</v>
      </c>
      <c r="AS313" s="483" t="str">
        <f>IF(COUNTA(AG313)=1,LEFT(D313,3),"")</f>
        <v>5-4</v>
      </c>
      <c r="AT313" s="485" t="str">
        <f>IF(AND(COUNTA(O313)=1,COUNTA(P313)=1,COUNTA(AC313)=1,COUNTA(AF313)=1,COUNTA(AG313)=0),LEFT(D313,3),"")</f>
        <v/>
      </c>
      <c r="AU313" s="487" t="str">
        <f>IF(AND(COUNTA(O313)=1,COUNTA(P313)=1,COUNTA(AC313)=1,COUNTA(AF313)=0,COUNTA(AG313)=0),LEFT(D313,3),"")</f>
        <v/>
      </c>
      <c r="AV313" s="489" t="str">
        <f>IF(AND(COUNTA(P313)=0,COUNTA(AC313)=1),LEFT(D313,3),"")</f>
        <v/>
      </c>
      <c r="AW313" s="491" t="str">
        <f>IF(AND(COUNTA(P313)=1,COUNTA(AC313)=0),LEFT(D313,3),"")</f>
        <v/>
      </c>
      <c r="AX313" s="493" t="str">
        <f>IF(AND(COUNTA(P313)=0,COUNTA(AC313)=0),LEFT(D313,3),"")</f>
        <v/>
      </c>
      <c r="AY313" s="514" t="str">
        <f>IFERROR(VLOOKUP(功能_33[[#This Row],[功能代號]],SIT_FT_2021tmp!D:D,1,FALSE),"")</f>
        <v/>
      </c>
      <c r="AZ313" s="587">
        <v>44589</v>
      </c>
      <c r="BA313" s="587">
        <v>44585</v>
      </c>
      <c r="BB313" s="514" t="s">
        <v>2425</v>
      </c>
      <c r="BC313" s="265" t="s">
        <v>2453</v>
      </c>
      <c r="BD313" s="593"/>
      <c r="BE313" s="265" t="str">
        <f>IF(AND(COUNTIF(AY313,"&gt;&lt;0")=1,COUNTA(M313)=1),LEFT(D313,3),"")</f>
        <v/>
      </c>
      <c r="BF313" s="265" t="str">
        <f>IF(AND(COUNTIF(AY313,"&gt;&lt;")=1,COUNTA(M313)=0),LEFT(D313,3),"")</f>
        <v/>
      </c>
      <c r="BG313" s="265" t="str">
        <f>IF(AND(COUNTIF(AY313,"&gt;&lt;0")=0,COUNTA(M313)=1),LEFT(D313,3),"")</f>
        <v>5-4</v>
      </c>
      <c r="BH313" s="265" t="str">
        <f>IF(AND(COUNTIF(AY313,"&gt;&lt;0")=0,COUNTA(M313)=0),LEFT(D313,3),"")</f>
        <v/>
      </c>
    </row>
    <row r="314" spans="3:60" ht="13.5" x14ac:dyDescent="0.3">
      <c r="C314" s="265" t="s">
        <v>69</v>
      </c>
      <c r="D314" s="265" t="s">
        <v>2469</v>
      </c>
      <c r="E314" s="264" t="s">
        <v>875</v>
      </c>
      <c r="F314" s="265" t="s">
        <v>876</v>
      </c>
      <c r="G314" s="265"/>
      <c r="H314" s="264" t="s">
        <v>452</v>
      </c>
      <c r="I314" s="264" t="s">
        <v>452</v>
      </c>
      <c r="J314" s="212" t="s">
        <v>2947</v>
      </c>
      <c r="K314" s="212" t="s">
        <v>2993</v>
      </c>
      <c r="L314" s="272">
        <v>44578</v>
      </c>
      <c r="M314" s="272">
        <v>44578</v>
      </c>
      <c r="N314" s="272">
        <v>44497</v>
      </c>
      <c r="O314" s="272">
        <v>44496</v>
      </c>
      <c r="P314" s="272">
        <v>44501</v>
      </c>
      <c r="Q314" s="264" t="s">
        <v>1</v>
      </c>
      <c r="R314" s="264" t="s">
        <v>8</v>
      </c>
      <c r="S314" s="264" t="s">
        <v>8</v>
      </c>
      <c r="T314" s="265" t="s">
        <v>2584</v>
      </c>
      <c r="X314" s="264"/>
      <c r="Z314" s="264"/>
      <c r="AA314" s="264"/>
      <c r="AB314" s="265" t="str">
        <f>VLOOKUP(功能_33[[#This Row],[User]],SKL放款!A:G,7,FALSE)</f>
        <v>放款管理課</v>
      </c>
      <c r="AC314" s="272">
        <v>44501</v>
      </c>
      <c r="AD314" s="272" t="s">
        <v>107</v>
      </c>
      <c r="AE314" s="272">
        <v>44539</v>
      </c>
      <c r="AF314" s="272">
        <v>44539</v>
      </c>
      <c r="AG314" s="209" t="s">
        <v>2964</v>
      </c>
      <c r="AH314" s="272"/>
      <c r="AI314" s="272"/>
      <c r="AJ314" s="322"/>
      <c r="AK314" s="272">
        <f>IFERROR(IF(VLOOKUP(功能_33[[#This Row],[功能代號]],E:U,11,FALSE)=0,"",VLOOKUP(功能_33[[#This Row],[功能代號]],E:U,11,FALSE)),"")</f>
        <v>44496</v>
      </c>
      <c r="AL314" s="272"/>
      <c r="AM314" s="272"/>
      <c r="AN314" s="265"/>
      <c r="AO314" s="272"/>
      <c r="AP314" s="264" t="s">
        <v>2680</v>
      </c>
      <c r="AQ314" s="265" t="s">
        <v>2681</v>
      </c>
      <c r="AR314" s="593" t="s">
        <v>3207</v>
      </c>
      <c r="AS314" s="483" t="str">
        <f>IF(COUNTA(AG314)=1,LEFT(D314,3),"")</f>
        <v>5-4</v>
      </c>
      <c r="AT314" s="485" t="str">
        <f>IF(AND(COUNTA(O314)=1,COUNTA(P314)=1,COUNTA(AC314)=1,COUNTA(AF314)=1,COUNTA(AG314)=0),LEFT(D314,3),"")</f>
        <v/>
      </c>
      <c r="AU314" s="487" t="str">
        <f>IF(AND(COUNTA(O314)=1,COUNTA(P314)=1,COUNTA(AC314)=1,COUNTA(AF314)=0,COUNTA(AG314)=0),LEFT(D314,3),"")</f>
        <v/>
      </c>
      <c r="AV314" s="489" t="str">
        <f>IF(AND(COUNTA(P314)=0,COUNTA(AC314)=1),LEFT(D314,3),"")</f>
        <v/>
      </c>
      <c r="AW314" s="491" t="str">
        <f>IF(AND(COUNTA(P314)=1,COUNTA(AC314)=0),LEFT(D314,3),"")</f>
        <v/>
      </c>
      <c r="AX314" s="493" t="str">
        <f>IF(AND(COUNTA(P314)=0,COUNTA(AC314)=0),LEFT(D314,3),"")</f>
        <v/>
      </c>
      <c r="AY314" s="514" t="str">
        <f>IFERROR(VLOOKUP(功能_33[[#This Row],[功能代號]],SIT_FT_2021tmp!D:D,1,FALSE),"")</f>
        <v/>
      </c>
      <c r="AZ314" s="587">
        <v>44589</v>
      </c>
      <c r="BA314" s="587">
        <v>44585</v>
      </c>
      <c r="BB314" s="514" t="s">
        <v>2425</v>
      </c>
      <c r="BC314" s="265" t="s">
        <v>2453</v>
      </c>
      <c r="BD314" s="593"/>
      <c r="BE314" s="265" t="str">
        <f>IF(AND(COUNTIF(AY314,"&gt;&lt;0")=1,COUNTA(M314)=1),LEFT(D314,3),"")</f>
        <v/>
      </c>
      <c r="BF314" s="265" t="str">
        <f>IF(AND(COUNTIF(AY314,"&gt;&lt;")=1,COUNTA(M314)=0),LEFT(D314,3),"")</f>
        <v/>
      </c>
      <c r="BG314" s="265" t="str">
        <f>IF(AND(COUNTIF(AY314,"&gt;&lt;0")=0,COUNTA(M314)=1),LEFT(D314,3),"")</f>
        <v>5-4</v>
      </c>
      <c r="BH314" s="265" t="str">
        <f>IF(AND(COUNTIF(AY314,"&gt;&lt;0")=0,COUNTA(M314)=0),LEFT(D314,3),"")</f>
        <v/>
      </c>
    </row>
    <row r="315" spans="3:60" ht="13.5" x14ac:dyDescent="0.3">
      <c r="C315" s="265" t="s">
        <v>69</v>
      </c>
      <c r="D315" s="265" t="s">
        <v>2469</v>
      </c>
      <c r="E315" s="264" t="s">
        <v>877</v>
      </c>
      <c r="F315" s="265" t="s">
        <v>878</v>
      </c>
      <c r="G315" s="265"/>
      <c r="H315" s="264" t="s">
        <v>452</v>
      </c>
      <c r="I315" s="264" t="s">
        <v>452</v>
      </c>
      <c r="J315" s="212" t="s">
        <v>3087</v>
      </c>
      <c r="K315" s="212" t="s">
        <v>3088</v>
      </c>
      <c r="L315" s="272">
        <v>44578</v>
      </c>
      <c r="M315" s="272">
        <v>44578</v>
      </c>
      <c r="N315" s="272">
        <v>44497</v>
      </c>
      <c r="O315" s="272">
        <v>44496</v>
      </c>
      <c r="P315" s="272">
        <v>44524</v>
      </c>
      <c r="Q315" s="264" t="s">
        <v>1</v>
      </c>
      <c r="R315" s="264" t="s">
        <v>8</v>
      </c>
      <c r="S315" s="264" t="s">
        <v>8</v>
      </c>
      <c r="T315" s="265" t="s">
        <v>2584</v>
      </c>
      <c r="X315" s="264"/>
      <c r="Z315" s="264"/>
      <c r="AA315" s="264"/>
      <c r="AB315" s="265" t="str">
        <f>VLOOKUP(功能_33[[#This Row],[User]],SKL放款!A:G,7,FALSE)</f>
        <v>放款管理課</v>
      </c>
      <c r="AC315" s="272">
        <v>44524</v>
      </c>
      <c r="AD315" s="272" t="s">
        <v>107</v>
      </c>
      <c r="AE315" s="272">
        <v>44539</v>
      </c>
      <c r="AF315" s="272">
        <v>44539</v>
      </c>
      <c r="AG315" s="209" t="s">
        <v>3103</v>
      </c>
      <c r="AH315" s="272"/>
      <c r="AI315" s="272"/>
      <c r="AJ315" s="322"/>
      <c r="AK315" s="272">
        <f>IFERROR(IF(VLOOKUP(功能_33[[#This Row],[功能代號]],E:U,11,FALSE)=0,"",VLOOKUP(功能_33[[#This Row],[功能代號]],E:U,11,FALSE)),"")</f>
        <v>44496</v>
      </c>
      <c r="AL315" s="272"/>
      <c r="AM315" s="272"/>
      <c r="AN315" s="265"/>
      <c r="AO315" s="272"/>
      <c r="AP315" s="264" t="s">
        <v>2680</v>
      </c>
      <c r="AQ315" s="265" t="s">
        <v>2681</v>
      </c>
      <c r="AR315" s="593" t="s">
        <v>3207</v>
      </c>
      <c r="AS315" s="483" t="str">
        <f>IF(COUNTA(AG315)=1,LEFT(D315,3),"")</f>
        <v>5-4</v>
      </c>
      <c r="AT315" s="485" t="str">
        <f>IF(AND(COUNTA(O315)=1,COUNTA(P315)=1,COUNTA(AC315)=1,COUNTA(AF315)=1,COUNTA(AG315)=0),LEFT(D315,3),"")</f>
        <v/>
      </c>
      <c r="AU315" s="487" t="str">
        <f>IF(AND(COUNTA(O315)=1,COUNTA(P315)=1,COUNTA(AC315)=1,COUNTA(AF315)=0,COUNTA(AG315)=0),LEFT(D315,3),"")</f>
        <v/>
      </c>
      <c r="AV315" s="489" t="str">
        <f>IF(AND(COUNTA(P315)=0,COUNTA(AC315)=1),LEFT(D315,3),"")</f>
        <v/>
      </c>
      <c r="AW315" s="491" t="str">
        <f>IF(AND(COUNTA(P315)=1,COUNTA(AC315)=0),LEFT(D315,3),"")</f>
        <v/>
      </c>
      <c r="AX315" s="493" t="str">
        <f>IF(AND(COUNTA(P315)=0,COUNTA(AC315)=0),LEFT(D315,3),"")</f>
        <v/>
      </c>
      <c r="AY315" s="514" t="str">
        <f>IFERROR(VLOOKUP(功能_33[[#This Row],[功能代號]],SIT_FT_2021tmp!D:D,1,FALSE),"")</f>
        <v/>
      </c>
      <c r="AZ315" s="587">
        <v>44589</v>
      </c>
      <c r="BA315" s="587">
        <v>44585</v>
      </c>
      <c r="BB315" s="514" t="s">
        <v>2425</v>
      </c>
      <c r="BC315" s="265" t="s">
        <v>2453</v>
      </c>
      <c r="BD315" s="593"/>
      <c r="BE315" s="265" t="str">
        <f>IF(AND(COUNTIF(AY315,"&gt;&lt;0")=1,COUNTA(M315)=1),LEFT(D315,3),"")</f>
        <v/>
      </c>
      <c r="BF315" s="265" t="str">
        <f>IF(AND(COUNTIF(AY315,"&gt;&lt;")=1,COUNTA(M315)=0),LEFT(D315,3),"")</f>
        <v/>
      </c>
      <c r="BG315" s="265" t="str">
        <f>IF(AND(COUNTIF(AY315,"&gt;&lt;0")=0,COUNTA(M315)=1),LEFT(D315,3),"")</f>
        <v>5-4</v>
      </c>
      <c r="BH315" s="265" t="str">
        <f>IF(AND(COUNTIF(AY315,"&gt;&lt;0")=0,COUNTA(M315)=0),LEFT(D315,3),"")</f>
        <v/>
      </c>
    </row>
    <row r="316" spans="3:60" ht="13.5" x14ac:dyDescent="0.3">
      <c r="C316" s="265" t="s">
        <v>69</v>
      </c>
      <c r="D316" s="265" t="s">
        <v>2469</v>
      </c>
      <c r="E316" s="264" t="s">
        <v>879</v>
      </c>
      <c r="F316" s="265" t="s">
        <v>880</v>
      </c>
      <c r="G316" s="265"/>
      <c r="H316" s="264" t="s">
        <v>452</v>
      </c>
      <c r="I316" s="264" t="s">
        <v>452</v>
      </c>
      <c r="J316" s="212" t="s">
        <v>2947</v>
      </c>
      <c r="K316" s="212" t="s">
        <v>2993</v>
      </c>
      <c r="L316" s="272">
        <v>44578</v>
      </c>
      <c r="M316" s="272">
        <v>44578</v>
      </c>
      <c r="N316" s="272">
        <v>44497</v>
      </c>
      <c r="O316" s="272">
        <v>44496</v>
      </c>
      <c r="P316" s="272">
        <v>44501</v>
      </c>
      <c r="Q316" s="264" t="s">
        <v>1</v>
      </c>
      <c r="R316" s="264" t="s">
        <v>8</v>
      </c>
      <c r="S316" s="264" t="s">
        <v>8</v>
      </c>
      <c r="T316" s="265" t="s">
        <v>2584</v>
      </c>
      <c r="X316" s="264"/>
      <c r="Z316" s="264"/>
      <c r="AA316" s="264"/>
      <c r="AB316" s="265" t="str">
        <f>VLOOKUP(功能_33[[#This Row],[User]],SKL放款!A:G,7,FALSE)</f>
        <v>放款管理課</v>
      </c>
      <c r="AC316" s="272">
        <v>44501</v>
      </c>
      <c r="AD316" s="272" t="s">
        <v>107</v>
      </c>
      <c r="AE316" s="272">
        <v>44539</v>
      </c>
      <c r="AF316" s="272">
        <v>44539</v>
      </c>
      <c r="AG316" s="209" t="s">
        <v>2964</v>
      </c>
      <c r="AH316" s="272"/>
      <c r="AI316" s="272"/>
      <c r="AJ316" s="322"/>
      <c r="AK316" s="272">
        <f>IFERROR(IF(VLOOKUP(功能_33[[#This Row],[功能代號]],E:U,11,FALSE)=0,"",VLOOKUP(功能_33[[#This Row],[功能代號]],E:U,11,FALSE)),"")</f>
        <v>44496</v>
      </c>
      <c r="AL316" s="272"/>
      <c r="AM316" s="272"/>
      <c r="AN316" s="265"/>
      <c r="AO316" s="272"/>
      <c r="AP316" s="264" t="s">
        <v>2680</v>
      </c>
      <c r="AQ316" s="265" t="s">
        <v>2681</v>
      </c>
      <c r="AR316" s="593" t="s">
        <v>3207</v>
      </c>
      <c r="AS316" s="483" t="str">
        <f>IF(COUNTA(AG316)=1,LEFT(D316,3),"")</f>
        <v>5-4</v>
      </c>
      <c r="AT316" s="485" t="str">
        <f>IF(AND(COUNTA(O316)=1,COUNTA(P316)=1,COUNTA(AC316)=1,COUNTA(AF316)=1,COUNTA(AG316)=0),LEFT(D316,3),"")</f>
        <v/>
      </c>
      <c r="AU316" s="487" t="str">
        <f>IF(AND(COUNTA(O316)=1,COUNTA(P316)=1,COUNTA(AC316)=1,COUNTA(AF316)=0,COUNTA(AG316)=0),LEFT(D316,3),"")</f>
        <v/>
      </c>
      <c r="AV316" s="489" t="str">
        <f>IF(AND(COUNTA(P316)=0,COUNTA(AC316)=1),LEFT(D316,3),"")</f>
        <v/>
      </c>
      <c r="AW316" s="491" t="str">
        <f>IF(AND(COUNTA(P316)=1,COUNTA(AC316)=0),LEFT(D316,3),"")</f>
        <v/>
      </c>
      <c r="AX316" s="493" t="str">
        <f>IF(AND(COUNTA(P316)=0,COUNTA(AC316)=0),LEFT(D316,3),"")</f>
        <v/>
      </c>
      <c r="AY316" s="514" t="str">
        <f>IFERROR(VLOOKUP(功能_33[[#This Row],[功能代號]],SIT_FT_2021tmp!D:D,1,FALSE),"")</f>
        <v/>
      </c>
      <c r="AZ316" s="587">
        <v>44589</v>
      </c>
      <c r="BA316" s="587">
        <v>44585</v>
      </c>
      <c r="BB316" s="514" t="s">
        <v>2425</v>
      </c>
      <c r="BC316" s="265" t="s">
        <v>2453</v>
      </c>
      <c r="BD316" s="593"/>
      <c r="BE316" s="265" t="str">
        <f>IF(AND(COUNTIF(AY316,"&gt;&lt;0")=1,COUNTA(M316)=1),LEFT(D316,3),"")</f>
        <v/>
      </c>
      <c r="BF316" s="265" t="str">
        <f>IF(AND(COUNTIF(AY316,"&gt;&lt;")=1,COUNTA(M316)=0),LEFT(D316,3),"")</f>
        <v/>
      </c>
      <c r="BG316" s="265" t="str">
        <f>IF(AND(COUNTIF(AY316,"&gt;&lt;0")=0,COUNTA(M316)=1),LEFT(D316,3),"")</f>
        <v>5-4</v>
      </c>
      <c r="BH316" s="265" t="str">
        <f>IF(AND(COUNTIF(AY316,"&gt;&lt;0")=0,COUNTA(M316)=0),LEFT(D316,3),"")</f>
        <v/>
      </c>
    </row>
    <row r="317" spans="3:60" ht="13.5" x14ac:dyDescent="0.3">
      <c r="C317" s="265" t="s">
        <v>69</v>
      </c>
      <c r="D317" s="265" t="s">
        <v>2469</v>
      </c>
      <c r="E317" s="264" t="s">
        <v>881</v>
      </c>
      <c r="F317" s="265" t="s">
        <v>882</v>
      </c>
      <c r="G317" s="265"/>
      <c r="H317" s="264" t="s">
        <v>452</v>
      </c>
      <c r="I317" s="264" t="s">
        <v>452</v>
      </c>
      <c r="J317" s="212" t="s">
        <v>3087</v>
      </c>
      <c r="K317" s="212" t="s">
        <v>3088</v>
      </c>
      <c r="L317" s="272">
        <v>44578</v>
      </c>
      <c r="M317" s="272">
        <v>44578</v>
      </c>
      <c r="N317" s="272">
        <v>44497</v>
      </c>
      <c r="O317" s="272">
        <v>44496</v>
      </c>
      <c r="P317" s="272">
        <v>44515</v>
      </c>
      <c r="Q317" s="264" t="s">
        <v>1</v>
      </c>
      <c r="R317" s="264" t="s">
        <v>8</v>
      </c>
      <c r="S317" s="264" t="s">
        <v>8</v>
      </c>
      <c r="T317" s="265" t="s">
        <v>2584</v>
      </c>
      <c r="X317" s="264"/>
      <c r="Z317" s="264"/>
      <c r="AA317" s="264"/>
      <c r="AB317" s="265" t="str">
        <f>VLOOKUP(功能_33[[#This Row],[User]],SKL放款!A:G,7,FALSE)</f>
        <v>放款管理課</v>
      </c>
      <c r="AC317" s="272">
        <v>44515</v>
      </c>
      <c r="AD317" s="272" t="s">
        <v>107</v>
      </c>
      <c r="AE317" s="272">
        <v>44539</v>
      </c>
      <c r="AF317" s="272">
        <v>44539</v>
      </c>
      <c r="AG317" s="209" t="s">
        <v>3102</v>
      </c>
      <c r="AH317" s="272"/>
      <c r="AI317" s="272"/>
      <c r="AJ317" s="322"/>
      <c r="AK317" s="272">
        <f>IFERROR(IF(VLOOKUP(功能_33[[#This Row],[功能代號]],E:U,11,FALSE)=0,"",VLOOKUP(功能_33[[#This Row],[功能代號]],E:U,11,FALSE)),"")</f>
        <v>44496</v>
      </c>
      <c r="AL317" s="272"/>
      <c r="AM317" s="272"/>
      <c r="AN317" s="265"/>
      <c r="AO317" s="272"/>
      <c r="AP317" s="264" t="s">
        <v>2680</v>
      </c>
      <c r="AQ317" s="265" t="s">
        <v>2681</v>
      </c>
      <c r="AR317" s="593" t="s">
        <v>3207</v>
      </c>
      <c r="AS317" s="483" t="str">
        <f>IF(COUNTA(AG317)=1,LEFT(D317,3),"")</f>
        <v>5-4</v>
      </c>
      <c r="AT317" s="485" t="str">
        <f>IF(AND(COUNTA(O317)=1,COUNTA(P317)=1,COUNTA(AC317)=1,COUNTA(AF317)=1,COUNTA(AG317)=0),LEFT(D317,3),"")</f>
        <v/>
      </c>
      <c r="AU317" s="487" t="str">
        <f>IF(AND(COUNTA(O317)=1,COUNTA(P317)=1,COUNTA(AC317)=1,COUNTA(AF317)=0,COUNTA(AG317)=0),LEFT(D317,3),"")</f>
        <v/>
      </c>
      <c r="AV317" s="489" t="str">
        <f>IF(AND(COUNTA(P317)=0,COUNTA(AC317)=1),LEFT(D317,3),"")</f>
        <v/>
      </c>
      <c r="AW317" s="491" t="str">
        <f>IF(AND(COUNTA(P317)=1,COUNTA(AC317)=0),LEFT(D317,3),"")</f>
        <v/>
      </c>
      <c r="AX317" s="493" t="str">
        <f>IF(AND(COUNTA(P317)=0,COUNTA(AC317)=0),LEFT(D317,3),"")</f>
        <v/>
      </c>
      <c r="AY317" s="514" t="str">
        <f>IFERROR(VLOOKUP(功能_33[[#This Row],[功能代號]],SIT_FT_2021tmp!D:D,1,FALSE),"")</f>
        <v/>
      </c>
      <c r="AZ317" s="587">
        <v>44589</v>
      </c>
      <c r="BA317" s="587">
        <v>44585</v>
      </c>
      <c r="BB317" s="514" t="s">
        <v>2425</v>
      </c>
      <c r="BC317" s="265" t="s">
        <v>2453</v>
      </c>
      <c r="BD317" s="593"/>
      <c r="BE317" s="265" t="str">
        <f>IF(AND(COUNTIF(AY317,"&gt;&lt;0")=1,COUNTA(M317)=1),LEFT(D317,3),"")</f>
        <v/>
      </c>
      <c r="BF317" s="265" t="str">
        <f>IF(AND(COUNTIF(AY317,"&gt;&lt;")=1,COUNTA(M317)=0),LEFT(D317,3),"")</f>
        <v/>
      </c>
      <c r="BG317" s="265" t="str">
        <f>IF(AND(COUNTIF(AY317,"&gt;&lt;0")=0,COUNTA(M317)=1),LEFT(D317,3),"")</f>
        <v>5-4</v>
      </c>
      <c r="BH317" s="265" t="str">
        <f>IF(AND(COUNTIF(AY317,"&gt;&lt;0")=0,COUNTA(M317)=0),LEFT(D317,3),"")</f>
        <v/>
      </c>
    </row>
    <row r="318" spans="3:60" ht="13.5" x14ac:dyDescent="0.3">
      <c r="C318" s="265" t="s">
        <v>69</v>
      </c>
      <c r="D318" s="265" t="s">
        <v>2469</v>
      </c>
      <c r="E318" s="264" t="s">
        <v>883</v>
      </c>
      <c r="F318" s="265" t="s">
        <v>884</v>
      </c>
      <c r="G318" s="265"/>
      <c r="H318" s="264" t="s">
        <v>452</v>
      </c>
      <c r="I318" s="264" t="s">
        <v>452</v>
      </c>
      <c r="J318" s="212" t="s">
        <v>2683</v>
      </c>
      <c r="K318" s="212"/>
      <c r="L318" s="272">
        <v>44578</v>
      </c>
      <c r="M318" s="272">
        <v>44578</v>
      </c>
      <c r="N318" s="272">
        <v>44497</v>
      </c>
      <c r="O318" s="272">
        <v>44496</v>
      </c>
      <c r="P318" s="272">
        <v>44503</v>
      </c>
      <c r="Q318" s="264" t="s">
        <v>1</v>
      </c>
      <c r="R318" s="264" t="s">
        <v>8</v>
      </c>
      <c r="S318" s="264" t="s">
        <v>8</v>
      </c>
      <c r="T318" s="265" t="s">
        <v>2584</v>
      </c>
      <c r="X318" s="264"/>
      <c r="Z318" s="264"/>
      <c r="AA318" s="264"/>
      <c r="AB318" s="265" t="str">
        <f>VLOOKUP(功能_33[[#This Row],[User]],SKL放款!A:G,7,FALSE)</f>
        <v>放款管理課</v>
      </c>
      <c r="AC318" s="272">
        <v>44503</v>
      </c>
      <c r="AD318" s="272" t="s">
        <v>107</v>
      </c>
      <c r="AE318" s="272">
        <v>44539</v>
      </c>
      <c r="AF318" s="272">
        <v>44539</v>
      </c>
      <c r="AG318" s="209">
        <v>44539</v>
      </c>
      <c r="AH318" s="272"/>
      <c r="AI318" s="272"/>
      <c r="AJ318" s="322"/>
      <c r="AK318" s="272">
        <f>IFERROR(IF(VLOOKUP(功能_33[[#This Row],[功能代號]],E:U,11,FALSE)=0,"",VLOOKUP(功能_33[[#This Row],[功能代號]],E:U,11,FALSE)),"")</f>
        <v>44496</v>
      </c>
      <c r="AL318" s="272"/>
      <c r="AM318" s="272"/>
      <c r="AN318" s="265"/>
      <c r="AO318" s="272"/>
      <c r="AP318" s="264" t="s">
        <v>2680</v>
      </c>
      <c r="AQ318" s="265" t="s">
        <v>2681</v>
      </c>
      <c r="AR318" s="593" t="s">
        <v>3207</v>
      </c>
      <c r="AS318" s="483" t="str">
        <f>IF(COUNTA(AG318)=1,LEFT(D318,3),"")</f>
        <v>5-4</v>
      </c>
      <c r="AT318" s="485" t="str">
        <f>IF(AND(COUNTA(O318)=1,COUNTA(P318)=1,COUNTA(AC318)=1,COUNTA(AF318)=1,COUNTA(AG318)=0),LEFT(D318,3),"")</f>
        <v/>
      </c>
      <c r="AU318" s="487" t="str">
        <f>IF(AND(COUNTA(O318)=1,COUNTA(P318)=1,COUNTA(AC318)=1,COUNTA(AF318)=0,COUNTA(AG318)=0),LEFT(D318,3),"")</f>
        <v/>
      </c>
      <c r="AV318" s="489" t="str">
        <f>IF(AND(COUNTA(P318)=0,COUNTA(AC318)=1),LEFT(D318,3),"")</f>
        <v/>
      </c>
      <c r="AW318" s="491" t="str">
        <f>IF(AND(COUNTA(P318)=1,COUNTA(AC318)=0),LEFT(D318,3),"")</f>
        <v/>
      </c>
      <c r="AX318" s="493" t="str">
        <f>IF(AND(COUNTA(P318)=0,COUNTA(AC318)=0),LEFT(D318,3),"")</f>
        <v/>
      </c>
      <c r="AY318" s="514" t="str">
        <f>IFERROR(VLOOKUP(功能_33[[#This Row],[功能代號]],SIT_FT_2021tmp!D:D,1,FALSE),"")</f>
        <v/>
      </c>
      <c r="AZ318" s="587">
        <v>44589</v>
      </c>
      <c r="BA318" s="587">
        <v>44585</v>
      </c>
      <c r="BB318" s="514" t="s">
        <v>2425</v>
      </c>
      <c r="BC318" s="265" t="s">
        <v>2453</v>
      </c>
      <c r="BD318" s="593"/>
      <c r="BE318" s="265" t="str">
        <f>IF(AND(COUNTIF(AY318,"&gt;&lt;0")=1,COUNTA(M318)=1),LEFT(D318,3),"")</f>
        <v/>
      </c>
      <c r="BF318" s="265" t="str">
        <f>IF(AND(COUNTIF(AY318,"&gt;&lt;")=1,COUNTA(M318)=0),LEFT(D318,3),"")</f>
        <v/>
      </c>
      <c r="BG318" s="265" t="str">
        <f>IF(AND(COUNTIF(AY318,"&gt;&lt;0")=0,COUNTA(M318)=1),LEFT(D318,3),"")</f>
        <v>5-4</v>
      </c>
      <c r="BH318" s="265" t="str">
        <f>IF(AND(COUNTIF(AY318,"&gt;&lt;0")=0,COUNTA(M318)=0),LEFT(D318,3),"")</f>
        <v/>
      </c>
    </row>
    <row r="319" spans="3:60" ht="13.5" x14ac:dyDescent="0.3">
      <c r="C319" s="265" t="s">
        <v>69</v>
      </c>
      <c r="D319" s="265" t="s">
        <v>2469</v>
      </c>
      <c r="E319" s="264" t="s">
        <v>885</v>
      </c>
      <c r="F319" s="265" t="s">
        <v>886</v>
      </c>
      <c r="G319" s="265" t="s">
        <v>887</v>
      </c>
      <c r="H319" s="264" t="s">
        <v>452</v>
      </c>
      <c r="I319" s="264" t="s">
        <v>452</v>
      </c>
      <c r="J319" s="212" t="s">
        <v>2683</v>
      </c>
      <c r="K319" s="212"/>
      <c r="L319" s="272">
        <v>44578</v>
      </c>
      <c r="M319" s="272">
        <v>44578</v>
      </c>
      <c r="N319" s="272">
        <v>44497</v>
      </c>
      <c r="O319" s="272">
        <v>44496</v>
      </c>
      <c r="P319" s="272">
        <v>44515</v>
      </c>
      <c r="Q319" s="264" t="s">
        <v>1</v>
      </c>
      <c r="R319" s="264" t="s">
        <v>8</v>
      </c>
      <c r="S319" s="264" t="s">
        <v>8</v>
      </c>
      <c r="T319" s="265" t="s">
        <v>2584</v>
      </c>
      <c r="X319" s="264"/>
      <c r="Z319" s="264"/>
      <c r="AA319" s="264"/>
      <c r="AB319" s="265" t="str">
        <f>VLOOKUP(功能_33[[#This Row],[User]],SKL放款!A:G,7,FALSE)</f>
        <v>放款管理課</v>
      </c>
      <c r="AC319" s="272">
        <v>44515</v>
      </c>
      <c r="AD319" s="272" t="s">
        <v>107</v>
      </c>
      <c r="AE319" s="272">
        <v>44539</v>
      </c>
      <c r="AF319" s="272">
        <v>44539</v>
      </c>
      <c r="AG319" s="209">
        <v>44539</v>
      </c>
      <c r="AH319" s="272"/>
      <c r="AI319" s="272"/>
      <c r="AJ319" s="322"/>
      <c r="AK319" s="272">
        <f>IFERROR(IF(VLOOKUP(功能_33[[#This Row],[功能代號]],E:U,11,FALSE)=0,"",VLOOKUP(功能_33[[#This Row],[功能代號]],E:U,11,FALSE)),"")</f>
        <v>44496</v>
      </c>
      <c r="AL319" s="272"/>
      <c r="AM319" s="272"/>
      <c r="AN319" s="265"/>
      <c r="AO319" s="272"/>
      <c r="AP319" s="264" t="s">
        <v>2680</v>
      </c>
      <c r="AQ319" s="265" t="s">
        <v>2681</v>
      </c>
      <c r="AR319" s="593" t="s">
        <v>3207</v>
      </c>
      <c r="AS319" s="483" t="str">
        <f>IF(COUNTA(AG319)=1,LEFT(D319,3),"")</f>
        <v>5-4</v>
      </c>
      <c r="AT319" s="485" t="str">
        <f>IF(AND(COUNTA(O319)=1,COUNTA(P319)=1,COUNTA(AC319)=1,COUNTA(AF319)=1,COUNTA(AG319)=0),LEFT(D319,3),"")</f>
        <v/>
      </c>
      <c r="AU319" s="487" t="str">
        <f>IF(AND(COUNTA(O319)=1,COUNTA(P319)=1,COUNTA(AC319)=1,COUNTA(AF319)=0,COUNTA(AG319)=0),LEFT(D319,3),"")</f>
        <v/>
      </c>
      <c r="AV319" s="489" t="str">
        <f>IF(AND(COUNTA(P319)=0,COUNTA(AC319)=1),LEFT(D319,3),"")</f>
        <v/>
      </c>
      <c r="AW319" s="491" t="str">
        <f>IF(AND(COUNTA(P319)=1,COUNTA(AC319)=0),LEFT(D319,3),"")</f>
        <v/>
      </c>
      <c r="AX319" s="493" t="str">
        <f>IF(AND(COUNTA(P319)=0,COUNTA(AC319)=0),LEFT(D319,3),"")</f>
        <v/>
      </c>
      <c r="AY319" s="514" t="str">
        <f>IFERROR(VLOOKUP(功能_33[[#This Row],[功能代號]],SIT_FT_2021tmp!D:D,1,FALSE),"")</f>
        <v/>
      </c>
      <c r="AZ319" s="587">
        <v>44589</v>
      </c>
      <c r="BA319" s="587">
        <v>44585</v>
      </c>
      <c r="BB319" s="514" t="s">
        <v>2425</v>
      </c>
      <c r="BC319" s="265" t="s">
        <v>2453</v>
      </c>
      <c r="BD319" s="593"/>
      <c r="BE319" s="265" t="str">
        <f>IF(AND(COUNTIF(AY319,"&gt;&lt;0")=1,COUNTA(M319)=1),LEFT(D319,3),"")</f>
        <v/>
      </c>
      <c r="BF319" s="265" t="str">
        <f>IF(AND(COUNTIF(AY319,"&gt;&lt;")=1,COUNTA(M319)=0),LEFT(D319,3),"")</f>
        <v/>
      </c>
      <c r="BG319" s="265" t="str">
        <f>IF(AND(COUNTIF(AY319,"&gt;&lt;0")=0,COUNTA(M319)=1),LEFT(D319,3),"")</f>
        <v>5-4</v>
      </c>
      <c r="BH319" s="265" t="str">
        <f>IF(AND(COUNTIF(AY319,"&gt;&lt;0")=0,COUNTA(M319)=0),LEFT(D319,3),"")</f>
        <v/>
      </c>
    </row>
    <row r="320" spans="3:60" ht="13.5" x14ac:dyDescent="0.3">
      <c r="C320" s="265" t="s">
        <v>69</v>
      </c>
      <c r="D320" s="265" t="s">
        <v>2469</v>
      </c>
      <c r="E320" s="264" t="s">
        <v>888</v>
      </c>
      <c r="F320" s="265" t="s">
        <v>889</v>
      </c>
      <c r="G320" s="265" t="s">
        <v>887</v>
      </c>
      <c r="H320" s="264" t="s">
        <v>452</v>
      </c>
      <c r="I320" s="264" t="s">
        <v>452</v>
      </c>
      <c r="J320" s="212" t="s">
        <v>2683</v>
      </c>
      <c r="K320" s="212"/>
      <c r="L320" s="272">
        <v>44578</v>
      </c>
      <c r="M320" s="272">
        <v>44578</v>
      </c>
      <c r="N320" s="272">
        <v>44497</v>
      </c>
      <c r="O320" s="272">
        <v>44496</v>
      </c>
      <c r="P320" s="272">
        <v>44503</v>
      </c>
      <c r="Q320" s="264" t="s">
        <v>1</v>
      </c>
      <c r="R320" s="264" t="s">
        <v>8</v>
      </c>
      <c r="S320" s="264" t="s">
        <v>8</v>
      </c>
      <c r="T320" s="265" t="s">
        <v>2584</v>
      </c>
      <c r="X320" s="264"/>
      <c r="Z320" s="264"/>
      <c r="AA320" s="264"/>
      <c r="AB320" s="265" t="str">
        <f>VLOOKUP(功能_33[[#This Row],[User]],SKL放款!A:G,7,FALSE)</f>
        <v>放款管理課</v>
      </c>
      <c r="AC320" s="272">
        <v>44503</v>
      </c>
      <c r="AD320" s="272" t="s">
        <v>2394</v>
      </c>
      <c r="AE320" s="272">
        <v>44539</v>
      </c>
      <c r="AF320" s="272">
        <v>44539</v>
      </c>
      <c r="AG320" s="209">
        <v>44539</v>
      </c>
      <c r="AH320" s="272"/>
      <c r="AI320" s="272"/>
      <c r="AJ320" s="322"/>
      <c r="AK320" s="272">
        <f>IFERROR(IF(VLOOKUP(功能_33[[#This Row],[功能代號]],E:U,11,FALSE)=0,"",VLOOKUP(功能_33[[#This Row],[功能代號]],E:U,11,FALSE)),"")</f>
        <v>44496</v>
      </c>
      <c r="AL320" s="272"/>
      <c r="AM320" s="272"/>
      <c r="AN320" s="265"/>
      <c r="AO320" s="272"/>
      <c r="AP320" s="264" t="s">
        <v>2680</v>
      </c>
      <c r="AQ320" s="265" t="s">
        <v>2681</v>
      </c>
      <c r="AR320" s="593" t="s">
        <v>3207</v>
      </c>
      <c r="AS320" s="483" t="str">
        <f>IF(COUNTA(AG320)=1,LEFT(D320,3),"")</f>
        <v>5-4</v>
      </c>
      <c r="AT320" s="485" t="str">
        <f>IF(AND(COUNTA(O320)=1,COUNTA(P320)=1,COUNTA(AC320)=1,COUNTA(AF320)=1,COUNTA(AG320)=0),LEFT(D320,3),"")</f>
        <v/>
      </c>
      <c r="AU320" s="487" t="str">
        <f>IF(AND(COUNTA(O320)=1,COUNTA(P320)=1,COUNTA(AC320)=1,COUNTA(AF320)=0,COUNTA(AG320)=0),LEFT(D320,3),"")</f>
        <v/>
      </c>
      <c r="AV320" s="489" t="str">
        <f>IF(AND(COUNTA(P320)=0,COUNTA(AC320)=1),LEFT(D320,3),"")</f>
        <v/>
      </c>
      <c r="AW320" s="491" t="str">
        <f>IF(AND(COUNTA(P320)=1,COUNTA(AC320)=0),LEFT(D320,3),"")</f>
        <v/>
      </c>
      <c r="AX320" s="493" t="str">
        <f>IF(AND(COUNTA(P320)=0,COUNTA(AC320)=0),LEFT(D320,3),"")</f>
        <v/>
      </c>
      <c r="AY320" s="514" t="str">
        <f>IFERROR(VLOOKUP(功能_33[[#This Row],[功能代號]],SIT_FT_2021tmp!D:D,1,FALSE),"")</f>
        <v/>
      </c>
      <c r="AZ320" s="587">
        <v>44589</v>
      </c>
      <c r="BA320" s="587">
        <v>44585</v>
      </c>
      <c r="BB320" s="514" t="s">
        <v>2425</v>
      </c>
      <c r="BC320" s="265" t="s">
        <v>2453</v>
      </c>
      <c r="BD320" s="593"/>
      <c r="BE320" s="265" t="str">
        <f>IF(AND(COUNTIF(AY320,"&gt;&lt;0")=1,COUNTA(M320)=1),LEFT(D320,3),"")</f>
        <v/>
      </c>
      <c r="BF320" s="265" t="str">
        <f>IF(AND(COUNTIF(AY320,"&gt;&lt;")=1,COUNTA(M320)=0),LEFT(D320,3),"")</f>
        <v/>
      </c>
      <c r="BG320" s="265" t="str">
        <f>IF(AND(COUNTIF(AY320,"&gt;&lt;0")=0,COUNTA(M320)=1),LEFT(D320,3),"")</f>
        <v>5-4</v>
      </c>
      <c r="BH320" s="265" t="str">
        <f>IF(AND(COUNTIF(AY320,"&gt;&lt;0")=0,COUNTA(M320)=0),LEFT(D320,3),"")</f>
        <v/>
      </c>
    </row>
    <row r="321" spans="1:60" ht="13.5" x14ac:dyDescent="0.3">
      <c r="C321" s="265" t="s">
        <v>72</v>
      </c>
      <c r="D321" s="265" t="s">
        <v>890</v>
      </c>
      <c r="E321" s="264" t="s">
        <v>891</v>
      </c>
      <c r="F321" s="265" t="s">
        <v>892</v>
      </c>
      <c r="G321" s="265"/>
      <c r="H321" s="264" t="s">
        <v>166</v>
      </c>
      <c r="I321" s="264" t="s">
        <v>167</v>
      </c>
      <c r="J321" s="212" t="s">
        <v>2841</v>
      </c>
      <c r="K321" s="212"/>
      <c r="L321" s="272">
        <v>44587</v>
      </c>
      <c r="M321" s="272">
        <v>44579</v>
      </c>
      <c r="N321" s="272">
        <v>44502</v>
      </c>
      <c r="O321" s="272">
        <v>44503</v>
      </c>
      <c r="P321" s="272">
        <v>44537</v>
      </c>
      <c r="Q321" s="264" t="s">
        <v>1</v>
      </c>
      <c r="R321" s="264" t="s">
        <v>145</v>
      </c>
      <c r="S321" s="663" t="s">
        <v>19</v>
      </c>
      <c r="T321" s="265" t="s">
        <v>3283</v>
      </c>
      <c r="X321" s="264"/>
      <c r="Z321" s="264"/>
      <c r="AA321" s="264"/>
      <c r="AB321" s="265" t="str">
        <f>VLOOKUP(功能_33[[#This Row],[User]],SKL放款!A:G,7,FALSE)</f>
        <v>放款審查課</v>
      </c>
      <c r="AC321" s="272">
        <v>44533</v>
      </c>
      <c r="AD321" s="272">
        <v>44526</v>
      </c>
      <c r="AE321" s="272">
        <v>44526</v>
      </c>
      <c r="AF321" s="272">
        <v>44526</v>
      </c>
      <c r="AG321" s="209">
        <v>44546</v>
      </c>
      <c r="AH321" s="272"/>
      <c r="AI321" s="272"/>
      <c r="AJ321" s="322"/>
      <c r="AK321" s="272">
        <f>IFERROR(IF(VLOOKUP(功能_33[[#This Row],[功能代號]],E:U,11,FALSE)=0,"",VLOOKUP(功能_33[[#This Row],[功能代號]],E:U,11,FALSE)),"")</f>
        <v>44503</v>
      </c>
      <c r="AL321" s="272"/>
      <c r="AM321" s="272"/>
      <c r="AN321" s="265"/>
      <c r="AO321" s="272">
        <v>44438</v>
      </c>
      <c r="AP321" s="264" t="s">
        <v>163</v>
      </c>
      <c r="AQ321" s="264" t="s">
        <v>163</v>
      </c>
      <c r="AR321" s="593" t="s">
        <v>3207</v>
      </c>
      <c r="AS321" s="483" t="str">
        <f>IF(COUNTA(AG321)=1,LEFT(D321,3),"")</f>
        <v>8-1</v>
      </c>
      <c r="AT321" s="485" t="str">
        <f>IF(AND(COUNTA(O321)=1,COUNTA(P321)=1,COUNTA(AC321)=1,COUNTA(AF321)=1,COUNTA(AG321)=0),LEFT(D321,3),"")</f>
        <v/>
      </c>
      <c r="AU321" s="487" t="str">
        <f>IF(AND(COUNTA(O321)=1,COUNTA(P321)=1,COUNTA(AC321)=1,COUNTA(AF321)=0,COUNTA(AG321)=0),LEFT(D321,3),"")</f>
        <v/>
      </c>
      <c r="AV321" s="489" t="str">
        <f>IF(AND(COUNTA(P321)=0,COUNTA(AC321)=1),LEFT(D321,3),"")</f>
        <v/>
      </c>
      <c r="AW321" s="491" t="str">
        <f>IF(AND(COUNTA(P321)=1,COUNTA(AC321)=0),LEFT(D321,3),"")</f>
        <v/>
      </c>
      <c r="AX321" s="493" t="str">
        <f>IF(AND(COUNTA(P321)=0,COUNTA(AC321)=0),LEFT(D321,3),"")</f>
        <v/>
      </c>
      <c r="AY321" s="514" t="str">
        <f>IFERROR(VLOOKUP(功能_33[[#This Row],[功能代號]],SIT_FT_2021tmp!D:D,1,FALSE),"")</f>
        <v>L8080</v>
      </c>
      <c r="AZ321" s="587">
        <v>44540</v>
      </c>
      <c r="BA321" s="587">
        <v>44540</v>
      </c>
      <c r="BB321" s="514" t="s">
        <v>3000</v>
      </c>
      <c r="BC321" s="265" t="s">
        <v>3032</v>
      </c>
      <c r="BD321" s="593"/>
      <c r="BE321" s="264" t="str">
        <f>IF(AND(COUNTIF(AY321,"&gt;&lt;0")=1,COUNTA(M321)=1),LEFT(D321,3),"")</f>
        <v>8-1</v>
      </c>
      <c r="BF321" s="264" t="str">
        <f>IF(AND(COUNTIF(AY321,"&gt;&lt;")=1,COUNTA(M321)=0),LEFT(D321,3),"")</f>
        <v/>
      </c>
      <c r="BG321" s="264" t="str">
        <f>IF(AND(COUNTIF(AY321,"&gt;&lt;0")=0,COUNTA(M321)=1),LEFT(D321,3),"")</f>
        <v/>
      </c>
      <c r="BH321" s="264" t="str">
        <f>IF(AND(COUNTIF(AY321,"&gt;&lt;0")=0,COUNTA(M321)=0),LEFT(D321,3),"")</f>
        <v/>
      </c>
    </row>
    <row r="322" spans="1:60" ht="13.5" x14ac:dyDescent="0.3">
      <c r="C322" s="265" t="s">
        <v>70</v>
      </c>
      <c r="D322" s="265" t="s">
        <v>2465</v>
      </c>
      <c r="E322" s="264" t="s">
        <v>559</v>
      </c>
      <c r="F322" s="265" t="s">
        <v>558</v>
      </c>
      <c r="G322" s="265"/>
      <c r="H322" s="264" t="s">
        <v>166</v>
      </c>
      <c r="I322" s="264" t="s">
        <v>287</v>
      </c>
      <c r="J322" s="212" t="s">
        <v>2853</v>
      </c>
      <c r="K322" s="212"/>
      <c r="L322" s="272">
        <v>44565</v>
      </c>
      <c r="M322" s="272">
        <v>44565</v>
      </c>
      <c r="N322" s="272">
        <v>44516</v>
      </c>
      <c r="O322" s="272">
        <v>44467</v>
      </c>
      <c r="P322" s="272">
        <v>44467</v>
      </c>
      <c r="Q322" s="264" t="s">
        <v>6</v>
      </c>
      <c r="R322" s="264" t="s">
        <v>539</v>
      </c>
      <c r="S322" s="264" t="s">
        <v>539</v>
      </c>
      <c r="X322" s="264"/>
      <c r="Z322" s="264"/>
      <c r="AA322" s="264"/>
      <c r="AB322" s="265" t="str">
        <f>VLOOKUP(功能_33[[#This Row],[User]],SKL放款!A:G,7,FALSE)</f>
        <v>放款審查課</v>
      </c>
      <c r="AC322" s="272">
        <v>44533</v>
      </c>
      <c r="AD322" s="272" t="s">
        <v>168</v>
      </c>
      <c r="AE322" s="272">
        <v>44467</v>
      </c>
      <c r="AF322" s="272">
        <v>44467</v>
      </c>
      <c r="AG322" s="209">
        <v>44550</v>
      </c>
      <c r="AH322" s="272"/>
      <c r="AI322" s="272"/>
      <c r="AJ322" s="322"/>
      <c r="AK322" s="272">
        <f>IFERROR(IF(VLOOKUP(功能_33[[#This Row],[功能代號]],E:U,11,FALSE)=0,"",VLOOKUP(功能_33[[#This Row],[功能代號]],E:U,11,FALSE)),"")</f>
        <v>44467</v>
      </c>
      <c r="AL322" s="272"/>
      <c r="AM322" s="272"/>
      <c r="AN322" s="265"/>
      <c r="AO322" s="272"/>
      <c r="AP322" s="276" t="s">
        <v>557</v>
      </c>
      <c r="AQ322" s="277" t="s">
        <v>558</v>
      </c>
      <c r="AR322" s="593" t="s">
        <v>3207</v>
      </c>
      <c r="AS322" s="483" t="str">
        <f>IF(COUNTA(AG322)=1,LEFT(D322,3),"")</f>
        <v>6-6</v>
      </c>
      <c r="AT322" s="485" t="str">
        <f>IF(AND(COUNTA(O322)=1,COUNTA(P322)=1,COUNTA(AC322)=1,COUNTA(AF322)=1,COUNTA(AG322)=0),LEFT(D322,3),"")</f>
        <v/>
      </c>
      <c r="AU322" s="487" t="str">
        <f>IF(AND(COUNTA(O322)=1,COUNTA(P322)=1,COUNTA(AC322)=1,COUNTA(AF322)=0,COUNTA(AG322)=0),LEFT(D322,3),"")</f>
        <v/>
      </c>
      <c r="AV322" s="489" t="str">
        <f>IF(AND(COUNTA(P322)=0,COUNTA(AC322)=1),LEFT(D322,3),"")</f>
        <v/>
      </c>
      <c r="AW322" s="491" t="str">
        <f>IF(AND(COUNTA(P322)=1,COUNTA(AC322)=0),LEFT(D322,3),"")</f>
        <v/>
      </c>
      <c r="AX322" s="493" t="str">
        <f>IF(AND(COUNTA(P322)=0,COUNTA(AC322)=0),LEFT(D322,3),"")</f>
        <v/>
      </c>
      <c r="AY322" s="514" t="str">
        <f>IFERROR(VLOOKUP(功能_33[[#This Row],[功能代號]],SIT_FT_2021tmp!D:D,1,FALSE),"")</f>
        <v>L6602</v>
      </c>
      <c r="AZ322" s="587">
        <v>44512</v>
      </c>
      <c r="BA322" s="587">
        <v>44512</v>
      </c>
      <c r="BB322" s="514" t="s">
        <v>3000</v>
      </c>
      <c r="BC322" s="265" t="s">
        <v>3050</v>
      </c>
      <c r="BD322" s="593"/>
      <c r="BE322" s="264" t="str">
        <f>IF(AND(COUNTIF(AY322,"&gt;&lt;0")=1,COUNTA(M322)=1),LEFT(D322,3),"")</f>
        <v>6-6</v>
      </c>
      <c r="BF322" s="264" t="str">
        <f>IF(AND(COUNTIF(AY322,"&gt;&lt;")=1,COUNTA(M322)=0),LEFT(D322,3),"")</f>
        <v/>
      </c>
      <c r="BG322" s="264" t="str">
        <f>IF(AND(COUNTIF(AY322,"&gt;&lt;0")=0,COUNTA(M322)=1),LEFT(D322,3),"")</f>
        <v/>
      </c>
      <c r="BH322" s="264" t="str">
        <f>IF(AND(COUNTIF(AY322,"&gt;&lt;0")=0,COUNTA(M322)=0),LEFT(D322,3),"")</f>
        <v/>
      </c>
    </row>
    <row r="323" spans="1:60" ht="13.5" x14ac:dyDescent="0.3">
      <c r="C323" s="265" t="s">
        <v>72</v>
      </c>
      <c r="D323" s="363" t="s">
        <v>2497</v>
      </c>
      <c r="E323" s="264" t="s">
        <v>896</v>
      </c>
      <c r="F323" s="265" t="s">
        <v>2809</v>
      </c>
      <c r="G323" s="265"/>
      <c r="H323" s="264" t="s">
        <v>110</v>
      </c>
      <c r="I323" s="264" t="s">
        <v>110</v>
      </c>
      <c r="J323" s="212" t="s">
        <v>2841</v>
      </c>
      <c r="K323" s="212"/>
      <c r="L323" s="272">
        <v>44582</v>
      </c>
      <c r="M323" s="272">
        <v>44582</v>
      </c>
      <c r="N323" s="272">
        <v>44524</v>
      </c>
      <c r="O323" s="272">
        <v>44526</v>
      </c>
      <c r="P323" s="272">
        <v>44546</v>
      </c>
      <c r="Q323" s="264" t="s">
        <v>1</v>
      </c>
      <c r="R323" s="264" t="s">
        <v>19</v>
      </c>
      <c r="S323" s="264" t="s">
        <v>19</v>
      </c>
      <c r="T323" s="265" t="s">
        <v>893</v>
      </c>
      <c r="X323" s="264"/>
      <c r="Z323" s="264"/>
      <c r="AA323" s="264"/>
      <c r="AB323" s="265" t="str">
        <f>VLOOKUP(功能_33[[#This Row],[User]],SKL放款!A:G,7,FALSE)</f>
        <v>放款審查課</v>
      </c>
      <c r="AC323" s="272">
        <v>44537</v>
      </c>
      <c r="AD323" s="272" t="s">
        <v>2557</v>
      </c>
      <c r="AE323" s="272">
        <v>44526</v>
      </c>
      <c r="AF323" s="272">
        <v>44526</v>
      </c>
      <c r="AG323" s="209">
        <v>44546</v>
      </c>
      <c r="AH323" s="272"/>
      <c r="AI323" s="272"/>
      <c r="AJ323" s="322"/>
      <c r="AK323" s="272">
        <f>IFERROR(IF(VLOOKUP(功能_33[[#This Row],[功能代號]],E:U,11,FALSE)=0,"",VLOOKUP(功能_33[[#This Row],[功能代號]],E:U,11,FALSE)),"")</f>
        <v>44526</v>
      </c>
      <c r="AL323" s="272"/>
      <c r="AM323" s="272"/>
      <c r="AN323" s="265"/>
      <c r="AO323" s="272"/>
      <c r="AP323" s="264" t="s">
        <v>163</v>
      </c>
      <c r="AQ323" s="264" t="s">
        <v>163</v>
      </c>
      <c r="AR323" s="593" t="s">
        <v>3207</v>
      </c>
      <c r="AS323" s="483" t="str">
        <f>IF(COUNTA(AG323)=1,LEFT(D323,3),"")</f>
        <v>8-1</v>
      </c>
      <c r="AT323" s="485" t="str">
        <f>IF(AND(COUNTA(O323)=1,COUNTA(P323)=1,COUNTA(AC323)=1,COUNTA(AF323)=1,COUNTA(AG323)=0),LEFT(D323,3),"")</f>
        <v/>
      </c>
      <c r="AU323" s="487" t="str">
        <f>IF(AND(COUNTA(O323)=1,COUNTA(P323)=1,COUNTA(AC323)=1,COUNTA(AF323)=0,COUNTA(AG323)=0),LEFT(D323,3),"")</f>
        <v/>
      </c>
      <c r="AV323" s="489" t="str">
        <f>IF(AND(COUNTA(P323)=0,COUNTA(AC323)=1),LEFT(D323,3),"")</f>
        <v/>
      </c>
      <c r="AW323" s="491" t="str">
        <f>IF(AND(COUNTA(P323)=1,COUNTA(AC323)=0),LEFT(D323,3),"")</f>
        <v/>
      </c>
      <c r="AX323" s="493" t="str">
        <f>IF(AND(COUNTA(P323)=0,COUNTA(AC323)=0),LEFT(D323,3),"")</f>
        <v/>
      </c>
      <c r="AY323" s="514" t="str">
        <f>IFERROR(VLOOKUP(功能_33[[#This Row],[功能代號]],SIT_FT_2021tmp!D:D,1,FALSE),"")</f>
        <v/>
      </c>
      <c r="AZ323" s="587">
        <v>44610</v>
      </c>
      <c r="BB323" s="514" t="s">
        <v>2453</v>
      </c>
      <c r="BC323" s="265" t="s">
        <v>2453</v>
      </c>
      <c r="BD323" s="593"/>
      <c r="BE323" s="265" t="str">
        <f>IF(AND(COUNTIF(AY323,"&gt;&lt;0")=1,COUNTA(M323)=1),LEFT(D323,3),"")</f>
        <v/>
      </c>
      <c r="BF323" s="265" t="str">
        <f>IF(AND(COUNTIF(AY323,"&gt;&lt;")=1,COUNTA(M323)=0),LEFT(D323,3),"")</f>
        <v/>
      </c>
      <c r="BG323" s="265" t="str">
        <f>IF(AND(COUNTIF(AY323,"&gt;&lt;0")=0,COUNTA(M323)=1),LEFT(D323,3),"")</f>
        <v>8-1</v>
      </c>
      <c r="BH323" s="265" t="str">
        <f>IF(AND(COUNTIF(AY323,"&gt;&lt;0")=0,COUNTA(M323)=0),LEFT(D323,3),"")</f>
        <v/>
      </c>
    </row>
    <row r="324" spans="1:60" ht="13.5" x14ac:dyDescent="0.3">
      <c r="C324" s="265" t="s">
        <v>72</v>
      </c>
      <c r="D324" s="363" t="s">
        <v>2497</v>
      </c>
      <c r="E324" s="264" t="s">
        <v>2808</v>
      </c>
      <c r="F324" s="265" t="s">
        <v>2810</v>
      </c>
      <c r="G324" s="265" t="s">
        <v>898</v>
      </c>
      <c r="H324" s="264" t="s">
        <v>110</v>
      </c>
      <c r="I324" s="264" t="s">
        <v>110</v>
      </c>
      <c r="J324" s="212" t="s">
        <v>2841</v>
      </c>
      <c r="K324" s="212"/>
      <c r="L324" s="272">
        <v>44582</v>
      </c>
      <c r="M324" s="272">
        <v>44582</v>
      </c>
      <c r="N324" s="272">
        <v>44524</v>
      </c>
      <c r="O324" s="272">
        <v>44526</v>
      </c>
      <c r="P324" s="272">
        <v>44546</v>
      </c>
      <c r="Q324" s="264" t="s">
        <v>1</v>
      </c>
      <c r="R324" s="264" t="s">
        <v>19</v>
      </c>
      <c r="S324" s="264" t="s">
        <v>19</v>
      </c>
      <c r="T324" s="265" t="s">
        <v>893</v>
      </c>
      <c r="X324" s="264"/>
      <c r="Z324" s="264"/>
      <c r="AA324" s="264"/>
      <c r="AB324" s="265" t="str">
        <f>VLOOKUP(功能_33[[#This Row],[User]],SKL放款!A:G,7,FALSE)</f>
        <v>放款審查課</v>
      </c>
      <c r="AC324" s="272">
        <v>44537</v>
      </c>
      <c r="AD324" s="272" t="s">
        <v>2557</v>
      </c>
      <c r="AE324" s="272">
        <v>44526</v>
      </c>
      <c r="AF324" s="272">
        <v>44526</v>
      </c>
      <c r="AG324" s="209">
        <v>44546</v>
      </c>
      <c r="AH324" s="272"/>
      <c r="AI324" s="272"/>
      <c r="AJ324" s="322"/>
      <c r="AK324" s="272">
        <f>IFERROR(IF(VLOOKUP(功能_33[[#This Row],[功能代號]],E:U,11,FALSE)=0,"",VLOOKUP(功能_33[[#This Row],[功能代號]],E:U,11,FALSE)),"")</f>
        <v>44526</v>
      </c>
      <c r="AL324" s="272"/>
      <c r="AM324" s="272"/>
      <c r="AN324" s="265"/>
      <c r="AO324" s="272"/>
      <c r="AP324" s="264" t="s">
        <v>163</v>
      </c>
      <c r="AQ324" s="264" t="s">
        <v>163</v>
      </c>
      <c r="AR324" s="593" t="s">
        <v>3207</v>
      </c>
      <c r="AS324" s="483" t="str">
        <f>IF(COUNTA(AG324)=1,LEFT(D324,3),"")</f>
        <v>8-1</v>
      </c>
      <c r="AT324" s="485" t="str">
        <f>IF(AND(COUNTA(O324)=1,COUNTA(P324)=1,COUNTA(AC324)=1,COUNTA(AF324)=1,COUNTA(AG324)=0),LEFT(D324,3),"")</f>
        <v/>
      </c>
      <c r="AU324" s="487" t="str">
        <f>IF(AND(COUNTA(O324)=1,COUNTA(P324)=1,COUNTA(AC324)=1,COUNTA(AF324)=0,COUNTA(AG324)=0),LEFT(D324,3),"")</f>
        <v/>
      </c>
      <c r="AV324" s="489" t="str">
        <f>IF(AND(COUNTA(P324)=0,COUNTA(AC324)=1),LEFT(D324,3),"")</f>
        <v/>
      </c>
      <c r="AW324" s="491" t="str">
        <f>IF(AND(COUNTA(P324)=1,COUNTA(AC324)=0),LEFT(D324,3),"")</f>
        <v/>
      </c>
      <c r="AX324" s="493" t="str">
        <f>IF(AND(COUNTA(P324)=0,COUNTA(AC324)=0),LEFT(D324,3),"")</f>
        <v/>
      </c>
      <c r="AY324" s="514" t="str">
        <f>IFERROR(VLOOKUP(功能_33[[#This Row],[功能代號]],SIT_FT_2021tmp!D:D,1,FALSE),"")</f>
        <v/>
      </c>
      <c r="AZ324" s="587">
        <v>44610</v>
      </c>
      <c r="BB324" s="514" t="s">
        <v>2453</v>
      </c>
      <c r="BC324" s="265" t="s">
        <v>2453</v>
      </c>
      <c r="BD324" s="593"/>
      <c r="BE324" s="265" t="str">
        <f>IF(AND(COUNTIF(AY324,"&gt;&lt;0")=1,COUNTA(M324)=1),LEFT(D324,3),"")</f>
        <v/>
      </c>
      <c r="BF324" s="265" t="str">
        <f>IF(AND(COUNTIF(AY324,"&gt;&lt;")=1,COUNTA(M324)=0),LEFT(D324,3),"")</f>
        <v/>
      </c>
      <c r="BG324" s="265" t="str">
        <f>IF(AND(COUNTIF(AY324,"&gt;&lt;0")=0,COUNTA(M324)=1),LEFT(D324,3),"")</f>
        <v>8-1</v>
      </c>
      <c r="BH324" s="265" t="str">
        <f>IF(AND(COUNTIF(AY324,"&gt;&lt;0")=0,COUNTA(M324)=0),LEFT(D324,3),"")</f>
        <v/>
      </c>
    </row>
    <row r="325" spans="1:60" ht="13.5" x14ac:dyDescent="0.3">
      <c r="C325" s="265" t="s">
        <v>72</v>
      </c>
      <c r="D325" s="363" t="s">
        <v>2497</v>
      </c>
      <c r="E325" s="264" t="s">
        <v>899</v>
      </c>
      <c r="F325" s="265" t="s">
        <v>900</v>
      </c>
      <c r="G325" s="265" t="s">
        <v>901</v>
      </c>
      <c r="H325" s="264" t="s">
        <v>110</v>
      </c>
      <c r="I325" s="264" t="s">
        <v>110</v>
      </c>
      <c r="J325" s="212" t="s">
        <v>2841</v>
      </c>
      <c r="K325" s="212"/>
      <c r="L325" s="272">
        <v>44582</v>
      </c>
      <c r="M325" s="272">
        <v>44582</v>
      </c>
      <c r="N325" s="272">
        <v>44524</v>
      </c>
      <c r="O325" s="272">
        <v>44526</v>
      </c>
      <c r="P325" s="272">
        <v>44546</v>
      </c>
      <c r="Q325" s="264" t="s">
        <v>1</v>
      </c>
      <c r="R325" s="264" t="s">
        <v>19</v>
      </c>
      <c r="S325" s="264" t="s">
        <v>19</v>
      </c>
      <c r="T325" s="265" t="s">
        <v>893</v>
      </c>
      <c r="X325" s="264"/>
      <c r="Z325" s="264"/>
      <c r="AA325" s="264"/>
      <c r="AB325" s="265" t="str">
        <f>VLOOKUP(功能_33[[#This Row],[User]],SKL放款!A:G,7,FALSE)</f>
        <v>放款審查課</v>
      </c>
      <c r="AC325" s="272">
        <v>44537</v>
      </c>
      <c r="AD325" s="272" t="s">
        <v>2557</v>
      </c>
      <c r="AE325" s="272">
        <v>44526</v>
      </c>
      <c r="AF325" s="272">
        <v>44526</v>
      </c>
      <c r="AG325" s="209">
        <v>44546</v>
      </c>
      <c r="AH325" s="259"/>
      <c r="AI325" s="259"/>
      <c r="AJ325" s="259"/>
      <c r="AK325" s="259">
        <f>IFERROR(IF(VLOOKUP(功能_33[[#This Row],[功能代號]],E:U,11,FALSE)=0,"",VLOOKUP(功能_33[[#This Row],[功能代號]],E:U,11,FALSE)),"")</f>
        <v>44526</v>
      </c>
      <c r="AL325" s="259"/>
      <c r="AM325" s="259"/>
      <c r="AN325" s="265"/>
      <c r="AP325" s="264" t="s">
        <v>2811</v>
      </c>
      <c r="AQ325" s="264" t="s">
        <v>163</v>
      </c>
      <c r="AR325" s="593" t="s">
        <v>3207</v>
      </c>
      <c r="AS325" s="483" t="str">
        <f>IF(COUNTA(AG325)=1,LEFT(D325,3),"")</f>
        <v>8-1</v>
      </c>
      <c r="AT325" s="485" t="str">
        <f>IF(AND(COUNTA(O325)=1,COUNTA(P325)=1,COUNTA(AC325)=1,COUNTA(AF325)=1,COUNTA(AG325)=0),LEFT(D325,3),"")</f>
        <v/>
      </c>
      <c r="AU325" s="487" t="str">
        <f>IF(AND(COUNTA(O325)=1,COUNTA(P325)=1,COUNTA(AC325)=1,COUNTA(AF325)=0,COUNTA(AG325)=0),LEFT(D325,3),"")</f>
        <v/>
      </c>
      <c r="AV325" s="489" t="str">
        <f>IF(AND(COUNTA(P325)=0,COUNTA(AC325)=1),LEFT(D325,3),"")</f>
        <v/>
      </c>
      <c r="AW325" s="491" t="str">
        <f>IF(AND(COUNTA(P325)=1,COUNTA(AC325)=0),LEFT(D325,3),"")</f>
        <v/>
      </c>
      <c r="AX325" s="493" t="str">
        <f>IF(AND(COUNTA(P325)=0,COUNTA(AC325)=0),LEFT(D325,3),"")</f>
        <v/>
      </c>
      <c r="AY325" s="514" t="str">
        <f>IFERROR(VLOOKUP(功能_33[[#This Row],[功能代號]],SIT_FT_2021tmp!D:D,1,FALSE),"")</f>
        <v/>
      </c>
      <c r="AZ325" s="587">
        <v>44610</v>
      </c>
      <c r="BB325" s="514" t="s">
        <v>2453</v>
      </c>
      <c r="BC325" s="265" t="s">
        <v>2453</v>
      </c>
      <c r="BD325" s="593"/>
      <c r="BE325" s="265" t="str">
        <f>IF(AND(COUNTIF(AY325,"&gt;&lt;0")=1,COUNTA(M325)=1),LEFT(D325,3),"")</f>
        <v/>
      </c>
      <c r="BF325" s="265" t="str">
        <f>IF(AND(COUNTIF(AY325,"&gt;&lt;")=1,COUNTA(M325)=0),LEFT(D325,3),"")</f>
        <v/>
      </c>
      <c r="BG325" s="265" t="str">
        <f>IF(AND(COUNTIF(AY325,"&gt;&lt;0")=0,COUNTA(M325)=1),LEFT(D325,3),"")</f>
        <v>8-1</v>
      </c>
      <c r="BH325" s="265" t="str">
        <f>IF(AND(COUNTIF(AY325,"&gt;&lt;0")=0,COUNTA(M325)=0),LEFT(D325,3),"")</f>
        <v/>
      </c>
    </row>
    <row r="326" spans="1:60" ht="13.5" x14ac:dyDescent="0.3">
      <c r="C326" s="265" t="s">
        <v>72</v>
      </c>
      <c r="D326" s="363" t="s">
        <v>2497</v>
      </c>
      <c r="E326" s="264" t="s">
        <v>2695</v>
      </c>
      <c r="F326" s="265" t="s">
        <v>897</v>
      </c>
      <c r="G326" s="265"/>
      <c r="H326" s="264" t="s">
        <v>110</v>
      </c>
      <c r="I326" s="264" t="s">
        <v>110</v>
      </c>
      <c r="J326" s="212" t="s">
        <v>2841</v>
      </c>
      <c r="K326" s="212"/>
      <c r="L326" s="272">
        <v>44582</v>
      </c>
      <c r="M326" s="272">
        <v>44582</v>
      </c>
      <c r="N326" s="272">
        <v>44524</v>
      </c>
      <c r="O326" s="272">
        <v>44526</v>
      </c>
      <c r="P326" s="272">
        <v>44546</v>
      </c>
      <c r="Q326" s="264" t="s">
        <v>1</v>
      </c>
      <c r="R326" s="264" t="s">
        <v>19</v>
      </c>
      <c r="S326" s="264" t="s">
        <v>19</v>
      </c>
      <c r="T326" s="265" t="s">
        <v>893</v>
      </c>
      <c r="X326" s="264"/>
      <c r="Z326" s="264"/>
      <c r="AA326" s="264"/>
      <c r="AB326" s="265" t="str">
        <f>VLOOKUP(功能_33[[#This Row],[User]],SKL放款!A:G,7,FALSE)</f>
        <v>放款審查課</v>
      </c>
      <c r="AC326" s="272">
        <v>44537</v>
      </c>
      <c r="AD326" s="272" t="s">
        <v>2557</v>
      </c>
      <c r="AE326" s="272">
        <v>44526</v>
      </c>
      <c r="AF326" s="272">
        <v>44526</v>
      </c>
      <c r="AG326" s="209">
        <v>44546</v>
      </c>
      <c r="AH326" s="272"/>
      <c r="AI326" s="272"/>
      <c r="AJ326" s="322"/>
      <c r="AK326" s="272">
        <f>IFERROR(IF(VLOOKUP(功能_33[[#This Row],[功能代號]],E:U,11,FALSE)=0,"",VLOOKUP(功能_33[[#This Row],[功能代號]],E:U,11,FALSE)),"")</f>
        <v>44526</v>
      </c>
      <c r="AL326" s="272"/>
      <c r="AM326" s="272"/>
      <c r="AN326" s="265"/>
      <c r="AO326" s="272"/>
      <c r="AP326" s="264" t="s">
        <v>163</v>
      </c>
      <c r="AQ326" s="264" t="s">
        <v>163</v>
      </c>
      <c r="AR326" s="593" t="s">
        <v>3207</v>
      </c>
      <c r="AS326" s="483" t="str">
        <f>IF(COUNTA(AG326)=1,LEFT(D326,3),"")</f>
        <v>8-1</v>
      </c>
      <c r="AT326" s="485" t="str">
        <f>IF(AND(COUNTA(O326)=1,COUNTA(P326)=1,COUNTA(AC326)=1,COUNTA(AF326)=1,COUNTA(AG326)=0),LEFT(D326,3),"")</f>
        <v/>
      </c>
      <c r="AU326" s="487" t="str">
        <f>IF(AND(COUNTA(O326)=1,COUNTA(P326)=1,COUNTA(AC326)=1,COUNTA(AF326)=0,COUNTA(AG326)=0),LEFT(D326,3),"")</f>
        <v/>
      </c>
      <c r="AV326" s="489" t="str">
        <f>IF(AND(COUNTA(P326)=0,COUNTA(AC326)=1),LEFT(D326,3),"")</f>
        <v/>
      </c>
      <c r="AW326" s="491" t="str">
        <f>IF(AND(COUNTA(P326)=1,COUNTA(AC326)=0),LEFT(D326,3),"")</f>
        <v/>
      </c>
      <c r="AX326" s="493" t="str">
        <f>IF(AND(COUNTA(P326)=0,COUNTA(AC326)=0),LEFT(D326,3),"")</f>
        <v/>
      </c>
      <c r="AY326" s="514" t="str">
        <f>IFERROR(VLOOKUP(功能_33[[#This Row],[功能代號]],SIT_FT_2021tmp!D:D,1,FALSE),"")</f>
        <v/>
      </c>
      <c r="AZ326" s="587">
        <v>44610</v>
      </c>
      <c r="BB326" s="514" t="s">
        <v>2453</v>
      </c>
      <c r="BC326" s="265" t="s">
        <v>2453</v>
      </c>
      <c r="BD326" s="593"/>
      <c r="BE326" s="265" t="str">
        <f>IF(AND(COUNTIF(AY326,"&gt;&lt;0")=1,COUNTA(M326)=1),LEFT(D326,3),"")</f>
        <v/>
      </c>
      <c r="BF326" s="265" t="str">
        <f>IF(AND(COUNTIF(AY326,"&gt;&lt;")=1,COUNTA(M326)=0),LEFT(D326,3),"")</f>
        <v/>
      </c>
      <c r="BG326" s="265" t="str">
        <f>IF(AND(COUNTIF(AY326,"&gt;&lt;0")=0,COUNTA(M326)=1),LEFT(D326,3),"")</f>
        <v>8-1</v>
      </c>
      <c r="BH326" s="265" t="str">
        <f>IF(AND(COUNTIF(AY326,"&gt;&lt;0")=0,COUNTA(M326)=0),LEFT(D326,3),"")</f>
        <v/>
      </c>
    </row>
    <row r="327" spans="1:60" ht="13.5" x14ac:dyDescent="0.3">
      <c r="A327" s="535"/>
      <c r="B327" s="360"/>
      <c r="C327" s="265" t="s">
        <v>72</v>
      </c>
      <c r="D327" s="363" t="s">
        <v>2497</v>
      </c>
      <c r="E327" s="264" t="s">
        <v>2813</v>
      </c>
      <c r="F327" s="257" t="s">
        <v>2814</v>
      </c>
      <c r="G327" s="257"/>
      <c r="H327" s="264" t="s">
        <v>110</v>
      </c>
      <c r="I327" s="264" t="s">
        <v>110</v>
      </c>
      <c r="J327" s="212" t="s">
        <v>2841</v>
      </c>
      <c r="K327" s="212"/>
      <c r="L327" s="272">
        <v>44582</v>
      </c>
      <c r="M327" s="272">
        <v>44582</v>
      </c>
      <c r="N327" s="272">
        <v>44524</v>
      </c>
      <c r="O327" s="272">
        <v>44526</v>
      </c>
      <c r="P327" s="272">
        <v>44546</v>
      </c>
      <c r="Q327" s="264" t="s">
        <v>1</v>
      </c>
      <c r="R327" s="264" t="s">
        <v>19</v>
      </c>
      <c r="S327" s="264" t="s">
        <v>19</v>
      </c>
      <c r="T327" s="265" t="s">
        <v>893</v>
      </c>
      <c r="U327" s="272">
        <v>44537</v>
      </c>
      <c r="V327" s="272" t="s">
        <v>2557</v>
      </c>
      <c r="X327" s="264"/>
      <c r="Z327" s="264"/>
      <c r="AA327" s="264"/>
      <c r="AB327" s="360" t="str">
        <f>VLOOKUP(功能_33[[#This Row],[User]],SKL放款!A:G,7,FALSE)</f>
        <v>放款審查課</v>
      </c>
      <c r="AC327" s="272">
        <v>44537</v>
      </c>
      <c r="AD327" s="272" t="s">
        <v>2557</v>
      </c>
      <c r="AE327" s="272">
        <v>44526</v>
      </c>
      <c r="AF327" s="272">
        <v>44526</v>
      </c>
      <c r="AG327" s="209">
        <v>44546</v>
      </c>
      <c r="AH327" s="259"/>
      <c r="AI327" s="259"/>
      <c r="AJ327" s="259"/>
      <c r="AK327" s="259">
        <f>IFERROR(IF(VLOOKUP(功能_33[[#This Row],[功能代號]],E:U,11,FALSE)=0,"",VLOOKUP(功能_33[[#This Row],[功能代號]],E:U,11,FALSE)),"")</f>
        <v>44526</v>
      </c>
      <c r="AL327" s="259"/>
      <c r="AM327" s="259"/>
      <c r="AN327" s="360"/>
      <c r="AP327" s="264" t="s">
        <v>163</v>
      </c>
      <c r="AQ327" s="264" t="s">
        <v>163</v>
      </c>
      <c r="AR327" s="593" t="s">
        <v>3207</v>
      </c>
      <c r="AS327" s="536" t="str">
        <f>IF(COUNTA(AG327)=1,LEFT(D327,3),"")</f>
        <v>8-1</v>
      </c>
      <c r="AT327" s="485" t="str">
        <f>IF(AND(COUNTA(O327)=1,COUNTA(P327)=1,COUNTA(AC327)=1,COUNTA(AF327)=1,COUNTA(AG327)=0),LEFT(D327,3),"")</f>
        <v/>
      </c>
      <c r="AU327" s="487" t="str">
        <f>IF(AND(COUNTA(O327)=1,COUNTA(P327)=1,COUNTA(AC327)=1,COUNTA(AF327)=0,COUNTA(AG327)=0),LEFT(D327,3),"")</f>
        <v/>
      </c>
      <c r="AV327" s="489" t="str">
        <f>IF(AND(COUNTA(P327)=0,COUNTA(AC327)=1),LEFT(D327,3),"")</f>
        <v/>
      </c>
      <c r="AW327" s="491" t="str">
        <f>IF(AND(COUNTA(P327)=1,COUNTA(AC327)=0),LEFT(D327,3),"")</f>
        <v/>
      </c>
      <c r="AX327" s="493" t="str">
        <f>IF(AND(COUNTA(P327)=0,COUNTA(AC327)=0),LEFT(D327,3),"")</f>
        <v/>
      </c>
      <c r="AY327" s="514" t="str">
        <f>IFERROR(VLOOKUP(功能_33[[#This Row],[功能代號]],SIT_FT_2021tmp!D:D,1,FALSE),"")</f>
        <v/>
      </c>
      <c r="AZ327" s="587">
        <v>44610</v>
      </c>
      <c r="BB327" s="514" t="s">
        <v>2453</v>
      </c>
      <c r="BC327" s="265" t="s">
        <v>2453</v>
      </c>
      <c r="BD327" s="593"/>
      <c r="BE327" s="265" t="str">
        <f>IF(AND(COUNTIF(AY327,"&gt;&lt;0")=1,COUNTA(M327)=1),LEFT(D327,3),"")</f>
        <v/>
      </c>
      <c r="BF327" s="265" t="str">
        <f>IF(AND(COUNTIF(AY327,"&gt;&lt;")=1,COUNTA(M327)=0),LEFT(D327,3),"")</f>
        <v/>
      </c>
      <c r="BG327" s="265" t="str">
        <f>IF(AND(COUNTIF(AY327,"&gt;&lt;0")=0,COUNTA(M327)=1),LEFT(D327,3),"")</f>
        <v>8-1</v>
      </c>
      <c r="BH327" s="265" t="str">
        <f>IF(AND(COUNTIF(AY327,"&gt;&lt;0")=0,COUNTA(M327)=0),LEFT(D327,3),"")</f>
        <v/>
      </c>
    </row>
    <row r="328" spans="1:60" ht="13.5" x14ac:dyDescent="0.3">
      <c r="C328" s="265" t="s">
        <v>72</v>
      </c>
      <c r="D328" s="363" t="s">
        <v>2497</v>
      </c>
      <c r="E328" s="264" t="s">
        <v>902</v>
      </c>
      <c r="F328" s="265" t="s">
        <v>903</v>
      </c>
      <c r="G328" s="265"/>
      <c r="H328" s="264" t="s">
        <v>110</v>
      </c>
      <c r="I328" s="264" t="s">
        <v>110</v>
      </c>
      <c r="J328" s="212" t="s">
        <v>2841</v>
      </c>
      <c r="K328" s="212"/>
      <c r="L328" s="272">
        <v>44582</v>
      </c>
      <c r="M328" s="272">
        <v>44582</v>
      </c>
      <c r="N328" s="272">
        <v>44524</v>
      </c>
      <c r="O328" s="272">
        <v>44526</v>
      </c>
      <c r="P328" s="272">
        <v>44546</v>
      </c>
      <c r="Q328" s="264" t="s">
        <v>1</v>
      </c>
      <c r="R328" s="264" t="s">
        <v>19</v>
      </c>
      <c r="S328" s="264" t="s">
        <v>19</v>
      </c>
      <c r="T328" s="265" t="s">
        <v>893</v>
      </c>
      <c r="X328" s="264"/>
      <c r="Z328" s="264"/>
      <c r="AA328" s="264"/>
      <c r="AB328" s="265" t="str">
        <f>VLOOKUP(功能_33[[#This Row],[User]],SKL放款!A:G,7,FALSE)</f>
        <v>放款審查課</v>
      </c>
      <c r="AC328" s="272">
        <v>44537</v>
      </c>
      <c r="AD328" s="272" t="s">
        <v>2557</v>
      </c>
      <c r="AE328" s="272">
        <v>44526</v>
      </c>
      <c r="AF328" s="272">
        <v>44526</v>
      </c>
      <c r="AG328" s="209">
        <v>44546</v>
      </c>
      <c r="AH328" s="272"/>
      <c r="AI328" s="272"/>
      <c r="AJ328" s="322"/>
      <c r="AK328" s="272">
        <f>IFERROR(IF(VLOOKUP(功能_33[[#This Row],[功能代號]],E:U,11,FALSE)=0,"",VLOOKUP(功能_33[[#This Row],[功能代號]],E:U,11,FALSE)),"")</f>
        <v>44526</v>
      </c>
      <c r="AL328" s="272"/>
      <c r="AM328" s="272"/>
      <c r="AN328" s="265"/>
      <c r="AO328" s="272"/>
      <c r="AP328" s="264" t="s">
        <v>163</v>
      </c>
      <c r="AQ328" s="264" t="s">
        <v>163</v>
      </c>
      <c r="AR328" s="593" t="s">
        <v>3207</v>
      </c>
      <c r="AS328" s="483" t="str">
        <f>IF(COUNTA(AG328)=1,LEFT(D328,3),"")</f>
        <v>8-1</v>
      </c>
      <c r="AT328" s="485" t="str">
        <f>IF(AND(COUNTA(O328)=1,COUNTA(P328)=1,COUNTA(AC328)=1,COUNTA(AF328)=1,COUNTA(AG328)=0),LEFT(D328,3),"")</f>
        <v/>
      </c>
      <c r="AU328" s="487" t="str">
        <f>IF(AND(COUNTA(O328)=1,COUNTA(P328)=1,COUNTA(AC328)=1,COUNTA(AF328)=0,COUNTA(AG328)=0),LEFT(D328,3),"")</f>
        <v/>
      </c>
      <c r="AV328" s="489" t="str">
        <f>IF(AND(COUNTA(P328)=0,COUNTA(AC328)=1),LEFT(D328,3),"")</f>
        <v/>
      </c>
      <c r="AW328" s="491" t="str">
        <f>IF(AND(COUNTA(P328)=1,COUNTA(AC328)=0),LEFT(D328,3),"")</f>
        <v/>
      </c>
      <c r="AX328" s="493" t="str">
        <f>IF(AND(COUNTA(P328)=0,COUNTA(AC328)=0),LEFT(D328,3),"")</f>
        <v/>
      </c>
      <c r="AY328" s="514" t="str">
        <f>IFERROR(VLOOKUP(功能_33[[#This Row],[功能代號]],SIT_FT_2021tmp!D:D,1,FALSE),"")</f>
        <v/>
      </c>
      <c r="AZ328" s="587">
        <v>44610</v>
      </c>
      <c r="BB328" s="514" t="s">
        <v>2453</v>
      </c>
      <c r="BC328" s="265" t="s">
        <v>2453</v>
      </c>
      <c r="BD328" s="593"/>
      <c r="BE328" s="265" t="str">
        <f>IF(AND(COUNTIF(AY328,"&gt;&lt;0")=1,COUNTA(M328)=1),LEFT(D328,3),"")</f>
        <v/>
      </c>
      <c r="BF328" s="265" t="str">
        <f>IF(AND(COUNTIF(AY328,"&gt;&lt;")=1,COUNTA(M328)=0),LEFT(D328,3),"")</f>
        <v/>
      </c>
      <c r="BG328" s="265" t="str">
        <f>IF(AND(COUNTIF(AY328,"&gt;&lt;0")=0,COUNTA(M328)=1),LEFT(D328,3),"")</f>
        <v>8-1</v>
      </c>
      <c r="BH328" s="265" t="str">
        <f>IF(AND(COUNTIF(AY328,"&gt;&lt;0")=0,COUNTA(M328)=0),LEFT(D328,3),"")</f>
        <v/>
      </c>
    </row>
    <row r="329" spans="1:60" ht="13.5" x14ac:dyDescent="0.3">
      <c r="C329" s="265" t="s">
        <v>70</v>
      </c>
      <c r="D329" s="265" t="s">
        <v>2465</v>
      </c>
      <c r="E329" s="264" t="s">
        <v>542</v>
      </c>
      <c r="F329" s="265" t="s">
        <v>543</v>
      </c>
      <c r="G329" s="265"/>
      <c r="H329" s="264" t="s">
        <v>166</v>
      </c>
      <c r="I329" s="264" t="s">
        <v>287</v>
      </c>
      <c r="J329" s="212" t="s">
        <v>2853</v>
      </c>
      <c r="K329" s="212"/>
      <c r="L329" s="272">
        <v>44565</v>
      </c>
      <c r="M329" s="272">
        <v>44565</v>
      </c>
      <c r="N329" s="272">
        <v>44516</v>
      </c>
      <c r="O329" s="272">
        <v>44467</v>
      </c>
      <c r="P329" s="272">
        <v>44467</v>
      </c>
      <c r="Q329" s="264" t="s">
        <v>6</v>
      </c>
      <c r="R329" s="264" t="s">
        <v>539</v>
      </c>
      <c r="S329" s="264" t="s">
        <v>539</v>
      </c>
      <c r="X329" s="264"/>
      <c r="Z329" s="264"/>
      <c r="AA329" s="264"/>
      <c r="AB329" s="265" t="str">
        <f>VLOOKUP(功能_33[[#This Row],[User]],SKL放款!A:G,7,FALSE)</f>
        <v>放款審查課</v>
      </c>
      <c r="AC329" s="272">
        <v>44533</v>
      </c>
      <c r="AD329" s="272" t="s">
        <v>168</v>
      </c>
      <c r="AE329" s="272">
        <v>44467</v>
      </c>
      <c r="AF329" s="272">
        <v>44467</v>
      </c>
      <c r="AG329" s="209">
        <v>44550</v>
      </c>
      <c r="AH329" s="272"/>
      <c r="AI329" s="272"/>
      <c r="AJ329" s="322"/>
      <c r="AK329" s="272">
        <f>IFERROR(IF(VLOOKUP(功能_33[[#This Row],[功能代號]],E:U,11,FALSE)=0,"",VLOOKUP(功能_33[[#This Row],[功能代號]],E:U,11,FALSE)),"")</f>
        <v>44467</v>
      </c>
      <c r="AL329" s="272"/>
      <c r="AM329" s="272"/>
      <c r="AN329" s="265"/>
      <c r="AO329" s="272"/>
      <c r="AP329" s="276" t="s">
        <v>540</v>
      </c>
      <c r="AQ329" s="277" t="s">
        <v>541</v>
      </c>
      <c r="AR329" s="593" t="s">
        <v>3207</v>
      </c>
      <c r="AS329" s="483" t="str">
        <f>IF(COUNTA(AG329)=1,LEFT(D329,3),"")</f>
        <v>6-6</v>
      </c>
      <c r="AT329" s="485" t="str">
        <f>IF(AND(COUNTA(O329)=1,COUNTA(P329)=1,COUNTA(AC329)=1,COUNTA(AF329)=1,COUNTA(AG329)=0),LEFT(D329,3),"")</f>
        <v/>
      </c>
      <c r="AU329" s="487" t="str">
        <f>IF(AND(COUNTA(O329)=1,COUNTA(P329)=1,COUNTA(AC329)=1,COUNTA(AF329)=0,COUNTA(AG329)=0),LEFT(D329,3),"")</f>
        <v/>
      </c>
      <c r="AV329" s="489" t="str">
        <f>IF(AND(COUNTA(P329)=0,COUNTA(AC329)=1),LEFT(D329,3),"")</f>
        <v/>
      </c>
      <c r="AW329" s="491" t="str">
        <f>IF(AND(COUNTA(P329)=1,COUNTA(AC329)=0),LEFT(D329,3),"")</f>
        <v/>
      </c>
      <c r="AX329" s="493" t="str">
        <f>IF(AND(COUNTA(P329)=0,COUNTA(AC329)=0),LEFT(D329,3),"")</f>
        <v/>
      </c>
      <c r="AY329" s="514" t="str">
        <f>IFERROR(VLOOKUP(功能_33[[#This Row],[功能代號]],SIT_FT_2021tmp!D:D,1,FALSE),"")</f>
        <v>L6603</v>
      </c>
      <c r="AZ329" s="587">
        <v>44517</v>
      </c>
      <c r="BA329" s="587">
        <v>44517</v>
      </c>
      <c r="BB329" s="514" t="s">
        <v>3000</v>
      </c>
      <c r="BC329" s="265" t="s">
        <v>3051</v>
      </c>
      <c r="BD329" s="593"/>
      <c r="BE329" s="264" t="str">
        <f>IF(AND(COUNTIF(AY329,"&gt;&lt;0")=1,COUNTA(M329)=1),LEFT(D329,3),"")</f>
        <v>6-6</v>
      </c>
      <c r="BF329" s="264" t="str">
        <f>IF(AND(COUNTIF(AY329,"&gt;&lt;")=1,COUNTA(M329)=0),LEFT(D329,3),"")</f>
        <v/>
      </c>
      <c r="BG329" s="264" t="str">
        <f>IF(AND(COUNTIF(AY329,"&gt;&lt;0")=0,COUNTA(M329)=1),LEFT(D329,3),"")</f>
        <v/>
      </c>
      <c r="BH329" s="264" t="str">
        <f>IF(AND(COUNTIF(AY329,"&gt;&lt;0")=0,COUNTA(M329)=0),LEFT(D329,3),"")</f>
        <v/>
      </c>
    </row>
    <row r="330" spans="1:60" ht="13.5" x14ac:dyDescent="0.3">
      <c r="C330" s="265" t="s">
        <v>70</v>
      </c>
      <c r="D330" s="265" t="s">
        <v>2465</v>
      </c>
      <c r="E330" s="264" t="s">
        <v>520</v>
      </c>
      <c r="F330" s="265" t="s">
        <v>521</v>
      </c>
      <c r="G330" s="265"/>
      <c r="H330" s="264" t="s">
        <v>166</v>
      </c>
      <c r="I330" s="264" t="s">
        <v>287</v>
      </c>
      <c r="J330" s="212" t="s">
        <v>2853</v>
      </c>
      <c r="K330" s="212"/>
      <c r="L330" s="272">
        <v>44565</v>
      </c>
      <c r="M330" s="272">
        <v>44565</v>
      </c>
      <c r="N330" s="272">
        <v>44515</v>
      </c>
      <c r="O330" s="272">
        <v>44466</v>
      </c>
      <c r="P330" s="272">
        <v>44472</v>
      </c>
      <c r="Q330" s="264" t="s">
        <v>2</v>
      </c>
      <c r="R330" s="264" t="s">
        <v>145</v>
      </c>
      <c r="S330" s="264" t="s">
        <v>145</v>
      </c>
      <c r="X330" s="264"/>
      <c r="Z330" s="264"/>
      <c r="AA330" s="264"/>
      <c r="AB330" s="265" t="str">
        <f>VLOOKUP(功能_33[[#This Row],[User]],SKL放款!A:G,7,FALSE)</f>
        <v>放款服務課</v>
      </c>
      <c r="AC330" s="272">
        <v>44472</v>
      </c>
      <c r="AD330" s="272" t="s">
        <v>107</v>
      </c>
      <c r="AE330" s="258">
        <v>44544</v>
      </c>
      <c r="AF330" s="258">
        <v>44544</v>
      </c>
      <c r="AG330" s="209">
        <v>44550</v>
      </c>
      <c r="AH330" s="272"/>
      <c r="AI330" s="272"/>
      <c r="AJ330" s="322"/>
      <c r="AK330" s="272">
        <f>IFERROR(IF(VLOOKUP(功能_33[[#This Row],[功能代號]],E:U,11,FALSE)=0,"",VLOOKUP(功能_33[[#This Row],[功能代號]],E:U,11,FALSE)),"")</f>
        <v>44466</v>
      </c>
      <c r="AL330" s="272"/>
      <c r="AM330" s="272"/>
      <c r="AN330" s="265"/>
      <c r="AO330" s="272"/>
      <c r="AP330" s="264" t="s">
        <v>163</v>
      </c>
      <c r="AQ330" s="264" t="s">
        <v>163</v>
      </c>
      <c r="AR330" s="593" t="s">
        <v>3207</v>
      </c>
      <c r="AS330" s="483" t="str">
        <f>IF(COUNTA(AG330)=1,LEFT(D330,3),"")</f>
        <v>6-6</v>
      </c>
      <c r="AT330" s="485" t="str">
        <f>IF(AND(COUNTA(O330)=1,COUNTA(P330)=1,COUNTA(AC330)=1,COUNTA(AF330)=1,COUNTA(AG330)=0),LEFT(D330,3),"")</f>
        <v/>
      </c>
      <c r="AU330" s="487" t="str">
        <f>IF(AND(COUNTA(O330)=1,COUNTA(P330)=1,COUNTA(AC330)=1,COUNTA(AF330)=0,COUNTA(AG330)=0),LEFT(D330,3),"")</f>
        <v/>
      </c>
      <c r="AV330" s="489" t="str">
        <f>IF(AND(COUNTA(P330)=0,COUNTA(AC330)=1),LEFT(D330,3),"")</f>
        <v/>
      </c>
      <c r="AW330" s="491" t="str">
        <f>IF(AND(COUNTA(P330)=1,COUNTA(AC330)=0),LEFT(D330,3),"")</f>
        <v/>
      </c>
      <c r="AX330" s="493" t="str">
        <f>IF(AND(COUNTA(P330)=0,COUNTA(AC330)=0),LEFT(D330,3),"")</f>
        <v/>
      </c>
      <c r="AY330" s="514" t="str">
        <f>IFERROR(VLOOKUP(功能_33[[#This Row],[功能代號]],SIT_FT_2021tmp!D:D,1,FALSE),"")</f>
        <v>L6604</v>
      </c>
      <c r="AZ330" s="587">
        <v>44512</v>
      </c>
      <c r="BA330" s="587">
        <v>44512</v>
      </c>
      <c r="BB330" s="514" t="s">
        <v>3000</v>
      </c>
      <c r="BC330" s="265" t="s">
        <v>3052</v>
      </c>
      <c r="BD330" s="593"/>
      <c r="BE330" s="264" t="str">
        <f>IF(AND(COUNTIF(AY330,"&gt;&lt;0")=1,COUNTA(M330)=1),LEFT(D330,3),"")</f>
        <v>6-6</v>
      </c>
      <c r="BF330" s="264" t="str">
        <f>IF(AND(COUNTIF(AY330,"&gt;&lt;")=1,COUNTA(M330)=0),LEFT(D330,3),"")</f>
        <v/>
      </c>
      <c r="BG330" s="264" t="str">
        <f>IF(AND(COUNTIF(AY330,"&gt;&lt;0")=0,COUNTA(M330)=1),LEFT(D330,3),"")</f>
        <v/>
      </c>
      <c r="BH330" s="264" t="str">
        <f>IF(AND(COUNTIF(AY330,"&gt;&lt;0")=0,COUNTA(M330)=0),LEFT(D330,3),"")</f>
        <v/>
      </c>
    </row>
    <row r="331" spans="1:60" ht="13.5" x14ac:dyDescent="0.3">
      <c r="C331" s="265" t="s">
        <v>70</v>
      </c>
      <c r="D331" s="265" t="s">
        <v>2465</v>
      </c>
      <c r="E331" s="264" t="s">
        <v>568</v>
      </c>
      <c r="F331" s="265" t="s">
        <v>567</v>
      </c>
      <c r="G331" s="265"/>
      <c r="H331" s="264" t="s">
        <v>166</v>
      </c>
      <c r="I331" s="264" t="s">
        <v>287</v>
      </c>
      <c r="J331" s="212" t="s">
        <v>2853</v>
      </c>
      <c r="K331" s="212"/>
      <c r="L331" s="272">
        <v>44565</v>
      </c>
      <c r="M331" s="272">
        <v>44565</v>
      </c>
      <c r="N331" s="272">
        <v>44516</v>
      </c>
      <c r="O331" s="272">
        <v>44467</v>
      </c>
      <c r="P331" s="272">
        <v>44472</v>
      </c>
      <c r="Q331" s="264" t="s">
        <v>2</v>
      </c>
      <c r="R331" s="264" t="s">
        <v>8</v>
      </c>
      <c r="S331" s="264" t="s">
        <v>8</v>
      </c>
      <c r="X331" s="264"/>
      <c r="Z331" s="264"/>
      <c r="AA331" s="264"/>
      <c r="AB331" s="265" t="str">
        <f>VLOOKUP(功能_33[[#This Row],[User]],SKL放款!A:G,7,FALSE)</f>
        <v>放款管理課</v>
      </c>
      <c r="AC331" s="272">
        <v>44472</v>
      </c>
      <c r="AD331" s="272" t="s">
        <v>107</v>
      </c>
      <c r="AE331" s="272">
        <v>44530</v>
      </c>
      <c r="AF331" s="272">
        <v>44530</v>
      </c>
      <c r="AG331" s="209">
        <v>44550</v>
      </c>
      <c r="AH331" s="272"/>
      <c r="AI331" s="272"/>
      <c r="AJ331" s="322"/>
      <c r="AK331" s="272">
        <f>IFERROR(IF(VLOOKUP(功能_33[[#This Row],[功能代號]],E:U,11,FALSE)=0,"",VLOOKUP(功能_33[[#This Row],[功能代號]],E:U,11,FALSE)),"")</f>
        <v>44467</v>
      </c>
      <c r="AL331" s="272"/>
      <c r="AM331" s="272"/>
      <c r="AN331" s="265"/>
      <c r="AO331" s="272"/>
      <c r="AP331" s="276" t="s">
        <v>566</v>
      </c>
      <c r="AQ331" s="277" t="s">
        <v>567</v>
      </c>
      <c r="AR331" s="593" t="s">
        <v>3207</v>
      </c>
      <c r="AS331" s="483" t="str">
        <f>IF(COUNTA(AG331)=1,LEFT(D331,3),"")</f>
        <v>6-6</v>
      </c>
      <c r="AT331" s="485" t="str">
        <f>IF(AND(COUNTA(O331)=1,COUNTA(P331)=1,COUNTA(AC331)=1,COUNTA(AF331)=1,COUNTA(AG331)=0),LEFT(D331,3),"")</f>
        <v/>
      </c>
      <c r="AU331" s="487" t="str">
        <f>IF(AND(COUNTA(O331)=1,COUNTA(P331)=1,COUNTA(AC331)=1,COUNTA(AF331)=0,COUNTA(AG331)=0),LEFT(D331,3),"")</f>
        <v/>
      </c>
      <c r="AV331" s="489" t="str">
        <f>IF(AND(COUNTA(P331)=0,COUNTA(AC331)=1),LEFT(D331,3),"")</f>
        <v/>
      </c>
      <c r="AW331" s="491" t="str">
        <f>IF(AND(COUNTA(P331)=1,COUNTA(AC331)=0),LEFT(D331,3),"")</f>
        <v/>
      </c>
      <c r="AX331" s="493" t="str">
        <f>IF(AND(COUNTA(P331)=0,COUNTA(AC331)=0),LEFT(D331,3),"")</f>
        <v/>
      </c>
      <c r="AY331" s="514" t="str">
        <f>IFERROR(VLOOKUP(功能_33[[#This Row],[功能代號]],SIT_FT_2021tmp!D:D,1,FALSE),"")</f>
        <v>L6605</v>
      </c>
      <c r="AZ331" s="587">
        <v>44512</v>
      </c>
      <c r="BA331" s="587">
        <v>44512</v>
      </c>
      <c r="BB331" s="514" t="s">
        <v>3000</v>
      </c>
      <c r="BC331" s="265" t="s">
        <v>3053</v>
      </c>
      <c r="BD331" s="593"/>
      <c r="BE331" s="264" t="str">
        <f>IF(AND(COUNTIF(AY331,"&gt;&lt;0")=1,COUNTA(M331)=1),LEFT(D331,3),"")</f>
        <v>6-6</v>
      </c>
      <c r="BF331" s="264" t="str">
        <f>IF(AND(COUNTIF(AY331,"&gt;&lt;")=1,COUNTA(M331)=0),LEFT(D331,3),"")</f>
        <v/>
      </c>
      <c r="BG331" s="264" t="str">
        <f>IF(AND(COUNTIF(AY331,"&gt;&lt;0")=0,COUNTA(M331)=1),LEFT(D331,3),"")</f>
        <v/>
      </c>
      <c r="BH331" s="264" t="str">
        <f>IF(AND(COUNTIF(AY331,"&gt;&lt;0")=0,COUNTA(M331)=0),LEFT(D331,3),"")</f>
        <v/>
      </c>
    </row>
    <row r="332" spans="1:60" ht="13.5" x14ac:dyDescent="0.3">
      <c r="C332" s="265" t="s">
        <v>70</v>
      </c>
      <c r="D332" s="265" t="s">
        <v>2465</v>
      </c>
      <c r="E332" s="264" t="s">
        <v>573</v>
      </c>
      <c r="F332" s="265" t="s">
        <v>574</v>
      </c>
      <c r="G332" s="265"/>
      <c r="H332" s="264" t="s">
        <v>166</v>
      </c>
      <c r="I332" s="264" t="s">
        <v>287</v>
      </c>
      <c r="J332" s="212" t="s">
        <v>2853</v>
      </c>
      <c r="K332" s="212"/>
      <c r="L332" s="272">
        <v>44565</v>
      </c>
      <c r="M332" s="272">
        <v>44565</v>
      </c>
      <c r="N332" s="272">
        <v>44516</v>
      </c>
      <c r="O332" s="272">
        <v>44467</v>
      </c>
      <c r="P332" s="272">
        <v>44467</v>
      </c>
      <c r="Q332" s="264" t="s">
        <v>2</v>
      </c>
      <c r="R332" s="264" t="s">
        <v>145</v>
      </c>
      <c r="S332" s="264" t="s">
        <v>145</v>
      </c>
      <c r="X332" s="264"/>
      <c r="Z332" s="264"/>
      <c r="AA332" s="264"/>
      <c r="AB332" s="265" t="str">
        <f>VLOOKUP(功能_33[[#This Row],[User]],SKL放款!A:G,7,FALSE)</f>
        <v>放款服務課</v>
      </c>
      <c r="AC332" s="272">
        <v>44533</v>
      </c>
      <c r="AD332" s="272" t="s">
        <v>168</v>
      </c>
      <c r="AE332" s="272">
        <v>44529</v>
      </c>
      <c r="AF332" s="272">
        <v>44529</v>
      </c>
      <c r="AG332" s="209">
        <v>44550</v>
      </c>
      <c r="AH332" s="272"/>
      <c r="AI332" s="272"/>
      <c r="AJ332" s="322"/>
      <c r="AK332" s="272">
        <f>IFERROR(IF(VLOOKUP(功能_33[[#This Row],[功能代號]],E:U,11,FALSE)=0,"",VLOOKUP(功能_33[[#This Row],[功能代號]],E:U,11,FALSE)),"")</f>
        <v>44467</v>
      </c>
      <c r="AL332" s="272"/>
      <c r="AM332" s="272"/>
      <c r="AN332" s="265"/>
      <c r="AO332" s="272"/>
      <c r="AP332" s="276" t="s">
        <v>571</v>
      </c>
      <c r="AQ332" s="277" t="s">
        <v>572</v>
      </c>
      <c r="AR332" s="593" t="s">
        <v>3207</v>
      </c>
      <c r="AS332" s="483" t="str">
        <f>IF(COUNTA(AG332)=1,LEFT(D332,3),"")</f>
        <v>6-6</v>
      </c>
      <c r="AT332" s="485" t="str">
        <f>IF(AND(COUNTA(O332)=1,COUNTA(P332)=1,COUNTA(AC332)=1,COUNTA(AF332)=1,COUNTA(AG332)=0),LEFT(D332,3),"")</f>
        <v/>
      </c>
      <c r="AU332" s="487" t="str">
        <f>IF(AND(COUNTA(O332)=1,COUNTA(P332)=1,COUNTA(AC332)=1,COUNTA(AF332)=0,COUNTA(AG332)=0),LEFT(D332,3),"")</f>
        <v/>
      </c>
      <c r="AV332" s="489" t="str">
        <f>IF(AND(COUNTA(P332)=0,COUNTA(AC332)=1),LEFT(D332,3),"")</f>
        <v/>
      </c>
      <c r="AW332" s="491" t="str">
        <f>IF(AND(COUNTA(P332)=1,COUNTA(AC332)=0),LEFT(D332,3),"")</f>
        <v/>
      </c>
      <c r="AX332" s="493" t="str">
        <f>IF(AND(COUNTA(P332)=0,COUNTA(AC332)=0),LEFT(D332,3),"")</f>
        <v/>
      </c>
      <c r="AY332" s="514" t="str">
        <f>IFERROR(VLOOKUP(功能_33[[#This Row],[功能代號]],SIT_FT_2021tmp!D:D,1,FALSE),"")</f>
        <v>L6606</v>
      </c>
      <c r="AZ332" s="587">
        <v>44512</v>
      </c>
      <c r="BA332" s="587">
        <v>44512</v>
      </c>
      <c r="BB332" s="514" t="s">
        <v>3000</v>
      </c>
      <c r="BC332" s="265" t="s">
        <v>3055</v>
      </c>
      <c r="BD332" s="593"/>
      <c r="BE332" s="264" t="str">
        <f>IF(AND(COUNTIF(AY332,"&gt;&lt;0")=1,COUNTA(M332)=1),LEFT(D332,3),"")</f>
        <v>6-6</v>
      </c>
      <c r="BF332" s="264" t="str">
        <f>IF(AND(COUNTIF(AY332,"&gt;&lt;")=1,COUNTA(M332)=0),LEFT(D332,3),"")</f>
        <v/>
      </c>
      <c r="BG332" s="264" t="str">
        <f>IF(AND(COUNTIF(AY332,"&gt;&lt;0")=0,COUNTA(M332)=1),LEFT(D332,3),"")</f>
        <v/>
      </c>
      <c r="BH332" s="264" t="str">
        <f>IF(AND(COUNTIF(AY332,"&gt;&lt;0")=0,COUNTA(M332)=0),LEFT(D332,3),"")</f>
        <v/>
      </c>
    </row>
    <row r="333" spans="1:60" ht="13.5" x14ac:dyDescent="0.3">
      <c r="C333" s="265" t="s">
        <v>70</v>
      </c>
      <c r="D333" s="265" t="s">
        <v>2465</v>
      </c>
      <c r="E333" s="264" t="s">
        <v>548</v>
      </c>
      <c r="F333" s="265" t="s">
        <v>549</v>
      </c>
      <c r="G333" s="265"/>
      <c r="H333" s="264" t="s">
        <v>166</v>
      </c>
      <c r="I333" s="264" t="s">
        <v>287</v>
      </c>
      <c r="J333" s="212" t="s">
        <v>2853</v>
      </c>
      <c r="K333" s="212"/>
      <c r="L333" s="272">
        <v>44566</v>
      </c>
      <c r="M333" s="272">
        <v>44566</v>
      </c>
      <c r="N333" s="272">
        <v>44516</v>
      </c>
      <c r="O333" s="272">
        <v>44467</v>
      </c>
      <c r="P333" s="272">
        <v>44467</v>
      </c>
      <c r="Q333" s="264" t="s">
        <v>2</v>
      </c>
      <c r="R333" s="264" t="s">
        <v>539</v>
      </c>
      <c r="S333" s="264" t="s">
        <v>539</v>
      </c>
      <c r="X333" s="264"/>
      <c r="Z333" s="264"/>
      <c r="AA333" s="264"/>
      <c r="AB333" s="265" t="str">
        <f>VLOOKUP(功能_33[[#This Row],[User]],SKL放款!A:G,7,FALSE)</f>
        <v>放款審查課</v>
      </c>
      <c r="AC333" s="272">
        <v>44533</v>
      </c>
      <c r="AD333" s="272" t="s">
        <v>168</v>
      </c>
      <c r="AE333" s="272">
        <v>44467</v>
      </c>
      <c r="AF333" s="272">
        <v>44467</v>
      </c>
      <c r="AG333" s="209">
        <v>44550</v>
      </c>
      <c r="AH333" s="272"/>
      <c r="AI333" s="272"/>
      <c r="AJ333" s="322"/>
      <c r="AK333" s="272">
        <f>IFERROR(IF(VLOOKUP(功能_33[[#This Row],[功能代號]],E:U,11,FALSE)=0,"",VLOOKUP(功能_33[[#This Row],[功能代號]],E:U,11,FALSE)),"")</f>
        <v>44467</v>
      </c>
      <c r="AL333" s="272"/>
      <c r="AM333" s="272"/>
      <c r="AN333" s="265"/>
      <c r="AO333" s="272"/>
      <c r="AP333" s="276" t="s">
        <v>546</v>
      </c>
      <c r="AQ333" s="277" t="s">
        <v>547</v>
      </c>
      <c r="AR333" s="593" t="s">
        <v>3207</v>
      </c>
      <c r="AS333" s="483" t="str">
        <f>IF(COUNTA(AG333)=1,LEFT(D333,3),"")</f>
        <v>6-6</v>
      </c>
      <c r="AT333" s="485" t="str">
        <f>IF(AND(COUNTA(O333)=1,COUNTA(P333)=1,COUNTA(AC333)=1,COUNTA(AF333)=1,COUNTA(AG333)=0),LEFT(D333,3),"")</f>
        <v/>
      </c>
      <c r="AU333" s="487" t="str">
        <f>IF(AND(COUNTA(O333)=1,COUNTA(P333)=1,COUNTA(AC333)=1,COUNTA(AF333)=0,COUNTA(AG333)=0),LEFT(D333,3),"")</f>
        <v/>
      </c>
      <c r="AV333" s="489" t="str">
        <f>IF(AND(COUNTA(P333)=0,COUNTA(AC333)=1),LEFT(D333,3),"")</f>
        <v/>
      </c>
      <c r="AW333" s="491" t="str">
        <f>IF(AND(COUNTA(P333)=1,COUNTA(AC333)=0),LEFT(D333,3),"")</f>
        <v/>
      </c>
      <c r="AX333" s="493" t="str">
        <f>IF(AND(COUNTA(P333)=0,COUNTA(AC333)=0),LEFT(D333,3),"")</f>
        <v/>
      </c>
      <c r="AY333" s="514" t="str">
        <f>IFERROR(VLOOKUP(功能_33[[#This Row],[功能代號]],SIT_FT_2021tmp!D:D,1,FALSE),"")</f>
        <v>L6607</v>
      </c>
      <c r="AZ333" s="587">
        <v>44517</v>
      </c>
      <c r="BA333" s="587">
        <v>44517</v>
      </c>
      <c r="BB333" s="514" t="s">
        <v>3000</v>
      </c>
      <c r="BC333" s="265" t="s">
        <v>3056</v>
      </c>
      <c r="BD333" s="593"/>
      <c r="BE333" s="264" t="str">
        <f>IF(AND(COUNTIF(AY333,"&gt;&lt;0")=1,COUNTA(M333)=1),LEFT(D333,3),"")</f>
        <v>6-6</v>
      </c>
      <c r="BF333" s="264" t="str">
        <f>IF(AND(COUNTIF(AY333,"&gt;&lt;")=1,COUNTA(M333)=0),LEFT(D333,3),"")</f>
        <v/>
      </c>
      <c r="BG333" s="264" t="str">
        <f>IF(AND(COUNTIF(AY333,"&gt;&lt;0")=0,COUNTA(M333)=1),LEFT(D333,3),"")</f>
        <v/>
      </c>
      <c r="BH333" s="264" t="str">
        <f>IF(AND(COUNTIF(AY333,"&gt;&lt;0")=0,COUNTA(M333)=0),LEFT(D333,3),"")</f>
        <v/>
      </c>
    </row>
    <row r="334" spans="1:60" ht="13.5" x14ac:dyDescent="0.3">
      <c r="C334" s="265" t="s">
        <v>70</v>
      </c>
      <c r="D334" s="407" t="s">
        <v>2465</v>
      </c>
      <c r="E334" s="264" t="s">
        <v>1080</v>
      </c>
      <c r="F334" s="251" t="s">
        <v>1081</v>
      </c>
      <c r="G334" s="265"/>
      <c r="H334" s="264" t="s">
        <v>166</v>
      </c>
      <c r="I334" s="264" t="s">
        <v>287</v>
      </c>
      <c r="J334" s="212" t="s">
        <v>2946</v>
      </c>
      <c r="K334" s="251" t="s">
        <v>2983</v>
      </c>
      <c r="L334" s="272">
        <v>44566</v>
      </c>
      <c r="M334" s="272">
        <v>44566</v>
      </c>
      <c r="N334" s="272">
        <v>44529</v>
      </c>
      <c r="O334" s="272">
        <v>44533</v>
      </c>
      <c r="P334" s="272">
        <v>44537</v>
      </c>
      <c r="Q334" s="264" t="s">
        <v>6</v>
      </c>
      <c r="R334" s="264" t="s">
        <v>5</v>
      </c>
      <c r="S334" s="264" t="s">
        <v>5</v>
      </c>
      <c r="X334" s="264"/>
      <c r="Z334" s="264"/>
      <c r="AA334" s="264"/>
      <c r="AB334" s="265" t="str">
        <f>VLOOKUP(功能_33[[#This Row],[User]],SKL放款!A:G,7,FALSE)</f>
        <v>放款服務課</v>
      </c>
      <c r="AC334" s="272">
        <v>44533</v>
      </c>
      <c r="AD334" s="272" t="s">
        <v>2557</v>
      </c>
      <c r="AE334" s="272"/>
      <c r="AF334" s="272">
        <v>44533</v>
      </c>
      <c r="AG334" s="209" t="s">
        <v>2966</v>
      </c>
      <c r="AH334" s="272"/>
      <c r="AI334" s="272"/>
      <c r="AJ334" s="322"/>
      <c r="AK334" s="272">
        <f>IFERROR(IF(VLOOKUP(功能_33[[#This Row],[功能代號]],E:U,11,FALSE)=0,"",VLOOKUP(功能_33[[#This Row],[功能代號]],E:U,11,FALSE)),"")</f>
        <v>44533</v>
      </c>
      <c r="AL334" s="272"/>
      <c r="AM334" s="272"/>
      <c r="AN334" s="265"/>
      <c r="AO334" s="272"/>
      <c r="AP334" s="264" t="s">
        <v>163</v>
      </c>
      <c r="AQ334" s="264" t="s">
        <v>163</v>
      </c>
      <c r="AR334" s="593" t="s">
        <v>3207</v>
      </c>
      <c r="AS334" s="483" t="str">
        <f>IF(COUNTA(AG334)=1,LEFT(D334,3),"")</f>
        <v>6-6</v>
      </c>
      <c r="AT334" s="485" t="str">
        <f>IF(AND(COUNTA(O334)=1,COUNTA(P334)=1,COUNTA(AC334)=1,COUNTA(AF334)=1,COUNTA(AG334)=0),LEFT(D334,3),"")</f>
        <v/>
      </c>
      <c r="AU334" s="487" t="str">
        <f>IF(AND(COUNTA(O334)=1,COUNTA(P334)=1,COUNTA(AC334)=1,COUNTA(AF334)=0,COUNTA(AG334)=0),LEFT(D334,3),"")</f>
        <v/>
      </c>
      <c r="AV334" s="489" t="str">
        <f>IF(AND(COUNTA(P334)=0,COUNTA(AC334)=1),LEFT(D334,3),"")</f>
        <v/>
      </c>
      <c r="AW334" s="491" t="str">
        <f>IF(AND(COUNTA(P334)=1,COUNTA(AC334)=0),LEFT(D334,3),"")</f>
        <v/>
      </c>
      <c r="AX334" s="493" t="str">
        <f>IF(AND(COUNTA(P334)=0,COUNTA(AC334)=0),LEFT(D334,3),"")</f>
        <v/>
      </c>
      <c r="AY334" s="514" t="str">
        <f>IFERROR(VLOOKUP(功能_33[[#This Row],[功能代號]],SIT_FT_2021tmp!D:D,1,FALSE),"")</f>
        <v>L6608</v>
      </c>
      <c r="AZ334" s="587">
        <v>44512</v>
      </c>
      <c r="BA334" s="587">
        <v>44512</v>
      </c>
      <c r="BB334" s="514" t="s">
        <v>3000</v>
      </c>
      <c r="BC334" s="265" t="s">
        <v>3049</v>
      </c>
      <c r="BD334" s="593"/>
      <c r="BE334" s="264" t="str">
        <f>IF(AND(COUNTIF(AY334,"&gt;&lt;0")=1,COUNTA(M334)=1),LEFT(D334,3),"")</f>
        <v>6-6</v>
      </c>
      <c r="BF334" s="264" t="str">
        <f>IF(AND(COUNTIF(AY334,"&gt;&lt;")=1,COUNTA(M334)=0),LEFT(D334,3),"")</f>
        <v/>
      </c>
      <c r="BG334" s="264" t="str">
        <f>IF(AND(COUNTIF(AY334,"&gt;&lt;0")=0,COUNTA(M334)=1),LEFT(D334,3),"")</f>
        <v/>
      </c>
      <c r="BH334" s="264" t="str">
        <f>IF(AND(COUNTIF(AY334,"&gt;&lt;0")=0,COUNTA(M334)=0),LEFT(D334,3),"")</f>
        <v/>
      </c>
    </row>
    <row r="335" spans="1:60" ht="13.5" x14ac:dyDescent="0.3">
      <c r="C335" s="265" t="s">
        <v>70</v>
      </c>
      <c r="D335" s="265" t="s">
        <v>2466</v>
      </c>
      <c r="E335" s="264" t="s">
        <v>575</v>
      </c>
      <c r="F335" s="265" t="s">
        <v>576</v>
      </c>
      <c r="G335" s="265"/>
      <c r="H335" s="264" t="s">
        <v>166</v>
      </c>
      <c r="I335" s="264" t="s">
        <v>287</v>
      </c>
      <c r="J335" s="212" t="s">
        <v>2853</v>
      </c>
      <c r="K335" s="212"/>
      <c r="L335" s="272">
        <v>44566</v>
      </c>
      <c r="M335" s="272">
        <v>44566</v>
      </c>
      <c r="N335" s="272">
        <v>44516</v>
      </c>
      <c r="O335" s="272">
        <v>44467</v>
      </c>
      <c r="P335" s="272">
        <v>44467</v>
      </c>
      <c r="Q335" s="264" t="s">
        <v>2</v>
      </c>
      <c r="R335" s="264" t="s">
        <v>145</v>
      </c>
      <c r="S335" s="264" t="s">
        <v>145</v>
      </c>
      <c r="X335" s="264"/>
      <c r="Z335" s="264"/>
      <c r="AA335" s="264"/>
      <c r="AB335" s="265" t="str">
        <f>VLOOKUP(功能_33[[#This Row],[User]],SKL放款!A:G,7,FALSE)</f>
        <v>放款服務課</v>
      </c>
      <c r="AC335" s="272">
        <v>44533</v>
      </c>
      <c r="AD335" s="272" t="s">
        <v>168</v>
      </c>
      <c r="AE335" s="272">
        <v>44529</v>
      </c>
      <c r="AF335" s="272">
        <v>44529</v>
      </c>
      <c r="AG335" s="209">
        <v>44550</v>
      </c>
      <c r="AH335" s="272"/>
      <c r="AI335" s="272"/>
      <c r="AJ335" s="322"/>
      <c r="AK335" s="272">
        <f>IFERROR(IF(VLOOKUP(功能_33[[#This Row],[功能代號]],E:U,11,FALSE)=0,"",VLOOKUP(功能_33[[#This Row],[功能代號]],E:U,11,FALSE)),"")</f>
        <v>44467</v>
      </c>
      <c r="AL335" s="272"/>
      <c r="AM335" s="272"/>
      <c r="AN335" s="265"/>
      <c r="AO335" s="272"/>
      <c r="AP335" s="276" t="s">
        <v>577</v>
      </c>
      <c r="AQ335" s="277" t="s">
        <v>578</v>
      </c>
      <c r="AR335" s="593" t="s">
        <v>3207</v>
      </c>
      <c r="AS335" s="483" t="str">
        <f>IF(COUNTA(AG335)=1,LEFT(D335,3),"")</f>
        <v>6-7</v>
      </c>
      <c r="AT335" s="485" t="str">
        <f>IF(AND(COUNTA(O335)=1,COUNTA(P335)=1,COUNTA(AC335)=1,COUNTA(AF335)=1,COUNTA(AG335)=0),LEFT(D335,3),"")</f>
        <v/>
      </c>
      <c r="AU335" s="487" t="str">
        <f>IF(AND(COUNTA(O335)=1,COUNTA(P335)=1,COUNTA(AC335)=1,COUNTA(AF335)=0,COUNTA(AG335)=0),LEFT(D335,3),"")</f>
        <v/>
      </c>
      <c r="AV335" s="489" t="str">
        <f>IF(AND(COUNTA(P335)=0,COUNTA(AC335)=1),LEFT(D335,3),"")</f>
        <v/>
      </c>
      <c r="AW335" s="491" t="str">
        <f>IF(AND(COUNTA(P335)=1,COUNTA(AC335)=0),LEFT(D335,3),"")</f>
        <v/>
      </c>
      <c r="AX335" s="493" t="str">
        <f>IF(AND(COUNTA(P335)=0,COUNTA(AC335)=0),LEFT(D335,3),"")</f>
        <v/>
      </c>
      <c r="AY335" s="514" t="str">
        <f>IFERROR(VLOOKUP(功能_33[[#This Row],[功能代號]],SIT_FT_2021tmp!D:D,1,FALSE),"")</f>
        <v>L6071</v>
      </c>
      <c r="AZ335" s="587">
        <v>44512</v>
      </c>
      <c r="BA335" s="587">
        <v>44512</v>
      </c>
      <c r="BB335" s="514" t="s">
        <v>3000</v>
      </c>
      <c r="BC335" s="265" t="s">
        <v>3060</v>
      </c>
      <c r="BD335" s="593"/>
      <c r="BE335" s="264" t="str">
        <f>IF(AND(COUNTIF(AY335,"&gt;&lt;0")=1,COUNTA(M335)=1),LEFT(D335,3),"")</f>
        <v>6-7</v>
      </c>
      <c r="BF335" s="264" t="str">
        <f>IF(AND(COUNTIF(AY335,"&gt;&lt;")=1,COUNTA(M335)=0),LEFT(D335,3),"")</f>
        <v/>
      </c>
      <c r="BG335" s="264" t="str">
        <f>IF(AND(COUNTIF(AY335,"&gt;&lt;0")=0,COUNTA(M335)=1),LEFT(D335,3),"")</f>
        <v/>
      </c>
      <c r="BH335" s="264" t="str">
        <f>IF(AND(COUNTIF(AY335,"&gt;&lt;0")=0,COUNTA(M335)=0),LEFT(D335,3),"")</f>
        <v/>
      </c>
    </row>
    <row r="336" spans="1:60" ht="13.5" x14ac:dyDescent="0.3">
      <c r="C336" s="265" t="s">
        <v>70</v>
      </c>
      <c r="D336" s="407" t="s">
        <v>2466</v>
      </c>
      <c r="E336" s="264" t="s">
        <v>1088</v>
      </c>
      <c r="F336" s="265" t="s">
        <v>1089</v>
      </c>
      <c r="G336" s="265"/>
      <c r="H336" s="264" t="s">
        <v>166</v>
      </c>
      <c r="I336" s="264" t="s">
        <v>287</v>
      </c>
      <c r="J336" s="212" t="s">
        <v>2946</v>
      </c>
      <c r="K336" s="251" t="s">
        <v>2981</v>
      </c>
      <c r="L336" s="272">
        <v>44566</v>
      </c>
      <c r="M336" s="272">
        <v>44566</v>
      </c>
      <c r="N336" s="272">
        <v>44529</v>
      </c>
      <c r="O336" s="272">
        <v>44529</v>
      </c>
      <c r="P336" s="272">
        <v>44537</v>
      </c>
      <c r="Q336" s="264" t="s">
        <v>6</v>
      </c>
      <c r="R336" s="264" t="s">
        <v>5</v>
      </c>
      <c r="S336" s="264" t="s">
        <v>5</v>
      </c>
      <c r="X336" s="264"/>
      <c r="Z336" s="264"/>
      <c r="AA336" s="264"/>
      <c r="AB336" s="265" t="str">
        <f>VLOOKUP(功能_33[[#This Row],[User]],SKL放款!A:G,7,FALSE)</f>
        <v>放款服務課</v>
      </c>
      <c r="AC336" s="272">
        <v>44533</v>
      </c>
      <c r="AD336" s="272" t="s">
        <v>2557</v>
      </c>
      <c r="AE336" s="272"/>
      <c r="AF336" s="272">
        <v>44529</v>
      </c>
      <c r="AG336" s="209" t="s">
        <v>2966</v>
      </c>
      <c r="AH336" s="272"/>
      <c r="AI336" s="272"/>
      <c r="AJ336" s="322"/>
      <c r="AK336" s="272">
        <f>IFERROR(IF(VLOOKUP(功能_33[[#This Row],[功能代號]],E:U,11,FALSE)=0,"",VLOOKUP(功能_33[[#This Row],[功能代號]],E:U,11,FALSE)),"")</f>
        <v>44529</v>
      </c>
      <c r="AL336" s="272"/>
      <c r="AM336" s="272"/>
      <c r="AN336" s="265"/>
      <c r="AO336" s="272"/>
      <c r="AP336" s="276" t="s">
        <v>1090</v>
      </c>
      <c r="AQ336" s="277" t="s">
        <v>1091</v>
      </c>
      <c r="AR336" s="593" t="s">
        <v>3207</v>
      </c>
      <c r="AS336" s="483" t="str">
        <f>IF(COUNTA(AG336)=1,LEFT(D336,3),"")</f>
        <v>6-7</v>
      </c>
      <c r="AT336" s="485" t="str">
        <f>IF(AND(COUNTA(O336)=1,COUNTA(P336)=1,COUNTA(AC336)=1,COUNTA(AF336)=1,COUNTA(AG336)=0),LEFT(D336,3),"")</f>
        <v/>
      </c>
      <c r="AU336" s="487" t="str">
        <f>IF(AND(COUNTA(O336)=1,COUNTA(P336)=1,COUNTA(AC336)=1,COUNTA(AF336)=0,COUNTA(AG336)=0),LEFT(D336,3),"")</f>
        <v/>
      </c>
      <c r="AV336" s="489" t="str">
        <f>IF(AND(COUNTA(P336)=0,COUNTA(AC336)=1),LEFT(D336,3),"")</f>
        <v/>
      </c>
      <c r="AW336" s="491" t="str">
        <f>IF(AND(COUNTA(P336)=1,COUNTA(AC336)=0),LEFT(D336,3),"")</f>
        <v/>
      </c>
      <c r="AX336" s="493" t="str">
        <f>IF(AND(COUNTA(P336)=0,COUNTA(AC336)=0),LEFT(D336,3),"")</f>
        <v/>
      </c>
      <c r="AY336" s="514" t="str">
        <f>IFERROR(VLOOKUP(功能_33[[#This Row],[功能代號]],SIT_FT_2021tmp!D:D,1,FALSE),"")</f>
        <v>L6072</v>
      </c>
      <c r="AZ336" s="587">
        <v>44512</v>
      </c>
      <c r="BA336" s="587">
        <v>44512</v>
      </c>
      <c r="BB336" s="514" t="s">
        <v>3073</v>
      </c>
      <c r="BC336" s="265" t="s">
        <v>3061</v>
      </c>
      <c r="BD336" s="593"/>
      <c r="BE336" s="264" t="str">
        <f>IF(AND(COUNTIF(AY336,"&gt;&lt;0")=1,COUNTA(M336)=1),LEFT(D336,3),"")</f>
        <v>6-7</v>
      </c>
      <c r="BF336" s="264" t="str">
        <f>IF(AND(COUNTIF(AY336,"&gt;&lt;")=1,COUNTA(M336)=0),LEFT(D336,3),"")</f>
        <v/>
      </c>
      <c r="BG336" s="264" t="str">
        <f>IF(AND(COUNTIF(AY336,"&gt;&lt;0")=0,COUNTA(M336)=1),LEFT(D336,3),"")</f>
        <v/>
      </c>
      <c r="BH336" s="264" t="str">
        <f>IF(AND(COUNTIF(AY336,"&gt;&lt;0")=0,COUNTA(M336)=0),LEFT(D336,3),"")</f>
        <v/>
      </c>
    </row>
    <row r="337" spans="3:60" ht="13.5" x14ac:dyDescent="0.3">
      <c r="C337" s="265" t="s">
        <v>70</v>
      </c>
      <c r="D337" s="265" t="s">
        <v>2466</v>
      </c>
      <c r="E337" s="264" t="s">
        <v>580</v>
      </c>
      <c r="F337" s="265" t="s">
        <v>581</v>
      </c>
      <c r="G337" s="265"/>
      <c r="H337" s="264" t="s">
        <v>166</v>
      </c>
      <c r="I337" s="264" t="s">
        <v>287</v>
      </c>
      <c r="J337" s="212" t="s">
        <v>2853</v>
      </c>
      <c r="K337" s="212"/>
      <c r="L337" s="272">
        <v>44566</v>
      </c>
      <c r="M337" s="272">
        <v>44566</v>
      </c>
      <c r="N337" s="272">
        <v>44516</v>
      </c>
      <c r="O337" s="272">
        <v>44467</v>
      </c>
      <c r="P337" s="272">
        <v>44467</v>
      </c>
      <c r="Q337" s="264" t="s">
        <v>6</v>
      </c>
      <c r="R337" s="264" t="s">
        <v>145</v>
      </c>
      <c r="S337" s="264" t="s">
        <v>145</v>
      </c>
      <c r="X337" s="264"/>
      <c r="Z337" s="264"/>
      <c r="AA337" s="264"/>
      <c r="AB337" s="265" t="str">
        <f>VLOOKUP(功能_33[[#This Row],[User]],SKL放款!A:G,7,FALSE)</f>
        <v>放款服務課</v>
      </c>
      <c r="AC337" s="272">
        <v>44533</v>
      </c>
      <c r="AD337" s="272" t="s">
        <v>168</v>
      </c>
      <c r="AE337" s="272">
        <v>44529</v>
      </c>
      <c r="AF337" s="272">
        <v>44529</v>
      </c>
      <c r="AG337" s="209">
        <v>44550</v>
      </c>
      <c r="AH337" s="272"/>
      <c r="AI337" s="272"/>
      <c r="AJ337" s="322"/>
      <c r="AK337" s="272">
        <f>IFERROR(IF(VLOOKUP(功能_33[[#This Row],[功能代號]],E:U,11,FALSE)=0,"",VLOOKUP(功能_33[[#This Row],[功能代號]],E:U,11,FALSE)),"")</f>
        <v>44467</v>
      </c>
      <c r="AL337" s="272"/>
      <c r="AM337" s="272"/>
      <c r="AN337" s="265"/>
      <c r="AO337" s="272"/>
      <c r="AP337" s="276" t="s">
        <v>582</v>
      </c>
      <c r="AQ337" s="277" t="s">
        <v>583</v>
      </c>
      <c r="AR337" s="593" t="s">
        <v>3207</v>
      </c>
      <c r="AS337" s="483" t="str">
        <f>IF(COUNTA(AG337)=1,LEFT(D337,3),"")</f>
        <v>6-7</v>
      </c>
      <c r="AT337" s="485" t="str">
        <f>IF(AND(COUNTA(O337)=1,COUNTA(P337)=1,COUNTA(AC337)=1,COUNTA(AF337)=1,COUNTA(AG337)=0),LEFT(D337,3),"")</f>
        <v/>
      </c>
      <c r="AU337" s="487" t="str">
        <f>IF(AND(COUNTA(O337)=1,COUNTA(P337)=1,COUNTA(AC337)=1,COUNTA(AF337)=0,COUNTA(AG337)=0),LEFT(D337,3),"")</f>
        <v/>
      </c>
      <c r="AV337" s="489" t="str">
        <f>IF(AND(COUNTA(P337)=0,COUNTA(AC337)=1),LEFT(D337,3),"")</f>
        <v/>
      </c>
      <c r="AW337" s="491" t="str">
        <f>IF(AND(COUNTA(P337)=1,COUNTA(AC337)=0),LEFT(D337,3),"")</f>
        <v/>
      </c>
      <c r="AX337" s="493" t="str">
        <f>IF(AND(COUNTA(P337)=0,COUNTA(AC337)=0),LEFT(D337,3),"")</f>
        <v/>
      </c>
      <c r="AY337" s="514" t="str">
        <f>IFERROR(VLOOKUP(功能_33[[#This Row],[功能代號]],SIT_FT_2021tmp!D:D,1,FALSE),"")</f>
        <v>L6073</v>
      </c>
      <c r="AZ337" s="587">
        <v>44512</v>
      </c>
      <c r="BA337" s="587">
        <v>44512</v>
      </c>
      <c r="BB337" s="514" t="s">
        <v>3000</v>
      </c>
      <c r="BC337" s="265" t="s">
        <v>3062</v>
      </c>
      <c r="BD337" s="593"/>
      <c r="BE337" s="264" t="str">
        <f>IF(AND(COUNTIF(AY337,"&gt;&lt;0")=1,COUNTA(M337)=1),LEFT(D337,3),"")</f>
        <v>6-7</v>
      </c>
      <c r="BF337" s="264" t="str">
        <f>IF(AND(COUNTIF(AY337,"&gt;&lt;")=1,COUNTA(M337)=0),LEFT(D337,3),"")</f>
        <v/>
      </c>
      <c r="BG337" s="264" t="str">
        <f>IF(AND(COUNTIF(AY337,"&gt;&lt;0")=0,COUNTA(M337)=1),LEFT(D337,3),"")</f>
        <v/>
      </c>
      <c r="BH337" s="264" t="str">
        <f>IF(AND(COUNTIF(AY337,"&gt;&lt;0")=0,COUNTA(M337)=0),LEFT(D337,3),"")</f>
        <v/>
      </c>
    </row>
    <row r="338" spans="3:60" ht="13.5" x14ac:dyDescent="0.3">
      <c r="C338" s="265" t="s">
        <v>70</v>
      </c>
      <c r="D338" s="265" t="s">
        <v>2466</v>
      </c>
      <c r="E338" s="264" t="s">
        <v>560</v>
      </c>
      <c r="F338" s="265" t="s">
        <v>561</v>
      </c>
      <c r="G338" s="265"/>
      <c r="H338" s="264" t="s">
        <v>166</v>
      </c>
      <c r="I338" s="264" t="s">
        <v>287</v>
      </c>
      <c r="J338" s="212" t="s">
        <v>2853</v>
      </c>
      <c r="K338" s="212"/>
      <c r="L338" s="272">
        <v>44566</v>
      </c>
      <c r="M338" s="272">
        <v>44566</v>
      </c>
      <c r="N338" s="272">
        <v>44516</v>
      </c>
      <c r="O338" s="272">
        <v>44467</v>
      </c>
      <c r="P338" s="272">
        <v>44472</v>
      </c>
      <c r="Q338" s="264" t="s">
        <v>6</v>
      </c>
      <c r="R338" s="264" t="s">
        <v>539</v>
      </c>
      <c r="S338" s="264" t="s">
        <v>539</v>
      </c>
      <c r="X338" s="264"/>
      <c r="Z338" s="264"/>
      <c r="AA338" s="264"/>
      <c r="AB338" s="265" t="str">
        <f>VLOOKUP(功能_33[[#This Row],[User]],SKL放款!A:G,7,FALSE)</f>
        <v>放款審查課</v>
      </c>
      <c r="AC338" s="272">
        <v>44472</v>
      </c>
      <c r="AD338" s="272" t="s">
        <v>107</v>
      </c>
      <c r="AE338" s="258">
        <v>44544</v>
      </c>
      <c r="AF338" s="258">
        <v>44544</v>
      </c>
      <c r="AG338" s="209">
        <v>44550</v>
      </c>
      <c r="AH338" s="272"/>
      <c r="AI338" s="272"/>
      <c r="AJ338" s="322"/>
      <c r="AK338" s="272">
        <f>IFERROR(IF(VLOOKUP(功能_33[[#This Row],[功能代號]],E:U,11,FALSE)=0,"",VLOOKUP(功能_33[[#This Row],[功能代號]],E:U,11,FALSE)),"")</f>
        <v>44467</v>
      </c>
      <c r="AL338" s="272"/>
      <c r="AM338" s="272"/>
      <c r="AN338" s="265"/>
      <c r="AO338" s="272"/>
      <c r="AP338" s="276" t="s">
        <v>552</v>
      </c>
      <c r="AQ338" s="277" t="s">
        <v>553</v>
      </c>
      <c r="AR338" s="593" t="s">
        <v>3207</v>
      </c>
      <c r="AS338" s="483" t="str">
        <f>IF(COUNTA(AG338)=1,LEFT(D338,3),"")</f>
        <v>6-7</v>
      </c>
      <c r="AT338" s="485" t="str">
        <f>IF(AND(COUNTA(O338)=1,COUNTA(P338)=1,COUNTA(AC338)=1,COUNTA(AF338)=1,COUNTA(AG338)=0),LEFT(D338,3),"")</f>
        <v/>
      </c>
      <c r="AU338" s="487" t="str">
        <f>IF(AND(COUNTA(O338)=1,COUNTA(P338)=1,COUNTA(AC338)=1,COUNTA(AF338)=0,COUNTA(AG338)=0),LEFT(D338,3),"")</f>
        <v/>
      </c>
      <c r="AV338" s="489" t="str">
        <f>IF(AND(COUNTA(P338)=0,COUNTA(AC338)=1),LEFT(D338,3),"")</f>
        <v/>
      </c>
      <c r="AW338" s="491" t="str">
        <f>IF(AND(COUNTA(P338)=1,COUNTA(AC338)=0),LEFT(D338,3),"")</f>
        <v/>
      </c>
      <c r="AX338" s="493" t="str">
        <f>IF(AND(COUNTA(P338)=0,COUNTA(AC338)=0),LEFT(D338,3),"")</f>
        <v/>
      </c>
      <c r="AY338" s="514" t="str">
        <f>IFERROR(VLOOKUP(功能_33[[#This Row],[功能代號]],SIT_FT_2021tmp!D:D,1,FALSE),"")</f>
        <v>L6074</v>
      </c>
      <c r="AZ338" s="587">
        <v>44512</v>
      </c>
      <c r="BA338" s="587">
        <v>44512</v>
      </c>
      <c r="BB338" s="514" t="s">
        <v>3000</v>
      </c>
      <c r="BC338" s="265" t="s">
        <v>3063</v>
      </c>
      <c r="BD338" s="593"/>
      <c r="BE338" s="264" t="str">
        <f>IF(AND(COUNTIF(AY338,"&gt;&lt;0")=1,COUNTA(M338)=1),LEFT(D338,3),"")</f>
        <v>6-7</v>
      </c>
      <c r="BF338" s="264" t="str">
        <f>IF(AND(COUNTIF(AY338,"&gt;&lt;")=1,COUNTA(M338)=0),LEFT(D338,3),"")</f>
        <v/>
      </c>
      <c r="BG338" s="264" t="str">
        <f>IF(AND(COUNTIF(AY338,"&gt;&lt;0")=0,COUNTA(M338)=1),LEFT(D338,3),"")</f>
        <v/>
      </c>
      <c r="BH338" s="264" t="str">
        <f>IF(AND(COUNTIF(AY338,"&gt;&lt;0")=0,COUNTA(M338)=0),LEFT(D338,3),"")</f>
        <v/>
      </c>
    </row>
    <row r="339" spans="3:60" ht="13.5" x14ac:dyDescent="0.3">
      <c r="C339" s="265" t="s">
        <v>70</v>
      </c>
      <c r="D339" s="265" t="s">
        <v>2466</v>
      </c>
      <c r="E339" s="264" t="s">
        <v>550</v>
      </c>
      <c r="F339" s="265" t="s">
        <v>551</v>
      </c>
      <c r="G339" s="265"/>
      <c r="H339" s="264" t="s">
        <v>166</v>
      </c>
      <c r="I339" s="264" t="s">
        <v>287</v>
      </c>
      <c r="J339" s="212" t="s">
        <v>2853</v>
      </c>
      <c r="K339" s="212"/>
      <c r="L339" s="272">
        <v>44566</v>
      </c>
      <c r="M339" s="272">
        <v>44566</v>
      </c>
      <c r="N339" s="272">
        <v>44516</v>
      </c>
      <c r="O339" s="272">
        <v>44467</v>
      </c>
      <c r="P339" s="272">
        <v>44472</v>
      </c>
      <c r="Q339" s="264" t="s">
        <v>6</v>
      </c>
      <c r="R339" s="264" t="s">
        <v>539</v>
      </c>
      <c r="S339" s="264" t="s">
        <v>539</v>
      </c>
      <c r="X339" s="264"/>
      <c r="Z339" s="264"/>
      <c r="AA339" s="264"/>
      <c r="AB339" s="265" t="str">
        <f>VLOOKUP(功能_33[[#This Row],[User]],SKL放款!A:G,7,FALSE)</f>
        <v>放款審查課</v>
      </c>
      <c r="AC339" s="272">
        <v>44472</v>
      </c>
      <c r="AD339" s="272" t="s">
        <v>107</v>
      </c>
      <c r="AE339" s="258">
        <v>44544</v>
      </c>
      <c r="AF339" s="258">
        <v>44544</v>
      </c>
      <c r="AG339" s="209">
        <v>44550</v>
      </c>
      <c r="AH339" s="272"/>
      <c r="AI339" s="272"/>
      <c r="AJ339" s="322"/>
      <c r="AK339" s="272">
        <f>IFERROR(IF(VLOOKUP(功能_33[[#This Row],[功能代號]],E:U,11,FALSE)=0,"",VLOOKUP(功能_33[[#This Row],[功能代號]],E:U,11,FALSE)),"")</f>
        <v>44467</v>
      </c>
      <c r="AL339" s="272"/>
      <c r="AM339" s="272"/>
      <c r="AN339" s="265"/>
      <c r="AO339" s="272"/>
      <c r="AP339" s="276" t="s">
        <v>552</v>
      </c>
      <c r="AQ339" s="277" t="s">
        <v>553</v>
      </c>
      <c r="AR339" s="593" t="s">
        <v>3207</v>
      </c>
      <c r="AS339" s="483" t="str">
        <f>IF(COUNTA(AG339)=1,LEFT(D339,3),"")</f>
        <v>6-7</v>
      </c>
      <c r="AT339" s="485" t="str">
        <f>IF(AND(COUNTA(O339)=1,COUNTA(P339)=1,COUNTA(AC339)=1,COUNTA(AF339)=1,COUNTA(AG339)=0),LEFT(D339,3),"")</f>
        <v/>
      </c>
      <c r="AU339" s="487" t="str">
        <f>IF(AND(COUNTA(O339)=1,COUNTA(P339)=1,COUNTA(AC339)=1,COUNTA(AF339)=0,COUNTA(AG339)=0),LEFT(D339,3),"")</f>
        <v/>
      </c>
      <c r="AV339" s="489" t="str">
        <f>IF(AND(COUNTA(P339)=0,COUNTA(AC339)=1),LEFT(D339,3),"")</f>
        <v/>
      </c>
      <c r="AW339" s="491" t="str">
        <f>IF(AND(COUNTA(P339)=1,COUNTA(AC339)=0),LEFT(D339,3),"")</f>
        <v/>
      </c>
      <c r="AX339" s="493" t="str">
        <f>IF(AND(COUNTA(P339)=0,COUNTA(AC339)=0),LEFT(D339,3),"")</f>
        <v/>
      </c>
      <c r="AY339" s="514" t="str">
        <f>IFERROR(VLOOKUP(功能_33[[#This Row],[功能代號]],SIT_FT_2021tmp!D:D,1,FALSE),"")</f>
        <v>L6075</v>
      </c>
      <c r="AZ339" s="587">
        <v>44512</v>
      </c>
      <c r="BA339" s="587">
        <v>44512</v>
      </c>
      <c r="BB339" s="514" t="s">
        <v>3000</v>
      </c>
      <c r="BC339" s="265" t="s">
        <v>3063</v>
      </c>
      <c r="BD339" s="593"/>
      <c r="BE339" s="264" t="str">
        <f>IF(AND(COUNTIF(AY339,"&gt;&lt;0")=1,COUNTA(M339)=1),LEFT(D339,3),"")</f>
        <v>6-7</v>
      </c>
      <c r="BF339" s="264" t="str">
        <f>IF(AND(COUNTIF(AY339,"&gt;&lt;")=1,COUNTA(M339)=0),LEFT(D339,3),"")</f>
        <v/>
      </c>
      <c r="BG339" s="264" t="str">
        <f>IF(AND(COUNTIF(AY339,"&gt;&lt;0")=0,COUNTA(M339)=1),LEFT(D339,3),"")</f>
        <v/>
      </c>
      <c r="BH339" s="264" t="str">
        <f>IF(AND(COUNTIF(AY339,"&gt;&lt;0")=0,COUNTA(M339)=0),LEFT(D339,3),"")</f>
        <v/>
      </c>
    </row>
    <row r="340" spans="3:60" ht="13.5" x14ac:dyDescent="0.3">
      <c r="C340" s="265" t="s">
        <v>69</v>
      </c>
      <c r="D340" s="265" t="s">
        <v>2468</v>
      </c>
      <c r="E340" s="264" t="s">
        <v>931</v>
      </c>
      <c r="F340" s="265" t="s">
        <v>932</v>
      </c>
      <c r="G340" s="265"/>
      <c r="H340" s="264" t="s">
        <v>166</v>
      </c>
      <c r="I340" s="264" t="s">
        <v>176</v>
      </c>
      <c r="J340" s="271" t="s">
        <v>2753</v>
      </c>
      <c r="K340" s="271"/>
      <c r="L340" s="272">
        <v>44571</v>
      </c>
      <c r="M340" s="272">
        <v>44568</v>
      </c>
      <c r="N340" s="272">
        <v>44524</v>
      </c>
      <c r="O340" s="272">
        <v>44524</v>
      </c>
      <c r="P340" s="272">
        <v>44540</v>
      </c>
      <c r="Q340" s="264" t="s">
        <v>6</v>
      </c>
      <c r="R340" s="264" t="s">
        <v>15</v>
      </c>
      <c r="S340" s="264" t="s">
        <v>15</v>
      </c>
      <c r="X340" s="264"/>
      <c r="Z340" s="264"/>
      <c r="AA340" s="264"/>
      <c r="AB340" s="265" t="str">
        <f>VLOOKUP(功能_33[[#This Row],[User]],SKL放款!A:G,7,FALSE)</f>
        <v>放款服務課</v>
      </c>
      <c r="AC340" s="272">
        <v>44533</v>
      </c>
      <c r="AD340" s="272">
        <v>44531</v>
      </c>
      <c r="AE340" s="272">
        <v>44531</v>
      </c>
      <c r="AF340" s="272">
        <v>44531</v>
      </c>
      <c r="AG340" s="209">
        <v>44544</v>
      </c>
      <c r="AH340" s="272"/>
      <c r="AI340" s="272"/>
      <c r="AJ340" s="322"/>
      <c r="AK340" s="272">
        <f>IFERROR(IF(VLOOKUP(功能_33[[#This Row],[功能代號]],E:U,11,FALSE)=0,"",VLOOKUP(功能_33[[#This Row],[功能代號]],E:U,11,FALSE)),"")</f>
        <v>44524</v>
      </c>
      <c r="AL340" s="272"/>
      <c r="AM340" s="272"/>
      <c r="AN340" s="265"/>
      <c r="AO340" s="272"/>
      <c r="AP340" s="264" t="s">
        <v>2603</v>
      </c>
      <c r="AQ340" s="264" t="s">
        <v>163</v>
      </c>
      <c r="AR340" s="593" t="s">
        <v>3207</v>
      </c>
      <c r="AS340" s="483" t="str">
        <f>IF(COUNTA(AG340)=1,LEFT(D340,3),"")</f>
        <v>5-1</v>
      </c>
      <c r="AT340" s="485" t="str">
        <f>IF(AND(COUNTA(O340)=1,COUNTA(P340)=1,COUNTA(AC340)=1,COUNTA(AF340)=1,COUNTA(AG340)=0),LEFT(D340,3),"")</f>
        <v/>
      </c>
      <c r="AU340" s="487" t="str">
        <f>IF(AND(COUNTA(O340)=1,COUNTA(P340)=1,COUNTA(AC340)=1,COUNTA(AF340)=0,COUNTA(AG340)=0),LEFT(D340,3),"")</f>
        <v/>
      </c>
      <c r="AV340" s="489" t="str">
        <f>IF(AND(COUNTA(P340)=0,COUNTA(AC340)=1),LEFT(D340,3),"")</f>
        <v/>
      </c>
      <c r="AW340" s="491" t="str">
        <f>IF(AND(COUNTA(P340)=1,COUNTA(AC340)=0),LEFT(D340,3),"")</f>
        <v/>
      </c>
      <c r="AX340" s="493" t="str">
        <f>IF(AND(COUNTA(P340)=0,COUNTA(AC340)=0),LEFT(D340,3),"")</f>
        <v/>
      </c>
      <c r="AY340" s="514" t="str">
        <f>IFERROR(VLOOKUP(功能_33[[#This Row],[功能代號]],SIT_FT_2021tmp!D:D,1,FALSE),"")</f>
        <v/>
      </c>
      <c r="AZ340" s="587">
        <v>44603</v>
      </c>
      <c r="BB340" s="514" t="s">
        <v>2453</v>
      </c>
      <c r="BC340" s="265" t="s">
        <v>2453</v>
      </c>
      <c r="BD340" s="593"/>
      <c r="BE340" s="265" t="str">
        <f>IF(AND(COUNTIF(AY340,"&gt;&lt;0")=1,COUNTA(M340)=1),LEFT(D340,3),"")</f>
        <v/>
      </c>
      <c r="BF340" s="265" t="str">
        <f>IF(AND(COUNTIF(AY340,"&gt;&lt;")=1,COUNTA(M340)=0),LEFT(D340,3),"")</f>
        <v/>
      </c>
      <c r="BG340" s="265" t="str">
        <f>IF(AND(COUNTIF(AY340,"&gt;&lt;0")=0,COUNTA(M340)=1),LEFT(D340,3),"")</f>
        <v>5-1</v>
      </c>
      <c r="BH340" s="265" t="str">
        <f>IF(AND(COUNTIF(AY340,"&gt;&lt;0")=0,COUNTA(M340)=0),LEFT(D340,3),"")</f>
        <v/>
      </c>
    </row>
    <row r="341" spans="3:60" ht="13.5" x14ac:dyDescent="0.3">
      <c r="C341" s="265" t="s">
        <v>70</v>
      </c>
      <c r="D341" s="265" t="s">
        <v>2466</v>
      </c>
      <c r="E341" s="264" t="s">
        <v>528</v>
      </c>
      <c r="F341" s="265" t="s">
        <v>529</v>
      </c>
      <c r="G341" s="265"/>
      <c r="H341" s="264" t="s">
        <v>166</v>
      </c>
      <c r="I341" s="264" t="s">
        <v>287</v>
      </c>
      <c r="J341" s="212" t="s">
        <v>2853</v>
      </c>
      <c r="K341" s="212"/>
      <c r="L341" s="272">
        <v>44567</v>
      </c>
      <c r="M341" s="272">
        <v>44567</v>
      </c>
      <c r="N341" s="272">
        <v>44515</v>
      </c>
      <c r="O341" s="272">
        <v>44466</v>
      </c>
      <c r="P341" s="272">
        <v>44466</v>
      </c>
      <c r="Q341" s="264" t="s">
        <v>6</v>
      </c>
      <c r="R341" s="264" t="s">
        <v>5</v>
      </c>
      <c r="S341" s="264" t="s">
        <v>5</v>
      </c>
      <c r="X341" s="264"/>
      <c r="Z341" s="264"/>
      <c r="AA341" s="264"/>
      <c r="AB341" s="265" t="str">
        <f>VLOOKUP(功能_33[[#This Row],[User]],SKL放款!A:G,7,FALSE)</f>
        <v>放款服務課</v>
      </c>
      <c r="AC341" s="272">
        <v>44533</v>
      </c>
      <c r="AD341" s="272" t="s">
        <v>168</v>
      </c>
      <c r="AE341" s="272">
        <v>44529</v>
      </c>
      <c r="AF341" s="272">
        <v>44529</v>
      </c>
      <c r="AG341" s="209">
        <v>44550</v>
      </c>
      <c r="AH341" s="272"/>
      <c r="AI341" s="272"/>
      <c r="AJ341" s="322"/>
      <c r="AK341" s="272">
        <f>IFERROR(IF(VLOOKUP(功能_33[[#This Row],[功能代號]],E:U,11,FALSE)=0,"",VLOOKUP(功能_33[[#This Row],[功能代號]],E:U,11,FALSE)),"")</f>
        <v>44466</v>
      </c>
      <c r="AL341" s="272"/>
      <c r="AM341" s="272"/>
      <c r="AN341" s="265"/>
      <c r="AO341" s="272"/>
      <c r="AP341" s="276" t="s">
        <v>530</v>
      </c>
      <c r="AQ341" s="277" t="s">
        <v>531</v>
      </c>
      <c r="AR341" s="593" t="s">
        <v>3207</v>
      </c>
      <c r="AS341" s="483" t="str">
        <f>IF(COUNTA(AG341)=1,LEFT(D341,3),"")</f>
        <v>6-7</v>
      </c>
      <c r="AT341" s="485" t="str">
        <f>IF(AND(COUNTA(O341)=1,COUNTA(P341)=1,COUNTA(AC341)=1,COUNTA(AF341)=1,COUNTA(AG341)=0),LEFT(D341,3),"")</f>
        <v/>
      </c>
      <c r="AU341" s="487" t="str">
        <f>IF(AND(COUNTA(O341)=1,COUNTA(P341)=1,COUNTA(AC341)=1,COUNTA(AF341)=0,COUNTA(AG341)=0),LEFT(D341,3),"")</f>
        <v/>
      </c>
      <c r="AV341" s="489" t="str">
        <f>IF(AND(COUNTA(P341)=0,COUNTA(AC341)=1),LEFT(D341,3),"")</f>
        <v/>
      </c>
      <c r="AW341" s="491" t="str">
        <f>IF(AND(COUNTA(P341)=1,COUNTA(AC341)=0),LEFT(D341,3),"")</f>
        <v/>
      </c>
      <c r="AX341" s="493" t="str">
        <f>IF(AND(COUNTA(P341)=0,COUNTA(AC341)=0),LEFT(D341,3),"")</f>
        <v/>
      </c>
      <c r="AY341" s="514" t="str">
        <f>IFERROR(VLOOKUP(功能_33[[#This Row],[功能代號]],SIT_FT_2021tmp!D:D,1,FALSE),"")</f>
        <v>L6077</v>
      </c>
      <c r="AZ341" s="587">
        <v>44512</v>
      </c>
      <c r="BA341" s="587">
        <v>44512</v>
      </c>
      <c r="BB341" s="514" t="s">
        <v>3073</v>
      </c>
      <c r="BC341" s="265" t="s">
        <v>3014</v>
      </c>
      <c r="BD341" s="593"/>
      <c r="BE341" s="264" t="str">
        <f>IF(AND(COUNTIF(AY341,"&gt;&lt;0")=1,COUNTA(M341)=1),LEFT(D341,3),"")</f>
        <v>6-7</v>
      </c>
      <c r="BF341" s="264" t="str">
        <f>IF(AND(COUNTIF(AY341,"&gt;&lt;")=1,COUNTA(M341)=0),LEFT(D341,3),"")</f>
        <v/>
      </c>
      <c r="BG341" s="264" t="str">
        <f>IF(AND(COUNTIF(AY341,"&gt;&lt;0")=0,COUNTA(M341)=1),LEFT(D341,3),"")</f>
        <v/>
      </c>
      <c r="BH341" s="264" t="str">
        <f>IF(AND(COUNTIF(AY341,"&gt;&lt;0")=0,COUNTA(M341)=0),LEFT(D341,3),"")</f>
        <v/>
      </c>
    </row>
    <row r="342" spans="3:60" ht="13.5" x14ac:dyDescent="0.3">
      <c r="C342" s="265" t="s">
        <v>70</v>
      </c>
      <c r="D342" s="265" t="s">
        <v>2466</v>
      </c>
      <c r="E342" s="264" t="s">
        <v>533</v>
      </c>
      <c r="F342" s="265" t="s">
        <v>534</v>
      </c>
      <c r="G342" s="265"/>
      <c r="H342" s="264" t="s">
        <v>166</v>
      </c>
      <c r="I342" s="264" t="s">
        <v>287</v>
      </c>
      <c r="J342" s="212" t="s">
        <v>2853</v>
      </c>
      <c r="K342" s="212"/>
      <c r="L342" s="272">
        <v>44567</v>
      </c>
      <c r="M342" s="272">
        <v>44567</v>
      </c>
      <c r="N342" s="272">
        <v>44515</v>
      </c>
      <c r="O342" s="272">
        <v>44466</v>
      </c>
      <c r="P342" s="272">
        <v>44466</v>
      </c>
      <c r="Q342" s="264" t="s">
        <v>1</v>
      </c>
      <c r="R342" s="264" t="s">
        <v>5</v>
      </c>
      <c r="S342" s="264" t="s">
        <v>5</v>
      </c>
      <c r="X342" s="264"/>
      <c r="Z342" s="264"/>
      <c r="AA342" s="264"/>
      <c r="AB342" s="265" t="str">
        <f>VLOOKUP(功能_33[[#This Row],[User]],SKL放款!A:G,7,FALSE)</f>
        <v>放款服務課</v>
      </c>
      <c r="AC342" s="272">
        <v>44533</v>
      </c>
      <c r="AD342" s="272" t="s">
        <v>168</v>
      </c>
      <c r="AE342" s="272">
        <v>44529</v>
      </c>
      <c r="AF342" s="272">
        <v>44529</v>
      </c>
      <c r="AG342" s="209">
        <v>44550</v>
      </c>
      <c r="AH342" s="272"/>
      <c r="AI342" s="272"/>
      <c r="AJ342" s="322"/>
      <c r="AK342" s="272">
        <f>IFERROR(IF(VLOOKUP(功能_33[[#This Row],[功能代號]],E:U,11,FALSE)=0,"",VLOOKUP(功能_33[[#This Row],[功能代號]],E:U,11,FALSE)),"")</f>
        <v>44466</v>
      </c>
      <c r="AL342" s="272"/>
      <c r="AM342" s="272"/>
      <c r="AN342" s="265"/>
      <c r="AO342" s="272"/>
      <c r="AP342" s="264" t="s">
        <v>163</v>
      </c>
      <c r="AQ342" s="264" t="s">
        <v>163</v>
      </c>
      <c r="AR342" s="593" t="s">
        <v>3207</v>
      </c>
      <c r="AS342" s="483" t="str">
        <f>IF(COUNTA(AG342)=1,LEFT(D342,3),"")</f>
        <v>6-7</v>
      </c>
      <c r="AT342" s="485" t="str">
        <f>IF(AND(COUNTA(O342)=1,COUNTA(P342)=1,COUNTA(AC342)=1,COUNTA(AF342)=1,COUNTA(AG342)=0),LEFT(D342,3),"")</f>
        <v/>
      </c>
      <c r="AU342" s="487" t="str">
        <f>IF(AND(COUNTA(O342)=1,COUNTA(P342)=1,COUNTA(AC342)=1,COUNTA(AF342)=0,COUNTA(AG342)=0),LEFT(D342,3),"")</f>
        <v/>
      </c>
      <c r="AV342" s="489" t="str">
        <f>IF(AND(COUNTA(P342)=0,COUNTA(AC342)=1),LEFT(D342,3),"")</f>
        <v/>
      </c>
      <c r="AW342" s="491" t="str">
        <f>IF(AND(COUNTA(P342)=1,COUNTA(AC342)=0),LEFT(D342,3),"")</f>
        <v/>
      </c>
      <c r="AX342" s="493" t="str">
        <f>IF(AND(COUNTA(P342)=0,COUNTA(AC342)=0),LEFT(D342,3),"")</f>
        <v/>
      </c>
      <c r="AY342" s="514" t="str">
        <f>IFERROR(VLOOKUP(功能_33[[#This Row],[功能代號]],SIT_FT_2021tmp!D:D,1,FALSE),"")</f>
        <v>L6078</v>
      </c>
      <c r="AZ342" s="587">
        <v>44512</v>
      </c>
      <c r="BA342" s="587">
        <v>44512</v>
      </c>
      <c r="BB342" s="514" t="s">
        <v>3073</v>
      </c>
      <c r="BC342" s="265" t="s">
        <v>3014</v>
      </c>
      <c r="BD342" s="593"/>
      <c r="BE342" s="264" t="str">
        <f>IF(AND(COUNTIF(AY342,"&gt;&lt;0")=1,COUNTA(M342)=1),LEFT(D342,3),"")</f>
        <v>6-7</v>
      </c>
      <c r="BF342" s="264" t="str">
        <f>IF(AND(COUNTIF(AY342,"&gt;&lt;")=1,COUNTA(M342)=0),LEFT(D342,3),"")</f>
        <v/>
      </c>
      <c r="BG342" s="264" t="str">
        <f>IF(AND(COUNTIF(AY342,"&gt;&lt;0")=0,COUNTA(M342)=1),LEFT(D342,3),"")</f>
        <v/>
      </c>
      <c r="BH342" s="264" t="str">
        <f>IF(AND(COUNTIF(AY342,"&gt;&lt;0")=0,COUNTA(M342)=0),LEFT(D342,3),"")</f>
        <v/>
      </c>
    </row>
    <row r="343" spans="3:60" ht="13.5" x14ac:dyDescent="0.3">
      <c r="C343" s="265" t="s">
        <v>70</v>
      </c>
      <c r="D343" s="265" t="s">
        <v>2466</v>
      </c>
      <c r="E343" s="264" t="s">
        <v>586</v>
      </c>
      <c r="F343" s="265" t="s">
        <v>587</v>
      </c>
      <c r="G343" s="265"/>
      <c r="H343" s="264" t="s">
        <v>166</v>
      </c>
      <c r="I343" s="264" t="s">
        <v>287</v>
      </c>
      <c r="J343" s="212" t="s">
        <v>2853</v>
      </c>
      <c r="K343" s="212"/>
      <c r="L343" s="272">
        <v>44567</v>
      </c>
      <c r="M343" s="272">
        <v>44567</v>
      </c>
      <c r="N343" s="272">
        <v>44516</v>
      </c>
      <c r="O343" s="272">
        <v>44467</v>
      </c>
      <c r="P343" s="272">
        <v>44467</v>
      </c>
      <c r="Q343" s="264" t="s">
        <v>6</v>
      </c>
      <c r="R343" s="264" t="s">
        <v>145</v>
      </c>
      <c r="S343" s="264" t="s">
        <v>145</v>
      </c>
      <c r="X343" s="264"/>
      <c r="Z343" s="264"/>
      <c r="AA343" s="264"/>
      <c r="AB343" s="265" t="str">
        <f>VLOOKUP(功能_33[[#This Row],[User]],SKL放款!A:G,7,FALSE)</f>
        <v>放款服務課</v>
      </c>
      <c r="AC343" s="272">
        <v>44533</v>
      </c>
      <c r="AD343" s="272" t="s">
        <v>168</v>
      </c>
      <c r="AE343" s="272">
        <v>44529</v>
      </c>
      <c r="AF343" s="272">
        <v>44529</v>
      </c>
      <c r="AG343" s="209">
        <v>44550</v>
      </c>
      <c r="AH343" s="272"/>
      <c r="AI343" s="272"/>
      <c r="AJ343" s="322"/>
      <c r="AK343" s="272">
        <f>IFERROR(IF(VLOOKUP(功能_33[[#This Row],[功能代號]],E:U,11,FALSE)=0,"",VLOOKUP(功能_33[[#This Row],[功能代號]],E:U,11,FALSE)),"")</f>
        <v>44467</v>
      </c>
      <c r="AL343" s="272"/>
      <c r="AM343" s="272"/>
      <c r="AN343" s="265"/>
      <c r="AO343" s="272"/>
      <c r="AP343" s="276" t="s">
        <v>588</v>
      </c>
      <c r="AQ343" s="277" t="s">
        <v>589</v>
      </c>
      <c r="AR343" s="593" t="s">
        <v>3207</v>
      </c>
      <c r="AS343" s="483" t="str">
        <f>IF(COUNTA(AG343)=1,LEFT(D343,3),"")</f>
        <v>6-7</v>
      </c>
      <c r="AT343" s="485" t="str">
        <f>IF(AND(COUNTA(O343)=1,COUNTA(P343)=1,COUNTA(AC343)=1,COUNTA(AF343)=1,COUNTA(AG343)=0),LEFT(D343,3),"")</f>
        <v/>
      </c>
      <c r="AU343" s="487" t="str">
        <f>IF(AND(COUNTA(O343)=1,COUNTA(P343)=1,COUNTA(AC343)=1,COUNTA(AF343)=0,COUNTA(AG343)=0),LEFT(D343,3),"")</f>
        <v/>
      </c>
      <c r="AV343" s="489" t="str">
        <f>IF(AND(COUNTA(P343)=0,COUNTA(AC343)=1),LEFT(D343,3),"")</f>
        <v/>
      </c>
      <c r="AW343" s="491" t="str">
        <f>IF(AND(COUNTA(P343)=1,COUNTA(AC343)=0),LEFT(D343,3),"")</f>
        <v/>
      </c>
      <c r="AX343" s="493" t="str">
        <f>IF(AND(COUNTA(P343)=0,COUNTA(AC343)=0),LEFT(D343,3),"")</f>
        <v/>
      </c>
      <c r="AY343" s="514" t="str">
        <f>IFERROR(VLOOKUP(功能_33[[#This Row],[功能代號]],SIT_FT_2021tmp!D:D,1,FALSE),"")</f>
        <v>L6079</v>
      </c>
      <c r="AZ343" s="587">
        <v>44529</v>
      </c>
      <c r="BA343" s="587">
        <v>44529</v>
      </c>
      <c r="BB343" s="514" t="s">
        <v>3073</v>
      </c>
      <c r="BC343" s="265" t="s">
        <v>3035</v>
      </c>
      <c r="BD343" s="593"/>
      <c r="BE343" s="264" t="str">
        <f>IF(AND(COUNTIF(AY343,"&gt;&lt;0")=1,COUNTA(M343)=1),LEFT(D343,3),"")</f>
        <v>6-7</v>
      </c>
      <c r="BF343" s="264" t="str">
        <f>IF(AND(COUNTIF(AY343,"&gt;&lt;")=1,COUNTA(M343)=0),LEFT(D343,3),"")</f>
        <v/>
      </c>
      <c r="BG343" s="264" t="str">
        <f>IF(AND(COUNTIF(AY343,"&gt;&lt;0")=0,COUNTA(M343)=1),LEFT(D343,3),"")</f>
        <v/>
      </c>
      <c r="BH343" s="264" t="str">
        <f>IF(AND(COUNTIF(AY343,"&gt;&lt;0")=0,COUNTA(M343)=0),LEFT(D343,3),"")</f>
        <v/>
      </c>
    </row>
    <row r="344" spans="3:60" ht="13.5" x14ac:dyDescent="0.3">
      <c r="C344" s="265" t="s">
        <v>70</v>
      </c>
      <c r="D344" s="407" t="s">
        <v>2466</v>
      </c>
      <c r="E344" s="264" t="s">
        <v>1017</v>
      </c>
      <c r="F344" s="265" t="s">
        <v>1018</v>
      </c>
      <c r="G344" s="265"/>
      <c r="H344" s="264" t="s">
        <v>166</v>
      </c>
      <c r="I344" s="264" t="s">
        <v>287</v>
      </c>
      <c r="J344" s="212" t="s">
        <v>2853</v>
      </c>
      <c r="K344" s="212"/>
      <c r="L344" s="272">
        <v>44565</v>
      </c>
      <c r="M344" s="272">
        <v>44565</v>
      </c>
      <c r="N344" s="272">
        <v>44397</v>
      </c>
      <c r="O344" s="272">
        <v>44397</v>
      </c>
      <c r="P344" s="272">
        <v>44398</v>
      </c>
      <c r="Q344" s="264" t="s">
        <v>2</v>
      </c>
      <c r="R344" s="264" t="s">
        <v>2938</v>
      </c>
      <c r="S344" s="264" t="s">
        <v>2938</v>
      </c>
      <c r="X344" s="264"/>
      <c r="Z344" s="264"/>
      <c r="AA344" s="264"/>
      <c r="AB344" s="265" t="str">
        <f>VLOOKUP(功能_33[[#This Row],[User]],SKL放款!A:G,7,FALSE)</f>
        <v>放款推展課</v>
      </c>
      <c r="AC344" s="272">
        <v>44533</v>
      </c>
      <c r="AD344" s="272" t="s">
        <v>168</v>
      </c>
      <c r="AE344" s="272">
        <v>44397</v>
      </c>
      <c r="AF344" s="272">
        <v>44397</v>
      </c>
      <c r="AG344" s="209">
        <v>44550</v>
      </c>
      <c r="AH344" s="272"/>
      <c r="AI344" s="272"/>
      <c r="AJ344" s="322"/>
      <c r="AK344" s="272">
        <f>IFERROR(IF(VLOOKUP(功能_33[[#This Row],[功能代號]],E:U,11,FALSE)=0,"",VLOOKUP(功能_33[[#This Row],[功能代號]],E:U,11,FALSE)),"")</f>
        <v>44397</v>
      </c>
      <c r="AL344" s="272"/>
      <c r="AM344" s="272"/>
      <c r="AN344" s="265"/>
      <c r="AO344" s="272">
        <v>44397</v>
      </c>
      <c r="AP344" s="264" t="s">
        <v>163</v>
      </c>
      <c r="AQ344" s="264" t="s">
        <v>163</v>
      </c>
      <c r="AR344" s="593" t="s">
        <v>3207</v>
      </c>
      <c r="AS344" s="483" t="str">
        <f>IF(COUNTA(AG344)=1,LEFT(D344,3),"")</f>
        <v>6-7</v>
      </c>
      <c r="AT344" s="485" t="str">
        <f>IF(AND(COUNTA(O344)=1,COUNTA(P344)=1,COUNTA(AC344)=1,COUNTA(AF344)=1,COUNTA(AG344)=0),LEFT(D344,3),"")</f>
        <v/>
      </c>
      <c r="AU344" s="487" t="str">
        <f>IF(AND(COUNTA(O344)=1,COUNTA(P344)=1,COUNTA(AC344)=1,COUNTA(AF344)=0,COUNTA(AG344)=0),LEFT(D344,3),"")</f>
        <v/>
      </c>
      <c r="AV344" s="489" t="str">
        <f>IF(AND(COUNTA(P344)=0,COUNTA(AC344)=1),LEFT(D344,3),"")</f>
        <v/>
      </c>
      <c r="AW344" s="491" t="str">
        <f>IF(AND(COUNTA(P344)=1,COUNTA(AC344)=0),LEFT(D344,3),"")</f>
        <v/>
      </c>
      <c r="AX344" s="493" t="str">
        <f>IF(AND(COUNTA(P344)=0,COUNTA(AC344)=0),LEFT(D344,3),"")</f>
        <v/>
      </c>
      <c r="AY344" s="514" t="str">
        <f>IFERROR(VLOOKUP(功能_33[[#This Row],[功能代號]],SIT_FT_2021tmp!D:D,1,FALSE),"")</f>
        <v>L6081</v>
      </c>
      <c r="AZ344" s="587">
        <v>44515</v>
      </c>
      <c r="BA344" s="587">
        <v>44515</v>
      </c>
      <c r="BB344" s="514" t="s">
        <v>3000</v>
      </c>
      <c r="BC344" s="265" t="s">
        <v>3064</v>
      </c>
      <c r="BD344" s="593"/>
      <c r="BE344" s="264" t="str">
        <f>IF(AND(COUNTIF(AY344,"&gt;&lt;0")=1,COUNTA(M344)=1),LEFT(D344,3),"")</f>
        <v>6-7</v>
      </c>
      <c r="BF344" s="264" t="str">
        <f>IF(AND(COUNTIF(AY344,"&gt;&lt;")=1,COUNTA(M344)=0),LEFT(D344,3),"")</f>
        <v/>
      </c>
      <c r="BG344" s="264" t="str">
        <f>IF(AND(COUNTIF(AY344,"&gt;&lt;0")=0,COUNTA(M344)=1),LEFT(D344,3),"")</f>
        <v/>
      </c>
      <c r="BH344" s="264" t="str">
        <f>IF(AND(COUNTIF(AY344,"&gt;&lt;0")=0,COUNTA(M344)=0),LEFT(D344,3),"")</f>
        <v/>
      </c>
    </row>
    <row r="345" spans="3:60" ht="13.5" x14ac:dyDescent="0.3">
      <c r="C345" s="265" t="s">
        <v>70</v>
      </c>
      <c r="D345" s="265" t="s">
        <v>2466</v>
      </c>
      <c r="E345" s="264" t="s">
        <v>981</v>
      </c>
      <c r="F345" s="265" t="s">
        <v>982</v>
      </c>
      <c r="G345" s="265"/>
      <c r="H345" s="264" t="s">
        <v>166</v>
      </c>
      <c r="I345" s="264" t="s">
        <v>287</v>
      </c>
      <c r="J345" s="212" t="s">
        <v>2853</v>
      </c>
      <c r="K345" s="212"/>
      <c r="L345" s="272">
        <v>44565</v>
      </c>
      <c r="M345" s="272">
        <v>44565</v>
      </c>
      <c r="N345" s="272">
        <v>44396</v>
      </c>
      <c r="O345" s="272">
        <v>44396</v>
      </c>
      <c r="P345" s="272">
        <v>44402</v>
      </c>
      <c r="Q345" s="264" t="s">
        <v>6</v>
      </c>
      <c r="R345" s="264" t="s">
        <v>2938</v>
      </c>
      <c r="S345" s="264" t="s">
        <v>2938</v>
      </c>
      <c r="U345" s="264">
        <v>1</v>
      </c>
      <c r="V345" s="264" t="s">
        <v>983</v>
      </c>
      <c r="X345" s="264"/>
      <c r="Z345" s="264"/>
      <c r="AA345" s="264"/>
      <c r="AB345" s="265" t="str">
        <f>VLOOKUP(功能_33[[#This Row],[User]],SKL放款!A:G,7,FALSE)</f>
        <v>放款推展課</v>
      </c>
      <c r="AC345" s="272">
        <v>44402</v>
      </c>
      <c r="AD345" s="272" t="s">
        <v>107</v>
      </c>
      <c r="AE345" s="258">
        <v>44550</v>
      </c>
      <c r="AF345" s="272">
        <v>44550</v>
      </c>
      <c r="AG345" s="209">
        <v>44550</v>
      </c>
      <c r="AH345" s="272"/>
      <c r="AI345" s="272"/>
      <c r="AJ345" s="322"/>
      <c r="AK345" s="272">
        <f>IFERROR(IF(VLOOKUP(功能_33[[#This Row],[功能代號]],E:U,11,FALSE)=0,"",VLOOKUP(功能_33[[#This Row],[功能代號]],E:U,11,FALSE)),"")</f>
        <v>44396</v>
      </c>
      <c r="AL345" s="272"/>
      <c r="AM345" s="272"/>
      <c r="AN345" s="265"/>
      <c r="AO345" s="272">
        <v>44396</v>
      </c>
      <c r="AP345" s="276" t="s">
        <v>984</v>
      </c>
      <c r="AQ345" s="277" t="s">
        <v>985</v>
      </c>
      <c r="AR345" s="593" t="s">
        <v>3207</v>
      </c>
      <c r="AS345" s="483" t="str">
        <f>IF(COUNTA(AG345)=1,LEFT(D345,3),"")</f>
        <v>6-7</v>
      </c>
      <c r="AT345" s="485" t="str">
        <f>IF(AND(COUNTA(O345)=1,COUNTA(P345)=1,COUNTA(AC345)=1,COUNTA(AF345)=1,COUNTA(AG345)=0),LEFT(D345,3),"")</f>
        <v/>
      </c>
      <c r="AU345" s="487" t="str">
        <f>IF(AND(COUNTA(O345)=1,COUNTA(P345)=1,COUNTA(AC345)=1,COUNTA(AF345)=0,COUNTA(AG345)=0),LEFT(D345,3),"")</f>
        <v/>
      </c>
      <c r="AV345" s="489" t="str">
        <f>IF(AND(COUNTA(P345)=0,COUNTA(AC345)=1),LEFT(D345,3),"")</f>
        <v/>
      </c>
      <c r="AW345" s="491" t="str">
        <f>IF(AND(COUNTA(P345)=1,COUNTA(AC345)=0),LEFT(D345,3),"")</f>
        <v/>
      </c>
      <c r="AX345" s="493" t="str">
        <f>IF(AND(COUNTA(P345)=0,COUNTA(AC345)=0),LEFT(D345,3),"")</f>
        <v/>
      </c>
      <c r="AY345" s="514" t="str">
        <f>IFERROR(VLOOKUP(功能_33[[#This Row],[功能代號]],SIT_FT_2021tmp!D:D,1,FALSE),"")</f>
        <v>L6082</v>
      </c>
      <c r="AZ345" s="587">
        <v>44512</v>
      </c>
      <c r="BA345" s="587">
        <v>44512</v>
      </c>
      <c r="BB345" s="514" t="s">
        <v>3000</v>
      </c>
      <c r="BC345" s="265" t="s">
        <v>3065</v>
      </c>
      <c r="BD345" s="593"/>
      <c r="BE345" s="264" t="str">
        <f>IF(AND(COUNTIF(AY345,"&gt;&lt;0")=1,COUNTA(M345)=1),LEFT(D345,3),"")</f>
        <v>6-7</v>
      </c>
      <c r="BF345" s="264" t="str">
        <f>IF(AND(COUNTIF(AY345,"&gt;&lt;")=1,COUNTA(M345)=0),LEFT(D345,3),"")</f>
        <v/>
      </c>
      <c r="BG345" s="264" t="str">
        <f>IF(AND(COUNTIF(AY345,"&gt;&lt;0")=0,COUNTA(M345)=1),LEFT(D345,3),"")</f>
        <v/>
      </c>
      <c r="BH345" s="264" t="str">
        <f>IF(AND(COUNTIF(AY345,"&gt;&lt;0")=0,COUNTA(M345)=0),LEFT(D345,3),"")</f>
        <v/>
      </c>
    </row>
    <row r="346" spans="3:60" ht="13.5" x14ac:dyDescent="0.3">
      <c r="C346" s="265" t="s">
        <v>70</v>
      </c>
      <c r="D346" s="407" t="s">
        <v>2466</v>
      </c>
      <c r="E346" s="264" t="s">
        <v>1009</v>
      </c>
      <c r="F346" s="265" t="s">
        <v>1010</v>
      </c>
      <c r="G346" s="265"/>
      <c r="H346" s="264" t="s">
        <v>166</v>
      </c>
      <c r="I346" s="264" t="s">
        <v>287</v>
      </c>
      <c r="J346" s="212" t="s">
        <v>2853</v>
      </c>
      <c r="K346" s="212"/>
      <c r="L346" s="272">
        <v>44565</v>
      </c>
      <c r="M346" s="272">
        <v>44565</v>
      </c>
      <c r="N346" s="272">
        <v>44398</v>
      </c>
      <c r="O346" s="272">
        <v>44398</v>
      </c>
      <c r="P346" s="272">
        <v>44402</v>
      </c>
      <c r="Q346" s="264" t="s">
        <v>6</v>
      </c>
      <c r="R346" s="264" t="s">
        <v>2938</v>
      </c>
      <c r="S346" s="264" t="s">
        <v>2938</v>
      </c>
      <c r="X346" s="264"/>
      <c r="Z346" s="264"/>
      <c r="AA346" s="264"/>
      <c r="AB346" s="265" t="str">
        <f>VLOOKUP(功能_33[[#This Row],[User]],SKL放款!A:G,7,FALSE)</f>
        <v>放款推展課</v>
      </c>
      <c r="AC346" s="272">
        <v>44402</v>
      </c>
      <c r="AD346" s="272" t="s">
        <v>168</v>
      </c>
      <c r="AE346" s="272">
        <v>44398</v>
      </c>
      <c r="AF346" s="272">
        <v>44398</v>
      </c>
      <c r="AG346" s="209">
        <v>44550</v>
      </c>
      <c r="AH346" s="272"/>
      <c r="AI346" s="272"/>
      <c r="AJ346" s="322"/>
      <c r="AK346" s="272">
        <f>IFERROR(IF(VLOOKUP(功能_33[[#This Row],[功能代號]],E:U,11,FALSE)=0,"",VLOOKUP(功能_33[[#This Row],[功能代號]],E:U,11,FALSE)),"")</f>
        <v>44398</v>
      </c>
      <c r="AL346" s="272"/>
      <c r="AM346" s="272"/>
      <c r="AN346" s="265"/>
      <c r="AO346" s="272">
        <v>44398</v>
      </c>
      <c r="AP346" s="264" t="s">
        <v>163</v>
      </c>
      <c r="AQ346" s="264" t="s">
        <v>163</v>
      </c>
      <c r="AR346" s="593" t="s">
        <v>3207</v>
      </c>
      <c r="AS346" s="483" t="str">
        <f>IF(COUNTA(AG346)=1,LEFT(D346,3),"")</f>
        <v>6-7</v>
      </c>
      <c r="AT346" s="485" t="str">
        <f>IF(AND(COUNTA(O346)=1,COUNTA(P346)=1,COUNTA(AC346)=1,COUNTA(AF346)=1,COUNTA(AG346)=0),LEFT(D346,3),"")</f>
        <v/>
      </c>
      <c r="AU346" s="487" t="str">
        <f>IF(AND(COUNTA(O346)=1,COUNTA(P346)=1,COUNTA(AC346)=1,COUNTA(AF346)=0,COUNTA(AG346)=0),LEFT(D346,3),"")</f>
        <v/>
      </c>
      <c r="AV346" s="489" t="str">
        <f>IF(AND(COUNTA(P346)=0,COUNTA(AC346)=1),LEFT(D346,3),"")</f>
        <v/>
      </c>
      <c r="AW346" s="491" t="str">
        <f>IF(AND(COUNTA(P346)=1,COUNTA(AC346)=0),LEFT(D346,3),"")</f>
        <v/>
      </c>
      <c r="AX346" s="493" t="str">
        <f>IF(AND(COUNTA(P346)=0,COUNTA(AC346)=0),LEFT(D346,3),"")</f>
        <v/>
      </c>
      <c r="AY346" s="514" t="str">
        <f>IFERROR(VLOOKUP(功能_33[[#This Row],[功能代號]],SIT_FT_2021tmp!D:D,1,FALSE),"")</f>
        <v>L6084</v>
      </c>
      <c r="AZ346" s="587">
        <v>44515</v>
      </c>
      <c r="BA346" s="587">
        <v>44515</v>
      </c>
      <c r="BB346" s="514" t="s">
        <v>3000</v>
      </c>
      <c r="BC346" s="265" t="s">
        <v>3064</v>
      </c>
      <c r="BD346" s="593"/>
      <c r="BE346" s="264" t="str">
        <f>IF(AND(COUNTIF(AY346,"&gt;&lt;0")=1,COUNTA(M346)=1),LEFT(D346,3),"")</f>
        <v>6-7</v>
      </c>
      <c r="BF346" s="264" t="str">
        <f>IF(AND(COUNTIF(AY346,"&gt;&lt;")=1,COUNTA(M346)=0),LEFT(D346,3),"")</f>
        <v/>
      </c>
      <c r="BG346" s="264" t="str">
        <f>IF(AND(COUNTIF(AY346,"&gt;&lt;0")=0,COUNTA(M346)=1),LEFT(D346,3),"")</f>
        <v/>
      </c>
      <c r="BH346" s="264" t="str">
        <f>IF(AND(COUNTIF(AY346,"&gt;&lt;0")=0,COUNTA(M346)=0),LEFT(D346,3),"")</f>
        <v/>
      </c>
    </row>
    <row r="347" spans="3:60" ht="13.5" x14ac:dyDescent="0.3">
      <c r="C347" s="265" t="s">
        <v>69</v>
      </c>
      <c r="D347" s="265" t="s">
        <v>2468</v>
      </c>
      <c r="E347" s="264" t="s">
        <v>948</v>
      </c>
      <c r="F347" s="265" t="s">
        <v>949</v>
      </c>
      <c r="G347" s="265"/>
      <c r="H347" s="264" t="s">
        <v>166</v>
      </c>
      <c r="I347" s="264" t="s">
        <v>3278</v>
      </c>
      <c r="J347" s="271" t="s">
        <v>2753</v>
      </c>
      <c r="K347" s="271"/>
      <c r="L347" s="272">
        <v>44575</v>
      </c>
      <c r="M347" s="272">
        <v>44572</v>
      </c>
      <c r="N347" s="272">
        <v>44504</v>
      </c>
      <c r="O347" s="272">
        <v>44503</v>
      </c>
      <c r="P347" s="272">
        <v>44533</v>
      </c>
      <c r="Q347" s="264" t="s">
        <v>2</v>
      </c>
      <c r="R347" s="264" t="s">
        <v>19</v>
      </c>
      <c r="S347" s="264" t="s">
        <v>19</v>
      </c>
      <c r="X347" s="264"/>
      <c r="Z347" s="264"/>
      <c r="AA347" s="264"/>
      <c r="AB347" s="265" t="str">
        <f>VLOOKUP(功能_33[[#This Row],[User]],SKL放款!A:G,7,FALSE)</f>
        <v>放款審查課</v>
      </c>
      <c r="AC347" s="272">
        <v>44533</v>
      </c>
      <c r="AD347" s="272">
        <v>44526</v>
      </c>
      <c r="AE347" s="272">
        <v>44526</v>
      </c>
      <c r="AF347" s="272">
        <v>44526</v>
      </c>
      <c r="AG347" s="209">
        <v>44544</v>
      </c>
      <c r="AH347" s="272"/>
      <c r="AI347" s="272"/>
      <c r="AJ347" s="322"/>
      <c r="AK347" s="272">
        <f>IFERROR(IF(VLOOKUP(功能_33[[#This Row],[功能代號]],E:U,11,FALSE)=0,"",VLOOKUP(功能_33[[#This Row],[功能代號]],E:U,11,FALSE)),"")</f>
        <v>44503</v>
      </c>
      <c r="AL347" s="272"/>
      <c r="AM347" s="272"/>
      <c r="AN347" s="265"/>
      <c r="AO347" s="272"/>
      <c r="AP347" s="276" t="s">
        <v>950</v>
      </c>
      <c r="AQ347" s="277" t="s">
        <v>951</v>
      </c>
      <c r="AR347" s="593" t="s">
        <v>3207</v>
      </c>
      <c r="AS347" s="483" t="str">
        <f>IF(COUNTA(AG347)=1,LEFT(D347,3),"")</f>
        <v>5-1</v>
      </c>
      <c r="AT347" s="485" t="str">
        <f>IF(AND(COUNTA(O347)=1,COUNTA(P347)=1,COUNTA(AC347)=1,COUNTA(AF347)=1,COUNTA(AG347)=0),LEFT(D347,3),"")</f>
        <v/>
      </c>
      <c r="AU347" s="487" t="str">
        <f>IF(AND(COUNTA(O347)=1,COUNTA(P347)=1,COUNTA(AC347)=1,COUNTA(AF347)=0,COUNTA(AG347)=0),LEFT(D347,3),"")</f>
        <v/>
      </c>
      <c r="AV347" s="489" t="str">
        <f>IF(AND(COUNTA(P347)=0,COUNTA(AC347)=1),LEFT(D347,3),"")</f>
        <v/>
      </c>
      <c r="AW347" s="491" t="str">
        <f>IF(AND(COUNTA(P347)=1,COUNTA(AC347)=0),LEFT(D347,3),"")</f>
        <v/>
      </c>
      <c r="AX347" s="493" t="str">
        <f>IF(AND(COUNTA(P347)=0,COUNTA(AC347)=0),LEFT(D347,3),"")</f>
        <v/>
      </c>
      <c r="AY347" s="514" t="str">
        <f>IFERROR(VLOOKUP(功能_33[[#This Row],[功能代號]],SIT_FT_2021tmp!D:D,1,FALSE),"")</f>
        <v>L5902</v>
      </c>
      <c r="AZ347" s="587">
        <v>44517</v>
      </c>
      <c r="BA347" s="587">
        <v>44517</v>
      </c>
      <c r="BB347" s="514" t="s">
        <v>3000</v>
      </c>
      <c r="BC347" s="265" t="s">
        <v>3066</v>
      </c>
      <c r="BD347" s="593"/>
      <c r="BE347" s="264" t="str">
        <f>IF(AND(COUNTIF(AY347,"&gt;&lt;0")=1,COUNTA(M347)=1),LEFT(D347,3),"")</f>
        <v>5-1</v>
      </c>
      <c r="BF347" s="264" t="str">
        <f>IF(AND(COUNTIF(AY347,"&gt;&lt;")=1,COUNTA(M347)=0),LEFT(D347,3),"")</f>
        <v/>
      </c>
      <c r="BG347" s="264" t="str">
        <f>IF(AND(COUNTIF(AY347,"&gt;&lt;0")=0,COUNTA(M347)=1),LEFT(D347,3),"")</f>
        <v/>
      </c>
      <c r="BH347" s="264" t="str">
        <f>IF(AND(COUNTIF(AY347,"&gt;&lt;0")=0,COUNTA(M347)=0),LEFT(D347,3),"")</f>
        <v/>
      </c>
    </row>
    <row r="348" spans="3:60" ht="13.5" x14ac:dyDescent="0.3">
      <c r="C348" s="265" t="s">
        <v>69</v>
      </c>
      <c r="D348" s="265" t="s">
        <v>2468</v>
      </c>
      <c r="E348" s="264" t="s">
        <v>952</v>
      </c>
      <c r="F348" s="265" t="s">
        <v>953</v>
      </c>
      <c r="G348" s="265"/>
      <c r="H348" s="264" t="s">
        <v>166</v>
      </c>
      <c r="I348" s="264" t="s">
        <v>3278</v>
      </c>
      <c r="J348" s="212" t="s">
        <v>2947</v>
      </c>
      <c r="K348" s="212" t="s">
        <v>2992</v>
      </c>
      <c r="L348" s="272">
        <v>44582</v>
      </c>
      <c r="M348" s="272">
        <v>44574</v>
      </c>
      <c r="N348" s="272">
        <v>44504</v>
      </c>
      <c r="O348" s="272">
        <v>44503</v>
      </c>
      <c r="P348" s="272">
        <v>44533</v>
      </c>
      <c r="Q348" s="264" t="s">
        <v>2</v>
      </c>
      <c r="R348" s="264" t="s">
        <v>19</v>
      </c>
      <c r="S348" s="264" t="s">
        <v>19</v>
      </c>
      <c r="X348" s="264"/>
      <c r="Z348" s="264"/>
      <c r="AA348" s="264"/>
      <c r="AB348" s="265" t="str">
        <f>VLOOKUP(功能_33[[#This Row],[User]],SKL放款!A:G,7,FALSE)</f>
        <v>放款審查課</v>
      </c>
      <c r="AC348" s="272">
        <v>44533</v>
      </c>
      <c r="AD348" s="272">
        <v>44526</v>
      </c>
      <c r="AE348" s="272">
        <v>44526</v>
      </c>
      <c r="AF348" s="272">
        <v>44526</v>
      </c>
      <c r="AG348" s="209" t="s">
        <v>2965</v>
      </c>
      <c r="AH348" s="272"/>
      <c r="AI348" s="272"/>
      <c r="AJ348" s="322"/>
      <c r="AK348" s="272">
        <f>IFERROR(IF(VLOOKUP(功能_33[[#This Row],[功能代號]],E:U,11,FALSE)=0,"",VLOOKUP(功能_33[[#This Row],[功能代號]],E:U,11,FALSE)),"")</f>
        <v>44503</v>
      </c>
      <c r="AL348" s="272"/>
      <c r="AM348" s="272"/>
      <c r="AN348" s="265"/>
      <c r="AO348" s="272"/>
      <c r="AP348" s="276" t="s">
        <v>950</v>
      </c>
      <c r="AQ348" s="277" t="s">
        <v>951</v>
      </c>
      <c r="AR348" s="593" t="s">
        <v>3207</v>
      </c>
      <c r="AS348" s="483" t="str">
        <f>IF(COUNTA(AG348)=1,LEFT(D348,3),"")</f>
        <v>5-1</v>
      </c>
      <c r="AT348" s="485" t="str">
        <f>IF(AND(COUNTA(O348)=1,COUNTA(P348)=1,COUNTA(AC348)=1,COUNTA(AF348)=1,COUNTA(AG348)=0),LEFT(D348,3),"")</f>
        <v/>
      </c>
      <c r="AU348" s="487" t="str">
        <f>IF(AND(COUNTA(O348)=1,COUNTA(P348)=1,COUNTA(AC348)=1,COUNTA(AF348)=0,COUNTA(AG348)=0),LEFT(D348,3),"")</f>
        <v/>
      </c>
      <c r="AV348" s="489" t="str">
        <f>IF(AND(COUNTA(P348)=0,COUNTA(AC348)=1),LEFT(D348,3),"")</f>
        <v/>
      </c>
      <c r="AW348" s="491" t="str">
        <f>IF(AND(COUNTA(P348)=1,COUNTA(AC348)=0),LEFT(D348,3),"")</f>
        <v/>
      </c>
      <c r="AX348" s="493" t="str">
        <f>IF(AND(COUNTA(P348)=0,COUNTA(AC348)=0),LEFT(D348,3),"")</f>
        <v/>
      </c>
      <c r="AY348" s="514" t="str">
        <f>IFERROR(VLOOKUP(功能_33[[#This Row],[功能代號]],SIT_FT_2021tmp!D:D,1,FALSE),"")</f>
        <v>L5102</v>
      </c>
      <c r="AZ348" s="587">
        <v>44517</v>
      </c>
      <c r="BA348" s="587">
        <v>44517</v>
      </c>
      <c r="BB348" s="514" t="s">
        <v>3000</v>
      </c>
      <c r="BC348" s="265" t="s">
        <v>3066</v>
      </c>
      <c r="BD348" s="593"/>
      <c r="BE348" s="264" t="str">
        <f>IF(AND(COUNTIF(AY348,"&gt;&lt;0")=1,COUNTA(M348)=1),LEFT(D348,3),"")</f>
        <v>5-1</v>
      </c>
      <c r="BF348" s="264" t="str">
        <f>IF(AND(COUNTIF(AY348,"&gt;&lt;")=1,COUNTA(M348)=0),LEFT(D348,3),"")</f>
        <v/>
      </c>
      <c r="BG348" s="264" t="str">
        <f>IF(AND(COUNTIF(AY348,"&gt;&lt;0")=0,COUNTA(M348)=1),LEFT(D348,3),"")</f>
        <v/>
      </c>
      <c r="BH348" s="264" t="str">
        <f>IF(AND(COUNTIF(AY348,"&gt;&lt;0")=0,COUNTA(M348)=0),LEFT(D348,3),"")</f>
        <v/>
      </c>
    </row>
    <row r="349" spans="3:60" ht="13.5" x14ac:dyDescent="0.3">
      <c r="C349" s="265" t="s">
        <v>70</v>
      </c>
      <c r="D349" s="265" t="s">
        <v>2466</v>
      </c>
      <c r="E349" s="264" t="s">
        <v>505</v>
      </c>
      <c r="F349" s="265" t="s">
        <v>506</v>
      </c>
      <c r="G349" s="265"/>
      <c r="H349" s="264" t="s">
        <v>166</v>
      </c>
      <c r="I349" s="264" t="s">
        <v>287</v>
      </c>
      <c r="J349" s="212" t="s">
        <v>2853</v>
      </c>
      <c r="K349" s="212"/>
      <c r="L349" s="272">
        <v>44565</v>
      </c>
      <c r="M349" s="272">
        <v>44565</v>
      </c>
      <c r="N349" s="272">
        <v>44515</v>
      </c>
      <c r="O349" s="272">
        <v>44466</v>
      </c>
      <c r="P349" s="272">
        <f>IFERROR(IF(VLOOKUP(功能_33[[#This Row],[功能代號]],討論項目!A:H,8,FALSE)=0,"",VLOOKUP(功能_33[[#This Row],[功能代號]],討論項目!A:H,8,FALSE)),"")</f>
        <v>44475</v>
      </c>
      <c r="Q349" s="264" t="s">
        <v>6</v>
      </c>
      <c r="R349" s="264" t="s">
        <v>7</v>
      </c>
      <c r="S349" s="264" t="s">
        <v>7</v>
      </c>
      <c r="X349" s="264"/>
      <c r="Z349" s="264"/>
      <c r="AA349" s="264"/>
      <c r="AB349" s="265" t="str">
        <f>VLOOKUP(功能_33[[#This Row],[User]],SKL放款!A:G,7,FALSE)</f>
        <v>放款推展課</v>
      </c>
      <c r="AC349" s="272">
        <v>44533</v>
      </c>
      <c r="AD349" s="272">
        <v>44533</v>
      </c>
      <c r="AE349" s="272">
        <v>44533</v>
      </c>
      <c r="AF349" s="272">
        <v>44533</v>
      </c>
      <c r="AG349" s="209">
        <v>44550</v>
      </c>
      <c r="AH349" s="272"/>
      <c r="AI349" s="272"/>
      <c r="AJ349" s="322"/>
      <c r="AK349" s="272">
        <f>IFERROR(IF(VLOOKUP(功能_33[[#This Row],[功能代號]],E:U,11,FALSE)=0,"",VLOOKUP(功能_33[[#This Row],[功能代號]],E:U,11,FALSE)),"")</f>
        <v>44466</v>
      </c>
      <c r="AL349" s="272"/>
      <c r="AM349" s="272"/>
      <c r="AN349" s="265"/>
      <c r="AO349" s="272"/>
      <c r="AP349" s="276" t="s">
        <v>508</v>
      </c>
      <c r="AQ349" s="277" t="s">
        <v>509</v>
      </c>
      <c r="AR349" s="593" t="s">
        <v>3207</v>
      </c>
      <c r="AS349" s="483" t="str">
        <f>IF(COUNTA(AG349)=1,LEFT(D349,3),"")</f>
        <v>6-7</v>
      </c>
      <c r="AT349" s="485" t="str">
        <f>IF(AND(COUNTA(O349)=1,COUNTA(P349)=1,COUNTA(AC349)=1,COUNTA(AF349)=1,COUNTA(AG349)=0),LEFT(D349,3),"")</f>
        <v/>
      </c>
      <c r="AU349" s="487" t="str">
        <f>IF(AND(COUNTA(O349)=1,COUNTA(P349)=1,COUNTA(AC349)=1,COUNTA(AF349)=0,COUNTA(AG349)=0),LEFT(D349,3),"")</f>
        <v/>
      </c>
      <c r="AV349" s="489" t="str">
        <f>IF(AND(COUNTA(P349)=0,COUNTA(AC349)=1),LEFT(D349,3),"")</f>
        <v/>
      </c>
      <c r="AW349" s="491" t="str">
        <f>IF(AND(COUNTA(P349)=1,COUNTA(AC349)=0),LEFT(D349,3),"")</f>
        <v/>
      </c>
      <c r="AX349" s="493" t="str">
        <f>IF(AND(COUNTA(P349)=0,COUNTA(AC349)=0),LEFT(D349,3),"")</f>
        <v/>
      </c>
      <c r="AY349" s="514" t="str">
        <f>IFERROR(VLOOKUP(功能_33[[#This Row],[功能代號]],SIT_FT_2021tmp!D:D,1,FALSE),"")</f>
        <v>L6085</v>
      </c>
      <c r="AZ349" s="587">
        <v>44512</v>
      </c>
      <c r="BA349" s="587">
        <v>44512</v>
      </c>
      <c r="BB349" s="514" t="s">
        <v>3000</v>
      </c>
      <c r="BC349" s="265" t="s">
        <v>3036</v>
      </c>
      <c r="BD349" s="593"/>
      <c r="BE349" s="264" t="str">
        <f>IF(AND(COUNTIF(AY349,"&gt;&lt;0")=1,COUNTA(M349)=1),LEFT(D349,3),"")</f>
        <v>6-7</v>
      </c>
      <c r="BF349" s="264" t="str">
        <f>IF(AND(COUNTIF(AY349,"&gt;&lt;")=1,COUNTA(M349)=0),LEFT(D349,3),"")</f>
        <v/>
      </c>
      <c r="BG349" s="264" t="str">
        <f>IF(AND(COUNTIF(AY349,"&gt;&lt;0")=0,COUNTA(M349)=1),LEFT(D349,3),"")</f>
        <v/>
      </c>
      <c r="BH349" s="264" t="str">
        <f>IF(AND(COUNTIF(AY349,"&gt;&lt;0")=0,COUNTA(M349)=0),LEFT(D349,3),"")</f>
        <v/>
      </c>
    </row>
    <row r="350" spans="3:60" ht="13.5" x14ac:dyDescent="0.3">
      <c r="C350" s="265" t="s">
        <v>70</v>
      </c>
      <c r="D350" s="265" t="s">
        <v>2466</v>
      </c>
      <c r="E350" s="264" t="s">
        <v>512</v>
      </c>
      <c r="F350" s="265" t="s">
        <v>513</v>
      </c>
      <c r="G350" s="265"/>
      <c r="H350" s="264" t="s">
        <v>166</v>
      </c>
      <c r="I350" s="264" t="s">
        <v>287</v>
      </c>
      <c r="J350" s="212" t="s">
        <v>2853</v>
      </c>
      <c r="K350" s="212"/>
      <c r="L350" s="272">
        <v>44565</v>
      </c>
      <c r="M350" s="272">
        <v>44565</v>
      </c>
      <c r="N350" s="272">
        <v>44515</v>
      </c>
      <c r="O350" s="272">
        <v>44466</v>
      </c>
      <c r="P350" s="272">
        <f>IFERROR(IF(VLOOKUP(功能_33[[#This Row],[功能代號]],討論項目!A:H,8,FALSE)=0,"",VLOOKUP(功能_33[[#This Row],[功能代號]],討論項目!A:H,8,FALSE)),"")</f>
        <v>44475</v>
      </c>
      <c r="Q350" s="264" t="s">
        <v>6</v>
      </c>
      <c r="R350" s="264" t="s">
        <v>7</v>
      </c>
      <c r="S350" s="264" t="s">
        <v>7</v>
      </c>
      <c r="X350" s="264"/>
      <c r="Z350" s="264"/>
      <c r="AA350" s="264"/>
      <c r="AB350" s="265" t="str">
        <f>VLOOKUP(功能_33[[#This Row],[User]],SKL放款!A:G,7,FALSE)</f>
        <v>放款推展課</v>
      </c>
      <c r="AC350" s="272">
        <v>44533</v>
      </c>
      <c r="AD350" s="272">
        <v>44533</v>
      </c>
      <c r="AE350" s="272">
        <v>44533</v>
      </c>
      <c r="AF350" s="272">
        <v>44533</v>
      </c>
      <c r="AG350" s="209">
        <v>44550</v>
      </c>
      <c r="AH350" s="272"/>
      <c r="AI350" s="272"/>
      <c r="AJ350" s="322"/>
      <c r="AK350" s="272">
        <f>IFERROR(IF(VLOOKUP(功能_33[[#This Row],[功能代號]],E:U,11,FALSE)=0,"",VLOOKUP(功能_33[[#This Row],[功能代號]],E:U,11,FALSE)),"")</f>
        <v>44466</v>
      </c>
      <c r="AL350" s="272"/>
      <c r="AM350" s="272"/>
      <c r="AN350" s="265"/>
      <c r="AO350" s="272"/>
      <c r="AP350" s="264" t="s">
        <v>163</v>
      </c>
      <c r="AQ350" s="264" t="s">
        <v>163</v>
      </c>
      <c r="AR350" s="593" t="s">
        <v>3207</v>
      </c>
      <c r="AS350" s="483" t="str">
        <f>IF(COUNTA(AG350)=1,LEFT(D350,3),"")</f>
        <v>6-7</v>
      </c>
      <c r="AT350" s="485" t="str">
        <f>IF(AND(COUNTA(O350)=1,COUNTA(P350)=1,COUNTA(AC350)=1,COUNTA(AF350)=1,COUNTA(AG350)=0),LEFT(D350,3),"")</f>
        <v/>
      </c>
      <c r="AU350" s="487" t="str">
        <f>IF(AND(COUNTA(O350)=1,COUNTA(P350)=1,COUNTA(AC350)=1,COUNTA(AF350)=0,COUNTA(AG350)=0),LEFT(D350,3),"")</f>
        <v/>
      </c>
      <c r="AV350" s="489" t="str">
        <f>IF(AND(COUNTA(P350)=0,COUNTA(AC350)=1),LEFT(D350,3),"")</f>
        <v/>
      </c>
      <c r="AW350" s="491" t="str">
        <f>IF(AND(COUNTA(P350)=1,COUNTA(AC350)=0),LEFT(D350,3),"")</f>
        <v/>
      </c>
      <c r="AX350" s="493" t="str">
        <f>IF(AND(COUNTA(P350)=0,COUNTA(AC350)=0),LEFT(D350,3),"")</f>
        <v/>
      </c>
      <c r="AY350" s="514" t="str">
        <f>IFERROR(VLOOKUP(功能_33[[#This Row],[功能代號]],SIT_FT_2021tmp!D:D,1,FALSE),"")</f>
        <v>L6086</v>
      </c>
      <c r="AZ350" s="587">
        <v>44512</v>
      </c>
      <c r="BA350" s="587">
        <v>44512</v>
      </c>
      <c r="BB350" s="514" t="s">
        <v>3000</v>
      </c>
      <c r="BC350" s="265" t="s">
        <v>3036</v>
      </c>
      <c r="BD350" s="593"/>
      <c r="BE350" s="264" t="str">
        <f>IF(AND(COUNTIF(AY350,"&gt;&lt;0")=1,COUNTA(M350)=1),LEFT(D350,3),"")</f>
        <v>6-7</v>
      </c>
      <c r="BF350" s="264" t="str">
        <f>IF(AND(COUNTIF(AY350,"&gt;&lt;")=1,COUNTA(M350)=0),LEFT(D350,3),"")</f>
        <v/>
      </c>
      <c r="BG350" s="264" t="str">
        <f>IF(AND(COUNTIF(AY350,"&gt;&lt;0")=0,COUNTA(M350)=1),LEFT(D350,3),"")</f>
        <v/>
      </c>
      <c r="BH350" s="264" t="str">
        <f>IF(AND(COUNTIF(AY350,"&gt;&lt;0")=0,COUNTA(M350)=0),LEFT(D350,3),"")</f>
        <v/>
      </c>
    </row>
    <row r="351" spans="3:60" ht="13.5" x14ac:dyDescent="0.3">
      <c r="C351" s="265" t="s">
        <v>70</v>
      </c>
      <c r="D351" s="265" t="s">
        <v>2466</v>
      </c>
      <c r="E351" s="264" t="s">
        <v>579</v>
      </c>
      <c r="F351" s="265" t="s">
        <v>578</v>
      </c>
      <c r="G351" s="265"/>
      <c r="H351" s="264" t="s">
        <v>166</v>
      </c>
      <c r="I351" s="264" t="s">
        <v>287</v>
      </c>
      <c r="J351" s="212" t="s">
        <v>2853</v>
      </c>
      <c r="K351" s="212"/>
      <c r="L351" s="272">
        <v>44566</v>
      </c>
      <c r="M351" s="272">
        <v>44566</v>
      </c>
      <c r="N351" s="272">
        <v>44516</v>
      </c>
      <c r="O351" s="272">
        <v>44467</v>
      </c>
      <c r="P351" s="272">
        <v>44467</v>
      </c>
      <c r="Q351" s="264" t="s">
        <v>6</v>
      </c>
      <c r="R351" s="264" t="s">
        <v>145</v>
      </c>
      <c r="S351" s="264" t="s">
        <v>145</v>
      </c>
      <c r="X351" s="264"/>
      <c r="Z351" s="264"/>
      <c r="AA351" s="264"/>
      <c r="AB351" s="265" t="str">
        <f>VLOOKUP(功能_33[[#This Row],[User]],SKL放款!A:G,7,FALSE)</f>
        <v>放款服務課</v>
      </c>
      <c r="AC351" s="272">
        <v>44533</v>
      </c>
      <c r="AD351" s="272" t="s">
        <v>168</v>
      </c>
      <c r="AE351" s="272">
        <v>44529</v>
      </c>
      <c r="AF351" s="272">
        <v>44529</v>
      </c>
      <c r="AG351" s="209">
        <v>44550</v>
      </c>
      <c r="AH351" s="272"/>
      <c r="AI351" s="272"/>
      <c r="AJ351" s="322"/>
      <c r="AK351" s="272">
        <f>IFERROR(IF(VLOOKUP(功能_33[[#This Row],[功能代號]],E:U,11,FALSE)=0,"",VLOOKUP(功能_33[[#This Row],[功能代號]],E:U,11,FALSE)),"")</f>
        <v>44467</v>
      </c>
      <c r="AL351" s="272"/>
      <c r="AM351" s="272"/>
      <c r="AN351" s="265"/>
      <c r="AO351" s="272"/>
      <c r="AP351" s="276" t="s">
        <v>577</v>
      </c>
      <c r="AQ351" s="277" t="s">
        <v>578</v>
      </c>
      <c r="AR351" s="593" t="s">
        <v>3207</v>
      </c>
      <c r="AS351" s="483" t="str">
        <f>IF(COUNTA(AG351)=1,LEFT(D351,3),"")</f>
        <v>6-7</v>
      </c>
      <c r="AT351" s="485" t="str">
        <f>IF(AND(COUNTA(O351)=1,COUNTA(P351)=1,COUNTA(AC351)=1,COUNTA(AF351)=1,COUNTA(AG351)=0),LEFT(D351,3),"")</f>
        <v/>
      </c>
      <c r="AU351" s="487" t="str">
        <f>IF(AND(COUNTA(O351)=1,COUNTA(P351)=1,COUNTA(AC351)=1,COUNTA(AF351)=0,COUNTA(AG351)=0),LEFT(D351,3),"")</f>
        <v/>
      </c>
      <c r="AV351" s="489" t="str">
        <f>IF(AND(COUNTA(P351)=0,COUNTA(AC351)=1),LEFT(D351,3),"")</f>
        <v/>
      </c>
      <c r="AW351" s="491" t="str">
        <f>IF(AND(COUNTA(P351)=1,COUNTA(AC351)=0),LEFT(D351,3),"")</f>
        <v/>
      </c>
      <c r="AX351" s="493" t="str">
        <f>IF(AND(COUNTA(P351)=0,COUNTA(AC351)=0),LEFT(D351,3),"")</f>
        <v/>
      </c>
      <c r="AY351" s="514" t="str">
        <f>IFERROR(VLOOKUP(功能_33[[#This Row],[功能代號]],SIT_FT_2021tmp!D:D,1,FALSE),"")</f>
        <v>L6701</v>
      </c>
      <c r="AZ351" s="587">
        <v>44512</v>
      </c>
      <c r="BA351" s="587">
        <v>44512</v>
      </c>
      <c r="BB351" s="514" t="s">
        <v>3000</v>
      </c>
      <c r="BC351" s="265" t="s">
        <v>3060</v>
      </c>
      <c r="BD351" s="593"/>
      <c r="BE351" s="264" t="str">
        <f>IF(AND(COUNTIF(AY351,"&gt;&lt;0")=1,COUNTA(M351)=1),LEFT(D351,3),"")</f>
        <v>6-7</v>
      </c>
      <c r="BF351" s="264" t="str">
        <f>IF(AND(COUNTIF(AY351,"&gt;&lt;")=1,COUNTA(M351)=0),LEFT(D351,3),"")</f>
        <v/>
      </c>
      <c r="BG351" s="264" t="str">
        <f>IF(AND(COUNTIF(AY351,"&gt;&lt;0")=0,COUNTA(M351)=1),LEFT(D351,3),"")</f>
        <v/>
      </c>
      <c r="BH351" s="264" t="str">
        <f>IF(AND(COUNTIF(AY351,"&gt;&lt;0")=0,COUNTA(M351)=0),LEFT(D351,3),"")</f>
        <v/>
      </c>
    </row>
    <row r="352" spans="3:60" ht="13.5" x14ac:dyDescent="0.3">
      <c r="C352" s="265" t="s">
        <v>69</v>
      </c>
      <c r="D352" s="265" t="s">
        <v>2468</v>
      </c>
      <c r="E352" s="264" t="s">
        <v>964</v>
      </c>
      <c r="F352" s="265" t="s">
        <v>2759</v>
      </c>
      <c r="G352" s="265"/>
      <c r="H352" s="264" t="s">
        <v>166</v>
      </c>
      <c r="I352" s="264" t="s">
        <v>3278</v>
      </c>
      <c r="J352" s="271" t="s">
        <v>2753</v>
      </c>
      <c r="K352" s="271"/>
      <c r="L352" s="272">
        <v>44575</v>
      </c>
      <c r="M352" s="272">
        <v>44572</v>
      </c>
      <c r="N352" s="272">
        <v>44505</v>
      </c>
      <c r="O352" s="272">
        <v>44504</v>
      </c>
      <c r="P352" s="272">
        <v>44533</v>
      </c>
      <c r="Q352" s="264" t="s">
        <v>4</v>
      </c>
      <c r="R352" s="264" t="s">
        <v>16</v>
      </c>
      <c r="S352" s="264" t="s">
        <v>16</v>
      </c>
      <c r="T352" s="265" t="s">
        <v>12</v>
      </c>
      <c r="X352" s="264"/>
      <c r="Z352" s="264"/>
      <c r="AA352" s="264"/>
      <c r="AB352" s="265" t="str">
        <f>VLOOKUP(功能_33[[#This Row],[User]],SKL放款!A:G,7,FALSE)</f>
        <v>放款管理課</v>
      </c>
      <c r="AC352" s="272">
        <v>44533</v>
      </c>
      <c r="AD352" s="272" t="s">
        <v>107</v>
      </c>
      <c r="AE352" s="272">
        <v>44525</v>
      </c>
      <c r="AF352" s="272">
        <v>44525</v>
      </c>
      <c r="AG352" s="209">
        <v>44544</v>
      </c>
      <c r="AH352" s="272"/>
      <c r="AI352" s="272"/>
      <c r="AJ352" s="322"/>
      <c r="AK352" s="272">
        <f>IFERROR(IF(VLOOKUP(功能_33[[#This Row],[功能代號]],E:U,11,FALSE)=0,"",VLOOKUP(功能_33[[#This Row],[功能代號]],E:U,11,FALSE)),"")</f>
        <v>44504</v>
      </c>
      <c r="AL352" s="272"/>
      <c r="AM352" s="272"/>
      <c r="AN352" s="265"/>
      <c r="AO352" s="272"/>
      <c r="AP352" s="276" t="s">
        <v>2766</v>
      </c>
      <c r="AQ352" s="265" t="s">
        <v>2767</v>
      </c>
      <c r="AR352" s="593" t="s">
        <v>3207</v>
      </c>
      <c r="AS352" s="483" t="str">
        <f>IF(COUNTA(AG352)=1,LEFT(D352,3),"")</f>
        <v>5-1</v>
      </c>
      <c r="AT352" s="485" t="str">
        <f>IF(AND(COUNTA(O352)=1,COUNTA(P352)=1,COUNTA(AC352)=1,COUNTA(AF352)=1,COUNTA(AG352)=0),LEFT(D352,3),"")</f>
        <v/>
      </c>
      <c r="AU352" s="487" t="str">
        <f>IF(AND(COUNTA(O352)=1,COUNTA(P352)=1,COUNTA(AC352)=1,COUNTA(AF352)=0,COUNTA(AG352)=0),LEFT(D352,3),"")</f>
        <v/>
      </c>
      <c r="AV352" s="489" t="str">
        <f>IF(AND(COUNTA(P352)=0,COUNTA(AC352)=1),LEFT(D352,3),"")</f>
        <v/>
      </c>
      <c r="AW352" s="491" t="str">
        <f>IF(AND(COUNTA(P352)=1,COUNTA(AC352)=0),LEFT(D352,3),"")</f>
        <v/>
      </c>
      <c r="AX352" s="493" t="str">
        <f>IF(AND(COUNTA(P352)=0,COUNTA(AC352)=0),LEFT(D352,3),"")</f>
        <v/>
      </c>
      <c r="AY352" s="514" t="str">
        <f>IFERROR(VLOOKUP(功能_33[[#This Row],[功能代號]],SIT_FT_2021tmp!D:D,1,FALSE),"")</f>
        <v/>
      </c>
      <c r="AZ352" s="587">
        <v>44603</v>
      </c>
      <c r="BB352" s="514" t="s">
        <v>2453</v>
      </c>
      <c r="BC352" s="265" t="s">
        <v>2453</v>
      </c>
      <c r="BD352" s="593"/>
      <c r="BE352" s="265" t="str">
        <f>IF(AND(COUNTIF(AY352,"&gt;&lt;0")=1,COUNTA(M352)=1),LEFT(D352,3),"")</f>
        <v/>
      </c>
      <c r="BF352" s="265" t="str">
        <f>IF(AND(COUNTIF(AY352,"&gt;&lt;")=1,COUNTA(M352)=0),LEFT(D352,3),"")</f>
        <v/>
      </c>
      <c r="BG352" s="265" t="str">
        <f>IF(AND(COUNTIF(AY352,"&gt;&lt;0")=0,COUNTA(M352)=1),LEFT(D352,3),"")</f>
        <v>5-1</v>
      </c>
      <c r="BH352" s="265" t="str">
        <f>IF(AND(COUNTIF(AY352,"&gt;&lt;0")=0,COUNTA(M352)=0),LEFT(D352,3),"")</f>
        <v/>
      </c>
    </row>
    <row r="353" spans="3:60" ht="13.5" x14ac:dyDescent="0.3">
      <c r="C353" s="265" t="s">
        <v>69</v>
      </c>
      <c r="D353" s="265" t="s">
        <v>2468</v>
      </c>
      <c r="E353" s="264" t="s">
        <v>965</v>
      </c>
      <c r="F353" s="265" t="s">
        <v>966</v>
      </c>
      <c r="G353" s="265"/>
      <c r="H353" s="264" t="s">
        <v>166</v>
      </c>
      <c r="I353" s="264" t="s">
        <v>3278</v>
      </c>
      <c r="J353" s="271" t="s">
        <v>2753</v>
      </c>
      <c r="K353" s="271"/>
      <c r="L353" s="272">
        <v>44582</v>
      </c>
      <c r="M353" s="272">
        <v>44574</v>
      </c>
      <c r="N353" s="272">
        <v>44505</v>
      </c>
      <c r="O353" s="272">
        <v>44504</v>
      </c>
      <c r="P353" s="272">
        <v>44533</v>
      </c>
      <c r="Q353" s="264" t="s">
        <v>4</v>
      </c>
      <c r="R353" s="264" t="s">
        <v>16</v>
      </c>
      <c r="S353" s="264" t="s">
        <v>16</v>
      </c>
      <c r="T353" s="265" t="s">
        <v>12</v>
      </c>
      <c r="X353" s="264"/>
      <c r="Z353" s="264"/>
      <c r="AA353" s="264"/>
      <c r="AB353" s="265" t="str">
        <f>VLOOKUP(功能_33[[#This Row],[User]],SKL放款!A:G,7,FALSE)</f>
        <v>放款管理課</v>
      </c>
      <c r="AC353" s="272">
        <v>44533</v>
      </c>
      <c r="AD353" s="272" t="s">
        <v>107</v>
      </c>
      <c r="AE353" s="272">
        <v>44525</v>
      </c>
      <c r="AF353" s="272">
        <v>44525</v>
      </c>
      <c r="AG353" s="209">
        <v>44544</v>
      </c>
      <c r="AH353" s="272"/>
      <c r="AI353" s="272"/>
      <c r="AJ353" s="322"/>
      <c r="AK353" s="272">
        <f>IFERROR(IF(VLOOKUP(功能_33[[#This Row],[功能代號]],E:U,11,FALSE)=0,"",VLOOKUP(功能_33[[#This Row],[功能代號]],E:U,11,FALSE)),"")</f>
        <v>44504</v>
      </c>
      <c r="AL353" s="272"/>
      <c r="AM353" s="272"/>
      <c r="AN353" s="265"/>
      <c r="AO353" s="272"/>
      <c r="AP353" s="276" t="s">
        <v>2766</v>
      </c>
      <c r="AQ353" s="265" t="s">
        <v>2767</v>
      </c>
      <c r="AR353" s="593" t="s">
        <v>3207</v>
      </c>
      <c r="AS353" s="483" t="str">
        <f>IF(COUNTA(AG353)=1,LEFT(D353,3),"")</f>
        <v>5-1</v>
      </c>
      <c r="AT353" s="485" t="str">
        <f>IF(AND(COUNTA(O353)=1,COUNTA(P353)=1,COUNTA(AC353)=1,COUNTA(AF353)=1,COUNTA(AG353)=0),LEFT(D353,3),"")</f>
        <v/>
      </c>
      <c r="AU353" s="487" t="str">
        <f>IF(AND(COUNTA(O353)=1,COUNTA(P353)=1,COUNTA(AC353)=1,COUNTA(AF353)=0,COUNTA(AG353)=0),LEFT(D353,3),"")</f>
        <v/>
      </c>
      <c r="AV353" s="489" t="str">
        <f>IF(AND(COUNTA(P353)=0,COUNTA(AC353)=1),LEFT(D353,3),"")</f>
        <v/>
      </c>
      <c r="AW353" s="491" t="str">
        <f>IF(AND(COUNTA(P353)=1,COUNTA(AC353)=0),LEFT(D353,3),"")</f>
        <v/>
      </c>
      <c r="AX353" s="493" t="str">
        <f>IF(AND(COUNTA(P353)=0,COUNTA(AC353)=0),LEFT(D353,3),"")</f>
        <v/>
      </c>
      <c r="AY353" s="514" t="str">
        <f>IFERROR(VLOOKUP(功能_33[[#This Row],[功能代號]],SIT_FT_2021tmp!D:D,1,FALSE),"")</f>
        <v/>
      </c>
      <c r="AZ353" s="587">
        <v>44603</v>
      </c>
      <c r="BB353" s="514" t="s">
        <v>2453</v>
      </c>
      <c r="BC353" s="265" t="s">
        <v>2453</v>
      </c>
      <c r="BD353" s="593"/>
      <c r="BE353" s="265" t="str">
        <f>IF(AND(COUNTIF(AY353,"&gt;&lt;0")=1,COUNTA(M353)=1),LEFT(D353,3),"")</f>
        <v/>
      </c>
      <c r="BF353" s="265" t="str">
        <f>IF(AND(COUNTIF(AY353,"&gt;&lt;")=1,COUNTA(M353)=0),LEFT(D353,3),"")</f>
        <v/>
      </c>
      <c r="BG353" s="265" t="str">
        <f>IF(AND(COUNTIF(AY353,"&gt;&lt;0")=0,COUNTA(M353)=1),LEFT(D353,3),"")</f>
        <v>5-1</v>
      </c>
      <c r="BH353" s="265" t="str">
        <f>IF(AND(COUNTIF(AY353,"&gt;&lt;0")=0,COUNTA(M353)=0),LEFT(D353,3),"")</f>
        <v/>
      </c>
    </row>
    <row r="354" spans="3:60" ht="13.5" x14ac:dyDescent="0.3">
      <c r="C354" s="265" t="s">
        <v>69</v>
      </c>
      <c r="D354" s="265" t="s">
        <v>2468</v>
      </c>
      <c r="E354" s="264" t="s">
        <v>967</v>
      </c>
      <c r="F354" s="265" t="s">
        <v>968</v>
      </c>
      <c r="G354" s="265"/>
      <c r="H354" s="264" t="s">
        <v>166</v>
      </c>
      <c r="I354" s="264" t="s">
        <v>3278</v>
      </c>
      <c r="J354" s="271" t="s">
        <v>2753</v>
      </c>
      <c r="K354" s="271"/>
      <c r="L354" s="272">
        <v>44582</v>
      </c>
      <c r="M354" s="272">
        <v>44574</v>
      </c>
      <c r="N354" s="272">
        <v>44505</v>
      </c>
      <c r="O354" s="272">
        <v>44504</v>
      </c>
      <c r="P354" s="272">
        <v>44536</v>
      </c>
      <c r="Q354" s="264" t="s">
        <v>1</v>
      </c>
      <c r="R354" s="264" t="s">
        <v>16</v>
      </c>
      <c r="S354" s="264" t="s">
        <v>16</v>
      </c>
      <c r="T354" s="265" t="s">
        <v>12</v>
      </c>
      <c r="X354" s="264"/>
      <c r="Z354" s="264"/>
      <c r="AA354" s="264"/>
      <c r="AB354" s="265" t="str">
        <f>VLOOKUP(功能_33[[#This Row],[User]],SKL放款!A:G,7,FALSE)</f>
        <v>放款管理課</v>
      </c>
      <c r="AC354" s="272">
        <v>44533</v>
      </c>
      <c r="AD354" s="272" t="s">
        <v>168</v>
      </c>
      <c r="AE354" s="272">
        <v>44525</v>
      </c>
      <c r="AF354" s="272">
        <v>44525</v>
      </c>
      <c r="AG354" s="209">
        <v>44544</v>
      </c>
      <c r="AH354" s="272"/>
      <c r="AI354" s="272"/>
      <c r="AJ354" s="322"/>
      <c r="AK354" s="272">
        <f>IFERROR(IF(VLOOKUP(功能_33[[#This Row],[功能代號]],E:U,11,FALSE)=0,"",VLOOKUP(功能_33[[#This Row],[功能代號]],E:U,11,FALSE)),"")</f>
        <v>44504</v>
      </c>
      <c r="AL354" s="272"/>
      <c r="AM354" s="272"/>
      <c r="AN354" s="265"/>
      <c r="AO354" s="272"/>
      <c r="AP354" s="276" t="s">
        <v>2766</v>
      </c>
      <c r="AQ354" s="265" t="s">
        <v>2767</v>
      </c>
      <c r="AR354" s="593" t="s">
        <v>3207</v>
      </c>
      <c r="AS354" s="483" t="str">
        <f>IF(COUNTA(AG354)=1,LEFT(D354,3),"")</f>
        <v>5-1</v>
      </c>
      <c r="AT354" s="485" t="str">
        <f>IF(AND(COUNTA(O354)=1,COUNTA(P354)=1,COUNTA(AC354)=1,COUNTA(AF354)=1,COUNTA(AG354)=0),LEFT(D354,3),"")</f>
        <v/>
      </c>
      <c r="AU354" s="487" t="str">
        <f>IF(AND(COUNTA(O354)=1,COUNTA(P354)=1,COUNTA(AC354)=1,COUNTA(AF354)=0,COUNTA(AG354)=0),LEFT(D354,3),"")</f>
        <v/>
      </c>
      <c r="AV354" s="489" t="str">
        <f>IF(AND(COUNTA(P354)=0,COUNTA(AC354)=1),LEFT(D354,3),"")</f>
        <v/>
      </c>
      <c r="AW354" s="491" t="str">
        <f>IF(AND(COUNTA(P354)=1,COUNTA(AC354)=0),LEFT(D354,3),"")</f>
        <v/>
      </c>
      <c r="AX354" s="493" t="str">
        <f>IF(AND(COUNTA(P354)=0,COUNTA(AC354)=0),LEFT(D354,3),"")</f>
        <v/>
      </c>
      <c r="AY354" s="514" t="str">
        <f>IFERROR(VLOOKUP(功能_33[[#This Row],[功能代號]],SIT_FT_2021tmp!D:D,1,FALSE),"")</f>
        <v/>
      </c>
      <c r="AZ354" s="587">
        <v>44603</v>
      </c>
      <c r="BB354" s="514" t="s">
        <v>2453</v>
      </c>
      <c r="BC354" s="265" t="s">
        <v>2453</v>
      </c>
      <c r="BD354" s="593"/>
      <c r="BE354" s="265" t="str">
        <f>IF(AND(COUNTIF(AY354,"&gt;&lt;0")=1,COUNTA(M354)=1),LEFT(D354,3),"")</f>
        <v/>
      </c>
      <c r="BF354" s="265" t="str">
        <f>IF(AND(COUNTIF(AY354,"&gt;&lt;")=1,COUNTA(M354)=0),LEFT(D354,3),"")</f>
        <v/>
      </c>
      <c r="BG354" s="265" t="str">
        <f>IF(AND(COUNTIF(AY354,"&gt;&lt;0")=0,COUNTA(M354)=1),LEFT(D354,3),"")</f>
        <v>5-1</v>
      </c>
      <c r="BH354" s="265" t="str">
        <f>IF(AND(COUNTIF(AY354,"&gt;&lt;0")=0,COUNTA(M354)=0),LEFT(D354,3),"")</f>
        <v/>
      </c>
    </row>
    <row r="355" spans="3:60" ht="13.5" x14ac:dyDescent="0.3">
      <c r="C355" s="265" t="s">
        <v>69</v>
      </c>
      <c r="D355" s="265" t="s">
        <v>2468</v>
      </c>
      <c r="E355" s="264" t="s">
        <v>969</v>
      </c>
      <c r="F355" s="265" t="s">
        <v>970</v>
      </c>
      <c r="G355" s="265"/>
      <c r="H355" s="264" t="s">
        <v>166</v>
      </c>
      <c r="I355" s="264" t="s">
        <v>3278</v>
      </c>
      <c r="J355" s="271" t="s">
        <v>2753</v>
      </c>
      <c r="K355" s="271"/>
      <c r="L355" s="272">
        <v>44575</v>
      </c>
      <c r="M355" s="272">
        <v>44572</v>
      </c>
      <c r="N355" s="272">
        <v>44524</v>
      </c>
      <c r="O355" s="272">
        <v>44524</v>
      </c>
      <c r="P355" s="272">
        <v>44536</v>
      </c>
      <c r="Q355" s="264" t="s">
        <v>1</v>
      </c>
      <c r="R355" s="264" t="s">
        <v>15</v>
      </c>
      <c r="S355" s="264" t="s">
        <v>15</v>
      </c>
      <c r="X355" s="264"/>
      <c r="Z355" s="264"/>
      <c r="AA355" s="264"/>
      <c r="AB355" s="265" t="str">
        <f>VLOOKUP(功能_33[[#This Row],[User]],SKL放款!A:G,7,FALSE)</f>
        <v>放款服務課</v>
      </c>
      <c r="AC355" s="272">
        <v>44533</v>
      </c>
      <c r="AD355" s="272" t="s">
        <v>168</v>
      </c>
      <c r="AE355" s="272">
        <v>44531</v>
      </c>
      <c r="AF355" s="272">
        <v>44531</v>
      </c>
      <c r="AG355" s="209">
        <v>44544</v>
      </c>
      <c r="AH355" s="272"/>
      <c r="AI355" s="272"/>
      <c r="AJ355" s="322"/>
      <c r="AK355" s="272">
        <f>IFERROR(IF(VLOOKUP(功能_33[[#This Row],[功能代號]],E:U,11,FALSE)=0,"",VLOOKUP(功能_33[[#This Row],[功能代號]],E:U,11,FALSE)),"")</f>
        <v>44524</v>
      </c>
      <c r="AL355" s="272"/>
      <c r="AM355" s="272"/>
      <c r="AN355" s="265"/>
      <c r="AO355" s="272"/>
      <c r="AP355" s="276" t="s">
        <v>2768</v>
      </c>
      <c r="AQ355" s="265" t="s">
        <v>2769</v>
      </c>
      <c r="AR355" s="593" t="s">
        <v>3207</v>
      </c>
      <c r="AS355" s="483" t="str">
        <f>IF(COUNTA(AG355)=1,LEFT(D355,3),"")</f>
        <v>5-1</v>
      </c>
      <c r="AT355" s="485" t="str">
        <f>IF(AND(COUNTA(O355)=1,COUNTA(P355)=1,COUNTA(AC355)=1,COUNTA(AF355)=1,COUNTA(AG355)=0),LEFT(D355,3),"")</f>
        <v/>
      </c>
      <c r="AU355" s="487" t="str">
        <f>IF(AND(COUNTA(O355)=1,COUNTA(P355)=1,COUNTA(AC355)=1,COUNTA(AF355)=0,COUNTA(AG355)=0),LEFT(D355,3),"")</f>
        <v/>
      </c>
      <c r="AV355" s="489" t="str">
        <f>IF(AND(COUNTA(P355)=0,COUNTA(AC355)=1),LEFT(D355,3),"")</f>
        <v/>
      </c>
      <c r="AW355" s="491" t="str">
        <f>IF(AND(COUNTA(P355)=1,COUNTA(AC355)=0),LEFT(D355,3),"")</f>
        <v/>
      </c>
      <c r="AX355" s="493" t="str">
        <f>IF(AND(COUNTA(P355)=0,COUNTA(AC355)=0),LEFT(D355,3),"")</f>
        <v/>
      </c>
      <c r="AY355" s="514" t="str">
        <f>IFERROR(VLOOKUP(功能_33[[#This Row],[功能代號]],SIT_FT_2021tmp!D:D,1,FALSE),"")</f>
        <v>L5906</v>
      </c>
      <c r="AZ355" s="587">
        <v>44516</v>
      </c>
      <c r="BA355" s="587">
        <v>44516</v>
      </c>
      <c r="BB355" s="514" t="s">
        <v>3073</v>
      </c>
      <c r="BC355" s="265" t="s">
        <v>3067</v>
      </c>
      <c r="BD355" s="593"/>
      <c r="BE355" s="264" t="str">
        <f>IF(AND(COUNTIF(AY355,"&gt;&lt;0")=1,COUNTA(M355)=1),LEFT(D355,3),"")</f>
        <v>5-1</v>
      </c>
      <c r="BF355" s="264" t="str">
        <f>IF(AND(COUNTIF(AY355,"&gt;&lt;")=1,COUNTA(M355)=0),LEFT(D355,3),"")</f>
        <v/>
      </c>
      <c r="BG355" s="264" t="str">
        <f>IF(AND(COUNTIF(AY355,"&gt;&lt;0")=0,COUNTA(M355)=1),LEFT(D355,3),"")</f>
        <v/>
      </c>
      <c r="BH355" s="264" t="str">
        <f>IF(AND(COUNTIF(AY355,"&gt;&lt;0")=0,COUNTA(M355)=0),LEFT(D355,3),"")</f>
        <v/>
      </c>
    </row>
    <row r="356" spans="3:60" ht="13.5" x14ac:dyDescent="0.3">
      <c r="C356" s="265" t="s">
        <v>69</v>
      </c>
      <c r="D356" s="265" t="s">
        <v>2468</v>
      </c>
      <c r="E356" s="264" t="s">
        <v>971</v>
      </c>
      <c r="F356" s="265" t="s">
        <v>972</v>
      </c>
      <c r="G356" s="265"/>
      <c r="H356" s="264" t="s">
        <v>166</v>
      </c>
      <c r="I356" s="264" t="s">
        <v>3278</v>
      </c>
      <c r="J356" s="271" t="s">
        <v>2753</v>
      </c>
      <c r="K356" s="271"/>
      <c r="L356" s="272">
        <v>44582</v>
      </c>
      <c r="M356" s="272">
        <v>44574</v>
      </c>
      <c r="N356" s="272">
        <v>44524</v>
      </c>
      <c r="O356" s="272">
        <v>44524</v>
      </c>
      <c r="P356" s="272">
        <v>44536</v>
      </c>
      <c r="Q356" s="264" t="s">
        <v>1</v>
      </c>
      <c r="R356" s="264" t="s">
        <v>15</v>
      </c>
      <c r="S356" s="264" t="s">
        <v>15</v>
      </c>
      <c r="X356" s="264"/>
      <c r="Z356" s="264"/>
      <c r="AA356" s="264"/>
      <c r="AB356" s="265" t="str">
        <f>VLOOKUP(功能_33[[#This Row],[User]],SKL放款!A:G,7,FALSE)</f>
        <v>放款服務課</v>
      </c>
      <c r="AC356" s="272">
        <v>44533</v>
      </c>
      <c r="AD356" s="272" t="s">
        <v>168</v>
      </c>
      <c r="AE356" s="272">
        <v>44531</v>
      </c>
      <c r="AF356" s="272">
        <v>44531</v>
      </c>
      <c r="AG356" s="209">
        <v>44544</v>
      </c>
      <c r="AH356" s="272"/>
      <c r="AI356" s="272"/>
      <c r="AJ356" s="322"/>
      <c r="AK356" s="272">
        <f>IFERROR(IF(VLOOKUP(功能_33[[#This Row],[功能代號]],E:U,11,FALSE)=0,"",VLOOKUP(功能_33[[#This Row],[功能代號]],E:U,11,FALSE)),"")</f>
        <v>44524</v>
      </c>
      <c r="AL356" s="272"/>
      <c r="AM356" s="272"/>
      <c r="AN356" s="265"/>
      <c r="AO356" s="272"/>
      <c r="AP356" s="276" t="s">
        <v>2768</v>
      </c>
      <c r="AQ356" s="265" t="s">
        <v>2769</v>
      </c>
      <c r="AR356" s="593" t="s">
        <v>3207</v>
      </c>
      <c r="AS356" s="483" t="str">
        <f>IF(COUNTA(AG356)=1,LEFT(D356,3),"")</f>
        <v>5-1</v>
      </c>
      <c r="AT356" s="485" t="str">
        <f>IF(AND(COUNTA(O356)=1,COUNTA(P356)=1,COUNTA(AC356)=1,COUNTA(AF356)=1,COUNTA(AG356)=0),LEFT(D356,3),"")</f>
        <v/>
      </c>
      <c r="AU356" s="487" t="str">
        <f>IF(AND(COUNTA(O356)=1,COUNTA(P356)=1,COUNTA(AC356)=1,COUNTA(AF356)=0,COUNTA(AG356)=0),LEFT(D356,3),"")</f>
        <v/>
      </c>
      <c r="AV356" s="489" t="str">
        <f>IF(AND(COUNTA(P356)=0,COUNTA(AC356)=1),LEFT(D356,3),"")</f>
        <v/>
      </c>
      <c r="AW356" s="491" t="str">
        <f>IF(AND(COUNTA(P356)=1,COUNTA(AC356)=0),LEFT(D356,3),"")</f>
        <v/>
      </c>
      <c r="AX356" s="493" t="str">
        <f>IF(AND(COUNTA(P356)=0,COUNTA(AC356)=0),LEFT(D356,3),"")</f>
        <v/>
      </c>
      <c r="AY356" s="514" t="str">
        <f>IFERROR(VLOOKUP(功能_33[[#This Row],[功能代號]],SIT_FT_2021tmp!D:D,1,FALSE),"")</f>
        <v>L5116</v>
      </c>
      <c r="AZ356" s="587">
        <v>44516</v>
      </c>
      <c r="BA356" s="587">
        <v>44516</v>
      </c>
      <c r="BB356" s="514" t="s">
        <v>3073</v>
      </c>
      <c r="BC356" s="265" t="s">
        <v>3067</v>
      </c>
      <c r="BD356" s="593"/>
      <c r="BE356" s="264" t="str">
        <f>IF(AND(COUNTIF(AY356,"&gt;&lt;0")=1,COUNTA(M356)=1),LEFT(D356,3),"")</f>
        <v>5-1</v>
      </c>
      <c r="BF356" s="264" t="str">
        <f>IF(AND(COUNTIF(AY356,"&gt;&lt;")=1,COUNTA(M356)=0),LEFT(D356,3),"")</f>
        <v/>
      </c>
      <c r="BG356" s="264" t="str">
        <f>IF(AND(COUNTIF(AY356,"&gt;&lt;0")=0,COUNTA(M356)=1),LEFT(D356,3),"")</f>
        <v/>
      </c>
      <c r="BH356" s="264" t="str">
        <f>IF(AND(COUNTIF(AY356,"&gt;&lt;0")=0,COUNTA(M356)=0),LEFT(D356,3),"")</f>
        <v/>
      </c>
    </row>
    <row r="357" spans="3:60" ht="13.5" x14ac:dyDescent="0.3">
      <c r="C357" s="265" t="s">
        <v>69</v>
      </c>
      <c r="D357" s="265" t="s">
        <v>2468</v>
      </c>
      <c r="E357" s="264" t="s">
        <v>974</v>
      </c>
      <c r="F357" s="257" t="s">
        <v>975</v>
      </c>
      <c r="G357" s="265" t="s">
        <v>976</v>
      </c>
      <c r="H357" s="264" t="s">
        <v>166</v>
      </c>
      <c r="I357" s="264" t="s">
        <v>3278</v>
      </c>
      <c r="J357" s="271" t="s">
        <v>2753</v>
      </c>
      <c r="K357" s="271"/>
      <c r="L357" s="272">
        <v>44575</v>
      </c>
      <c r="M357" s="272">
        <v>44572</v>
      </c>
      <c r="N357" s="272">
        <v>44505</v>
      </c>
      <c r="O357" s="272">
        <v>44504</v>
      </c>
      <c r="P357" s="272">
        <v>44536</v>
      </c>
      <c r="Q357" s="264" t="s">
        <v>4</v>
      </c>
      <c r="R357" s="264" t="s">
        <v>16</v>
      </c>
      <c r="S357" s="264" t="s">
        <v>16</v>
      </c>
      <c r="T357" s="265" t="s">
        <v>12</v>
      </c>
      <c r="X357" s="264"/>
      <c r="Z357" s="264"/>
      <c r="AA357" s="264"/>
      <c r="AB357" s="265" t="s">
        <v>977</v>
      </c>
      <c r="AC357" s="272">
        <v>44533</v>
      </c>
      <c r="AD357" s="272" t="s">
        <v>168</v>
      </c>
      <c r="AE357" s="272">
        <v>44525</v>
      </c>
      <c r="AF357" s="272">
        <v>44525</v>
      </c>
      <c r="AG357" s="209">
        <v>44544</v>
      </c>
      <c r="AH357" s="259"/>
      <c r="AI357" s="259"/>
      <c r="AJ357" s="259"/>
      <c r="AK357" s="259" t="s">
        <v>16</v>
      </c>
      <c r="AL357" s="259"/>
      <c r="AM357" s="259"/>
      <c r="AN357" s="265"/>
      <c r="AP357" s="264" t="s">
        <v>2603</v>
      </c>
      <c r="AQ357" s="264" t="s">
        <v>163</v>
      </c>
      <c r="AR357" s="593" t="s">
        <v>3207</v>
      </c>
      <c r="AS357" s="483" t="str">
        <f>IF(COUNTA(AG357)=1,LEFT(D357,3),"")</f>
        <v>5-1</v>
      </c>
      <c r="AT357" s="485" t="str">
        <f>IF(AND(COUNTA(O357)=1,COUNTA(P357)=1,COUNTA(AC357)=1,COUNTA(AF357)=1,COUNTA(AG357)=0),LEFT(D357,3),"")</f>
        <v/>
      </c>
      <c r="AU357" s="487" t="str">
        <f>IF(AND(COUNTA(O357)=1,COUNTA(P357)=1,COUNTA(AC357)=1,COUNTA(AF357)=0,COUNTA(AG357)=0),LEFT(D357,3),"")</f>
        <v/>
      </c>
      <c r="AV357" s="489" t="str">
        <f>IF(AND(COUNTA(P357)=0,COUNTA(AC357)=1),LEFT(D357,3),"")</f>
        <v/>
      </c>
      <c r="AW357" s="491" t="str">
        <f>IF(AND(COUNTA(P357)=1,COUNTA(AC357)=0),LEFT(D357,3),"")</f>
        <v/>
      </c>
      <c r="AX357" s="493" t="str">
        <f>IF(AND(COUNTA(P357)=0,COUNTA(AC357)=0),LEFT(D357,3),"")</f>
        <v/>
      </c>
      <c r="AY357" s="514" t="str">
        <f>IFERROR(VLOOKUP(功能_33[[#This Row],[功能代號]],SIT_FT_2021tmp!D:D,1,FALSE),"")</f>
        <v/>
      </c>
      <c r="AZ357" s="587">
        <v>44603</v>
      </c>
      <c r="BB357" s="514" t="s">
        <v>2453</v>
      </c>
      <c r="BC357" s="265" t="s">
        <v>2453</v>
      </c>
      <c r="BD357" s="593"/>
      <c r="BE357" s="265" t="str">
        <f>IF(AND(COUNTIF(AY357,"&gt;&lt;0")=1,COUNTA(M357)=1),LEFT(D357,3),"")</f>
        <v/>
      </c>
      <c r="BF357" s="265" t="str">
        <f>IF(AND(COUNTIF(AY357,"&gt;&lt;")=1,COUNTA(M357)=0),LEFT(D357,3),"")</f>
        <v/>
      </c>
      <c r="BG357" s="265" t="str">
        <f>IF(AND(COUNTIF(AY357,"&gt;&lt;0")=0,COUNTA(M357)=1),LEFT(D357,3),"")</f>
        <v>5-1</v>
      </c>
      <c r="BH357" s="265" t="str">
        <f>IF(AND(COUNTIF(AY357,"&gt;&lt;0")=0,COUNTA(M357)=0),LEFT(D357,3),"")</f>
        <v/>
      </c>
    </row>
    <row r="358" spans="3:60" ht="13.5" x14ac:dyDescent="0.3">
      <c r="C358" s="265" t="s">
        <v>69</v>
      </c>
      <c r="D358" s="265" t="s">
        <v>2468</v>
      </c>
      <c r="E358" s="264" t="s">
        <v>978</v>
      </c>
      <c r="F358" s="257" t="s">
        <v>979</v>
      </c>
      <c r="G358" s="265" t="s">
        <v>980</v>
      </c>
      <c r="H358" s="264" t="s">
        <v>166</v>
      </c>
      <c r="I358" s="264" t="s">
        <v>3278</v>
      </c>
      <c r="J358" s="271" t="s">
        <v>2753</v>
      </c>
      <c r="K358" s="271"/>
      <c r="L358" s="272">
        <v>44582</v>
      </c>
      <c r="M358" s="272">
        <v>44574</v>
      </c>
      <c r="N358" s="272">
        <v>44505</v>
      </c>
      <c r="O358" s="272">
        <v>44504</v>
      </c>
      <c r="P358" s="272">
        <v>44536</v>
      </c>
      <c r="Q358" s="264" t="s">
        <v>4</v>
      </c>
      <c r="R358" s="264" t="s">
        <v>16</v>
      </c>
      <c r="S358" s="264" t="s">
        <v>16</v>
      </c>
      <c r="T358" s="265" t="s">
        <v>12</v>
      </c>
      <c r="X358" s="264"/>
      <c r="Z358" s="264"/>
      <c r="AA358" s="264"/>
      <c r="AB358" s="265" t="s">
        <v>977</v>
      </c>
      <c r="AC358" s="272">
        <v>44533</v>
      </c>
      <c r="AD358" s="272" t="s">
        <v>168</v>
      </c>
      <c r="AE358" s="272">
        <v>44525</v>
      </c>
      <c r="AF358" s="272">
        <v>44525</v>
      </c>
      <c r="AG358" s="209">
        <v>44544</v>
      </c>
      <c r="AH358" s="259"/>
      <c r="AI358" s="259"/>
      <c r="AJ358" s="259"/>
      <c r="AK358" s="259" t="s">
        <v>16</v>
      </c>
      <c r="AL358" s="259"/>
      <c r="AM358" s="259"/>
      <c r="AN358" s="265"/>
      <c r="AP358" s="264" t="s">
        <v>2603</v>
      </c>
      <c r="AQ358" s="264" t="s">
        <v>163</v>
      </c>
      <c r="AR358" s="593" t="s">
        <v>3207</v>
      </c>
      <c r="AS358" s="483" t="str">
        <f>IF(COUNTA(AG358)=1,LEFT(D358,3),"")</f>
        <v>5-1</v>
      </c>
      <c r="AT358" s="485" t="str">
        <f>IF(AND(COUNTA(O358)=1,COUNTA(P358)=1,COUNTA(AC358)=1,COUNTA(AF358)=1,COUNTA(AG358)=0),LEFT(D358,3),"")</f>
        <v/>
      </c>
      <c r="AU358" s="487" t="str">
        <f>IF(AND(COUNTA(O358)=1,COUNTA(P358)=1,COUNTA(AC358)=1,COUNTA(AF358)=0,COUNTA(AG358)=0),LEFT(D358,3),"")</f>
        <v/>
      </c>
      <c r="AV358" s="489" t="str">
        <f>IF(AND(COUNTA(P358)=0,COUNTA(AC358)=1),LEFT(D358,3),"")</f>
        <v/>
      </c>
      <c r="AW358" s="491" t="str">
        <f>IF(AND(COUNTA(P358)=1,COUNTA(AC358)=0),LEFT(D358,3),"")</f>
        <v/>
      </c>
      <c r="AX358" s="493" t="str">
        <f>IF(AND(COUNTA(P358)=0,COUNTA(AC358)=0),LEFT(D358,3),"")</f>
        <v/>
      </c>
      <c r="AY358" s="514" t="str">
        <f>IFERROR(VLOOKUP(功能_33[[#This Row],[功能代號]],SIT_FT_2021tmp!D:D,1,FALSE),"")</f>
        <v/>
      </c>
      <c r="AZ358" s="587">
        <v>44603</v>
      </c>
      <c r="BB358" s="514" t="s">
        <v>2453</v>
      </c>
      <c r="BC358" s="265" t="s">
        <v>2453</v>
      </c>
      <c r="BD358" s="593"/>
      <c r="BE358" s="265" t="str">
        <f>IF(AND(COUNTIF(AY358,"&gt;&lt;0")=1,COUNTA(M358)=1),LEFT(D358,3),"")</f>
        <v/>
      </c>
      <c r="BF358" s="265" t="str">
        <f>IF(AND(COUNTIF(AY358,"&gt;&lt;")=1,COUNTA(M358)=0),LEFT(D358,3),"")</f>
        <v/>
      </c>
      <c r="BG358" s="265" t="str">
        <f>IF(AND(COUNTIF(AY358,"&gt;&lt;0")=0,COUNTA(M358)=1),LEFT(D358,3),"")</f>
        <v>5-1</v>
      </c>
      <c r="BH358" s="265" t="str">
        <f>IF(AND(COUNTIF(AY358,"&gt;&lt;0")=0,COUNTA(M358)=0),LEFT(D358,3),"")</f>
        <v/>
      </c>
    </row>
    <row r="359" spans="3:60" ht="13.5" x14ac:dyDescent="0.3">
      <c r="C359" s="265" t="s">
        <v>70</v>
      </c>
      <c r="D359" s="407" t="s">
        <v>2466</v>
      </c>
      <c r="E359" s="264" t="s">
        <v>1092</v>
      </c>
      <c r="F359" s="265" t="s">
        <v>1091</v>
      </c>
      <c r="G359" s="265"/>
      <c r="H359" s="264" t="s">
        <v>166</v>
      </c>
      <c r="I359" s="264" t="s">
        <v>287</v>
      </c>
      <c r="J359" s="212" t="s">
        <v>2946</v>
      </c>
      <c r="K359" s="251" t="s">
        <v>2982</v>
      </c>
      <c r="L359" s="272">
        <v>44566</v>
      </c>
      <c r="M359" s="272">
        <v>44566</v>
      </c>
      <c r="N359" s="272">
        <v>44529</v>
      </c>
      <c r="O359" s="272">
        <v>44529</v>
      </c>
      <c r="P359" s="272">
        <v>44537</v>
      </c>
      <c r="Q359" s="264" t="s">
        <v>6</v>
      </c>
      <c r="R359" s="264" t="s">
        <v>5</v>
      </c>
      <c r="S359" s="264" t="s">
        <v>5</v>
      </c>
      <c r="X359" s="264"/>
      <c r="Z359" s="264"/>
      <c r="AA359" s="264"/>
      <c r="AB359" s="265" t="str">
        <f>VLOOKUP(功能_33[[#This Row],[User]],SKL放款!A:G,7,FALSE)</f>
        <v>放款服務課</v>
      </c>
      <c r="AC359" s="272">
        <v>44533</v>
      </c>
      <c r="AD359" s="272" t="s">
        <v>2557</v>
      </c>
      <c r="AE359" s="272"/>
      <c r="AF359" s="272">
        <v>44529</v>
      </c>
      <c r="AG359" s="209" t="s">
        <v>2966</v>
      </c>
      <c r="AH359" s="272"/>
      <c r="AI359" s="272"/>
      <c r="AJ359" s="322"/>
      <c r="AK359" s="272">
        <f>IFERROR(IF(VLOOKUP(功能_33[[#This Row],[功能代號]],E:U,11,FALSE)=0,"",VLOOKUP(功能_33[[#This Row],[功能代號]],E:U,11,FALSE)),"")</f>
        <v>44529</v>
      </c>
      <c r="AL359" s="272"/>
      <c r="AM359" s="272"/>
      <c r="AN359" s="265"/>
      <c r="AO359" s="272"/>
      <c r="AP359" s="276" t="s">
        <v>1090</v>
      </c>
      <c r="AQ359" s="277" t="s">
        <v>1091</v>
      </c>
      <c r="AR359" s="593" t="s">
        <v>3207</v>
      </c>
      <c r="AS359" s="483" t="str">
        <f>IF(COUNTA(AG359)=1,LEFT(D359,3),"")</f>
        <v>6-7</v>
      </c>
      <c r="AT359" s="485" t="str">
        <f>IF(AND(COUNTA(O359)=1,COUNTA(P359)=1,COUNTA(AC359)=1,COUNTA(AF359)=1,COUNTA(AG359)=0),LEFT(D359,3),"")</f>
        <v/>
      </c>
      <c r="AU359" s="487" t="str">
        <f>IF(AND(COUNTA(O359)=1,COUNTA(P359)=1,COUNTA(AC359)=1,COUNTA(AF359)=0,COUNTA(AG359)=0),LEFT(D359,3),"")</f>
        <v/>
      </c>
      <c r="AV359" s="489" t="str">
        <f>IF(AND(COUNTA(P359)=0,COUNTA(AC359)=1),LEFT(D359,3),"")</f>
        <v/>
      </c>
      <c r="AW359" s="491" t="str">
        <f>IF(AND(COUNTA(P359)=1,COUNTA(AC359)=0),LEFT(D359,3),"")</f>
        <v/>
      </c>
      <c r="AX359" s="493" t="str">
        <f>IF(AND(COUNTA(P359)=0,COUNTA(AC359)=0),LEFT(D359,3),"")</f>
        <v/>
      </c>
      <c r="AY359" s="514" t="str">
        <f>IFERROR(VLOOKUP(功能_33[[#This Row],[功能代號]],SIT_FT_2021tmp!D:D,1,FALSE),"")</f>
        <v>L6702</v>
      </c>
      <c r="AZ359" s="587">
        <v>44512</v>
      </c>
      <c r="BA359" s="587">
        <v>44512</v>
      </c>
      <c r="BB359" s="514" t="s">
        <v>3073</v>
      </c>
      <c r="BC359" s="265" t="s">
        <v>3061</v>
      </c>
      <c r="BD359" s="593"/>
      <c r="BE359" s="264" t="str">
        <f>IF(AND(COUNTIF(AY359,"&gt;&lt;0")=1,COUNTA(M359)=1),LEFT(D359,3),"")</f>
        <v>6-7</v>
      </c>
      <c r="BF359" s="264" t="str">
        <f>IF(AND(COUNTIF(AY359,"&gt;&lt;")=1,COUNTA(M359)=0),LEFT(D359,3),"")</f>
        <v/>
      </c>
      <c r="BG359" s="264" t="str">
        <f>IF(AND(COUNTIF(AY359,"&gt;&lt;0")=0,COUNTA(M359)=1),LEFT(D359,3),"")</f>
        <v/>
      </c>
      <c r="BH359" s="264" t="str">
        <f>IF(AND(COUNTIF(AY359,"&gt;&lt;0")=0,COUNTA(M359)=0),LEFT(D359,3),"")</f>
        <v/>
      </c>
    </row>
    <row r="360" spans="3:60" ht="13.5" x14ac:dyDescent="0.3">
      <c r="C360" s="265" t="s">
        <v>70</v>
      </c>
      <c r="D360" s="265" t="s">
        <v>2466</v>
      </c>
      <c r="E360" s="264" t="s">
        <v>584</v>
      </c>
      <c r="F360" s="265" t="s">
        <v>585</v>
      </c>
      <c r="G360" s="265"/>
      <c r="H360" s="264" t="s">
        <v>166</v>
      </c>
      <c r="I360" s="264" t="s">
        <v>287</v>
      </c>
      <c r="J360" s="212" t="s">
        <v>2853</v>
      </c>
      <c r="K360" s="212"/>
      <c r="L360" s="272">
        <v>44566</v>
      </c>
      <c r="M360" s="272">
        <v>44566</v>
      </c>
      <c r="N360" s="272">
        <v>44516</v>
      </c>
      <c r="O360" s="272">
        <v>44467</v>
      </c>
      <c r="P360" s="272">
        <v>44472</v>
      </c>
      <c r="Q360" s="264" t="s">
        <v>6</v>
      </c>
      <c r="R360" s="264" t="s">
        <v>145</v>
      </c>
      <c r="S360" s="264" t="s">
        <v>145</v>
      </c>
      <c r="X360" s="264"/>
      <c r="Z360" s="264"/>
      <c r="AA360" s="264"/>
      <c r="AB360" s="265" t="str">
        <f>VLOOKUP(功能_33[[#This Row],[User]],SKL放款!A:G,7,FALSE)</f>
        <v>放款服務課</v>
      </c>
      <c r="AC360" s="272">
        <v>44472</v>
      </c>
      <c r="AD360" s="272" t="s">
        <v>107</v>
      </c>
      <c r="AE360" s="258">
        <v>44544</v>
      </c>
      <c r="AF360" s="258">
        <v>44544</v>
      </c>
      <c r="AG360" s="209">
        <v>44550</v>
      </c>
      <c r="AH360" s="272"/>
      <c r="AI360" s="272"/>
      <c r="AJ360" s="322"/>
      <c r="AK360" s="272">
        <f>IFERROR(IF(VLOOKUP(功能_33[[#This Row],[功能代號]],E:U,11,FALSE)=0,"",VLOOKUP(功能_33[[#This Row],[功能代號]],E:U,11,FALSE)),"")</f>
        <v>44467</v>
      </c>
      <c r="AL360" s="272"/>
      <c r="AM360" s="272"/>
      <c r="AN360" s="265"/>
      <c r="AO360" s="272"/>
      <c r="AP360" s="276" t="s">
        <v>582</v>
      </c>
      <c r="AQ360" s="277" t="s">
        <v>583</v>
      </c>
      <c r="AR360" s="593" t="s">
        <v>3207</v>
      </c>
      <c r="AS360" s="483" t="str">
        <f>IF(COUNTA(AG360)=1,LEFT(D360,3),"")</f>
        <v>6-7</v>
      </c>
      <c r="AT360" s="485" t="str">
        <f>IF(AND(COUNTA(O360)=1,COUNTA(P360)=1,COUNTA(AC360)=1,COUNTA(AF360)=1,COUNTA(AG360)=0),LEFT(D360,3),"")</f>
        <v/>
      </c>
      <c r="AU360" s="487" t="str">
        <f>IF(AND(COUNTA(O360)=1,COUNTA(P360)=1,COUNTA(AC360)=1,COUNTA(AF360)=0,COUNTA(AG360)=0),LEFT(D360,3),"")</f>
        <v/>
      </c>
      <c r="AV360" s="489" t="str">
        <f>IF(AND(COUNTA(P360)=0,COUNTA(AC360)=1),LEFT(D360,3),"")</f>
        <v/>
      </c>
      <c r="AW360" s="491" t="str">
        <f>IF(AND(COUNTA(P360)=1,COUNTA(AC360)=0),LEFT(D360,3),"")</f>
        <v/>
      </c>
      <c r="AX360" s="493" t="str">
        <f>IF(AND(COUNTA(P360)=0,COUNTA(AC360)=0),LEFT(D360,3),"")</f>
        <v/>
      </c>
      <c r="AY360" s="514" t="str">
        <f>IFERROR(VLOOKUP(功能_33[[#This Row],[功能代號]],SIT_FT_2021tmp!D:D,1,FALSE),"")</f>
        <v>L6703</v>
      </c>
      <c r="AZ360" s="587">
        <v>44512</v>
      </c>
      <c r="BA360" s="587">
        <v>44512</v>
      </c>
      <c r="BB360" s="514" t="s">
        <v>3000</v>
      </c>
      <c r="BC360" s="265" t="s">
        <v>3062</v>
      </c>
      <c r="BD360" s="593"/>
      <c r="BE360" s="264" t="str">
        <f>IF(AND(COUNTIF(AY360,"&gt;&lt;0")=1,COUNTA(M360)=1),LEFT(D360,3),"")</f>
        <v>6-7</v>
      </c>
      <c r="BF360" s="264" t="str">
        <f>IF(AND(COUNTIF(AY360,"&gt;&lt;")=1,COUNTA(M360)=0),LEFT(D360,3),"")</f>
        <v/>
      </c>
      <c r="BG360" s="264" t="str">
        <f>IF(AND(COUNTIF(AY360,"&gt;&lt;0")=0,COUNTA(M360)=1),LEFT(D360,3),"")</f>
        <v/>
      </c>
      <c r="BH360" s="264" t="str">
        <f>IF(AND(COUNTIF(AY360,"&gt;&lt;0")=0,COUNTA(M360)=0),LEFT(D360,3),"")</f>
        <v/>
      </c>
    </row>
    <row r="361" spans="3:60" ht="17" x14ac:dyDescent="0.3">
      <c r="C361" s="265" t="s">
        <v>69</v>
      </c>
      <c r="D361" s="407" t="s">
        <v>2476</v>
      </c>
      <c r="E361" s="264" t="s">
        <v>989</v>
      </c>
      <c r="F361" s="265" t="s">
        <v>990</v>
      </c>
      <c r="G361" s="265"/>
      <c r="H361" s="264" t="s">
        <v>110</v>
      </c>
      <c r="I361" s="264" t="s">
        <v>3278</v>
      </c>
      <c r="J361" s="271" t="s">
        <v>3195</v>
      </c>
      <c r="K361" s="271" t="s">
        <v>3196</v>
      </c>
      <c r="L361" s="272">
        <v>44582</v>
      </c>
      <c r="M361" s="272">
        <v>44574</v>
      </c>
      <c r="N361" s="272">
        <v>44396</v>
      </c>
      <c r="O361" s="272">
        <v>44396</v>
      </c>
      <c r="P361" s="272">
        <v>44540</v>
      </c>
      <c r="Q361" s="264" t="s">
        <v>6</v>
      </c>
      <c r="R361" s="264" t="s">
        <v>2938</v>
      </c>
      <c r="S361" s="264" t="s">
        <v>2938</v>
      </c>
      <c r="U361" s="264">
        <v>1</v>
      </c>
      <c r="V361" s="264" t="s">
        <v>988</v>
      </c>
      <c r="X361" s="264"/>
      <c r="Z361" s="264"/>
      <c r="AA361" s="264"/>
      <c r="AB361" s="265" t="str">
        <f>VLOOKUP(功能_33[[#This Row],[User]],SKL放款!A:G,7,FALSE)</f>
        <v>放款推展課</v>
      </c>
      <c r="AC361" s="272">
        <v>44540</v>
      </c>
      <c r="AD361" s="272" t="s">
        <v>107</v>
      </c>
      <c r="AE361" s="258">
        <v>44550</v>
      </c>
      <c r="AF361" s="272">
        <v>44550</v>
      </c>
      <c r="AG361" s="209">
        <v>44550</v>
      </c>
      <c r="AH361" s="272"/>
      <c r="AI361" s="272"/>
      <c r="AJ361" s="322"/>
      <c r="AK361" s="272">
        <f>IFERROR(IF(VLOOKUP(功能_33[[#This Row],[功能代號]],E:U,11,FALSE)=0,"",VLOOKUP(功能_33[[#This Row],[功能代號]],E:U,11,FALSE)),"")</f>
        <v>44396</v>
      </c>
      <c r="AL361" s="272"/>
      <c r="AM361" s="272"/>
      <c r="AN361" s="265"/>
      <c r="AO361" s="272">
        <v>44396</v>
      </c>
      <c r="AP361" s="557" t="s">
        <v>2791</v>
      </c>
      <c r="AQ361" s="542" t="s">
        <v>2792</v>
      </c>
      <c r="AR361" s="593" t="s">
        <v>3207</v>
      </c>
      <c r="AS361" s="483" t="str">
        <f>IF(COUNTA(AG361)=1,LEFT(D361,3),"")</f>
        <v>5-2</v>
      </c>
      <c r="AT361" s="485" t="str">
        <f>IF(AND(COUNTA(O361)=1,COUNTA(P361)=1,COUNTA(AC361)=1,COUNTA(AF361)=1,COUNTA(AG361)=0),LEFT(D361,3),"")</f>
        <v/>
      </c>
      <c r="AU361" s="487" t="str">
        <f>IF(AND(COUNTA(O361)=1,COUNTA(P361)=1,COUNTA(AC361)=1,COUNTA(AF361)=0,COUNTA(AG361)=0),LEFT(D361,3),"")</f>
        <v/>
      </c>
      <c r="AV361" s="489" t="str">
        <f>IF(AND(COUNTA(P361)=0,COUNTA(AC361)=1),LEFT(D361,3),"")</f>
        <v/>
      </c>
      <c r="AW361" s="491" t="str">
        <f>IF(AND(COUNTA(P361)=1,COUNTA(AC361)=0),LEFT(D361,3),"")</f>
        <v/>
      </c>
      <c r="AX361" s="493" t="str">
        <f>IF(AND(COUNTA(P361)=0,COUNTA(AC361)=0),LEFT(D361,3),"")</f>
        <v/>
      </c>
      <c r="AY361" s="514" t="str">
        <f>IFERROR(VLOOKUP(功能_33[[#This Row],[功能代號]],SIT_FT_2021tmp!D:D,1,FALSE),"")</f>
        <v>L5402</v>
      </c>
      <c r="AZ361" s="587">
        <v>44512</v>
      </c>
      <c r="BA361" s="587">
        <v>44512</v>
      </c>
      <c r="BB361" s="514" t="s">
        <v>3000</v>
      </c>
      <c r="BC361" s="265" t="s">
        <v>3068</v>
      </c>
      <c r="BD361" s="593"/>
      <c r="BE361" s="264" t="str">
        <f>IF(AND(COUNTIF(AY361,"&gt;&lt;0")=1,COUNTA(M361)=1),LEFT(D361,3),"")</f>
        <v>5-2</v>
      </c>
      <c r="BF361" s="264" t="str">
        <f>IF(AND(COUNTIF(AY361,"&gt;&lt;")=1,COUNTA(M361)=0),LEFT(D361,3),"")</f>
        <v/>
      </c>
      <c r="BG361" s="264" t="str">
        <f>IF(AND(COUNTIF(AY361,"&gt;&lt;0")=0,COUNTA(M361)=1),LEFT(D361,3),"")</f>
        <v/>
      </c>
      <c r="BH361" s="264" t="str">
        <f>IF(AND(COUNTIF(AY361,"&gt;&lt;0")=0,COUNTA(M361)=0),LEFT(D361,3),"")</f>
        <v/>
      </c>
    </row>
    <row r="362" spans="3:60" ht="17" x14ac:dyDescent="0.3">
      <c r="C362" s="265" t="s">
        <v>69</v>
      </c>
      <c r="D362" s="407" t="s">
        <v>2476</v>
      </c>
      <c r="E362" s="264" t="s">
        <v>991</v>
      </c>
      <c r="F362" s="265" t="s">
        <v>992</v>
      </c>
      <c r="G362" s="265"/>
      <c r="H362" s="264" t="s">
        <v>110</v>
      </c>
      <c r="I362" s="264" t="s">
        <v>3278</v>
      </c>
      <c r="J362" s="271" t="s">
        <v>2859</v>
      </c>
      <c r="K362" s="271"/>
      <c r="L362" s="272">
        <v>44575</v>
      </c>
      <c r="M362" s="272">
        <v>44573</v>
      </c>
      <c r="N362" s="272">
        <v>44396</v>
      </c>
      <c r="O362" s="272">
        <v>44396</v>
      </c>
      <c r="P362" s="272">
        <v>44533</v>
      </c>
      <c r="Q362" s="264" t="s">
        <v>6</v>
      </c>
      <c r="R362" s="264" t="s">
        <v>2938</v>
      </c>
      <c r="S362" s="264" t="s">
        <v>2938</v>
      </c>
      <c r="U362" s="264">
        <v>1</v>
      </c>
      <c r="V362" s="264" t="s">
        <v>983</v>
      </c>
      <c r="X362" s="264"/>
      <c r="Z362" s="264"/>
      <c r="AA362" s="264"/>
      <c r="AB362" s="265" t="str">
        <f>VLOOKUP(功能_33[[#This Row],[User]],SKL放款!A:G,7,FALSE)</f>
        <v>放款推展課</v>
      </c>
      <c r="AC362" s="272">
        <v>44533</v>
      </c>
      <c r="AD362" s="272" t="s">
        <v>107</v>
      </c>
      <c r="AE362" s="258">
        <v>44550</v>
      </c>
      <c r="AF362" s="272">
        <v>44550</v>
      </c>
      <c r="AG362" s="209">
        <v>44550</v>
      </c>
      <c r="AH362" s="272"/>
      <c r="AI362" s="272"/>
      <c r="AJ362" s="322"/>
      <c r="AK362" s="272">
        <f>IFERROR(IF(VLOOKUP(功能_33[[#This Row],[功能代號]],E:U,11,FALSE)=0,"",VLOOKUP(功能_33[[#This Row],[功能代號]],E:U,11,FALSE)),"")</f>
        <v>44396</v>
      </c>
      <c r="AL362" s="272"/>
      <c r="AM362" s="272"/>
      <c r="AN362" s="265"/>
      <c r="AO362" s="272">
        <v>44396</v>
      </c>
      <c r="AP362" s="557" t="s">
        <v>2791</v>
      </c>
      <c r="AQ362" s="543" t="s">
        <v>2792</v>
      </c>
      <c r="AR362" s="593" t="s">
        <v>3207</v>
      </c>
      <c r="AS362" s="483" t="str">
        <f>IF(COUNTA(AG362)=1,LEFT(D362,3),"")</f>
        <v>5-2</v>
      </c>
      <c r="AT362" s="485" t="str">
        <f>IF(AND(COUNTA(O362)=1,COUNTA(P362)=1,COUNTA(AC362)=1,COUNTA(AF362)=1,COUNTA(AG362)=0),LEFT(D362,3),"")</f>
        <v/>
      </c>
      <c r="AU362" s="487" t="str">
        <f>IF(AND(COUNTA(O362)=1,COUNTA(P362)=1,COUNTA(AC362)=1,COUNTA(AF362)=0,COUNTA(AG362)=0),LEFT(D362,3),"")</f>
        <v/>
      </c>
      <c r="AV362" s="489" t="str">
        <f>IF(AND(COUNTA(P362)=0,COUNTA(AC362)=1),LEFT(D362,3),"")</f>
        <v/>
      </c>
      <c r="AW362" s="491" t="str">
        <f>IF(AND(COUNTA(P362)=1,COUNTA(AC362)=0),LEFT(D362,3),"")</f>
        <v/>
      </c>
      <c r="AX362" s="493" t="str">
        <f>IF(AND(COUNTA(P362)=0,COUNTA(AC362)=0),LEFT(D362,3),"")</f>
        <v/>
      </c>
      <c r="AY362" s="514" t="str">
        <f>IFERROR(VLOOKUP(功能_33[[#This Row],[功能代號]],SIT_FT_2021tmp!D:D,1,FALSE),"")</f>
        <v>L5021</v>
      </c>
      <c r="AZ362" s="587">
        <v>44512</v>
      </c>
      <c r="BA362" s="587">
        <v>44512</v>
      </c>
      <c r="BB362" s="514" t="s">
        <v>3000</v>
      </c>
      <c r="BC362" s="265" t="s">
        <v>3068</v>
      </c>
      <c r="BD362" s="593"/>
      <c r="BE362" s="264" t="str">
        <f>IF(AND(COUNTIF(AY362,"&gt;&lt;0")=1,COUNTA(M362)=1),LEFT(D362,3),"")</f>
        <v>5-2</v>
      </c>
      <c r="BF362" s="264" t="str">
        <f>IF(AND(COUNTIF(AY362,"&gt;&lt;")=1,COUNTA(M362)=0),LEFT(D362,3),"")</f>
        <v/>
      </c>
      <c r="BG362" s="264" t="str">
        <f>IF(AND(COUNTIF(AY362,"&gt;&lt;0")=0,COUNTA(M362)=1),LEFT(D362,3),"")</f>
        <v/>
      </c>
      <c r="BH362" s="264" t="str">
        <f>IF(AND(COUNTIF(AY362,"&gt;&lt;0")=0,COUNTA(M362)=0),LEFT(D362,3),"")</f>
        <v/>
      </c>
    </row>
    <row r="363" spans="3:60" ht="17" x14ac:dyDescent="0.3">
      <c r="C363" s="265" t="s">
        <v>69</v>
      </c>
      <c r="D363" s="407" t="s">
        <v>2476</v>
      </c>
      <c r="E363" s="264" t="s">
        <v>993</v>
      </c>
      <c r="F363" s="265" t="s">
        <v>994</v>
      </c>
      <c r="G363" s="265"/>
      <c r="H363" s="264" t="s">
        <v>110</v>
      </c>
      <c r="I363" s="264" t="s">
        <v>3278</v>
      </c>
      <c r="J363" s="271" t="s">
        <v>2859</v>
      </c>
      <c r="K363" s="271"/>
      <c r="L363" s="272">
        <v>44582</v>
      </c>
      <c r="M363" s="272">
        <v>44580</v>
      </c>
      <c r="N363" s="272">
        <v>44396</v>
      </c>
      <c r="O363" s="272">
        <v>44396</v>
      </c>
      <c r="P363" s="272">
        <v>44533</v>
      </c>
      <c r="Q363" s="264" t="s">
        <v>6</v>
      </c>
      <c r="R363" s="264" t="s">
        <v>2938</v>
      </c>
      <c r="S363" s="264" t="s">
        <v>2938</v>
      </c>
      <c r="U363" s="264">
        <v>1</v>
      </c>
      <c r="V363" s="264" t="s">
        <v>988</v>
      </c>
      <c r="X363" s="264"/>
      <c r="Z363" s="264"/>
      <c r="AA363" s="264"/>
      <c r="AB363" s="265" t="str">
        <f>VLOOKUP(功能_33[[#This Row],[User]],SKL放款!A:G,7,FALSE)</f>
        <v>放款推展課</v>
      </c>
      <c r="AC363" s="272">
        <v>44533</v>
      </c>
      <c r="AD363" s="272" t="s">
        <v>107</v>
      </c>
      <c r="AE363" s="258">
        <v>44550</v>
      </c>
      <c r="AF363" s="272">
        <v>44550</v>
      </c>
      <c r="AG363" s="209">
        <v>44550</v>
      </c>
      <c r="AH363" s="272"/>
      <c r="AI363" s="272"/>
      <c r="AJ363" s="322"/>
      <c r="AK363" s="272">
        <f>IFERROR(IF(VLOOKUP(功能_33[[#This Row],[功能代號]],E:U,11,FALSE)=0,"",VLOOKUP(功能_33[[#This Row],[功能代號]],E:U,11,FALSE)),"")</f>
        <v>44396</v>
      </c>
      <c r="AL363" s="272"/>
      <c r="AM363" s="272"/>
      <c r="AN363" s="265"/>
      <c r="AO363" s="272">
        <v>44396</v>
      </c>
      <c r="AP363" s="557" t="s">
        <v>2791</v>
      </c>
      <c r="AQ363" s="544" t="s">
        <v>2792</v>
      </c>
      <c r="AR363" s="593" t="s">
        <v>3207</v>
      </c>
      <c r="AS363" s="483" t="str">
        <f>IF(COUNTA(AG363)=1,LEFT(D363,3),"")</f>
        <v>5-2</v>
      </c>
      <c r="AT363" s="485" t="str">
        <f>IF(AND(COUNTA(O363)=1,COUNTA(P363)=1,COUNTA(AC363)=1,COUNTA(AF363)=1,COUNTA(AG363)=0),LEFT(D363,3),"")</f>
        <v/>
      </c>
      <c r="AU363" s="487" t="str">
        <f>IF(AND(COUNTA(O363)=1,COUNTA(P363)=1,COUNTA(AC363)=1,COUNTA(AF363)=0,COUNTA(AG363)=0),LEFT(D363,3),"")</f>
        <v/>
      </c>
      <c r="AV363" s="489" t="str">
        <f>IF(AND(COUNTA(P363)=0,COUNTA(AC363)=1),LEFT(D363,3),"")</f>
        <v/>
      </c>
      <c r="AW363" s="491" t="str">
        <f>IF(AND(COUNTA(P363)=1,COUNTA(AC363)=0),LEFT(D363,3),"")</f>
        <v/>
      </c>
      <c r="AX363" s="493" t="str">
        <f>IF(AND(COUNTA(P363)=0,COUNTA(AC363)=0),LEFT(D363,3),"")</f>
        <v/>
      </c>
      <c r="AY363" s="514" t="str">
        <f>IFERROR(VLOOKUP(功能_33[[#This Row],[功能代號]],SIT_FT_2021tmp!D:D,1,FALSE),"")</f>
        <v>L5401</v>
      </c>
      <c r="AZ363" s="587">
        <v>44512</v>
      </c>
      <c r="BA363" s="587">
        <v>44512</v>
      </c>
      <c r="BB363" s="514" t="s">
        <v>3000</v>
      </c>
      <c r="BC363" s="265" t="s">
        <v>3068</v>
      </c>
      <c r="BD363" s="593"/>
      <c r="BE363" s="264" t="str">
        <f>IF(AND(COUNTIF(AY363,"&gt;&lt;0")=1,COUNTA(M363)=1),LEFT(D363,3),"")</f>
        <v>5-2</v>
      </c>
      <c r="BF363" s="264" t="str">
        <f>IF(AND(COUNTIF(AY363,"&gt;&lt;")=1,COUNTA(M363)=0),LEFT(D363,3),"")</f>
        <v/>
      </c>
      <c r="BG363" s="264" t="str">
        <f>IF(AND(COUNTIF(AY363,"&gt;&lt;0")=0,COUNTA(M363)=1),LEFT(D363,3),"")</f>
        <v/>
      </c>
      <c r="BH363" s="264" t="str">
        <f>IF(AND(COUNTIF(AY363,"&gt;&lt;0")=0,COUNTA(M363)=0),LEFT(D363,3),"")</f>
        <v/>
      </c>
    </row>
    <row r="364" spans="3:60" ht="17" x14ac:dyDescent="0.3">
      <c r="C364" s="265" t="s">
        <v>69</v>
      </c>
      <c r="D364" s="407" t="s">
        <v>2476</v>
      </c>
      <c r="E364" s="264" t="s">
        <v>995</v>
      </c>
      <c r="F364" s="265" t="s">
        <v>996</v>
      </c>
      <c r="G364" s="265"/>
      <c r="H364" s="264" t="s">
        <v>110</v>
      </c>
      <c r="I364" s="264" t="s">
        <v>3278</v>
      </c>
      <c r="J364" s="271" t="s">
        <v>2859</v>
      </c>
      <c r="K364" s="271"/>
      <c r="L364" s="272">
        <v>44575</v>
      </c>
      <c r="M364" s="272">
        <v>44573</v>
      </c>
      <c r="N364" s="272">
        <v>44397</v>
      </c>
      <c r="O364" s="272">
        <v>44397</v>
      </c>
      <c r="P364" s="272">
        <v>44533</v>
      </c>
      <c r="Q364" s="264" t="s">
        <v>6</v>
      </c>
      <c r="R364" s="264" t="s">
        <v>7</v>
      </c>
      <c r="S364" s="264" t="s">
        <v>7</v>
      </c>
      <c r="U364" s="264">
        <v>1</v>
      </c>
      <c r="V364" s="264" t="s">
        <v>983</v>
      </c>
      <c r="X364" s="264"/>
      <c r="Z364" s="264"/>
      <c r="AA364" s="264"/>
      <c r="AB364" s="265" t="str">
        <f>VLOOKUP(功能_33[[#This Row],[User]],SKL放款!A:G,7,FALSE)</f>
        <v>放款推展課</v>
      </c>
      <c r="AC364" s="272">
        <v>44533</v>
      </c>
      <c r="AD364" s="272">
        <v>44533</v>
      </c>
      <c r="AE364" s="272">
        <v>44533</v>
      </c>
      <c r="AF364" s="272">
        <v>44533</v>
      </c>
      <c r="AG364" s="209">
        <v>44550</v>
      </c>
      <c r="AH364" s="272"/>
      <c r="AI364" s="272"/>
      <c r="AJ364" s="322"/>
      <c r="AK364" s="272">
        <f>IFERROR(IF(VLOOKUP(功能_33[[#This Row],[功能代號]],E:U,11,FALSE)=0,"",VLOOKUP(功能_33[[#This Row],[功能代號]],E:U,11,FALSE)),"")</f>
        <v>44397</v>
      </c>
      <c r="AL364" s="272"/>
      <c r="AM364" s="272"/>
      <c r="AN364" s="265"/>
      <c r="AO364" s="272">
        <v>44397</v>
      </c>
      <c r="AP364" s="557" t="s">
        <v>2791</v>
      </c>
      <c r="AQ364" s="545" t="s">
        <v>2792</v>
      </c>
      <c r="AR364" s="593" t="s">
        <v>3207</v>
      </c>
      <c r="AS364" s="483" t="str">
        <f>IF(COUNTA(AG364)=1,LEFT(D364,3),"")</f>
        <v>5-2</v>
      </c>
      <c r="AT364" s="485" t="str">
        <f>IF(AND(COUNTA(O364)=1,COUNTA(P364)=1,COUNTA(AC364)=1,COUNTA(AF364)=1,COUNTA(AG364)=0),LEFT(D364,3),"")</f>
        <v/>
      </c>
      <c r="AU364" s="487" t="str">
        <f>IF(AND(COUNTA(O364)=1,COUNTA(P364)=1,COUNTA(AC364)=1,COUNTA(AF364)=0,COUNTA(AG364)=0),LEFT(D364,3),"")</f>
        <v/>
      </c>
      <c r="AV364" s="489" t="str">
        <f>IF(AND(COUNTA(P364)=0,COUNTA(AC364)=1),LEFT(D364,3),"")</f>
        <v/>
      </c>
      <c r="AW364" s="491" t="str">
        <f>IF(AND(COUNTA(P364)=1,COUNTA(AC364)=0),LEFT(D364,3),"")</f>
        <v/>
      </c>
      <c r="AX364" s="493" t="str">
        <f>IF(AND(COUNTA(P364)=0,COUNTA(AC364)=0),LEFT(D364,3),"")</f>
        <v/>
      </c>
      <c r="AY364" s="514" t="str">
        <f>IFERROR(VLOOKUP(功能_33[[#This Row],[功能代號]],SIT_FT_2021tmp!D:D,1,FALSE),"")</f>
        <v>L5023</v>
      </c>
      <c r="AZ364" s="587">
        <v>44512</v>
      </c>
      <c r="BA364" s="587">
        <v>44512</v>
      </c>
      <c r="BB364" s="514" t="s">
        <v>3000</v>
      </c>
      <c r="BC364" s="265" t="s">
        <v>3069</v>
      </c>
      <c r="BD364" s="593"/>
      <c r="BE364" s="264" t="str">
        <f>IF(AND(COUNTIF(AY364,"&gt;&lt;0")=1,COUNTA(M364)=1),LEFT(D364,3),"")</f>
        <v>5-2</v>
      </c>
      <c r="BF364" s="264" t="str">
        <f>IF(AND(COUNTIF(AY364,"&gt;&lt;")=1,COUNTA(M364)=0),LEFT(D364,3),"")</f>
        <v/>
      </c>
      <c r="BG364" s="264" t="str">
        <f>IF(AND(COUNTIF(AY364,"&gt;&lt;0")=0,COUNTA(M364)=1),LEFT(D364,3),"")</f>
        <v/>
      </c>
      <c r="BH364" s="264" t="str">
        <f>IF(AND(COUNTIF(AY364,"&gt;&lt;0")=0,COUNTA(M364)=0),LEFT(D364,3),"")</f>
        <v/>
      </c>
    </row>
    <row r="365" spans="3:60" ht="17" x14ac:dyDescent="0.3">
      <c r="C365" s="265" t="s">
        <v>69</v>
      </c>
      <c r="D365" s="407" t="s">
        <v>2476</v>
      </c>
      <c r="E365" s="264" t="s">
        <v>997</v>
      </c>
      <c r="F365" s="265" t="s">
        <v>998</v>
      </c>
      <c r="G365" s="265"/>
      <c r="H365" s="264" t="s">
        <v>110</v>
      </c>
      <c r="I365" s="264" t="s">
        <v>3278</v>
      </c>
      <c r="J365" s="271" t="s">
        <v>2940</v>
      </c>
      <c r="K365" s="271"/>
      <c r="L365" s="272">
        <v>44582</v>
      </c>
      <c r="M365" s="272">
        <v>44580</v>
      </c>
      <c r="N365" s="272">
        <v>44397</v>
      </c>
      <c r="O365" s="272">
        <v>44397</v>
      </c>
      <c r="P365" s="272">
        <v>44533</v>
      </c>
      <c r="Q365" s="264" t="s">
        <v>6</v>
      </c>
      <c r="R365" s="264" t="s">
        <v>7</v>
      </c>
      <c r="S365" s="264" t="s">
        <v>7</v>
      </c>
      <c r="U365" s="264">
        <v>1</v>
      </c>
      <c r="V365" s="264" t="s">
        <v>988</v>
      </c>
      <c r="X365" s="264"/>
      <c r="Z365" s="264"/>
      <c r="AA365" s="264"/>
      <c r="AB365" s="265" t="str">
        <f>VLOOKUP(功能_33[[#This Row],[User]],SKL放款!A:G,7,FALSE)</f>
        <v>放款推展課</v>
      </c>
      <c r="AC365" s="272">
        <v>44533</v>
      </c>
      <c r="AD365" s="272">
        <v>44533</v>
      </c>
      <c r="AE365" s="272">
        <v>44533</v>
      </c>
      <c r="AF365" s="272">
        <v>44533</v>
      </c>
      <c r="AG365" s="209">
        <v>44550</v>
      </c>
      <c r="AH365" s="272"/>
      <c r="AI365" s="272"/>
      <c r="AJ365" s="322"/>
      <c r="AK365" s="272">
        <f>IFERROR(IF(VLOOKUP(功能_33[[#This Row],[功能代號]],E:U,11,FALSE)=0,"",VLOOKUP(功能_33[[#This Row],[功能代號]],E:U,11,FALSE)),"")</f>
        <v>44397</v>
      </c>
      <c r="AL365" s="272"/>
      <c r="AM365" s="272"/>
      <c r="AN365" s="265"/>
      <c r="AO365" s="272">
        <v>44397</v>
      </c>
      <c r="AP365" s="557" t="s">
        <v>2791</v>
      </c>
      <c r="AQ365" s="546" t="s">
        <v>2792</v>
      </c>
      <c r="AR365" s="593" t="s">
        <v>3207</v>
      </c>
      <c r="AS365" s="483" t="str">
        <f>IF(COUNTA(AG365)=1,LEFT(D365,3),"")</f>
        <v>5-2</v>
      </c>
      <c r="AT365" s="485" t="str">
        <f>IF(AND(COUNTA(O365)=1,COUNTA(P365)=1,COUNTA(AC365)=1,COUNTA(AF365)=1,COUNTA(AG365)=0),LEFT(D365,3),"")</f>
        <v/>
      </c>
      <c r="AU365" s="487" t="str">
        <f>IF(AND(COUNTA(O365)=1,COUNTA(P365)=1,COUNTA(AC365)=1,COUNTA(AF365)=0,COUNTA(AG365)=0),LEFT(D365,3),"")</f>
        <v/>
      </c>
      <c r="AV365" s="489" t="str">
        <f>IF(AND(COUNTA(P365)=0,COUNTA(AC365)=1),LEFT(D365,3),"")</f>
        <v/>
      </c>
      <c r="AW365" s="491" t="str">
        <f>IF(AND(COUNTA(P365)=1,COUNTA(AC365)=0),LEFT(D365,3),"")</f>
        <v/>
      </c>
      <c r="AX365" s="493" t="str">
        <f>IF(AND(COUNTA(P365)=0,COUNTA(AC365)=0),LEFT(D365,3),"")</f>
        <v/>
      </c>
      <c r="AY365" s="514" t="str">
        <f>IFERROR(VLOOKUP(功能_33[[#This Row],[功能代號]],SIT_FT_2021tmp!D:D,1,FALSE),"")</f>
        <v>L5406</v>
      </c>
      <c r="AZ365" s="587">
        <v>44512</v>
      </c>
      <c r="BA365" s="587">
        <v>44512</v>
      </c>
      <c r="BB365" s="514" t="s">
        <v>3000</v>
      </c>
      <c r="BC365" s="265" t="s">
        <v>3069</v>
      </c>
      <c r="BD365" s="593"/>
      <c r="BE365" s="264" t="str">
        <f>IF(AND(COUNTIF(AY365,"&gt;&lt;0")=1,COUNTA(M365)=1),LEFT(D365,3),"")</f>
        <v>5-2</v>
      </c>
      <c r="BF365" s="264" t="str">
        <f>IF(AND(COUNTIF(AY365,"&gt;&lt;")=1,COUNTA(M365)=0),LEFT(D365,3),"")</f>
        <v/>
      </c>
      <c r="BG365" s="264" t="str">
        <f>IF(AND(COUNTIF(AY365,"&gt;&lt;0")=0,COUNTA(M365)=1),LEFT(D365,3),"")</f>
        <v/>
      </c>
      <c r="BH365" s="264" t="str">
        <f>IF(AND(COUNTIF(AY365,"&gt;&lt;0")=0,COUNTA(M365)=0),LEFT(D365,3),"")</f>
        <v/>
      </c>
    </row>
    <row r="366" spans="3:60" ht="17" x14ac:dyDescent="0.3">
      <c r="C366" s="265" t="s">
        <v>69</v>
      </c>
      <c r="D366" s="407" t="s">
        <v>2476</v>
      </c>
      <c r="E366" s="264" t="s">
        <v>999</v>
      </c>
      <c r="F366" s="265" t="s">
        <v>1000</v>
      </c>
      <c r="G366" s="265"/>
      <c r="H366" s="264" t="s">
        <v>110</v>
      </c>
      <c r="I366" s="264" t="s">
        <v>3278</v>
      </c>
      <c r="J366" s="271" t="s">
        <v>2859</v>
      </c>
      <c r="K366" s="271"/>
      <c r="L366" s="272">
        <v>44575</v>
      </c>
      <c r="M366" s="272">
        <v>44573</v>
      </c>
      <c r="N366" s="272">
        <v>44396</v>
      </c>
      <c r="O366" s="272">
        <v>44396</v>
      </c>
      <c r="P366" s="272">
        <v>44396</v>
      </c>
      <c r="Q366" s="264" t="s">
        <v>6</v>
      </c>
      <c r="R366" s="264" t="s">
        <v>2938</v>
      </c>
      <c r="S366" s="264" t="s">
        <v>2938</v>
      </c>
      <c r="U366" s="264">
        <v>1</v>
      </c>
      <c r="V366" s="264" t="s">
        <v>983</v>
      </c>
      <c r="X366" s="264"/>
      <c r="Z366" s="264"/>
      <c r="AA366" s="264"/>
      <c r="AB366" s="265" t="str">
        <f>VLOOKUP(功能_33[[#This Row],[User]],SKL放款!A:G,7,FALSE)</f>
        <v>放款推展課</v>
      </c>
      <c r="AC366" s="272">
        <v>44533</v>
      </c>
      <c r="AD366" s="272" t="s">
        <v>168</v>
      </c>
      <c r="AE366" s="272"/>
      <c r="AF366" s="272">
        <v>44396</v>
      </c>
      <c r="AG366" s="209">
        <v>44550</v>
      </c>
      <c r="AH366" s="272"/>
      <c r="AI366" s="272"/>
      <c r="AJ366" s="322"/>
      <c r="AK366" s="272">
        <f>IFERROR(IF(VLOOKUP(功能_33[[#This Row],[功能代號]],E:U,11,FALSE)=0,"",VLOOKUP(功能_33[[#This Row],[功能代號]],E:U,11,FALSE)),"")</f>
        <v>44396</v>
      </c>
      <c r="AL366" s="272"/>
      <c r="AM366" s="272"/>
      <c r="AN366" s="265"/>
      <c r="AO366" s="272">
        <v>44396</v>
      </c>
      <c r="AP366" s="557" t="s">
        <v>2791</v>
      </c>
      <c r="AQ366" s="547" t="s">
        <v>2792</v>
      </c>
      <c r="AR366" s="593" t="s">
        <v>3207</v>
      </c>
      <c r="AS366" s="483" t="str">
        <f>IF(COUNTA(AG366)=1,LEFT(D366,3),"")</f>
        <v>5-2</v>
      </c>
      <c r="AT366" s="485" t="str">
        <f>IF(AND(COUNTA(O366)=1,COUNTA(P366)=1,COUNTA(AC366)=1,COUNTA(AF366)=1,COUNTA(AG366)=0),LEFT(D366,3),"")</f>
        <v/>
      </c>
      <c r="AU366" s="487" t="str">
        <f>IF(AND(COUNTA(O366)=1,COUNTA(P366)=1,COUNTA(AC366)=1,COUNTA(AF366)=0,COUNTA(AG366)=0),LEFT(D366,3),"")</f>
        <v/>
      </c>
      <c r="AV366" s="489" t="str">
        <f>IF(AND(COUNTA(P366)=0,COUNTA(AC366)=1),LEFT(D366,3),"")</f>
        <v/>
      </c>
      <c r="AW366" s="491" t="str">
        <f>IF(AND(COUNTA(P366)=1,COUNTA(AC366)=0),LEFT(D366,3),"")</f>
        <v/>
      </c>
      <c r="AX366" s="493" t="str">
        <f>IF(AND(COUNTA(P366)=0,COUNTA(AC366)=0),LEFT(D366,3),"")</f>
        <v/>
      </c>
      <c r="AY366" s="514" t="str">
        <f>IFERROR(VLOOKUP(功能_33[[#This Row],[功能代號]],SIT_FT_2021tmp!D:D,1,FALSE),"")</f>
        <v>L5024</v>
      </c>
      <c r="AZ366" s="587">
        <v>44512</v>
      </c>
      <c r="BA366" s="587">
        <v>44512</v>
      </c>
      <c r="BB366" s="514" t="s">
        <v>3000</v>
      </c>
      <c r="BC366" s="265" t="s">
        <v>3070</v>
      </c>
      <c r="BD366" s="593"/>
      <c r="BE366" s="264" t="str">
        <f>IF(AND(COUNTIF(AY366,"&gt;&lt;0")=1,COUNTA(M366)=1),LEFT(D366,3),"")</f>
        <v>5-2</v>
      </c>
      <c r="BF366" s="264" t="str">
        <f>IF(AND(COUNTIF(AY366,"&gt;&lt;")=1,COUNTA(M366)=0),LEFT(D366,3),"")</f>
        <v/>
      </c>
      <c r="BG366" s="264" t="str">
        <f>IF(AND(COUNTIF(AY366,"&gt;&lt;0")=0,COUNTA(M366)=1),LEFT(D366,3),"")</f>
        <v/>
      </c>
      <c r="BH366" s="264" t="str">
        <f>IF(AND(COUNTIF(AY366,"&gt;&lt;0")=0,COUNTA(M366)=0),LEFT(D366,3),"")</f>
        <v/>
      </c>
    </row>
    <row r="367" spans="3:60" ht="17" x14ac:dyDescent="0.3">
      <c r="C367" s="265" t="s">
        <v>69</v>
      </c>
      <c r="D367" s="407" t="s">
        <v>2476</v>
      </c>
      <c r="E367" s="264" t="s">
        <v>1001</v>
      </c>
      <c r="F367" s="265" t="s">
        <v>1002</v>
      </c>
      <c r="G367" s="265"/>
      <c r="H367" s="264" t="s">
        <v>110</v>
      </c>
      <c r="I367" s="264" t="s">
        <v>3278</v>
      </c>
      <c r="J367" s="271" t="s">
        <v>2940</v>
      </c>
      <c r="K367" s="271"/>
      <c r="L367" s="272">
        <v>44582</v>
      </c>
      <c r="M367" s="272">
        <v>44580</v>
      </c>
      <c r="N367" s="272">
        <v>44396</v>
      </c>
      <c r="O367" s="272">
        <v>44396</v>
      </c>
      <c r="P367" s="272">
        <v>44533</v>
      </c>
      <c r="Q367" s="264" t="s">
        <v>6</v>
      </c>
      <c r="R367" s="264" t="s">
        <v>2938</v>
      </c>
      <c r="S367" s="264" t="s">
        <v>2938</v>
      </c>
      <c r="U367" s="264">
        <v>1</v>
      </c>
      <c r="V367" s="264" t="s">
        <v>988</v>
      </c>
      <c r="X367" s="264"/>
      <c r="Z367" s="264"/>
      <c r="AA367" s="264"/>
      <c r="AB367" s="265" t="str">
        <f>VLOOKUP(功能_33[[#This Row],[User]],SKL放款!A:G,7,FALSE)</f>
        <v>放款推展課</v>
      </c>
      <c r="AC367" s="272">
        <v>44533</v>
      </c>
      <c r="AD367" s="272" t="s">
        <v>107</v>
      </c>
      <c r="AE367" s="258">
        <v>44550</v>
      </c>
      <c r="AF367" s="272">
        <v>44550</v>
      </c>
      <c r="AG367" s="209">
        <v>44550</v>
      </c>
      <c r="AH367" s="272"/>
      <c r="AI367" s="272"/>
      <c r="AJ367" s="322"/>
      <c r="AK367" s="272">
        <f>IFERROR(IF(VLOOKUP(功能_33[[#This Row],[功能代號]],E:U,11,FALSE)=0,"",VLOOKUP(功能_33[[#This Row],[功能代號]],E:U,11,FALSE)),"")</f>
        <v>44396</v>
      </c>
      <c r="AL367" s="272"/>
      <c r="AM367" s="272"/>
      <c r="AN367" s="265"/>
      <c r="AO367" s="272">
        <v>44396</v>
      </c>
      <c r="AP367" s="557" t="s">
        <v>2791</v>
      </c>
      <c r="AQ367" s="548" t="s">
        <v>2792</v>
      </c>
      <c r="AR367" s="593" t="s">
        <v>3207</v>
      </c>
      <c r="AS367" s="483" t="str">
        <f>IF(COUNTA(AG367)=1,LEFT(D367,3),"")</f>
        <v>5-2</v>
      </c>
      <c r="AT367" s="485" t="str">
        <f>IF(AND(COUNTA(O367)=1,COUNTA(P367)=1,COUNTA(AC367)=1,COUNTA(AF367)=1,COUNTA(AG367)=0),LEFT(D367,3),"")</f>
        <v/>
      </c>
      <c r="AU367" s="487" t="str">
        <f>IF(AND(COUNTA(O367)=1,COUNTA(P367)=1,COUNTA(AC367)=1,COUNTA(AF367)=0,COUNTA(AG367)=0),LEFT(D367,3),"")</f>
        <v/>
      </c>
      <c r="AV367" s="489" t="str">
        <f>IF(AND(COUNTA(P367)=0,COUNTA(AC367)=1),LEFT(D367,3),"")</f>
        <v/>
      </c>
      <c r="AW367" s="491" t="str">
        <f>IF(AND(COUNTA(P367)=1,COUNTA(AC367)=0),LEFT(D367,3),"")</f>
        <v/>
      </c>
      <c r="AX367" s="493" t="str">
        <f>IF(AND(COUNTA(P367)=0,COUNTA(AC367)=0),LEFT(D367,3),"")</f>
        <v/>
      </c>
      <c r="AY367" s="514" t="str">
        <f>IFERROR(VLOOKUP(功能_33[[#This Row],[功能代號]],SIT_FT_2021tmp!D:D,1,FALSE),"")</f>
        <v>L5405</v>
      </c>
      <c r="AZ367" s="587">
        <v>44512</v>
      </c>
      <c r="BA367" s="587">
        <v>44512</v>
      </c>
      <c r="BB367" s="514" t="s">
        <v>3000</v>
      </c>
      <c r="BC367" s="265" t="s">
        <v>3070</v>
      </c>
      <c r="BD367" s="593"/>
      <c r="BE367" s="264" t="str">
        <f>IF(AND(COUNTIF(AY367,"&gt;&lt;0")=1,COUNTA(M367)=1),LEFT(D367,3),"")</f>
        <v>5-2</v>
      </c>
      <c r="BF367" s="264" t="str">
        <f>IF(AND(COUNTIF(AY367,"&gt;&lt;")=1,COUNTA(M367)=0),LEFT(D367,3),"")</f>
        <v/>
      </c>
      <c r="BG367" s="264" t="str">
        <f>IF(AND(COUNTIF(AY367,"&gt;&lt;0")=0,COUNTA(M367)=1),LEFT(D367,3),"")</f>
        <v/>
      </c>
      <c r="BH367" s="264" t="str">
        <f>IF(AND(COUNTIF(AY367,"&gt;&lt;0")=0,COUNTA(M367)=0),LEFT(D367,3),"")</f>
        <v/>
      </c>
    </row>
    <row r="368" spans="3:60" ht="17" x14ac:dyDescent="0.3">
      <c r="C368" s="265" t="s">
        <v>69</v>
      </c>
      <c r="D368" s="407" t="s">
        <v>2476</v>
      </c>
      <c r="E368" s="264" t="s">
        <v>1003</v>
      </c>
      <c r="F368" s="265" t="s">
        <v>1004</v>
      </c>
      <c r="G368" s="265"/>
      <c r="H368" s="264" t="s">
        <v>110</v>
      </c>
      <c r="I368" s="264" t="s">
        <v>3278</v>
      </c>
      <c r="J368" s="271" t="s">
        <v>3098</v>
      </c>
      <c r="K368" s="271" t="s">
        <v>3088</v>
      </c>
      <c r="L368" s="272">
        <v>44575</v>
      </c>
      <c r="M368" s="272">
        <v>44573</v>
      </c>
      <c r="N368" s="272">
        <v>44397</v>
      </c>
      <c r="O368" s="272">
        <v>44397</v>
      </c>
      <c r="P368" s="272">
        <v>44533</v>
      </c>
      <c r="Q368" s="264" t="s">
        <v>6</v>
      </c>
      <c r="R368" s="264" t="s">
        <v>2938</v>
      </c>
      <c r="S368" s="264" t="s">
        <v>2938</v>
      </c>
      <c r="U368" s="264">
        <v>1</v>
      </c>
      <c r="V368" s="264" t="s">
        <v>983</v>
      </c>
      <c r="X368" s="264"/>
      <c r="Z368" s="264"/>
      <c r="AA368" s="264"/>
      <c r="AB368" s="265" t="str">
        <f>VLOOKUP(功能_33[[#This Row],[User]],SKL放款!A:G,7,FALSE)</f>
        <v>放款推展課</v>
      </c>
      <c r="AC368" s="272">
        <v>44533</v>
      </c>
      <c r="AD368" s="272" t="s">
        <v>107</v>
      </c>
      <c r="AE368" s="258">
        <v>44550</v>
      </c>
      <c r="AF368" s="272">
        <v>44550</v>
      </c>
      <c r="AG368" s="209" t="s">
        <v>3104</v>
      </c>
      <c r="AH368" s="272"/>
      <c r="AI368" s="272"/>
      <c r="AJ368" s="322"/>
      <c r="AK368" s="272">
        <f>IFERROR(IF(VLOOKUP(功能_33[[#This Row],[功能代號]],E:U,11,FALSE)=0,"",VLOOKUP(功能_33[[#This Row],[功能代號]],E:U,11,FALSE)),"")</f>
        <v>44397</v>
      </c>
      <c r="AL368" s="272"/>
      <c r="AM368" s="272"/>
      <c r="AN368" s="265"/>
      <c r="AO368" s="272">
        <v>44397</v>
      </c>
      <c r="AP368" s="557" t="s">
        <v>2791</v>
      </c>
      <c r="AQ368" s="550" t="s">
        <v>2792</v>
      </c>
      <c r="AR368" s="593" t="s">
        <v>3207</v>
      </c>
      <c r="AS368" s="483" t="str">
        <f>IF(COUNTA(AG368)=1,LEFT(D368,3),"")</f>
        <v>5-2</v>
      </c>
      <c r="AT368" s="485" t="str">
        <f>IF(AND(COUNTA(O368)=1,COUNTA(P368)=1,COUNTA(AC368)=1,COUNTA(AF368)=1,COUNTA(AG368)=0),LEFT(D368,3),"")</f>
        <v/>
      </c>
      <c r="AU368" s="487" t="str">
        <f>IF(AND(COUNTA(O368)=1,COUNTA(P368)=1,COUNTA(AC368)=1,COUNTA(AF368)=0,COUNTA(AG368)=0),LEFT(D368,3),"")</f>
        <v/>
      </c>
      <c r="AV368" s="489" t="str">
        <f>IF(AND(COUNTA(P368)=0,COUNTA(AC368)=1),LEFT(D368,3),"")</f>
        <v/>
      </c>
      <c r="AW368" s="491" t="str">
        <f>IF(AND(COUNTA(P368)=1,COUNTA(AC368)=0),LEFT(D368,3),"")</f>
        <v/>
      </c>
      <c r="AX368" s="493" t="str">
        <f>IF(AND(COUNTA(P368)=0,COUNTA(AC368)=0),LEFT(D368,3),"")</f>
        <v/>
      </c>
      <c r="AY368" s="514" t="str">
        <f>IFERROR(VLOOKUP(功能_33[[#This Row],[功能代號]],SIT_FT_2021tmp!D:D,1,FALSE),"")</f>
        <v>L5022</v>
      </c>
      <c r="AZ368" s="587">
        <v>44512</v>
      </c>
      <c r="BA368" s="587">
        <v>44512</v>
      </c>
      <c r="BB368" s="514" t="s">
        <v>3000</v>
      </c>
      <c r="BC368" s="265" t="s">
        <v>3040</v>
      </c>
      <c r="BD368" s="593"/>
      <c r="BE368" s="264" t="str">
        <f>IF(AND(COUNTIF(AY368,"&gt;&lt;0")=1,COUNTA(M368)=1),LEFT(D368,3),"")</f>
        <v>5-2</v>
      </c>
      <c r="BF368" s="264" t="str">
        <f>IF(AND(COUNTIF(AY368,"&gt;&lt;")=1,COUNTA(M368)=0),LEFT(D368,3),"")</f>
        <v/>
      </c>
      <c r="BG368" s="264" t="str">
        <f>IF(AND(COUNTIF(AY368,"&gt;&lt;0")=0,COUNTA(M368)=1),LEFT(D368,3),"")</f>
        <v/>
      </c>
      <c r="BH368" s="264" t="str">
        <f>IF(AND(COUNTIF(AY368,"&gt;&lt;0")=0,COUNTA(M368)=0),LEFT(D368,3),"")</f>
        <v/>
      </c>
    </row>
    <row r="369" spans="3:60" ht="13.5" x14ac:dyDescent="0.3">
      <c r="C369" s="265" t="s">
        <v>69</v>
      </c>
      <c r="D369" s="407" t="s">
        <v>2476</v>
      </c>
      <c r="E369" s="264" t="s">
        <v>1005</v>
      </c>
      <c r="F369" s="265" t="s">
        <v>1006</v>
      </c>
      <c r="G369" s="265" t="s">
        <v>379</v>
      </c>
      <c r="H369" s="264" t="s">
        <v>110</v>
      </c>
      <c r="I369" s="264" t="s">
        <v>3278</v>
      </c>
      <c r="J369" s="271" t="s">
        <v>2859</v>
      </c>
      <c r="K369" s="271"/>
      <c r="L369" s="272">
        <v>44575</v>
      </c>
      <c r="M369" s="272">
        <v>44573</v>
      </c>
      <c r="N369" s="272">
        <v>44397</v>
      </c>
      <c r="O369" s="272">
        <v>44397</v>
      </c>
      <c r="P369" s="272">
        <v>44397</v>
      </c>
      <c r="Q369" s="264" t="s">
        <v>6</v>
      </c>
      <c r="R369" s="264" t="s">
        <v>2938</v>
      </c>
      <c r="S369" s="264" t="s">
        <v>2938</v>
      </c>
      <c r="X369" s="264"/>
      <c r="Z369" s="264"/>
      <c r="AA369" s="264"/>
      <c r="AB369" s="265" t="str">
        <f>VLOOKUP(功能_33[[#This Row],[User]],SKL放款!A:G,7,FALSE)</f>
        <v>放款推展課</v>
      </c>
      <c r="AC369" s="272">
        <v>44533</v>
      </c>
      <c r="AD369" s="272" t="s">
        <v>168</v>
      </c>
      <c r="AE369" s="272"/>
      <c r="AF369" s="272">
        <v>44397</v>
      </c>
      <c r="AG369" s="209">
        <v>44550</v>
      </c>
      <c r="AH369" s="272"/>
      <c r="AI369" s="272"/>
      <c r="AJ369" s="322"/>
      <c r="AK369" s="272">
        <f>IFERROR(IF(VLOOKUP(功能_33[[#This Row],[功能代號]],E:U,11,FALSE)=0,"",VLOOKUP(功能_33[[#This Row],[功能代號]],E:U,11,FALSE)),"")</f>
        <v>44397</v>
      </c>
      <c r="AL369" s="272"/>
      <c r="AM369" s="272"/>
      <c r="AN369" s="265"/>
      <c r="AO369" s="272"/>
      <c r="AP369" s="264" t="s">
        <v>2603</v>
      </c>
      <c r="AQ369" s="264" t="s">
        <v>163</v>
      </c>
      <c r="AR369" s="593" t="s">
        <v>3207</v>
      </c>
      <c r="AS369" s="483" t="str">
        <f>IF(COUNTA(AG369)=1,LEFT(D369,3),"")</f>
        <v>5-2</v>
      </c>
      <c r="AT369" s="485" t="str">
        <f>IF(AND(COUNTA(O369)=1,COUNTA(P369)=1,COUNTA(AC369)=1,COUNTA(AF369)=1,COUNTA(AG369)=0),LEFT(D369,3),"")</f>
        <v/>
      </c>
      <c r="AU369" s="487" t="str">
        <f>IF(AND(COUNTA(O369)=1,COUNTA(P369)=1,COUNTA(AC369)=1,COUNTA(AF369)=0,COUNTA(AG369)=0),LEFT(D369,3),"")</f>
        <v/>
      </c>
      <c r="AV369" s="489" t="str">
        <f>IF(AND(COUNTA(P369)=0,COUNTA(AC369)=1),LEFT(D369,3),"")</f>
        <v/>
      </c>
      <c r="AW369" s="491" t="str">
        <f>IF(AND(COUNTA(P369)=1,COUNTA(AC369)=0),LEFT(D369,3),"")</f>
        <v/>
      </c>
      <c r="AX369" s="493" t="str">
        <f>IF(AND(COUNTA(P369)=0,COUNTA(AC369)=0),LEFT(D369,3),"")</f>
        <v/>
      </c>
      <c r="AY369" s="514" t="str">
        <f>IFERROR(VLOOKUP(功能_33[[#This Row],[功能代號]],SIT_FT_2021tmp!D:D,1,FALSE),"")</f>
        <v>L5914</v>
      </c>
      <c r="AZ369" s="587">
        <v>44512</v>
      </c>
      <c r="BA369" s="587">
        <v>44512</v>
      </c>
      <c r="BB369" s="514" t="s">
        <v>3000</v>
      </c>
      <c r="BC369" s="265" t="s">
        <v>3071</v>
      </c>
      <c r="BD369" s="593"/>
      <c r="BE369" s="264" t="str">
        <f>IF(AND(COUNTIF(AY369,"&gt;&lt;0")=1,COUNTA(M369)=1),LEFT(D369,3),"")</f>
        <v>5-2</v>
      </c>
      <c r="BF369" s="264" t="str">
        <f>IF(AND(COUNTIF(AY369,"&gt;&lt;")=1,COUNTA(M369)=0),LEFT(D369,3),"")</f>
        <v/>
      </c>
      <c r="BG369" s="264" t="str">
        <f>IF(AND(COUNTIF(AY369,"&gt;&lt;0")=0,COUNTA(M369)=1),LEFT(D369,3),"")</f>
        <v/>
      </c>
      <c r="BH369" s="264" t="str">
        <f>IF(AND(COUNTIF(AY369,"&gt;&lt;0")=0,COUNTA(M369)=0),LEFT(D369,3),"")</f>
        <v/>
      </c>
    </row>
    <row r="370" spans="3:60" ht="17" x14ac:dyDescent="0.3">
      <c r="C370" s="265" t="s">
        <v>69</v>
      </c>
      <c r="D370" s="407" t="s">
        <v>2476</v>
      </c>
      <c r="E370" s="264" t="s">
        <v>1007</v>
      </c>
      <c r="F370" s="265" t="s">
        <v>1008</v>
      </c>
      <c r="G370" s="265"/>
      <c r="H370" s="264" t="s">
        <v>110</v>
      </c>
      <c r="I370" s="264" t="s">
        <v>3278</v>
      </c>
      <c r="J370" s="271" t="s">
        <v>2859</v>
      </c>
      <c r="K370" s="271"/>
      <c r="L370" s="272">
        <v>44582</v>
      </c>
      <c r="M370" s="272">
        <v>44580</v>
      </c>
      <c r="N370" s="272">
        <v>44397</v>
      </c>
      <c r="O370" s="272">
        <v>44397</v>
      </c>
      <c r="P370" s="272">
        <v>44533</v>
      </c>
      <c r="Q370" s="264" t="s">
        <v>6</v>
      </c>
      <c r="R370" s="264" t="s">
        <v>2938</v>
      </c>
      <c r="S370" s="264" t="s">
        <v>2938</v>
      </c>
      <c r="U370" s="264">
        <v>1</v>
      </c>
      <c r="V370" s="264" t="s">
        <v>988</v>
      </c>
      <c r="X370" s="264"/>
      <c r="Z370" s="264"/>
      <c r="AA370" s="264"/>
      <c r="AB370" s="265" t="str">
        <f>VLOOKUP(功能_33[[#This Row],[User]],SKL放款!A:G,7,FALSE)</f>
        <v>放款推展課</v>
      </c>
      <c r="AC370" s="272">
        <v>44533</v>
      </c>
      <c r="AD370" s="272" t="s">
        <v>107</v>
      </c>
      <c r="AE370" s="258">
        <v>44550</v>
      </c>
      <c r="AF370" s="272">
        <v>44550</v>
      </c>
      <c r="AG370" s="209">
        <v>44550</v>
      </c>
      <c r="AH370" s="272"/>
      <c r="AI370" s="272"/>
      <c r="AJ370" s="322"/>
      <c r="AK370" s="272">
        <f>IFERROR(IF(VLOOKUP(功能_33[[#This Row],[功能代號]],E:U,11,FALSE)=0,"",VLOOKUP(功能_33[[#This Row],[功能代號]],E:U,11,FALSE)),"")</f>
        <v>44397</v>
      </c>
      <c r="AL370" s="272"/>
      <c r="AM370" s="272"/>
      <c r="AN370" s="265"/>
      <c r="AO370" s="272">
        <v>44397</v>
      </c>
      <c r="AP370" s="557" t="s">
        <v>2791</v>
      </c>
      <c r="AQ370" s="550" t="s">
        <v>2792</v>
      </c>
      <c r="AR370" s="593" t="s">
        <v>3207</v>
      </c>
      <c r="AS370" s="483" t="str">
        <f>IF(COUNTA(AG370)=1,LEFT(D370,3),"")</f>
        <v>5-2</v>
      </c>
      <c r="AT370" s="485" t="str">
        <f>IF(AND(COUNTA(O370)=1,COUNTA(P370)=1,COUNTA(AC370)=1,COUNTA(AF370)=1,COUNTA(AG370)=0),LEFT(D370,3),"")</f>
        <v/>
      </c>
      <c r="AU370" s="487" t="str">
        <f>IF(AND(COUNTA(O370)=1,COUNTA(P370)=1,COUNTA(AC370)=1,COUNTA(AF370)=0,COUNTA(AG370)=0),LEFT(D370,3),"")</f>
        <v/>
      </c>
      <c r="AV370" s="489" t="str">
        <f>IF(AND(COUNTA(P370)=0,COUNTA(AC370)=1),LEFT(D370,3),"")</f>
        <v/>
      </c>
      <c r="AW370" s="491" t="str">
        <f>IF(AND(COUNTA(P370)=1,COUNTA(AC370)=0),LEFT(D370,3),"")</f>
        <v/>
      </c>
      <c r="AX370" s="493" t="str">
        <f>IF(AND(COUNTA(P370)=0,COUNTA(AC370)=0),LEFT(D370,3),"")</f>
        <v/>
      </c>
      <c r="AY370" s="514" t="str">
        <f>IFERROR(VLOOKUP(功能_33[[#This Row],[功能代號]],SIT_FT_2021tmp!D:D,1,FALSE),"")</f>
        <v>L5407</v>
      </c>
      <c r="AZ370" s="587">
        <v>44512</v>
      </c>
      <c r="BA370" s="587">
        <v>44512</v>
      </c>
      <c r="BB370" s="514" t="s">
        <v>3000</v>
      </c>
      <c r="BC370" s="265" t="s">
        <v>3040</v>
      </c>
      <c r="BD370" s="593"/>
      <c r="BE370" s="264" t="str">
        <f>IF(AND(COUNTIF(AY370,"&gt;&lt;0")=1,COUNTA(M370)=1),LEFT(D370,3),"")</f>
        <v>5-2</v>
      </c>
      <c r="BF370" s="264" t="str">
        <f>IF(AND(COUNTIF(AY370,"&gt;&lt;")=1,COUNTA(M370)=0),LEFT(D370,3),"")</f>
        <v/>
      </c>
      <c r="BG370" s="264" t="str">
        <f>IF(AND(COUNTIF(AY370,"&gt;&lt;0")=0,COUNTA(M370)=1),LEFT(D370,3),"")</f>
        <v/>
      </c>
      <c r="BH370" s="264" t="str">
        <f>IF(AND(COUNTIF(AY370,"&gt;&lt;0")=0,COUNTA(M370)=0),LEFT(D370,3),"")</f>
        <v/>
      </c>
    </row>
    <row r="371" spans="3:60" ht="13.5" x14ac:dyDescent="0.3">
      <c r="C371" s="265" t="s">
        <v>70</v>
      </c>
      <c r="D371" s="265" t="s">
        <v>2466</v>
      </c>
      <c r="E371" s="264" t="s">
        <v>562</v>
      </c>
      <c r="F371" s="265" t="s">
        <v>563</v>
      </c>
      <c r="G371" s="265"/>
      <c r="H371" s="264" t="s">
        <v>166</v>
      </c>
      <c r="I371" s="264" t="s">
        <v>287</v>
      </c>
      <c r="J371" s="212" t="s">
        <v>2853</v>
      </c>
      <c r="K371" s="212"/>
      <c r="L371" s="272">
        <v>44566</v>
      </c>
      <c r="M371" s="272">
        <v>44566</v>
      </c>
      <c r="N371" s="272">
        <v>44516</v>
      </c>
      <c r="O371" s="272">
        <v>44467</v>
      </c>
      <c r="P371" s="272">
        <v>44472</v>
      </c>
      <c r="Q371" s="264" t="s">
        <v>6</v>
      </c>
      <c r="R371" s="264" t="s">
        <v>539</v>
      </c>
      <c r="S371" s="264" t="s">
        <v>539</v>
      </c>
      <c r="X371" s="264"/>
      <c r="Z371" s="264"/>
      <c r="AA371" s="264"/>
      <c r="AB371" s="265" t="str">
        <f>VLOOKUP(功能_33[[#This Row],[User]],SKL放款!A:G,7,FALSE)</f>
        <v>放款審查課</v>
      </c>
      <c r="AC371" s="272">
        <v>44472</v>
      </c>
      <c r="AD371" s="272" t="s">
        <v>107</v>
      </c>
      <c r="AE371" s="258">
        <v>44544</v>
      </c>
      <c r="AF371" s="258">
        <v>44544</v>
      </c>
      <c r="AG371" s="209">
        <v>44550</v>
      </c>
      <c r="AH371" s="272"/>
      <c r="AI371" s="272"/>
      <c r="AJ371" s="322"/>
      <c r="AK371" s="272">
        <f>IFERROR(IF(VLOOKUP(功能_33[[#This Row],[功能代號]],E:U,11,FALSE)=0,"",VLOOKUP(功能_33[[#This Row],[功能代號]],E:U,11,FALSE)),"")</f>
        <v>44467</v>
      </c>
      <c r="AL371" s="272"/>
      <c r="AM371" s="272"/>
      <c r="AN371" s="265"/>
      <c r="AO371" s="272"/>
      <c r="AP371" s="276" t="s">
        <v>552</v>
      </c>
      <c r="AQ371" s="277" t="s">
        <v>553</v>
      </c>
      <c r="AR371" s="593" t="s">
        <v>3207</v>
      </c>
      <c r="AS371" s="483" t="str">
        <f>IF(COUNTA(AG371)=1,LEFT(D371,3),"")</f>
        <v>6-7</v>
      </c>
      <c r="AT371" s="485" t="str">
        <f>IF(AND(COUNTA(O371)=1,COUNTA(P371)=1,COUNTA(AC371)=1,COUNTA(AF371)=1,COUNTA(AG371)=0),LEFT(D371,3),"")</f>
        <v/>
      </c>
      <c r="AU371" s="487" t="str">
        <f>IF(AND(COUNTA(O371)=1,COUNTA(P371)=1,COUNTA(AC371)=1,COUNTA(AF371)=0,COUNTA(AG371)=0),LEFT(D371,3),"")</f>
        <v/>
      </c>
      <c r="AV371" s="489" t="str">
        <f>IF(AND(COUNTA(P371)=0,COUNTA(AC371)=1),LEFT(D371,3),"")</f>
        <v/>
      </c>
      <c r="AW371" s="491" t="str">
        <f>IF(AND(COUNTA(P371)=1,COUNTA(AC371)=0),LEFT(D371,3),"")</f>
        <v/>
      </c>
      <c r="AX371" s="493" t="str">
        <f>IF(AND(COUNTA(P371)=0,COUNTA(AC371)=0),LEFT(D371,3),"")</f>
        <v/>
      </c>
      <c r="AY371" s="514" t="str">
        <f>IFERROR(VLOOKUP(功能_33[[#This Row],[功能代號]],SIT_FT_2021tmp!D:D,1,FALSE),"")</f>
        <v>L6704</v>
      </c>
      <c r="AZ371" s="587">
        <v>44512</v>
      </c>
      <c r="BA371" s="587">
        <v>44512</v>
      </c>
      <c r="BB371" s="514" t="s">
        <v>3000</v>
      </c>
      <c r="BC371" s="265" t="s">
        <v>3063</v>
      </c>
      <c r="BD371" s="593"/>
      <c r="BE371" s="264" t="str">
        <f>IF(AND(COUNTIF(AY371,"&gt;&lt;0")=1,COUNTA(M371)=1),LEFT(D371,3),"")</f>
        <v>6-7</v>
      </c>
      <c r="BF371" s="264" t="str">
        <f>IF(AND(COUNTIF(AY371,"&gt;&lt;")=1,COUNTA(M371)=0),LEFT(D371,3),"")</f>
        <v/>
      </c>
      <c r="BG371" s="264" t="str">
        <f>IF(AND(COUNTIF(AY371,"&gt;&lt;0")=0,COUNTA(M371)=1),LEFT(D371,3),"")</f>
        <v/>
      </c>
      <c r="BH371" s="264" t="str">
        <f>IF(AND(COUNTIF(AY371,"&gt;&lt;0")=0,COUNTA(M371)=0),LEFT(D371,3),"")</f>
        <v/>
      </c>
    </row>
    <row r="372" spans="3:60" ht="13.5" x14ac:dyDescent="0.3">
      <c r="C372" s="265" t="s">
        <v>70</v>
      </c>
      <c r="D372" s="407" t="s">
        <v>2466</v>
      </c>
      <c r="E372" s="264" t="s">
        <v>1011</v>
      </c>
      <c r="F372" s="265" t="s">
        <v>1012</v>
      </c>
      <c r="G372" s="265"/>
      <c r="H372" s="264" t="s">
        <v>110</v>
      </c>
      <c r="I372" s="264" t="s">
        <v>3278</v>
      </c>
      <c r="J372" s="212" t="s">
        <v>2853</v>
      </c>
      <c r="K372" s="212"/>
      <c r="L372" s="272">
        <v>44575</v>
      </c>
      <c r="M372" s="272">
        <v>44573</v>
      </c>
      <c r="N372" s="272">
        <v>44398</v>
      </c>
      <c r="O372" s="272">
        <v>44398</v>
      </c>
      <c r="P372" s="272">
        <v>44533</v>
      </c>
      <c r="Q372" s="264" t="s">
        <v>6</v>
      </c>
      <c r="R372" s="264" t="s">
        <v>2938</v>
      </c>
      <c r="S372" s="264" t="s">
        <v>2938</v>
      </c>
      <c r="X372" s="264"/>
      <c r="Z372" s="264"/>
      <c r="AA372" s="264"/>
      <c r="AB372" s="265" t="str">
        <f>VLOOKUP(功能_33[[#This Row],[User]],SKL放款!A:G,7,FALSE)</f>
        <v>放款推展課</v>
      </c>
      <c r="AC372" s="272">
        <v>44533</v>
      </c>
      <c r="AD372" s="272" t="s">
        <v>107</v>
      </c>
      <c r="AE372" s="258">
        <v>44550</v>
      </c>
      <c r="AF372" s="272">
        <v>44550</v>
      </c>
      <c r="AG372" s="209">
        <v>44550</v>
      </c>
      <c r="AH372" s="272"/>
      <c r="AI372" s="272"/>
      <c r="AJ372" s="322"/>
      <c r="AK372" s="272">
        <f>IFERROR(IF(VLOOKUP(功能_33[[#This Row],[功能代號]],E:U,11,FALSE)=0,"",VLOOKUP(功能_33[[#This Row],[功能代號]],E:U,11,FALSE)),"")</f>
        <v>44398</v>
      </c>
      <c r="AL372" s="272"/>
      <c r="AM372" s="272"/>
      <c r="AN372" s="265"/>
      <c r="AO372" s="272">
        <v>44398</v>
      </c>
      <c r="AP372" s="264" t="s">
        <v>2603</v>
      </c>
      <c r="AQ372" s="264" t="s">
        <v>163</v>
      </c>
      <c r="AR372" s="593" t="s">
        <v>3207</v>
      </c>
      <c r="AS372" s="483" t="str">
        <f>IF(COUNTA(AG372)=1,LEFT(D372,3),"")</f>
        <v>6-7</v>
      </c>
      <c r="AT372" s="485" t="str">
        <f>IF(AND(COUNTA(O372)=1,COUNTA(P372)=1,COUNTA(AC372)=1,COUNTA(AF372)=1,COUNTA(AG372)=0),LEFT(D372,3),"")</f>
        <v/>
      </c>
      <c r="AU372" s="487" t="str">
        <f>IF(AND(COUNTA(O372)=1,COUNTA(P372)=1,COUNTA(AC372)=1,COUNTA(AF372)=0,COUNTA(AG372)=0),LEFT(D372,3),"")</f>
        <v/>
      </c>
      <c r="AV372" s="489" t="str">
        <f>IF(AND(COUNTA(P372)=0,COUNTA(AC372)=1),LEFT(D372,3),"")</f>
        <v/>
      </c>
      <c r="AW372" s="491" t="str">
        <f>IF(AND(COUNTA(P372)=1,COUNTA(AC372)=0),LEFT(D372,3),"")</f>
        <v/>
      </c>
      <c r="AX372" s="493" t="str">
        <f>IF(AND(COUNTA(P372)=0,COUNTA(AC372)=0),LEFT(D372,3),"")</f>
        <v/>
      </c>
      <c r="AY372" s="514" t="str">
        <f>IFERROR(VLOOKUP(功能_33[[#This Row],[功能代號]],SIT_FT_2021tmp!D:D,1,FALSE),"")</f>
        <v>L6994</v>
      </c>
      <c r="AZ372" s="587">
        <v>44515</v>
      </c>
      <c r="BA372" s="587">
        <v>44515</v>
      </c>
      <c r="BB372" s="514" t="s">
        <v>3000</v>
      </c>
      <c r="BC372" s="265" t="s">
        <v>3064</v>
      </c>
      <c r="BD372" s="593"/>
      <c r="BE372" s="264" t="str">
        <f>IF(AND(COUNTIF(AY372,"&gt;&lt;0")=1,COUNTA(M372)=1),LEFT(D372,3),"")</f>
        <v>6-7</v>
      </c>
      <c r="BF372" s="264" t="str">
        <f>IF(AND(COUNTIF(AY372,"&gt;&lt;")=1,COUNTA(M372)=0),LEFT(D372,3),"")</f>
        <v/>
      </c>
      <c r="BG372" s="264" t="str">
        <f>IF(AND(COUNTIF(AY372,"&gt;&lt;0")=0,COUNTA(M372)=1),LEFT(D372,3),"")</f>
        <v/>
      </c>
      <c r="BH372" s="264" t="str">
        <f>IF(AND(COUNTIF(AY372,"&gt;&lt;0")=0,COUNTA(M372)=0),LEFT(D372,3),"")</f>
        <v/>
      </c>
    </row>
    <row r="373" spans="3:60" ht="13.5" x14ac:dyDescent="0.3">
      <c r="C373" s="265" t="s">
        <v>70</v>
      </c>
      <c r="D373" s="265" t="s">
        <v>2466</v>
      </c>
      <c r="E373" s="264" t="s">
        <v>554</v>
      </c>
      <c r="F373" s="265" t="s">
        <v>553</v>
      </c>
      <c r="G373" s="265"/>
      <c r="H373" s="264" t="s">
        <v>166</v>
      </c>
      <c r="I373" s="264" t="s">
        <v>287</v>
      </c>
      <c r="J373" s="212" t="s">
        <v>2853</v>
      </c>
      <c r="K373" s="212"/>
      <c r="L373" s="272">
        <v>44566</v>
      </c>
      <c r="M373" s="272">
        <v>44566</v>
      </c>
      <c r="N373" s="272">
        <v>44516</v>
      </c>
      <c r="O373" s="272">
        <v>44467</v>
      </c>
      <c r="P373" s="272">
        <v>44472</v>
      </c>
      <c r="Q373" s="264" t="s">
        <v>6</v>
      </c>
      <c r="R373" s="264" t="s">
        <v>539</v>
      </c>
      <c r="S373" s="264" t="s">
        <v>539</v>
      </c>
      <c r="X373" s="264"/>
      <c r="Z373" s="264"/>
      <c r="AA373" s="264"/>
      <c r="AB373" s="265" t="str">
        <f>VLOOKUP(功能_33[[#This Row],[User]],SKL放款!A:G,7,FALSE)</f>
        <v>放款審查課</v>
      </c>
      <c r="AC373" s="272">
        <v>44472</v>
      </c>
      <c r="AD373" s="272" t="s">
        <v>107</v>
      </c>
      <c r="AE373" s="258">
        <v>44544</v>
      </c>
      <c r="AF373" s="258">
        <v>44544</v>
      </c>
      <c r="AG373" s="209">
        <v>44550</v>
      </c>
      <c r="AH373" s="272"/>
      <c r="AI373" s="272"/>
      <c r="AJ373" s="322"/>
      <c r="AK373" s="272">
        <f>IFERROR(IF(VLOOKUP(功能_33[[#This Row],[功能代號]],E:U,11,FALSE)=0,"",VLOOKUP(功能_33[[#This Row],[功能代號]],E:U,11,FALSE)),"")</f>
        <v>44467</v>
      </c>
      <c r="AL373" s="272"/>
      <c r="AM373" s="272"/>
      <c r="AN373" s="265"/>
      <c r="AO373" s="272"/>
      <c r="AP373" s="276" t="s">
        <v>552</v>
      </c>
      <c r="AQ373" s="277" t="s">
        <v>553</v>
      </c>
      <c r="AR373" s="593" t="s">
        <v>3207</v>
      </c>
      <c r="AS373" s="483" t="str">
        <f>IF(COUNTA(AG373)=1,LEFT(D373,3),"")</f>
        <v>6-7</v>
      </c>
      <c r="AT373" s="485" t="str">
        <f>IF(AND(COUNTA(O373)=1,COUNTA(P373)=1,COUNTA(AC373)=1,COUNTA(AF373)=1,COUNTA(AG373)=0),LEFT(D373,3),"")</f>
        <v/>
      </c>
      <c r="AU373" s="487" t="str">
        <f>IF(AND(COUNTA(O373)=1,COUNTA(P373)=1,COUNTA(AC373)=1,COUNTA(AF373)=0,COUNTA(AG373)=0),LEFT(D373,3),"")</f>
        <v/>
      </c>
      <c r="AV373" s="489" t="str">
        <f>IF(AND(COUNTA(P373)=0,COUNTA(AC373)=1),LEFT(D373,3),"")</f>
        <v/>
      </c>
      <c r="AW373" s="491" t="str">
        <f>IF(AND(COUNTA(P373)=1,COUNTA(AC373)=0),LEFT(D373,3),"")</f>
        <v/>
      </c>
      <c r="AX373" s="493" t="str">
        <f>IF(AND(COUNTA(P373)=0,COUNTA(AC373)=0),LEFT(D373,3),"")</f>
        <v/>
      </c>
      <c r="AY373" s="514" t="str">
        <f>IFERROR(VLOOKUP(功能_33[[#This Row],[功能代號]],SIT_FT_2021tmp!D:D,1,FALSE),"")</f>
        <v>L6705</v>
      </c>
      <c r="AZ373" s="587">
        <v>44512</v>
      </c>
      <c r="BA373" s="587">
        <v>44512</v>
      </c>
      <c r="BB373" s="514" t="s">
        <v>3000</v>
      </c>
      <c r="BC373" s="265" t="s">
        <v>3063</v>
      </c>
      <c r="BD373" s="593"/>
      <c r="BE373" s="264" t="str">
        <f>IF(AND(COUNTIF(AY373,"&gt;&lt;0")=1,COUNTA(M373)=1),LEFT(D373,3),"")</f>
        <v>6-7</v>
      </c>
      <c r="BF373" s="264" t="str">
        <f>IF(AND(COUNTIF(AY373,"&gt;&lt;")=1,COUNTA(M373)=0),LEFT(D373,3),"")</f>
        <v/>
      </c>
      <c r="BG373" s="264" t="str">
        <f>IF(AND(COUNTIF(AY373,"&gt;&lt;0")=0,COUNTA(M373)=1),LEFT(D373,3),"")</f>
        <v/>
      </c>
      <c r="BH373" s="264" t="str">
        <f>IF(AND(COUNTIF(AY373,"&gt;&lt;0")=0,COUNTA(M373)=0),LEFT(D373,3),"")</f>
        <v/>
      </c>
    </row>
    <row r="374" spans="3:60" ht="13.5" x14ac:dyDescent="0.3">
      <c r="C374" s="265" t="s">
        <v>70</v>
      </c>
      <c r="D374" s="407" t="s">
        <v>2466</v>
      </c>
      <c r="E374" s="264" t="s">
        <v>1015</v>
      </c>
      <c r="F374" s="265" t="s">
        <v>1016</v>
      </c>
      <c r="G374" s="265"/>
      <c r="H374" s="264" t="s">
        <v>110</v>
      </c>
      <c r="I374" s="264" t="s">
        <v>3278</v>
      </c>
      <c r="J374" s="212" t="s">
        <v>2853</v>
      </c>
      <c r="K374" s="212"/>
      <c r="L374" s="272">
        <v>44582</v>
      </c>
      <c r="M374" s="272">
        <v>44573</v>
      </c>
      <c r="N374" s="272">
        <v>44398</v>
      </c>
      <c r="O374" s="272">
        <v>44398</v>
      </c>
      <c r="P374" s="272">
        <v>44536</v>
      </c>
      <c r="Q374" s="264" t="s">
        <v>6</v>
      </c>
      <c r="R374" s="264" t="s">
        <v>2938</v>
      </c>
      <c r="S374" s="264" t="s">
        <v>2938</v>
      </c>
      <c r="X374" s="264"/>
      <c r="Z374" s="264"/>
      <c r="AA374" s="264"/>
      <c r="AB374" s="265" t="str">
        <f>VLOOKUP(功能_33[[#This Row],[User]],SKL放款!A:G,7,FALSE)</f>
        <v>放款推展課</v>
      </c>
      <c r="AC374" s="272">
        <v>44536</v>
      </c>
      <c r="AD374" s="272" t="s">
        <v>107</v>
      </c>
      <c r="AE374" s="258">
        <v>44550</v>
      </c>
      <c r="AF374" s="272">
        <v>44550</v>
      </c>
      <c r="AG374" s="209">
        <v>44550</v>
      </c>
      <c r="AH374" s="272"/>
      <c r="AI374" s="272"/>
      <c r="AJ374" s="322"/>
      <c r="AK374" s="272">
        <f>IFERROR(IF(VLOOKUP(功能_33[[#This Row],[功能代號]],E:U,11,FALSE)=0,"",VLOOKUP(功能_33[[#This Row],[功能代號]],E:U,11,FALSE)),"")</f>
        <v>44398</v>
      </c>
      <c r="AL374" s="272"/>
      <c r="AM374" s="272"/>
      <c r="AN374" s="265"/>
      <c r="AO374" s="272">
        <v>44398</v>
      </c>
      <c r="AP374" s="264" t="s">
        <v>2603</v>
      </c>
      <c r="AQ374" s="264" t="s">
        <v>163</v>
      </c>
      <c r="AR374" s="593" t="s">
        <v>3207</v>
      </c>
      <c r="AS374" s="483" t="str">
        <f>IF(COUNTA(AG374)=1,LEFT(D374,3),"")</f>
        <v>6-7</v>
      </c>
      <c r="AT374" s="485" t="str">
        <f>IF(AND(COUNTA(O374)=1,COUNTA(P374)=1,COUNTA(AC374)=1,COUNTA(AF374)=1,COUNTA(AG374)=0),LEFT(D374,3),"")</f>
        <v/>
      </c>
      <c r="AU374" s="487" t="str">
        <f>IF(AND(COUNTA(O374)=1,COUNTA(P374)=1,COUNTA(AC374)=1,COUNTA(AF374)=0,COUNTA(AG374)=0),LEFT(D374,3),"")</f>
        <v/>
      </c>
      <c r="AV374" s="489" t="str">
        <f>IF(AND(COUNTA(P374)=0,COUNTA(AC374)=1),LEFT(D374,3),"")</f>
        <v/>
      </c>
      <c r="AW374" s="491" t="str">
        <f>IF(AND(COUNTA(P374)=1,COUNTA(AC374)=0),LEFT(D374,3),"")</f>
        <v/>
      </c>
      <c r="AX374" s="493" t="str">
        <f>IF(AND(COUNTA(P374)=0,COUNTA(AC374)=0),LEFT(D374,3),"")</f>
        <v/>
      </c>
      <c r="AY374" s="514" t="str">
        <f>IFERROR(VLOOKUP(功能_33[[#This Row],[功能代號]],SIT_FT_2021tmp!D:D,1,FALSE),"")</f>
        <v>L6757</v>
      </c>
      <c r="AZ374" s="587">
        <v>44515</v>
      </c>
      <c r="BA374" s="587">
        <v>44515</v>
      </c>
      <c r="BB374" s="514" t="s">
        <v>3000</v>
      </c>
      <c r="BC374" s="265" t="s">
        <v>3064</v>
      </c>
      <c r="BD374" s="593"/>
      <c r="BE374" s="264" t="str">
        <f>IF(AND(COUNTIF(AY374,"&gt;&lt;0")=1,COUNTA(M374)=1),LEFT(D374,3),"")</f>
        <v>6-7</v>
      </c>
      <c r="BF374" s="264" t="str">
        <f>IF(AND(COUNTIF(AY374,"&gt;&lt;")=1,COUNTA(M374)=0),LEFT(D374,3),"")</f>
        <v/>
      </c>
      <c r="BG374" s="264" t="str">
        <f>IF(AND(COUNTIF(AY374,"&gt;&lt;0")=0,COUNTA(M374)=1),LEFT(D374,3),"")</f>
        <v/>
      </c>
      <c r="BH374" s="264" t="str">
        <f>IF(AND(COUNTIF(AY374,"&gt;&lt;0")=0,COUNTA(M374)=0),LEFT(D374,3),"")</f>
        <v/>
      </c>
    </row>
    <row r="375" spans="3:60" ht="13.5" x14ac:dyDescent="0.3">
      <c r="C375" s="265" t="s">
        <v>70</v>
      </c>
      <c r="D375" s="265" t="s">
        <v>2466</v>
      </c>
      <c r="E375" s="264" t="s">
        <v>532</v>
      </c>
      <c r="F375" s="265" t="s">
        <v>531</v>
      </c>
      <c r="G375" s="265"/>
      <c r="H375" s="264" t="s">
        <v>166</v>
      </c>
      <c r="I375" s="264" t="s">
        <v>287</v>
      </c>
      <c r="J375" s="212" t="s">
        <v>2853</v>
      </c>
      <c r="K375" s="212"/>
      <c r="L375" s="272">
        <v>44567</v>
      </c>
      <c r="M375" s="272">
        <v>44567</v>
      </c>
      <c r="N375" s="272">
        <v>44515</v>
      </c>
      <c r="O375" s="272">
        <v>44466</v>
      </c>
      <c r="P375" s="272">
        <v>44466</v>
      </c>
      <c r="Q375" s="264" t="s">
        <v>6</v>
      </c>
      <c r="R375" s="264" t="s">
        <v>5</v>
      </c>
      <c r="S375" s="264" t="s">
        <v>5</v>
      </c>
      <c r="X375" s="264"/>
      <c r="Z375" s="264"/>
      <c r="AA375" s="264"/>
      <c r="AB375" s="265" t="str">
        <f>VLOOKUP(功能_33[[#This Row],[User]],SKL放款!A:G,7,FALSE)</f>
        <v>放款服務課</v>
      </c>
      <c r="AC375" s="272">
        <v>44533</v>
      </c>
      <c r="AD375" s="272" t="s">
        <v>168</v>
      </c>
      <c r="AE375" s="272">
        <v>44529</v>
      </c>
      <c r="AF375" s="272">
        <v>44529</v>
      </c>
      <c r="AG375" s="209">
        <v>44550</v>
      </c>
      <c r="AH375" s="272"/>
      <c r="AI375" s="272"/>
      <c r="AJ375" s="322"/>
      <c r="AK375" s="272">
        <f>IFERROR(IF(VLOOKUP(功能_33[[#This Row],[功能代號]],E:U,11,FALSE)=0,"",VLOOKUP(功能_33[[#This Row],[功能代號]],E:U,11,FALSE)),"")</f>
        <v>44466</v>
      </c>
      <c r="AL375" s="272"/>
      <c r="AM375" s="272"/>
      <c r="AN375" s="265"/>
      <c r="AO375" s="272"/>
      <c r="AP375" s="276" t="s">
        <v>530</v>
      </c>
      <c r="AQ375" s="277" t="s">
        <v>531</v>
      </c>
      <c r="AR375" s="593" t="s">
        <v>3207</v>
      </c>
      <c r="AS375" s="483" t="str">
        <f>IF(COUNTA(AG375)=1,LEFT(D375,3),"")</f>
        <v>6-7</v>
      </c>
      <c r="AT375" s="485" t="str">
        <f>IF(AND(COUNTA(O375)=1,COUNTA(P375)=1,COUNTA(AC375)=1,COUNTA(AF375)=1,COUNTA(AG375)=0),LEFT(D375,3),"")</f>
        <v/>
      </c>
      <c r="AU375" s="487" t="str">
        <f>IF(AND(COUNTA(O375)=1,COUNTA(P375)=1,COUNTA(AC375)=1,COUNTA(AF375)=0,COUNTA(AG375)=0),LEFT(D375,3),"")</f>
        <v/>
      </c>
      <c r="AV375" s="489" t="str">
        <f>IF(AND(COUNTA(P375)=0,COUNTA(AC375)=1),LEFT(D375,3),"")</f>
        <v/>
      </c>
      <c r="AW375" s="491" t="str">
        <f>IF(AND(COUNTA(P375)=1,COUNTA(AC375)=0),LEFT(D375,3),"")</f>
        <v/>
      </c>
      <c r="AX375" s="493" t="str">
        <f>IF(AND(COUNTA(P375)=0,COUNTA(AC375)=0),LEFT(D375,3),"")</f>
        <v/>
      </c>
      <c r="AY375" s="514" t="str">
        <f>IFERROR(VLOOKUP(功能_33[[#This Row],[功能代號]],SIT_FT_2021tmp!D:D,1,FALSE),"")</f>
        <v>L6707</v>
      </c>
      <c r="AZ375" s="587">
        <v>44512</v>
      </c>
      <c r="BA375" s="587">
        <v>44512</v>
      </c>
      <c r="BB375" s="514" t="s">
        <v>3073</v>
      </c>
      <c r="BC375" s="265" t="s">
        <v>3014</v>
      </c>
      <c r="BD375" s="593"/>
      <c r="BE375" s="264" t="str">
        <f>IF(AND(COUNTIF(AY375,"&gt;&lt;0")=1,COUNTA(M375)=1),LEFT(D375,3),"")</f>
        <v>6-7</v>
      </c>
      <c r="BF375" s="264" t="str">
        <f>IF(AND(COUNTIF(AY375,"&gt;&lt;")=1,COUNTA(M375)=0),LEFT(D375,3),"")</f>
        <v/>
      </c>
      <c r="BG375" s="264" t="str">
        <f>IF(AND(COUNTIF(AY375,"&gt;&lt;0")=0,COUNTA(M375)=1),LEFT(D375,3),"")</f>
        <v/>
      </c>
      <c r="BH375" s="264" t="str">
        <f>IF(AND(COUNTIF(AY375,"&gt;&lt;0")=0,COUNTA(M375)=0),LEFT(D375,3),"")</f>
        <v/>
      </c>
    </row>
    <row r="376" spans="3:60" ht="13.5" x14ac:dyDescent="0.3">
      <c r="C376" s="265" t="s">
        <v>70</v>
      </c>
      <c r="D376" s="265" t="s">
        <v>2466</v>
      </c>
      <c r="E376" s="264" t="s">
        <v>535</v>
      </c>
      <c r="F376" s="265" t="s">
        <v>536</v>
      </c>
      <c r="G376" s="265"/>
      <c r="H376" s="264" t="s">
        <v>166</v>
      </c>
      <c r="I376" s="264" t="s">
        <v>287</v>
      </c>
      <c r="J376" s="212" t="s">
        <v>2853</v>
      </c>
      <c r="K376" s="212"/>
      <c r="L376" s="272">
        <v>44567</v>
      </c>
      <c r="M376" s="272">
        <v>44567</v>
      </c>
      <c r="N376" s="272">
        <v>44515</v>
      </c>
      <c r="O376" s="272">
        <v>44466</v>
      </c>
      <c r="P376" s="272">
        <v>44466</v>
      </c>
      <c r="Q376" s="264" t="s">
        <v>1</v>
      </c>
      <c r="R376" s="264" t="s">
        <v>5</v>
      </c>
      <c r="S376" s="264" t="s">
        <v>5</v>
      </c>
      <c r="X376" s="264"/>
      <c r="Z376" s="264"/>
      <c r="AA376" s="264"/>
      <c r="AB376" s="265" t="str">
        <f>VLOOKUP(功能_33[[#This Row],[User]],SKL放款!A:G,7,FALSE)</f>
        <v>放款服務課</v>
      </c>
      <c r="AC376" s="272">
        <v>44533</v>
      </c>
      <c r="AD376" s="272" t="s">
        <v>168</v>
      </c>
      <c r="AE376" s="272">
        <v>44529</v>
      </c>
      <c r="AF376" s="272">
        <v>44529</v>
      </c>
      <c r="AG376" s="209">
        <v>44550</v>
      </c>
      <c r="AH376" s="272"/>
      <c r="AI376" s="272"/>
      <c r="AJ376" s="322"/>
      <c r="AK376" s="272">
        <f>IFERROR(IF(VLOOKUP(功能_33[[#This Row],[功能代號]],E:U,11,FALSE)=0,"",VLOOKUP(功能_33[[#This Row],[功能代號]],E:U,11,FALSE)),"")</f>
        <v>44466</v>
      </c>
      <c r="AL376" s="272"/>
      <c r="AM376" s="272"/>
      <c r="AN376" s="265"/>
      <c r="AO376" s="272"/>
      <c r="AP376" s="264" t="s">
        <v>163</v>
      </c>
      <c r="AQ376" s="264" t="s">
        <v>163</v>
      </c>
      <c r="AR376" s="593" t="s">
        <v>3207</v>
      </c>
      <c r="AS376" s="483" t="str">
        <f>IF(COUNTA(AG376)=1,LEFT(D376,3),"")</f>
        <v>6-7</v>
      </c>
      <c r="AT376" s="485" t="str">
        <f>IF(AND(COUNTA(O376)=1,COUNTA(P376)=1,COUNTA(AC376)=1,COUNTA(AF376)=1,COUNTA(AG376)=0),LEFT(D376,3),"")</f>
        <v/>
      </c>
      <c r="AU376" s="487" t="str">
        <f>IF(AND(COUNTA(O376)=1,COUNTA(P376)=1,COUNTA(AC376)=1,COUNTA(AF376)=0,COUNTA(AG376)=0),LEFT(D376,3),"")</f>
        <v/>
      </c>
      <c r="AV376" s="489" t="str">
        <f>IF(AND(COUNTA(P376)=0,COUNTA(AC376)=1),LEFT(D376,3),"")</f>
        <v/>
      </c>
      <c r="AW376" s="491" t="str">
        <f>IF(AND(COUNTA(P376)=1,COUNTA(AC376)=0),LEFT(D376,3),"")</f>
        <v/>
      </c>
      <c r="AX376" s="493" t="str">
        <f>IF(AND(COUNTA(P376)=0,COUNTA(AC376)=0),LEFT(D376,3),"")</f>
        <v/>
      </c>
      <c r="AY376" s="514" t="str">
        <f>IFERROR(VLOOKUP(功能_33[[#This Row],[功能代號]],SIT_FT_2021tmp!D:D,1,FALSE),"")</f>
        <v>L6708</v>
      </c>
      <c r="AZ376" s="587">
        <v>44512</v>
      </c>
      <c r="BA376" s="587">
        <v>44512</v>
      </c>
      <c r="BB376" s="514" t="s">
        <v>3073</v>
      </c>
      <c r="BC376" s="265" t="s">
        <v>3014</v>
      </c>
      <c r="BD376" s="593"/>
      <c r="BE376" s="264" t="str">
        <f>IF(AND(COUNTIF(AY376,"&gt;&lt;0")=1,COUNTA(M376)=1),LEFT(D376,3),"")</f>
        <v>6-7</v>
      </c>
      <c r="BF376" s="264" t="str">
        <f>IF(AND(COUNTIF(AY376,"&gt;&lt;")=1,COUNTA(M376)=0),LEFT(D376,3),"")</f>
        <v/>
      </c>
      <c r="BG376" s="264" t="str">
        <f>IF(AND(COUNTIF(AY376,"&gt;&lt;0")=0,COUNTA(M376)=1),LEFT(D376,3),"")</f>
        <v/>
      </c>
      <c r="BH376" s="264" t="str">
        <f>IF(AND(COUNTIF(AY376,"&gt;&lt;0")=0,COUNTA(M376)=0),LEFT(D376,3),"")</f>
        <v/>
      </c>
    </row>
    <row r="377" spans="3:60" ht="13.5" x14ac:dyDescent="0.3">
      <c r="C377" s="265" t="s">
        <v>70</v>
      </c>
      <c r="D377" s="407" t="s">
        <v>2466</v>
      </c>
      <c r="E377" s="264" t="s">
        <v>1021</v>
      </c>
      <c r="F377" s="265" t="s">
        <v>1022</v>
      </c>
      <c r="G377" s="265"/>
      <c r="H377" s="264" t="s">
        <v>110</v>
      </c>
      <c r="I377" s="264" t="s">
        <v>3278</v>
      </c>
      <c r="J377" s="212" t="s">
        <v>2853</v>
      </c>
      <c r="K377" s="212"/>
      <c r="L377" s="272">
        <v>44575</v>
      </c>
      <c r="M377" s="272">
        <v>44573</v>
      </c>
      <c r="N377" s="272">
        <v>44397</v>
      </c>
      <c r="O377" s="272">
        <v>44397</v>
      </c>
      <c r="P377" s="272">
        <v>44397</v>
      </c>
      <c r="Q377" s="264" t="s">
        <v>6</v>
      </c>
      <c r="R377" s="264" t="s">
        <v>2938</v>
      </c>
      <c r="S377" s="264" t="s">
        <v>2938</v>
      </c>
      <c r="X377" s="264"/>
      <c r="Z377" s="264"/>
      <c r="AA377" s="264"/>
      <c r="AB377" s="265" t="str">
        <f>VLOOKUP(功能_33[[#This Row],[User]],SKL放款!A:G,7,FALSE)</f>
        <v>放款推展課</v>
      </c>
      <c r="AC377" s="272">
        <v>44533</v>
      </c>
      <c r="AD377" s="272" t="s">
        <v>168</v>
      </c>
      <c r="AE377" s="272"/>
      <c r="AF377" s="272">
        <v>44397</v>
      </c>
      <c r="AG377" s="209">
        <v>44550</v>
      </c>
      <c r="AH377" s="272"/>
      <c r="AI377" s="272"/>
      <c r="AJ377" s="322"/>
      <c r="AK377" s="272">
        <f>IFERROR(IF(VLOOKUP(功能_33[[#This Row],[功能代號]],E:U,11,FALSE)=0,"",VLOOKUP(功能_33[[#This Row],[功能代號]],E:U,11,FALSE)),"")</f>
        <v>44397</v>
      </c>
      <c r="AL377" s="272"/>
      <c r="AM377" s="272"/>
      <c r="AN377" s="265"/>
      <c r="AO377" s="272">
        <v>44397</v>
      </c>
      <c r="AP377" s="264" t="s">
        <v>2603</v>
      </c>
      <c r="AQ377" s="264" t="s">
        <v>163</v>
      </c>
      <c r="AR377" s="593" t="s">
        <v>3207</v>
      </c>
      <c r="AS377" s="483" t="str">
        <f>IF(COUNTA(AG377)=1,LEFT(D377,3),"")</f>
        <v>6-7</v>
      </c>
      <c r="AT377" s="485" t="str">
        <f>IF(AND(COUNTA(O377)=1,COUNTA(P377)=1,COUNTA(AC377)=1,COUNTA(AF377)=1,COUNTA(AG377)=0),LEFT(D377,3),"")</f>
        <v/>
      </c>
      <c r="AU377" s="487" t="str">
        <f>IF(AND(COUNTA(O377)=1,COUNTA(P377)=1,COUNTA(AC377)=1,COUNTA(AF377)=0,COUNTA(AG377)=0),LEFT(D377,3),"")</f>
        <v/>
      </c>
      <c r="AV377" s="489" t="str">
        <f>IF(AND(COUNTA(P377)=0,COUNTA(AC377)=1),LEFT(D377,3),"")</f>
        <v/>
      </c>
      <c r="AW377" s="491" t="str">
        <f>IF(AND(COUNTA(P377)=1,COUNTA(AC377)=0),LEFT(D377,3),"")</f>
        <v/>
      </c>
      <c r="AX377" s="493" t="str">
        <f>IF(AND(COUNTA(P377)=0,COUNTA(AC377)=0),LEFT(D377,3),"")</f>
        <v/>
      </c>
      <c r="AY377" s="514" t="str">
        <f>IFERROR(VLOOKUP(功能_33[[#This Row],[功能代號]],SIT_FT_2021tmp!D:D,1,FALSE),"")</f>
        <v>L6087</v>
      </c>
      <c r="AZ377" s="587">
        <v>44515</v>
      </c>
      <c r="BA377" s="587">
        <v>44515</v>
      </c>
      <c r="BB377" s="514" t="s">
        <v>3000</v>
      </c>
      <c r="BC377" s="265" t="s">
        <v>3064</v>
      </c>
      <c r="BD377" s="593"/>
      <c r="BE377" s="264" t="str">
        <f>IF(AND(COUNTIF(AY377,"&gt;&lt;0")=1,COUNTA(M377)=1),LEFT(D377,3),"")</f>
        <v>6-7</v>
      </c>
      <c r="BF377" s="264" t="str">
        <f>IF(AND(COUNTIF(AY377,"&gt;&lt;")=1,COUNTA(M377)=0),LEFT(D377,3),"")</f>
        <v/>
      </c>
      <c r="BG377" s="264" t="str">
        <f>IF(AND(COUNTIF(AY377,"&gt;&lt;0")=0,COUNTA(M377)=1),LEFT(D377,3),"")</f>
        <v/>
      </c>
      <c r="BH377" s="264" t="str">
        <f>IF(AND(COUNTIF(AY377,"&gt;&lt;0")=0,COUNTA(M377)=0),LEFT(D377,3),"")</f>
        <v/>
      </c>
    </row>
    <row r="378" spans="3:60" ht="13.5" x14ac:dyDescent="0.3">
      <c r="C378" s="265" t="s">
        <v>70</v>
      </c>
      <c r="D378" s="407" t="s">
        <v>2466</v>
      </c>
      <c r="E378" s="264" t="s">
        <v>1023</v>
      </c>
      <c r="F378" s="265" t="s">
        <v>1024</v>
      </c>
      <c r="G378" s="265"/>
      <c r="H378" s="264" t="s">
        <v>110</v>
      </c>
      <c r="I378" s="264" t="s">
        <v>3278</v>
      </c>
      <c r="J378" s="212" t="s">
        <v>2853</v>
      </c>
      <c r="K378" s="212"/>
      <c r="L378" s="272">
        <v>44582</v>
      </c>
      <c r="M378" s="272">
        <v>44580</v>
      </c>
      <c r="N378" s="272">
        <v>44397</v>
      </c>
      <c r="O378" s="272">
        <v>44397</v>
      </c>
      <c r="P378" s="272">
        <v>44536</v>
      </c>
      <c r="Q378" s="264" t="s">
        <v>6</v>
      </c>
      <c r="R378" s="264" t="s">
        <v>2938</v>
      </c>
      <c r="S378" s="264" t="s">
        <v>2938</v>
      </c>
      <c r="X378" s="264"/>
      <c r="Z378" s="264"/>
      <c r="AA378" s="264"/>
      <c r="AB378" s="265" t="str">
        <f>VLOOKUP(功能_33[[#This Row],[User]],SKL放款!A:G,7,FALSE)</f>
        <v>放款推展課</v>
      </c>
      <c r="AC378" s="272">
        <v>44536</v>
      </c>
      <c r="AD378" s="272" t="s">
        <v>107</v>
      </c>
      <c r="AE378" s="258">
        <v>44550</v>
      </c>
      <c r="AF378" s="272">
        <v>44550</v>
      </c>
      <c r="AG378" s="209">
        <v>44550</v>
      </c>
      <c r="AH378" s="272"/>
      <c r="AI378" s="272"/>
      <c r="AJ378" s="322"/>
      <c r="AK378" s="272">
        <f>IFERROR(IF(VLOOKUP(功能_33[[#This Row],[功能代號]],E:U,11,FALSE)=0,"",VLOOKUP(功能_33[[#This Row],[功能代號]],E:U,11,FALSE)),"")</f>
        <v>44397</v>
      </c>
      <c r="AL378" s="272"/>
      <c r="AM378" s="272"/>
      <c r="AN378" s="265"/>
      <c r="AO378" s="272">
        <v>44397</v>
      </c>
      <c r="AP378" s="264" t="s">
        <v>2603</v>
      </c>
      <c r="AQ378" s="264" t="s">
        <v>163</v>
      </c>
      <c r="AR378" s="593" t="s">
        <v>3207</v>
      </c>
      <c r="AS378" s="483" t="str">
        <f>IF(COUNTA(AG378)=1,LEFT(D378,3),"")</f>
        <v>6-7</v>
      </c>
      <c r="AT378" s="485" t="str">
        <f>IF(AND(COUNTA(O378)=1,COUNTA(P378)=1,COUNTA(AC378)=1,COUNTA(AF378)=1,COUNTA(AG378)=0),LEFT(D378,3),"")</f>
        <v/>
      </c>
      <c r="AU378" s="487" t="str">
        <f>IF(AND(COUNTA(O378)=1,COUNTA(P378)=1,COUNTA(AC378)=1,COUNTA(AF378)=0,COUNTA(AG378)=0),LEFT(D378,3),"")</f>
        <v/>
      </c>
      <c r="AV378" s="489" t="str">
        <f>IF(AND(COUNTA(P378)=0,COUNTA(AC378)=1),LEFT(D378,3),"")</f>
        <v/>
      </c>
      <c r="AW378" s="491" t="str">
        <f>IF(AND(COUNTA(P378)=1,COUNTA(AC378)=0),LEFT(D378,3),"")</f>
        <v/>
      </c>
      <c r="AX378" s="493" t="str">
        <f>IF(AND(COUNTA(P378)=0,COUNTA(AC378)=0),LEFT(D378,3),"")</f>
        <v/>
      </c>
      <c r="AY378" s="514" t="str">
        <f>IFERROR(VLOOKUP(功能_33[[#This Row],[功能代號]],SIT_FT_2021tmp!D:D,1,FALSE),"")</f>
        <v>L6787</v>
      </c>
      <c r="AZ378" s="587">
        <v>44515</v>
      </c>
      <c r="BA378" s="587">
        <v>44515</v>
      </c>
      <c r="BB378" s="514" t="s">
        <v>3000</v>
      </c>
      <c r="BC378" s="265" t="s">
        <v>3064</v>
      </c>
      <c r="BD378" s="593"/>
      <c r="BE378" s="264" t="str">
        <f>IF(AND(COUNTIF(AY378,"&gt;&lt;0")=1,COUNTA(M378)=1),LEFT(D378,3),"")</f>
        <v>6-7</v>
      </c>
      <c r="BF378" s="264" t="str">
        <f>IF(AND(COUNTIF(AY378,"&gt;&lt;")=1,COUNTA(M378)=0),LEFT(D378,3),"")</f>
        <v/>
      </c>
      <c r="BG378" s="264" t="str">
        <f>IF(AND(COUNTIF(AY378,"&gt;&lt;0")=0,COUNTA(M378)=1),LEFT(D378,3),"")</f>
        <v/>
      </c>
      <c r="BH378" s="264" t="str">
        <f>IF(AND(COUNTIF(AY378,"&gt;&lt;0")=0,COUNTA(M378)=0),LEFT(D378,3),"")</f>
        <v/>
      </c>
    </row>
    <row r="379" spans="3:60" ht="13.5" x14ac:dyDescent="0.3">
      <c r="C379" s="265" t="s">
        <v>70</v>
      </c>
      <c r="D379" s="265" t="s">
        <v>2466</v>
      </c>
      <c r="E379" s="264" t="s">
        <v>590</v>
      </c>
      <c r="F379" s="265" t="s">
        <v>591</v>
      </c>
      <c r="G379" s="265"/>
      <c r="H379" s="264" t="s">
        <v>166</v>
      </c>
      <c r="I379" s="264" t="s">
        <v>287</v>
      </c>
      <c r="J379" s="212" t="s">
        <v>2853</v>
      </c>
      <c r="K379" s="212"/>
      <c r="L379" s="272">
        <v>44567</v>
      </c>
      <c r="M379" s="272">
        <v>44567</v>
      </c>
      <c r="N379" s="272">
        <v>44516</v>
      </c>
      <c r="O379" s="272">
        <v>44467</v>
      </c>
      <c r="P379" s="272">
        <v>44467</v>
      </c>
      <c r="Q379" s="264" t="s">
        <v>6</v>
      </c>
      <c r="R379" s="264" t="s">
        <v>145</v>
      </c>
      <c r="S379" s="264" t="s">
        <v>145</v>
      </c>
      <c r="X379" s="264"/>
      <c r="Z379" s="264"/>
      <c r="AA379" s="264"/>
      <c r="AB379" s="265" t="str">
        <f>VLOOKUP(功能_33[[#This Row],[User]],SKL放款!A:G,7,FALSE)</f>
        <v>放款服務課</v>
      </c>
      <c r="AC379" s="272">
        <v>44533</v>
      </c>
      <c r="AD379" s="272" t="s">
        <v>168</v>
      </c>
      <c r="AE379" s="272">
        <v>44529</v>
      </c>
      <c r="AF379" s="272">
        <v>44529</v>
      </c>
      <c r="AG379" s="209">
        <v>44550</v>
      </c>
      <c r="AH379" s="272"/>
      <c r="AI379" s="272"/>
      <c r="AJ379" s="322"/>
      <c r="AK379" s="272">
        <f>IFERROR(IF(VLOOKUP(功能_33[[#This Row],[功能代號]],E:U,11,FALSE)=0,"",VLOOKUP(功能_33[[#This Row],[功能代號]],E:U,11,FALSE)),"")</f>
        <v>44467</v>
      </c>
      <c r="AL379" s="272"/>
      <c r="AM379" s="272"/>
      <c r="AN379" s="265"/>
      <c r="AO379" s="272"/>
      <c r="AP379" s="276" t="s">
        <v>588</v>
      </c>
      <c r="AQ379" s="277" t="s">
        <v>589</v>
      </c>
      <c r="AR379" s="593" t="s">
        <v>3207</v>
      </c>
      <c r="AS379" s="483" t="str">
        <f>IF(COUNTA(AG379)=1,LEFT(D379,3),"")</f>
        <v>6-7</v>
      </c>
      <c r="AT379" s="485" t="str">
        <f>IF(AND(COUNTA(O379)=1,COUNTA(P379)=1,COUNTA(AC379)=1,COUNTA(AF379)=1,COUNTA(AG379)=0),LEFT(D379,3),"")</f>
        <v/>
      </c>
      <c r="AU379" s="487" t="str">
        <f>IF(AND(COUNTA(O379)=1,COUNTA(P379)=1,COUNTA(AC379)=1,COUNTA(AF379)=0,COUNTA(AG379)=0),LEFT(D379,3),"")</f>
        <v/>
      </c>
      <c r="AV379" s="489" t="str">
        <f>IF(AND(COUNTA(P379)=0,COUNTA(AC379)=1),LEFT(D379,3),"")</f>
        <v/>
      </c>
      <c r="AW379" s="491" t="str">
        <f>IF(AND(COUNTA(P379)=1,COUNTA(AC379)=0),LEFT(D379,3),"")</f>
        <v/>
      </c>
      <c r="AX379" s="493" t="str">
        <f>IF(AND(COUNTA(P379)=0,COUNTA(AC379)=0),LEFT(D379,3),"")</f>
        <v/>
      </c>
      <c r="AY379" s="514" t="str">
        <f>IFERROR(VLOOKUP(功能_33[[#This Row],[功能代號]],SIT_FT_2021tmp!D:D,1,FALSE),"")</f>
        <v>L6709</v>
      </c>
      <c r="AZ379" s="587">
        <v>44529</v>
      </c>
      <c r="BA379" s="587">
        <v>44529</v>
      </c>
      <c r="BB379" s="514" t="s">
        <v>3073</v>
      </c>
      <c r="BC379" s="265" t="s">
        <v>3035</v>
      </c>
      <c r="BD379" s="593"/>
      <c r="BE379" s="264" t="str">
        <f>IF(AND(COUNTIF(AY379,"&gt;&lt;0")=1,COUNTA(M379)=1),LEFT(D379,3),"")</f>
        <v>6-7</v>
      </c>
      <c r="BF379" s="264" t="str">
        <f>IF(AND(COUNTIF(AY379,"&gt;&lt;")=1,COUNTA(M379)=0),LEFT(D379,3),"")</f>
        <v/>
      </c>
      <c r="BG379" s="264" t="str">
        <f>IF(AND(COUNTIF(AY379,"&gt;&lt;0")=0,COUNTA(M379)=1),LEFT(D379,3),"")</f>
        <v/>
      </c>
      <c r="BH379" s="264" t="str">
        <f>IF(AND(COUNTIF(AY379,"&gt;&lt;0")=0,COUNTA(M379)=0),LEFT(D379,3),"")</f>
        <v/>
      </c>
    </row>
    <row r="380" spans="3:60" ht="13.5" x14ac:dyDescent="0.3">
      <c r="C380" s="265" t="s">
        <v>70</v>
      </c>
      <c r="D380" s="407" t="s">
        <v>2464</v>
      </c>
      <c r="E380" s="264" t="s">
        <v>1027</v>
      </c>
      <c r="F380" s="251" t="s">
        <v>1028</v>
      </c>
      <c r="G380" s="251" t="s">
        <v>1029</v>
      </c>
      <c r="H380" s="264" t="s">
        <v>166</v>
      </c>
      <c r="I380" s="264" t="s">
        <v>3278</v>
      </c>
      <c r="J380" s="212" t="s">
        <v>389</v>
      </c>
      <c r="K380" s="212"/>
      <c r="L380" s="272">
        <v>44579</v>
      </c>
      <c r="M380" s="272">
        <v>44579</v>
      </c>
      <c r="N380" s="272">
        <v>44397</v>
      </c>
      <c r="O380" s="272">
        <v>44397</v>
      </c>
      <c r="P380" s="272">
        <v>44397</v>
      </c>
      <c r="Q380" s="264" t="s">
        <v>6</v>
      </c>
      <c r="R380" s="264" t="s">
        <v>2938</v>
      </c>
      <c r="S380" s="264" t="s">
        <v>2938</v>
      </c>
      <c r="X380" s="264"/>
      <c r="Z380" s="264"/>
      <c r="AA380" s="264"/>
      <c r="AB380" s="265" t="str">
        <f>VLOOKUP(功能_33[[#This Row],[User]],SKL放款!A:G,7,FALSE)</f>
        <v>放款推展課</v>
      </c>
      <c r="AC380" s="272">
        <v>44533</v>
      </c>
      <c r="AD380" s="272" t="s">
        <v>168</v>
      </c>
      <c r="AE380" s="272"/>
      <c r="AF380" s="272">
        <v>44397</v>
      </c>
      <c r="AG380" s="209">
        <v>44544</v>
      </c>
      <c r="AH380" s="272"/>
      <c r="AI380" s="272"/>
      <c r="AJ380" s="322"/>
      <c r="AK380" s="272">
        <f>IFERROR(IF(VLOOKUP(功能_33[[#This Row],[功能代號]],E:U,11,FALSE)=0,"",VLOOKUP(功能_33[[#This Row],[功能代號]],E:U,11,FALSE)),"")</f>
        <v>44397</v>
      </c>
      <c r="AL380" s="272"/>
      <c r="AM380" s="272"/>
      <c r="AN380" s="265"/>
      <c r="AO380" s="272">
        <v>44397</v>
      </c>
      <c r="AP380" s="264" t="s">
        <v>2603</v>
      </c>
      <c r="AQ380" s="264" t="s">
        <v>163</v>
      </c>
      <c r="AR380" s="593" t="s">
        <v>3207</v>
      </c>
      <c r="AS380" s="483" t="str">
        <f>IF(COUNTA(AG380)=1,LEFT(D380,3),"")</f>
        <v>6-5</v>
      </c>
      <c r="AT380" s="485" t="str">
        <f>IF(AND(COUNTA(O380)=1,COUNTA(P380)=1,COUNTA(AC380)=1,COUNTA(AF380)=1,COUNTA(AG380)=0),LEFT(D380,3),"")</f>
        <v/>
      </c>
      <c r="AU380" s="487" t="str">
        <f>IF(AND(COUNTA(O380)=1,COUNTA(P380)=1,COUNTA(AC380)=1,COUNTA(AF380)=0,COUNTA(AG380)=0),LEFT(D380,3),"")</f>
        <v/>
      </c>
      <c r="AV380" s="489" t="str">
        <f>IF(AND(COUNTA(P380)=0,COUNTA(AC380)=1),LEFT(D380,3),"")</f>
        <v/>
      </c>
      <c r="AW380" s="491" t="str">
        <f>IF(AND(COUNTA(P380)=1,COUNTA(AC380)=0),LEFT(D380,3),"")</f>
        <v/>
      </c>
      <c r="AX380" s="493" t="str">
        <f>IF(AND(COUNTA(P380)=0,COUNTA(AC380)=0),LEFT(D380,3),"")</f>
        <v/>
      </c>
      <c r="AY380" s="514" t="str">
        <f>IFERROR(VLOOKUP(功能_33[[#This Row],[功能代號]],SIT_FT_2021tmp!D:D,1,FALSE),"")</f>
        <v>L650A</v>
      </c>
      <c r="AZ380" s="587">
        <v>44515</v>
      </c>
      <c r="BA380" s="587">
        <v>44515</v>
      </c>
      <c r="BB380" s="514" t="s">
        <v>3000</v>
      </c>
      <c r="BC380" s="265" t="s">
        <v>3064</v>
      </c>
      <c r="BD380" s="593"/>
      <c r="BE380" s="264" t="str">
        <f>IF(AND(COUNTIF(AY380,"&gt;&lt;0")=1,COUNTA(M380)=1),LEFT(D380,3),"")</f>
        <v>6-5</v>
      </c>
      <c r="BF380" s="264" t="str">
        <f>IF(AND(COUNTIF(AY380,"&gt;&lt;")=1,COUNTA(M380)=0),LEFT(D380,3),"")</f>
        <v/>
      </c>
      <c r="BG380" s="264" t="str">
        <f>IF(AND(COUNTIF(AY380,"&gt;&lt;0")=0,COUNTA(M380)=1),LEFT(D380,3),"")</f>
        <v/>
      </c>
      <c r="BH380" s="264" t="str">
        <f>IF(AND(COUNTIF(AY380,"&gt;&lt;0")=0,COUNTA(M380)=0),LEFT(D380,3),"")</f>
        <v/>
      </c>
    </row>
    <row r="381" spans="3:60" ht="13.5" x14ac:dyDescent="0.3">
      <c r="C381" s="265" t="s">
        <v>70</v>
      </c>
      <c r="D381" s="407" t="s">
        <v>2464</v>
      </c>
      <c r="E381" s="264" t="s">
        <v>1030</v>
      </c>
      <c r="F381" s="251" t="s">
        <v>1031</v>
      </c>
      <c r="G381" s="251" t="s">
        <v>1032</v>
      </c>
      <c r="H381" s="264" t="s">
        <v>166</v>
      </c>
      <c r="I381" s="264" t="s">
        <v>3278</v>
      </c>
      <c r="J381" s="212" t="s">
        <v>389</v>
      </c>
      <c r="K381" s="212"/>
      <c r="L381" s="272">
        <v>44579</v>
      </c>
      <c r="M381" s="272">
        <v>44579</v>
      </c>
      <c r="N381" s="272">
        <v>44397</v>
      </c>
      <c r="O381" s="272">
        <v>44397</v>
      </c>
      <c r="P381" s="272">
        <v>44397</v>
      </c>
      <c r="Q381" s="264" t="s">
        <v>6</v>
      </c>
      <c r="R381" s="264" t="s">
        <v>2938</v>
      </c>
      <c r="S381" s="264" t="s">
        <v>2938</v>
      </c>
      <c r="X381" s="264"/>
      <c r="Z381" s="264"/>
      <c r="AA381" s="264"/>
      <c r="AB381" s="265" t="str">
        <f>VLOOKUP(功能_33[[#This Row],[User]],SKL放款!A:G,7,FALSE)</f>
        <v>放款推展課</v>
      </c>
      <c r="AC381" s="272">
        <v>44533</v>
      </c>
      <c r="AD381" s="272" t="s">
        <v>168</v>
      </c>
      <c r="AE381" s="272"/>
      <c r="AF381" s="272">
        <v>44397</v>
      </c>
      <c r="AG381" s="209">
        <v>44544</v>
      </c>
      <c r="AH381" s="272"/>
      <c r="AI381" s="272"/>
      <c r="AJ381" s="322"/>
      <c r="AK381" s="272">
        <f>IFERROR(IF(VLOOKUP(功能_33[[#This Row],[功能代號]],E:U,11,FALSE)=0,"",VLOOKUP(功能_33[[#This Row],[功能代號]],E:U,11,FALSE)),"")</f>
        <v>44397</v>
      </c>
      <c r="AL381" s="272"/>
      <c r="AM381" s="272"/>
      <c r="AN381" s="265"/>
      <c r="AO381" s="272">
        <v>44397</v>
      </c>
      <c r="AP381" s="264" t="s">
        <v>2603</v>
      </c>
      <c r="AQ381" s="264" t="s">
        <v>163</v>
      </c>
      <c r="AR381" s="593" t="s">
        <v>3207</v>
      </c>
      <c r="AS381" s="483" t="str">
        <f>IF(COUNTA(AG381)=1,LEFT(D381,3),"")</f>
        <v>6-5</v>
      </c>
      <c r="AT381" s="485" t="str">
        <f>IF(AND(COUNTA(O381)=1,COUNTA(P381)=1,COUNTA(AC381)=1,COUNTA(AF381)=1,COUNTA(AG381)=0),LEFT(D381,3),"")</f>
        <v/>
      </c>
      <c r="AU381" s="487" t="str">
        <f>IF(AND(COUNTA(O381)=1,COUNTA(P381)=1,COUNTA(AC381)=1,COUNTA(AF381)=0,COUNTA(AG381)=0),LEFT(D381,3),"")</f>
        <v/>
      </c>
      <c r="AV381" s="489" t="str">
        <f>IF(AND(COUNTA(P381)=0,COUNTA(AC381)=1),LEFT(D381,3),"")</f>
        <v/>
      </c>
      <c r="AW381" s="491" t="str">
        <f>IF(AND(COUNTA(P381)=1,COUNTA(AC381)=0),LEFT(D381,3),"")</f>
        <v/>
      </c>
      <c r="AX381" s="493" t="str">
        <f>IF(AND(COUNTA(P381)=0,COUNTA(AC381)=0),LEFT(D381,3),"")</f>
        <v/>
      </c>
      <c r="AY381" s="514" t="str">
        <f>IFERROR(VLOOKUP(功能_33[[#This Row],[功能代號]],SIT_FT_2021tmp!D:D,1,FALSE),"")</f>
        <v>L650B</v>
      </c>
      <c r="AZ381" s="587">
        <v>44515</v>
      </c>
      <c r="BA381" s="587">
        <v>44515</v>
      </c>
      <c r="BB381" s="514" t="s">
        <v>3000</v>
      </c>
      <c r="BC381" s="265" t="s">
        <v>3064</v>
      </c>
      <c r="BD381" s="593"/>
      <c r="BE381" s="264" t="str">
        <f>IF(AND(COUNTIF(AY381,"&gt;&lt;0")=1,COUNTA(M381)=1),LEFT(D381,3),"")</f>
        <v>6-5</v>
      </c>
      <c r="BF381" s="264" t="str">
        <f>IF(AND(COUNTIF(AY381,"&gt;&lt;")=1,COUNTA(M381)=0),LEFT(D381,3),"")</f>
        <v/>
      </c>
      <c r="BG381" s="264" t="str">
        <f>IF(AND(COUNTIF(AY381,"&gt;&lt;0")=0,COUNTA(M381)=1),LEFT(D381,3),"")</f>
        <v/>
      </c>
      <c r="BH381" s="264" t="str">
        <f>IF(AND(COUNTIF(AY381,"&gt;&lt;0")=0,COUNTA(M381)=0),LEFT(D381,3),"")</f>
        <v/>
      </c>
    </row>
    <row r="382" spans="3:60" ht="13.5" x14ac:dyDescent="0.3">
      <c r="C382" s="265" t="s">
        <v>70</v>
      </c>
      <c r="D382" s="407" t="s">
        <v>2464</v>
      </c>
      <c r="E382" s="264" t="s">
        <v>1033</v>
      </c>
      <c r="F382" s="251" t="s">
        <v>1034</v>
      </c>
      <c r="G382" s="251" t="s">
        <v>1032</v>
      </c>
      <c r="H382" s="264" t="s">
        <v>166</v>
      </c>
      <c r="I382" s="264" t="s">
        <v>3278</v>
      </c>
      <c r="J382" s="212" t="s">
        <v>389</v>
      </c>
      <c r="K382" s="212"/>
      <c r="L382" s="272">
        <v>44579</v>
      </c>
      <c r="M382" s="272">
        <v>44579</v>
      </c>
      <c r="N382" s="272">
        <v>44397</v>
      </c>
      <c r="O382" s="272">
        <v>44397</v>
      </c>
      <c r="P382" s="272">
        <v>44397</v>
      </c>
      <c r="Q382" s="264" t="s">
        <v>6</v>
      </c>
      <c r="R382" s="264" t="s">
        <v>2938</v>
      </c>
      <c r="S382" s="264" t="s">
        <v>2938</v>
      </c>
      <c r="X382" s="264"/>
      <c r="Z382" s="264"/>
      <c r="AA382" s="264"/>
      <c r="AB382" s="265" t="str">
        <f>VLOOKUP(功能_33[[#This Row],[User]],SKL放款!A:G,7,FALSE)</f>
        <v>放款推展課</v>
      </c>
      <c r="AC382" s="272">
        <v>44533</v>
      </c>
      <c r="AD382" s="272" t="s">
        <v>168</v>
      </c>
      <c r="AE382" s="272"/>
      <c r="AF382" s="272">
        <v>44397</v>
      </c>
      <c r="AG382" s="209">
        <v>44544</v>
      </c>
      <c r="AH382" s="272"/>
      <c r="AI382" s="272"/>
      <c r="AJ382" s="322"/>
      <c r="AK382" s="272">
        <f>IFERROR(IF(VLOOKUP(功能_33[[#This Row],[功能代號]],E:U,11,FALSE)=0,"",VLOOKUP(功能_33[[#This Row],[功能代號]],E:U,11,FALSE)),"")</f>
        <v>44397</v>
      </c>
      <c r="AL382" s="272"/>
      <c r="AM382" s="272"/>
      <c r="AN382" s="265"/>
      <c r="AO382" s="272">
        <v>44397</v>
      </c>
      <c r="AP382" s="264" t="s">
        <v>2603</v>
      </c>
      <c r="AQ382" s="264" t="s">
        <v>163</v>
      </c>
      <c r="AR382" s="593" t="s">
        <v>3207</v>
      </c>
      <c r="AS382" s="483" t="str">
        <f>IF(COUNTA(AG382)=1,LEFT(D382,3),"")</f>
        <v>6-5</v>
      </c>
      <c r="AT382" s="485" t="str">
        <f>IF(AND(COUNTA(O382)=1,COUNTA(P382)=1,COUNTA(AC382)=1,COUNTA(AF382)=1,COUNTA(AG382)=0),LEFT(D382,3),"")</f>
        <v/>
      </c>
      <c r="AU382" s="487" t="str">
        <f>IF(AND(COUNTA(O382)=1,COUNTA(P382)=1,COUNTA(AC382)=1,COUNTA(AF382)=0,COUNTA(AG382)=0),LEFT(D382,3),"")</f>
        <v/>
      </c>
      <c r="AV382" s="489" t="str">
        <f>IF(AND(COUNTA(P382)=0,COUNTA(AC382)=1),LEFT(D382,3),"")</f>
        <v/>
      </c>
      <c r="AW382" s="491" t="str">
        <f>IF(AND(COUNTA(P382)=1,COUNTA(AC382)=0),LEFT(D382,3),"")</f>
        <v/>
      </c>
      <c r="AX382" s="493" t="str">
        <f>IF(AND(COUNTA(P382)=0,COUNTA(AC382)=0),LEFT(D382,3),"")</f>
        <v/>
      </c>
      <c r="AY382" s="514" t="str">
        <f>IFERROR(VLOOKUP(功能_33[[#This Row],[功能代號]],SIT_FT_2021tmp!D:D,1,FALSE),"")</f>
        <v>L650C</v>
      </c>
      <c r="AZ382" s="587">
        <v>44515</v>
      </c>
      <c r="BA382" s="587">
        <v>44515</v>
      </c>
      <c r="BB382" s="514" t="s">
        <v>3000</v>
      </c>
      <c r="BC382" s="265" t="s">
        <v>3064</v>
      </c>
      <c r="BD382" s="593"/>
      <c r="BE382" s="264" t="str">
        <f>IF(AND(COUNTIF(AY382,"&gt;&lt;0")=1,COUNTA(M382)=1),LEFT(D382,3),"")</f>
        <v>6-5</v>
      </c>
      <c r="BF382" s="264" t="str">
        <f>IF(AND(COUNTIF(AY382,"&gt;&lt;")=1,COUNTA(M382)=0),LEFT(D382,3),"")</f>
        <v/>
      </c>
      <c r="BG382" s="264" t="str">
        <f>IF(AND(COUNTIF(AY382,"&gt;&lt;0")=0,COUNTA(M382)=1),LEFT(D382,3),"")</f>
        <v/>
      </c>
      <c r="BH382" s="264" t="str">
        <f>IF(AND(COUNTIF(AY382,"&gt;&lt;0")=0,COUNTA(M382)=0),LEFT(D382,3),"")</f>
        <v/>
      </c>
    </row>
    <row r="383" spans="3:60" ht="13.5" x14ac:dyDescent="0.3">
      <c r="C383" s="265" t="s">
        <v>70</v>
      </c>
      <c r="D383" s="407" t="s">
        <v>2464</v>
      </c>
      <c r="E383" s="264" t="s">
        <v>1035</v>
      </c>
      <c r="F383" s="251" t="s">
        <v>1036</v>
      </c>
      <c r="G383" s="251" t="s">
        <v>1032</v>
      </c>
      <c r="H383" s="264" t="s">
        <v>166</v>
      </c>
      <c r="I383" s="264" t="s">
        <v>3278</v>
      </c>
      <c r="J383" s="212" t="s">
        <v>389</v>
      </c>
      <c r="K383" s="212"/>
      <c r="L383" s="272">
        <v>44579</v>
      </c>
      <c r="M383" s="272">
        <v>44579</v>
      </c>
      <c r="N383" s="272">
        <v>44397</v>
      </c>
      <c r="O383" s="272">
        <v>44397</v>
      </c>
      <c r="P383" s="272">
        <v>44397</v>
      </c>
      <c r="Q383" s="264" t="s">
        <v>6</v>
      </c>
      <c r="R383" s="264" t="s">
        <v>2938</v>
      </c>
      <c r="S383" s="264" t="s">
        <v>2938</v>
      </c>
      <c r="X383" s="264"/>
      <c r="Z383" s="264"/>
      <c r="AA383" s="264"/>
      <c r="AB383" s="265" t="str">
        <f>VLOOKUP(功能_33[[#This Row],[User]],SKL放款!A:G,7,FALSE)</f>
        <v>放款推展課</v>
      </c>
      <c r="AC383" s="272">
        <v>44533</v>
      </c>
      <c r="AD383" s="272" t="s">
        <v>168</v>
      </c>
      <c r="AE383" s="272"/>
      <c r="AF383" s="272">
        <v>44397</v>
      </c>
      <c r="AG383" s="209">
        <v>44544</v>
      </c>
      <c r="AH383" s="272"/>
      <c r="AI383" s="272"/>
      <c r="AJ383" s="322"/>
      <c r="AK383" s="272">
        <f>IFERROR(IF(VLOOKUP(功能_33[[#This Row],[功能代號]],E:U,11,FALSE)=0,"",VLOOKUP(功能_33[[#This Row],[功能代號]],E:U,11,FALSE)),"")</f>
        <v>44397</v>
      </c>
      <c r="AL383" s="272"/>
      <c r="AM383" s="272"/>
      <c r="AN383" s="265"/>
      <c r="AO383" s="272">
        <v>44397</v>
      </c>
      <c r="AP383" s="264" t="s">
        <v>2603</v>
      </c>
      <c r="AQ383" s="264" t="s">
        <v>163</v>
      </c>
      <c r="AR383" s="593" t="s">
        <v>3207</v>
      </c>
      <c r="AS383" s="483" t="str">
        <f>IF(COUNTA(AG383)=1,LEFT(D383,3),"")</f>
        <v>6-5</v>
      </c>
      <c r="AT383" s="485" t="str">
        <f>IF(AND(COUNTA(O383)=1,COUNTA(P383)=1,COUNTA(AC383)=1,COUNTA(AF383)=1,COUNTA(AG383)=0),LEFT(D383,3),"")</f>
        <v/>
      </c>
      <c r="AU383" s="487" t="str">
        <f>IF(AND(COUNTA(O383)=1,COUNTA(P383)=1,COUNTA(AC383)=1,COUNTA(AF383)=0,COUNTA(AG383)=0),LEFT(D383,3),"")</f>
        <v/>
      </c>
      <c r="AV383" s="489" t="str">
        <f>IF(AND(COUNTA(P383)=0,COUNTA(AC383)=1),LEFT(D383,3),"")</f>
        <v/>
      </c>
      <c r="AW383" s="491" t="str">
        <f>IF(AND(COUNTA(P383)=1,COUNTA(AC383)=0),LEFT(D383,3),"")</f>
        <v/>
      </c>
      <c r="AX383" s="493" t="str">
        <f>IF(AND(COUNTA(P383)=0,COUNTA(AC383)=0),LEFT(D383,3),"")</f>
        <v/>
      </c>
      <c r="AY383" s="514" t="str">
        <f>IFERROR(VLOOKUP(功能_33[[#This Row],[功能代號]],SIT_FT_2021tmp!D:D,1,FALSE),"")</f>
        <v>L650D</v>
      </c>
      <c r="AZ383" s="587">
        <v>44515</v>
      </c>
      <c r="BA383" s="587">
        <v>44515</v>
      </c>
      <c r="BB383" s="514" t="s">
        <v>3000</v>
      </c>
      <c r="BC383" s="265" t="s">
        <v>3064</v>
      </c>
      <c r="BD383" s="593"/>
      <c r="BE383" s="264" t="str">
        <f>IF(AND(COUNTIF(AY383,"&gt;&lt;0")=1,COUNTA(M383)=1),LEFT(D383,3),"")</f>
        <v>6-5</v>
      </c>
      <c r="BF383" s="264" t="str">
        <f>IF(AND(COUNTIF(AY383,"&gt;&lt;")=1,COUNTA(M383)=0),LEFT(D383,3),"")</f>
        <v/>
      </c>
      <c r="BG383" s="264" t="str">
        <f>IF(AND(COUNTIF(AY383,"&gt;&lt;0")=0,COUNTA(M383)=1),LEFT(D383,3),"")</f>
        <v/>
      </c>
      <c r="BH383" s="264" t="str">
        <f>IF(AND(COUNTIF(AY383,"&gt;&lt;0")=0,COUNTA(M383)=0),LEFT(D383,3),"")</f>
        <v/>
      </c>
    </row>
    <row r="384" spans="3:60" ht="13.5" x14ac:dyDescent="0.3">
      <c r="C384" s="265" t="s">
        <v>69</v>
      </c>
      <c r="D384" s="407" t="s">
        <v>2452</v>
      </c>
      <c r="E384" s="264" t="s">
        <v>1037</v>
      </c>
      <c r="F384" s="251" t="s">
        <v>1038</v>
      </c>
      <c r="G384" s="265"/>
      <c r="H384" s="264" t="s">
        <v>110</v>
      </c>
      <c r="I384" s="264" t="s">
        <v>110</v>
      </c>
      <c r="J384" s="271" t="s">
        <v>2940</v>
      </c>
      <c r="K384" s="271"/>
      <c r="L384" s="272">
        <v>44603</v>
      </c>
      <c r="M384" s="264"/>
      <c r="N384" s="272">
        <v>44518</v>
      </c>
      <c r="O384" s="272">
        <v>44517</v>
      </c>
      <c r="P384" s="272">
        <v>44547</v>
      </c>
      <c r="Q384" s="264" t="s">
        <v>6</v>
      </c>
      <c r="R384" s="264" t="s">
        <v>7</v>
      </c>
      <c r="S384" s="264" t="s">
        <v>7</v>
      </c>
      <c r="X384" s="264"/>
      <c r="Z384" s="264"/>
      <c r="AA384" s="264"/>
      <c r="AB384" s="265" t="str">
        <f>VLOOKUP(功能_33[[#This Row],[User]],SKL放款!A:G,7,FALSE)</f>
        <v>放款推展課</v>
      </c>
      <c r="AC384" s="272">
        <v>44533</v>
      </c>
      <c r="AD384" s="272">
        <v>44533</v>
      </c>
      <c r="AE384" s="272">
        <v>44533</v>
      </c>
      <c r="AF384" s="272">
        <v>44533</v>
      </c>
      <c r="AG384" s="209">
        <v>44550</v>
      </c>
      <c r="AH384" s="272"/>
      <c r="AI384" s="272"/>
      <c r="AJ384" s="322"/>
      <c r="AK384" s="272">
        <f>IFERROR(IF(VLOOKUP(功能_33[[#This Row],[功能代號]],E:U,11,FALSE)=0,"",VLOOKUP(功能_33[[#This Row],[功能代號]],E:U,11,FALSE)),"")</f>
        <v>44517</v>
      </c>
      <c r="AL384" s="272"/>
      <c r="AM384" s="272"/>
      <c r="AN384" s="265"/>
      <c r="AO384" s="272"/>
      <c r="AP384" s="264" t="s">
        <v>2603</v>
      </c>
      <c r="AQ384" s="264" t="s">
        <v>163</v>
      </c>
      <c r="AR384" s="593" t="s">
        <v>3207</v>
      </c>
      <c r="AS384" s="483" t="str">
        <f>IF(COUNTA(AG384)=1,LEFT(D384,3),"")</f>
        <v>5-3</v>
      </c>
      <c r="AT384" s="485" t="str">
        <f>IF(AND(COUNTA(O384)=1,COUNTA(P384)=1,COUNTA(AC384)=1,COUNTA(AF384)=1,COUNTA(AG384)=0),LEFT(D384,3),"")</f>
        <v/>
      </c>
      <c r="AU384" s="487" t="str">
        <f>IF(AND(COUNTA(O384)=1,COUNTA(P384)=1,COUNTA(AC384)=1,COUNTA(AF384)=0,COUNTA(AG384)=0),LEFT(D384,3),"")</f>
        <v/>
      </c>
      <c r="AV384" s="489" t="str">
        <f>IF(AND(COUNTA(P384)=0,COUNTA(AC384)=1),LEFT(D384,3),"")</f>
        <v/>
      </c>
      <c r="AW384" s="491" t="str">
        <f>IF(AND(COUNTA(P384)=1,COUNTA(AC384)=0),LEFT(D384,3),"")</f>
        <v/>
      </c>
      <c r="AX384" s="493" t="str">
        <f>IF(AND(COUNTA(P384)=0,COUNTA(AC384)=0),LEFT(D384,3),"")</f>
        <v/>
      </c>
      <c r="AY384" s="514" t="str">
        <f>IFERROR(VLOOKUP(功能_33[[#This Row],[功能代號]],SIT_FT_2021tmp!D:D,1,FALSE),"")</f>
        <v/>
      </c>
      <c r="AZ384" s="587">
        <v>44610</v>
      </c>
      <c r="BB384" s="514" t="s">
        <v>2453</v>
      </c>
      <c r="BC384" s="265" t="s">
        <v>2453</v>
      </c>
      <c r="BD384" s="593"/>
      <c r="BE384" s="265" t="str">
        <f>IF(AND(COUNTIF(AY384,"&gt;&lt;0")=1,COUNTA(M384)=1),LEFT(D384,3),"")</f>
        <v/>
      </c>
      <c r="BF384" s="265" t="str">
        <f>IF(AND(COUNTIF(AY384,"&gt;&lt;")=1,COUNTA(M384)=0),LEFT(D384,3),"")</f>
        <v/>
      </c>
      <c r="BG384" s="265" t="str">
        <f>IF(AND(COUNTIF(AY384,"&gt;&lt;0")=0,COUNTA(M384)=1),LEFT(D384,3),"")</f>
        <v/>
      </c>
      <c r="BH384" s="265" t="str">
        <f>IF(AND(COUNTIF(AY384,"&gt;&lt;0")=0,COUNTA(M384)=0),LEFT(D384,3),"")</f>
        <v>5-3</v>
      </c>
    </row>
    <row r="385" spans="3:60" ht="13.5" x14ac:dyDescent="0.3">
      <c r="C385" s="265" t="s">
        <v>69</v>
      </c>
      <c r="D385" s="407" t="s">
        <v>2452</v>
      </c>
      <c r="E385" s="264" t="s">
        <v>1039</v>
      </c>
      <c r="F385" s="251" t="s">
        <v>1040</v>
      </c>
      <c r="G385" s="265"/>
      <c r="H385" s="264" t="s">
        <v>110</v>
      </c>
      <c r="I385" s="264" t="s">
        <v>110</v>
      </c>
      <c r="J385" s="271" t="s">
        <v>2859</v>
      </c>
      <c r="K385" s="271"/>
      <c r="L385" s="272">
        <v>44603</v>
      </c>
      <c r="M385" s="264"/>
      <c r="N385" s="272">
        <v>44518</v>
      </c>
      <c r="O385" s="272">
        <v>44517</v>
      </c>
      <c r="P385" s="272">
        <v>44547</v>
      </c>
      <c r="Q385" s="264" t="s">
        <v>6</v>
      </c>
      <c r="R385" s="264" t="s">
        <v>7</v>
      </c>
      <c r="S385" s="264" t="s">
        <v>7</v>
      </c>
      <c r="X385" s="264"/>
      <c r="Z385" s="264"/>
      <c r="AA385" s="264"/>
      <c r="AB385" s="265" t="str">
        <f>VLOOKUP(功能_33[[#This Row],[User]],SKL放款!A:G,7,FALSE)</f>
        <v>放款推展課</v>
      </c>
      <c r="AC385" s="272">
        <v>44533</v>
      </c>
      <c r="AD385" s="272">
        <v>44533</v>
      </c>
      <c r="AE385" s="272">
        <v>44533</v>
      </c>
      <c r="AF385" s="272">
        <v>44533</v>
      </c>
      <c r="AG385" s="209">
        <v>44550</v>
      </c>
      <c r="AH385" s="272"/>
      <c r="AI385" s="272"/>
      <c r="AJ385" s="322"/>
      <c r="AK385" s="272">
        <f>IFERROR(IF(VLOOKUP(功能_33[[#This Row],[功能代號]],E:U,11,FALSE)=0,"",VLOOKUP(功能_33[[#This Row],[功能代號]],E:U,11,FALSE)),"")</f>
        <v>44517</v>
      </c>
      <c r="AL385" s="272"/>
      <c r="AM385" s="272"/>
      <c r="AN385" s="265"/>
      <c r="AO385" s="272"/>
      <c r="AP385" s="264" t="s">
        <v>2798</v>
      </c>
      <c r="AQ385" s="265" t="s">
        <v>2732</v>
      </c>
      <c r="AR385" s="593" t="s">
        <v>3207</v>
      </c>
      <c r="AS385" s="483" t="str">
        <f>IF(COUNTA(AG385)=1,LEFT(D385,3),"")</f>
        <v>5-3</v>
      </c>
      <c r="AT385" s="485" t="str">
        <f>IF(AND(COUNTA(O385)=1,COUNTA(P385)=1,COUNTA(AC385)=1,COUNTA(AF385)=1,COUNTA(AG385)=0),LEFT(D385,3),"")</f>
        <v/>
      </c>
      <c r="AU385" s="487" t="str">
        <f>IF(AND(COUNTA(O385)=1,COUNTA(P385)=1,COUNTA(AC385)=1,COUNTA(AF385)=0,COUNTA(AG385)=0),LEFT(D385,3),"")</f>
        <v/>
      </c>
      <c r="AV385" s="489" t="str">
        <f>IF(AND(COUNTA(P385)=0,COUNTA(AC385)=1),LEFT(D385,3),"")</f>
        <v/>
      </c>
      <c r="AW385" s="491" t="str">
        <f>IF(AND(COUNTA(P385)=1,COUNTA(AC385)=0),LEFT(D385,3),"")</f>
        <v/>
      </c>
      <c r="AX385" s="493" t="str">
        <f>IF(AND(COUNTA(P385)=0,COUNTA(AC385)=0),LEFT(D385,3),"")</f>
        <v/>
      </c>
      <c r="AY385" s="514" t="str">
        <f>IFERROR(VLOOKUP(功能_33[[#This Row],[功能代號]],SIT_FT_2021tmp!D:D,1,FALSE),"")</f>
        <v/>
      </c>
      <c r="AZ385" s="587">
        <v>44610</v>
      </c>
      <c r="BB385" s="514" t="s">
        <v>2453</v>
      </c>
      <c r="BC385" s="265" t="s">
        <v>2453</v>
      </c>
      <c r="BD385" s="593"/>
      <c r="BE385" s="265" t="str">
        <f>IF(AND(COUNTIF(AY385,"&gt;&lt;0")=1,COUNTA(M385)=1),LEFT(D385,3),"")</f>
        <v/>
      </c>
      <c r="BF385" s="265" t="str">
        <f>IF(AND(COUNTIF(AY385,"&gt;&lt;")=1,COUNTA(M385)=0),LEFT(D385,3),"")</f>
        <v/>
      </c>
      <c r="BG385" s="265" t="str">
        <f>IF(AND(COUNTIF(AY385,"&gt;&lt;0")=0,COUNTA(M385)=1),LEFT(D385,3),"")</f>
        <v/>
      </c>
      <c r="BH385" s="265" t="str">
        <f>IF(AND(COUNTIF(AY385,"&gt;&lt;0")=0,COUNTA(M385)=0),LEFT(D385,3),"")</f>
        <v>5-3</v>
      </c>
    </row>
    <row r="386" spans="3:60" ht="13.5" x14ac:dyDescent="0.3">
      <c r="C386" s="265" t="s">
        <v>69</v>
      </c>
      <c r="D386" s="408" t="s">
        <v>2452</v>
      </c>
      <c r="E386" s="264" t="s">
        <v>1041</v>
      </c>
      <c r="F386" s="251" t="s">
        <v>1042</v>
      </c>
      <c r="G386" s="257" t="s">
        <v>1043</v>
      </c>
      <c r="H386" s="264" t="s">
        <v>110</v>
      </c>
      <c r="I386" s="264" t="s">
        <v>110</v>
      </c>
      <c r="J386" s="271" t="s">
        <v>2859</v>
      </c>
      <c r="K386" s="271"/>
      <c r="L386" s="272">
        <v>44603</v>
      </c>
      <c r="M386" s="264"/>
      <c r="N386" s="272">
        <v>44518</v>
      </c>
      <c r="O386" s="272">
        <v>44517</v>
      </c>
      <c r="P386" s="272">
        <v>44547</v>
      </c>
      <c r="Q386" s="264" t="s">
        <v>6</v>
      </c>
      <c r="R386" s="264" t="s">
        <v>7</v>
      </c>
      <c r="S386" s="264" t="s">
        <v>7</v>
      </c>
      <c r="X386" s="264"/>
      <c r="Z386" s="264"/>
      <c r="AA386" s="264"/>
      <c r="AB386" s="265" t="str">
        <f>VLOOKUP(功能_33[[#This Row],[User]],SKL放款!A:G,7,FALSE)</f>
        <v>放款推展課</v>
      </c>
      <c r="AC386" s="272">
        <v>44533</v>
      </c>
      <c r="AD386" s="272" t="s">
        <v>168</v>
      </c>
      <c r="AE386" s="272"/>
      <c r="AF386" s="272">
        <v>44533</v>
      </c>
      <c r="AG386" s="209">
        <v>44550</v>
      </c>
      <c r="AH386" s="259"/>
      <c r="AI386" s="259"/>
      <c r="AJ386" s="259"/>
      <c r="AK386" s="259">
        <f>IFERROR(IF(VLOOKUP(功能_33[[#This Row],[功能代號]],E:U,11,FALSE)=0,"",VLOOKUP(功能_33[[#This Row],[功能代號]],E:U,11,FALSE)),"")</f>
        <v>44517</v>
      </c>
      <c r="AL386" s="259"/>
      <c r="AM386" s="259"/>
      <c r="AN386" s="265"/>
      <c r="AP386" s="264" t="s">
        <v>2794</v>
      </c>
      <c r="AQ386" s="265" t="s">
        <v>2795</v>
      </c>
      <c r="AR386" s="593" t="s">
        <v>3207</v>
      </c>
      <c r="AS386" s="483" t="str">
        <f>IF(COUNTA(AG386)=1,LEFT(D386,3),"")</f>
        <v>5-3</v>
      </c>
      <c r="AT386" s="485" t="str">
        <f>IF(AND(COUNTA(O386)=1,COUNTA(P386)=1,COUNTA(AC386)=1,COUNTA(AF386)=1,COUNTA(AG386)=0),LEFT(D386,3),"")</f>
        <v/>
      </c>
      <c r="AU386" s="487" t="str">
        <f>IF(AND(COUNTA(O386)=1,COUNTA(P386)=1,COUNTA(AC386)=1,COUNTA(AF386)=0,COUNTA(AG386)=0),LEFT(D386,3),"")</f>
        <v/>
      </c>
      <c r="AV386" s="489" t="str">
        <f>IF(AND(COUNTA(P386)=0,COUNTA(AC386)=1),LEFT(D386,3),"")</f>
        <v/>
      </c>
      <c r="AW386" s="491" t="str">
        <f>IF(AND(COUNTA(P386)=1,COUNTA(AC386)=0),LEFT(D386,3),"")</f>
        <v/>
      </c>
      <c r="AX386" s="493" t="str">
        <f>IF(AND(COUNTA(P386)=0,COUNTA(AC386)=0),LEFT(D386,3),"")</f>
        <v/>
      </c>
      <c r="AY386" s="514" t="str">
        <f>IFERROR(VLOOKUP(功能_33[[#This Row],[功能代號]],SIT_FT_2021tmp!D:D,1,FALSE),"")</f>
        <v/>
      </c>
      <c r="AZ386" s="587">
        <v>44610</v>
      </c>
      <c r="BB386" s="514" t="s">
        <v>2453</v>
      </c>
      <c r="BC386" s="265" t="s">
        <v>2453</v>
      </c>
      <c r="BD386" s="593"/>
      <c r="BE386" s="265" t="str">
        <f>IF(AND(COUNTIF(AY386,"&gt;&lt;0")=1,COUNTA(M386)=1),LEFT(D386,3),"")</f>
        <v/>
      </c>
      <c r="BF386" s="265" t="str">
        <f>IF(AND(COUNTIF(AY386,"&gt;&lt;")=1,COUNTA(M386)=0),LEFT(D386,3),"")</f>
        <v/>
      </c>
      <c r="BG386" s="265" t="str">
        <f>IF(AND(COUNTIF(AY386,"&gt;&lt;0")=0,COUNTA(M386)=1),LEFT(D386,3),"")</f>
        <v/>
      </c>
      <c r="BH386" s="265" t="str">
        <f>IF(AND(COUNTIF(AY386,"&gt;&lt;0")=0,COUNTA(M386)=0),LEFT(D386,3),"")</f>
        <v>5-3</v>
      </c>
    </row>
    <row r="387" spans="3:60" ht="13.5" x14ac:dyDescent="0.3">
      <c r="C387" s="265" t="s">
        <v>69</v>
      </c>
      <c r="D387" s="407" t="s">
        <v>2452</v>
      </c>
      <c r="E387" s="264" t="s">
        <v>1044</v>
      </c>
      <c r="F387" s="251" t="s">
        <v>1045</v>
      </c>
      <c r="G387" s="265"/>
      <c r="H387" s="264" t="s">
        <v>110</v>
      </c>
      <c r="I387" s="264" t="s">
        <v>110</v>
      </c>
      <c r="J387" s="271" t="s">
        <v>2940</v>
      </c>
      <c r="K387" s="271"/>
      <c r="L387" s="272">
        <v>44603</v>
      </c>
      <c r="M387" s="264"/>
      <c r="N387" s="272">
        <v>44518</v>
      </c>
      <c r="O387" s="272">
        <v>44517</v>
      </c>
      <c r="P387" s="272">
        <v>44547</v>
      </c>
      <c r="Q387" s="264" t="s">
        <v>6</v>
      </c>
      <c r="R387" s="264" t="s">
        <v>7</v>
      </c>
      <c r="S387" s="264" t="s">
        <v>7</v>
      </c>
      <c r="X387" s="264"/>
      <c r="Z387" s="264"/>
      <c r="AA387" s="264"/>
      <c r="AB387" s="265" t="str">
        <f>VLOOKUP(功能_33[[#This Row],[User]],SKL放款!A:G,7,FALSE)</f>
        <v>放款推展課</v>
      </c>
      <c r="AC387" s="272">
        <v>44546</v>
      </c>
      <c r="AD387" s="272">
        <v>44533</v>
      </c>
      <c r="AE387" s="272">
        <v>44533</v>
      </c>
      <c r="AF387" s="272">
        <v>44533</v>
      </c>
      <c r="AG387" s="209">
        <v>44550</v>
      </c>
      <c r="AH387" s="272"/>
      <c r="AI387" s="272"/>
      <c r="AJ387" s="322"/>
      <c r="AK387" s="272">
        <f>IFERROR(IF(VLOOKUP(功能_33[[#This Row],[功能代號]],E:U,11,FALSE)=0,"",VLOOKUP(功能_33[[#This Row],[功能代號]],E:U,11,FALSE)),"")</f>
        <v>44517</v>
      </c>
      <c r="AL387" s="272"/>
      <c r="AM387" s="272"/>
      <c r="AN387" s="265"/>
      <c r="AO387" s="272"/>
      <c r="AP387" s="264" t="s">
        <v>2603</v>
      </c>
      <c r="AQ387" s="264" t="s">
        <v>163</v>
      </c>
      <c r="AR387" s="593" t="s">
        <v>3207</v>
      </c>
      <c r="AS387" s="483" t="str">
        <f>IF(COUNTA(AG387)=1,LEFT(D387,3),"")</f>
        <v>5-3</v>
      </c>
      <c r="AT387" s="485" t="str">
        <f>IF(AND(COUNTA(O387)=1,COUNTA(P387)=1,COUNTA(AC387)=1,COUNTA(AF387)=1,COUNTA(AG387)=0),LEFT(D387,3),"")</f>
        <v/>
      </c>
      <c r="AU387" s="487" t="str">
        <f>IF(AND(COUNTA(O387)=1,COUNTA(P387)=1,COUNTA(AC387)=1,COUNTA(AF387)=0,COUNTA(AG387)=0),LEFT(D387,3),"")</f>
        <v/>
      </c>
      <c r="AV387" s="489" t="str">
        <f>IF(AND(COUNTA(P387)=0,COUNTA(AC387)=1),LEFT(D387,3),"")</f>
        <v/>
      </c>
      <c r="AW387" s="491" t="str">
        <f>IF(AND(COUNTA(P387)=1,COUNTA(AC387)=0),LEFT(D387,3),"")</f>
        <v/>
      </c>
      <c r="AX387" s="493" t="str">
        <f>IF(AND(COUNTA(P387)=0,COUNTA(AC387)=0),LEFT(D387,3),"")</f>
        <v/>
      </c>
      <c r="AY387" s="514" t="str">
        <f>IFERROR(VLOOKUP(功能_33[[#This Row],[功能代號]],SIT_FT_2021tmp!D:D,1,FALSE),"")</f>
        <v>L5052</v>
      </c>
      <c r="AZ387" s="587">
        <v>44512</v>
      </c>
      <c r="BA387" s="587">
        <v>44512</v>
      </c>
      <c r="BB387" s="514" t="s">
        <v>3000</v>
      </c>
      <c r="BC387" s="265" t="s">
        <v>3040</v>
      </c>
      <c r="BD387" s="593"/>
      <c r="BE387" s="264" t="str">
        <f>IF(AND(COUNTIF(AY387,"&gt;&lt;0")=1,COUNTA(M387)=1),LEFT(D387,3),"")</f>
        <v/>
      </c>
      <c r="BF387" s="264" t="str">
        <f>IF(AND(COUNTIF(AY387,"&gt;&lt;")=1,COUNTA(M387)=0),LEFT(D387,3),"")</f>
        <v>5-3</v>
      </c>
      <c r="BG387" s="264" t="str">
        <f>IF(AND(COUNTIF(AY387,"&gt;&lt;0")=0,COUNTA(M387)=1),LEFT(D387,3),"")</f>
        <v/>
      </c>
      <c r="BH387" s="264" t="str">
        <f>IF(AND(COUNTIF(AY387,"&gt;&lt;0")=0,COUNTA(M387)=0),LEFT(D387,3),"")</f>
        <v/>
      </c>
    </row>
    <row r="388" spans="3:60" ht="13.5" x14ac:dyDescent="0.3">
      <c r="C388" s="265" t="s">
        <v>69</v>
      </c>
      <c r="D388" s="407" t="s">
        <v>2452</v>
      </c>
      <c r="E388" s="264" t="s">
        <v>1046</v>
      </c>
      <c r="F388" s="251" t="s">
        <v>1047</v>
      </c>
      <c r="G388" s="265"/>
      <c r="H388" s="264" t="s">
        <v>110</v>
      </c>
      <c r="I388" s="264" t="s">
        <v>110</v>
      </c>
      <c r="J388" s="271" t="s">
        <v>2859</v>
      </c>
      <c r="K388" s="271"/>
      <c r="L388" s="272">
        <v>44603</v>
      </c>
      <c r="M388" s="264"/>
      <c r="N388" s="272">
        <v>44518</v>
      </c>
      <c r="O388" s="272">
        <v>44517</v>
      </c>
      <c r="P388" s="272">
        <v>44547</v>
      </c>
      <c r="Q388" s="264" t="s">
        <v>6</v>
      </c>
      <c r="R388" s="264" t="s">
        <v>7</v>
      </c>
      <c r="S388" s="264" t="s">
        <v>7</v>
      </c>
      <c r="X388" s="264"/>
      <c r="Z388" s="264"/>
      <c r="AA388" s="264"/>
      <c r="AB388" s="265" t="str">
        <f>VLOOKUP(功能_33[[#This Row],[User]],SKL放款!A:G,7,FALSE)</f>
        <v>放款推展課</v>
      </c>
      <c r="AC388" s="272" t="s">
        <v>2843</v>
      </c>
      <c r="AD388" s="272">
        <v>44533</v>
      </c>
      <c r="AE388" s="272">
        <v>44533</v>
      </c>
      <c r="AF388" s="272">
        <v>44533</v>
      </c>
      <c r="AG388" s="209">
        <v>44550</v>
      </c>
      <c r="AH388" s="272"/>
      <c r="AI388" s="272"/>
      <c r="AJ388" s="322"/>
      <c r="AK388" s="272">
        <f>IFERROR(IF(VLOOKUP(功能_33[[#This Row],[功能代號]],E:U,11,FALSE)=0,"",VLOOKUP(功能_33[[#This Row],[功能代號]],E:U,11,FALSE)),"")</f>
        <v>44517</v>
      </c>
      <c r="AL388" s="272"/>
      <c r="AM388" s="272"/>
      <c r="AN388" s="265"/>
      <c r="AO388" s="272"/>
      <c r="AP388" s="264" t="s">
        <v>2796</v>
      </c>
      <c r="AQ388" s="251" t="s">
        <v>1047</v>
      </c>
      <c r="AR388" s="593" t="s">
        <v>3207</v>
      </c>
      <c r="AS388" s="483" t="str">
        <f>IF(COUNTA(AG388)=1,LEFT(D388,3),"")</f>
        <v>5-3</v>
      </c>
      <c r="AT388" s="485" t="str">
        <f>IF(AND(COUNTA(O388)=1,COUNTA(P388)=1,COUNTA(AC388)=1,COUNTA(AF388)=1,COUNTA(AG388)=0),LEFT(D388,3),"")</f>
        <v/>
      </c>
      <c r="AU388" s="487" t="str">
        <f>IF(AND(COUNTA(O388)=1,COUNTA(P388)=1,COUNTA(AC388)=1,COUNTA(AF388)=0,COUNTA(AG388)=0),LEFT(D388,3),"")</f>
        <v/>
      </c>
      <c r="AV388" s="489" t="str">
        <f>IF(AND(COUNTA(P388)=0,COUNTA(AC388)=1),LEFT(D388,3),"")</f>
        <v/>
      </c>
      <c r="AW388" s="491" t="str">
        <f>IF(AND(COUNTA(P388)=1,COUNTA(AC388)=0),LEFT(D388,3),"")</f>
        <v/>
      </c>
      <c r="AX388" s="493" t="str">
        <f>IF(AND(COUNTA(P388)=0,COUNTA(AC388)=0),LEFT(D388,3),"")</f>
        <v/>
      </c>
      <c r="AY388" s="514" t="str">
        <f>IFERROR(VLOOKUP(功能_33[[#This Row],[功能代號]],SIT_FT_2021tmp!D:D,1,FALSE),"")</f>
        <v>L5502</v>
      </c>
      <c r="AZ388" s="587">
        <v>44512</v>
      </c>
      <c r="BA388" s="587">
        <v>44512</v>
      </c>
      <c r="BB388" s="514" t="s">
        <v>3000</v>
      </c>
      <c r="BC388" s="265" t="s">
        <v>3040</v>
      </c>
      <c r="BD388" s="593"/>
      <c r="BE388" s="264" t="str">
        <f>IF(AND(COUNTIF(AY388,"&gt;&lt;0")=1,COUNTA(M388)=1),LEFT(D388,3),"")</f>
        <v/>
      </c>
      <c r="BF388" s="264" t="str">
        <f>IF(AND(COUNTIF(AY388,"&gt;&lt;")=1,COUNTA(M388)=0),LEFT(D388,3),"")</f>
        <v>5-3</v>
      </c>
      <c r="BG388" s="264" t="str">
        <f>IF(AND(COUNTIF(AY388,"&gt;&lt;0")=0,COUNTA(M388)=1),LEFT(D388,3),"")</f>
        <v/>
      </c>
      <c r="BH388" s="264" t="str">
        <f>IF(AND(COUNTIF(AY388,"&gt;&lt;0")=0,COUNTA(M388)=0),LEFT(D388,3),"")</f>
        <v/>
      </c>
    </row>
    <row r="389" spans="3:60" ht="13.5" x14ac:dyDescent="0.3">
      <c r="C389" s="265" t="s">
        <v>69</v>
      </c>
      <c r="D389" s="408" t="s">
        <v>2452</v>
      </c>
      <c r="E389" s="264" t="s">
        <v>1048</v>
      </c>
      <c r="F389" s="251" t="s">
        <v>1049</v>
      </c>
      <c r="G389" s="257" t="s">
        <v>1043</v>
      </c>
      <c r="H389" s="264" t="s">
        <v>110</v>
      </c>
      <c r="I389" s="264" t="s">
        <v>110</v>
      </c>
      <c r="J389" s="271" t="s">
        <v>2859</v>
      </c>
      <c r="K389" s="271"/>
      <c r="L389" s="272">
        <v>44603</v>
      </c>
      <c r="M389" s="264"/>
      <c r="N389" s="272">
        <v>44518</v>
      </c>
      <c r="O389" s="272">
        <v>44518</v>
      </c>
      <c r="P389" s="272">
        <v>44547</v>
      </c>
      <c r="Q389" s="264" t="s">
        <v>6</v>
      </c>
      <c r="R389" s="264" t="s">
        <v>7</v>
      </c>
      <c r="S389" s="264" t="s">
        <v>7</v>
      </c>
      <c r="X389" s="264"/>
      <c r="Z389" s="264"/>
      <c r="AA389" s="264"/>
      <c r="AB389" s="265" t="str">
        <f>VLOOKUP(功能_33[[#This Row],[User]],SKL放款!A:G,7,FALSE)</f>
        <v>放款推展課</v>
      </c>
      <c r="AC389" s="272">
        <v>44533</v>
      </c>
      <c r="AD389" s="272" t="s">
        <v>168</v>
      </c>
      <c r="AE389" s="272"/>
      <c r="AF389" s="272">
        <v>44533</v>
      </c>
      <c r="AG389" s="209">
        <v>44550</v>
      </c>
      <c r="AH389" s="259"/>
      <c r="AI389" s="259"/>
      <c r="AJ389" s="259"/>
      <c r="AK389" s="259">
        <f>IFERROR(IF(VLOOKUP(功能_33[[#This Row],[功能代號]],E:U,11,FALSE)=0,"",VLOOKUP(功能_33[[#This Row],[功能代號]],E:U,11,FALSE)),"")</f>
        <v>44518</v>
      </c>
      <c r="AL389" s="259"/>
      <c r="AM389" s="259"/>
      <c r="AN389" s="265"/>
      <c r="AP389" s="264" t="s">
        <v>2603</v>
      </c>
      <c r="AQ389" s="264" t="s">
        <v>163</v>
      </c>
      <c r="AR389" s="593" t="s">
        <v>3207</v>
      </c>
      <c r="AS389" s="483" t="str">
        <f>IF(COUNTA(AG389)=1,LEFT(D389,3),"")</f>
        <v>5-3</v>
      </c>
      <c r="AT389" s="485" t="str">
        <f>IF(AND(COUNTA(O389)=1,COUNTA(P389)=1,COUNTA(AC389)=1,COUNTA(AF389)=1,COUNTA(AG389)=0),LEFT(D389,3),"")</f>
        <v/>
      </c>
      <c r="AU389" s="487" t="str">
        <f>IF(AND(COUNTA(O389)=1,COUNTA(P389)=1,COUNTA(AC389)=1,COUNTA(AF389)=0,COUNTA(AG389)=0),LEFT(D389,3),"")</f>
        <v/>
      </c>
      <c r="AV389" s="489" t="str">
        <f>IF(AND(COUNTA(P389)=0,COUNTA(AC389)=1),LEFT(D389,3),"")</f>
        <v/>
      </c>
      <c r="AW389" s="491" t="str">
        <f>IF(AND(COUNTA(P389)=1,COUNTA(AC389)=0),LEFT(D389,3),"")</f>
        <v/>
      </c>
      <c r="AX389" s="493" t="str">
        <f>IF(AND(COUNTA(P389)=0,COUNTA(AC389)=0),LEFT(D389,3),"")</f>
        <v/>
      </c>
      <c r="AY389" s="514" t="str">
        <f>IFERROR(VLOOKUP(功能_33[[#This Row],[功能代號]],SIT_FT_2021tmp!D:D,1,FALSE),"")</f>
        <v/>
      </c>
      <c r="AZ389" s="587">
        <v>44610</v>
      </c>
      <c r="BB389" s="514" t="s">
        <v>2453</v>
      </c>
      <c r="BC389" s="265" t="s">
        <v>2453</v>
      </c>
      <c r="BD389" s="593"/>
      <c r="BE389" s="265" t="str">
        <f>IF(AND(COUNTIF(AY389,"&gt;&lt;0")=1,COUNTA(M389)=1),LEFT(D389,3),"")</f>
        <v/>
      </c>
      <c r="BF389" s="265" t="str">
        <f>IF(AND(COUNTIF(AY389,"&gt;&lt;")=1,COUNTA(M389)=0),LEFT(D389,3),"")</f>
        <v/>
      </c>
      <c r="BG389" s="265" t="str">
        <f>IF(AND(COUNTIF(AY389,"&gt;&lt;0")=0,COUNTA(M389)=1),LEFT(D389,3),"")</f>
        <v/>
      </c>
      <c r="BH389" s="265" t="str">
        <f>IF(AND(COUNTIF(AY389,"&gt;&lt;0")=0,COUNTA(M389)=0),LEFT(D389,3),"")</f>
        <v>5-3</v>
      </c>
    </row>
    <row r="390" spans="3:60" ht="13.5" x14ac:dyDescent="0.3">
      <c r="C390" s="265" t="s">
        <v>69</v>
      </c>
      <c r="D390" s="408" t="s">
        <v>2452</v>
      </c>
      <c r="E390" s="264" t="s">
        <v>1050</v>
      </c>
      <c r="F390" s="251" t="s">
        <v>1051</v>
      </c>
      <c r="G390" s="257" t="s">
        <v>1043</v>
      </c>
      <c r="H390" s="264" t="s">
        <v>110</v>
      </c>
      <c r="I390" s="264" t="s">
        <v>110</v>
      </c>
      <c r="J390" s="271" t="s">
        <v>2859</v>
      </c>
      <c r="K390" s="271"/>
      <c r="L390" s="272">
        <v>44603</v>
      </c>
      <c r="M390" s="264"/>
      <c r="N390" s="272">
        <v>44518</v>
      </c>
      <c r="O390" s="272">
        <v>44518</v>
      </c>
      <c r="P390" s="272">
        <v>44547</v>
      </c>
      <c r="Q390" s="264" t="s">
        <v>6</v>
      </c>
      <c r="R390" s="264" t="s">
        <v>7</v>
      </c>
      <c r="S390" s="264" t="s">
        <v>7</v>
      </c>
      <c r="X390" s="264"/>
      <c r="Z390" s="264"/>
      <c r="AA390" s="264"/>
      <c r="AB390" s="265" t="str">
        <f>VLOOKUP(功能_33[[#This Row],[User]],SKL放款!A:G,7,FALSE)</f>
        <v>放款推展課</v>
      </c>
      <c r="AC390" s="272">
        <v>44533</v>
      </c>
      <c r="AD390" s="272" t="s">
        <v>168</v>
      </c>
      <c r="AE390" s="272"/>
      <c r="AF390" s="272">
        <v>44533</v>
      </c>
      <c r="AG390" s="209">
        <v>44550</v>
      </c>
      <c r="AH390" s="259"/>
      <c r="AI390" s="259"/>
      <c r="AJ390" s="259"/>
      <c r="AK390" s="259">
        <f>IFERROR(IF(VLOOKUP(功能_33[[#This Row],[功能代號]],E:U,11,FALSE)=0,"",VLOOKUP(功能_33[[#This Row],[功能代號]],E:U,11,FALSE)),"")</f>
        <v>44518</v>
      </c>
      <c r="AL390" s="259"/>
      <c r="AM390" s="259"/>
      <c r="AN390" s="265"/>
      <c r="AP390" s="264" t="s">
        <v>2797</v>
      </c>
      <c r="AQ390" s="251" t="s">
        <v>1051</v>
      </c>
      <c r="AR390" s="593" t="s">
        <v>3207</v>
      </c>
      <c r="AS390" s="483" t="str">
        <f>IF(COUNTA(AG390)=1,LEFT(D390,3),"")</f>
        <v>5-3</v>
      </c>
      <c r="AT390" s="485" t="str">
        <f>IF(AND(COUNTA(O390)=1,COUNTA(P390)=1,COUNTA(AC390)=1,COUNTA(AF390)=1,COUNTA(AG390)=0),LEFT(D390,3),"")</f>
        <v/>
      </c>
      <c r="AU390" s="487" t="str">
        <f>IF(AND(COUNTA(O390)=1,COUNTA(P390)=1,COUNTA(AC390)=1,COUNTA(AF390)=0,COUNTA(AG390)=0),LEFT(D390,3),"")</f>
        <v/>
      </c>
      <c r="AV390" s="489" t="str">
        <f>IF(AND(COUNTA(P390)=0,COUNTA(AC390)=1),LEFT(D390,3),"")</f>
        <v/>
      </c>
      <c r="AW390" s="491" t="str">
        <f>IF(AND(COUNTA(P390)=1,COUNTA(AC390)=0),LEFT(D390,3),"")</f>
        <v/>
      </c>
      <c r="AX390" s="493" t="str">
        <f>IF(AND(COUNTA(P390)=0,COUNTA(AC390)=0),LEFT(D390,3),"")</f>
        <v/>
      </c>
      <c r="AY390" s="514" t="str">
        <f>IFERROR(VLOOKUP(功能_33[[#This Row],[功能代號]],SIT_FT_2021tmp!D:D,1,FALSE),"")</f>
        <v/>
      </c>
      <c r="AZ390" s="587">
        <v>44610</v>
      </c>
      <c r="BB390" s="514" t="s">
        <v>2453</v>
      </c>
      <c r="BC390" s="265" t="s">
        <v>2453</v>
      </c>
      <c r="BD390" s="593"/>
      <c r="BE390" s="265" t="str">
        <f>IF(AND(COUNTIF(AY390,"&gt;&lt;0")=1,COUNTA(M390)=1),LEFT(D390,3),"")</f>
        <v/>
      </c>
      <c r="BF390" s="265" t="str">
        <f>IF(AND(COUNTIF(AY390,"&gt;&lt;")=1,COUNTA(M390)=0),LEFT(D390,3),"")</f>
        <v/>
      </c>
      <c r="BG390" s="265" t="str">
        <f>IF(AND(COUNTIF(AY390,"&gt;&lt;0")=0,COUNTA(M390)=1),LEFT(D390,3),"")</f>
        <v/>
      </c>
      <c r="BH390" s="265" t="str">
        <f>IF(AND(COUNTIF(AY390,"&gt;&lt;0")=0,COUNTA(M390)=0),LEFT(D390,3),"")</f>
        <v>5-3</v>
      </c>
    </row>
    <row r="391" spans="3:60" ht="13.5" x14ac:dyDescent="0.3">
      <c r="C391" s="265" t="s">
        <v>69</v>
      </c>
      <c r="D391" s="407" t="s">
        <v>2691</v>
      </c>
      <c r="E391" s="264" t="s">
        <v>1052</v>
      </c>
      <c r="F391" s="251" t="s">
        <v>1053</v>
      </c>
      <c r="G391" s="265"/>
      <c r="H391" s="264" t="s">
        <v>110</v>
      </c>
      <c r="I391" s="264" t="s">
        <v>110</v>
      </c>
      <c r="J391" s="271" t="s">
        <v>2859</v>
      </c>
      <c r="K391" s="271"/>
      <c r="L391" s="272">
        <v>44603</v>
      </c>
      <c r="M391" s="264"/>
      <c r="N391" s="272">
        <v>44517</v>
      </c>
      <c r="O391" s="272">
        <v>44518</v>
      </c>
      <c r="P391" s="272">
        <v>44547</v>
      </c>
      <c r="Q391" s="264" t="s">
        <v>6</v>
      </c>
      <c r="R391" s="264" t="s">
        <v>2938</v>
      </c>
      <c r="S391" s="264" t="s">
        <v>2938</v>
      </c>
      <c r="X391" s="264"/>
      <c r="Z391" s="264"/>
      <c r="AA391" s="264"/>
      <c r="AB391" s="265" t="str">
        <f>VLOOKUP(功能_33[[#This Row],[User]],SKL放款!A:G,7,FALSE)</f>
        <v>放款推展課</v>
      </c>
      <c r="AC391" s="272">
        <v>44546</v>
      </c>
      <c r="AD391" s="272" t="s">
        <v>107</v>
      </c>
      <c r="AE391" s="258">
        <v>44550</v>
      </c>
      <c r="AF391" s="272">
        <v>44550</v>
      </c>
      <c r="AG391" s="209">
        <v>44550</v>
      </c>
      <c r="AH391" s="272"/>
      <c r="AI391" s="272"/>
      <c r="AJ391" s="322"/>
      <c r="AK391" s="272">
        <f>IFERROR(IF(VLOOKUP(功能_33[[#This Row],[功能代號]],E:U,11,FALSE)=0,"",VLOOKUP(功能_33[[#This Row],[功能代號]],E:U,11,FALSE)),"")</f>
        <v>44518</v>
      </c>
      <c r="AL391" s="272"/>
      <c r="AM391" s="272"/>
      <c r="AN391" s="265"/>
      <c r="AO391" s="272">
        <v>44398</v>
      </c>
      <c r="AP391" s="264" t="s">
        <v>2603</v>
      </c>
      <c r="AQ391" s="264" t="s">
        <v>163</v>
      </c>
      <c r="AR391" s="593" t="s">
        <v>3207</v>
      </c>
      <c r="AS391" s="483" t="str">
        <f>IF(COUNTA(AG391)=1,LEFT(D391,3),"")</f>
        <v>5-3</v>
      </c>
      <c r="AT391" s="485" t="str">
        <f>IF(AND(COUNTA(O391)=1,COUNTA(P391)=1,COUNTA(AC391)=1,COUNTA(AF391)=1,COUNTA(AG391)=0),LEFT(D391,3),"")</f>
        <v/>
      </c>
      <c r="AU391" s="487" t="str">
        <f>IF(AND(COUNTA(O391)=1,COUNTA(P391)=1,COUNTA(AC391)=1,COUNTA(AF391)=0,COUNTA(AG391)=0),LEFT(D391,3),"")</f>
        <v/>
      </c>
      <c r="AV391" s="489" t="str">
        <f>IF(AND(COUNTA(P391)=0,COUNTA(AC391)=1),LEFT(D391,3),"")</f>
        <v/>
      </c>
      <c r="AW391" s="491" t="str">
        <f>IF(AND(COUNTA(P391)=1,COUNTA(AC391)=0),LEFT(D391,3),"")</f>
        <v/>
      </c>
      <c r="AX391" s="493" t="str">
        <f>IF(AND(COUNTA(P391)=0,COUNTA(AC391)=0),LEFT(D391,3),"")</f>
        <v/>
      </c>
      <c r="AY391" s="514" t="str">
        <f>IFERROR(VLOOKUP(功能_33[[#This Row],[功能代號]],SIT_FT_2021tmp!D:D,1,FALSE),"")</f>
        <v/>
      </c>
      <c r="AZ391" s="587">
        <v>44610</v>
      </c>
      <c r="BB391" s="514" t="s">
        <v>2453</v>
      </c>
      <c r="BC391" s="265" t="s">
        <v>2453</v>
      </c>
      <c r="BD391" s="593"/>
      <c r="BE391" s="265" t="str">
        <f>IF(AND(COUNTIF(AY391,"&gt;&lt;0")=1,COUNTA(M391)=1),LEFT(D391,3),"")</f>
        <v/>
      </c>
      <c r="BF391" s="265" t="str">
        <f>IF(AND(COUNTIF(AY391,"&gt;&lt;")=1,COUNTA(M391)=0),LEFT(D391,3),"")</f>
        <v/>
      </c>
      <c r="BG391" s="265" t="str">
        <f>IF(AND(COUNTIF(AY391,"&gt;&lt;0")=0,COUNTA(M391)=1),LEFT(D391,3),"")</f>
        <v/>
      </c>
      <c r="BH391" s="265" t="str">
        <f>IF(AND(COUNTIF(AY391,"&gt;&lt;0")=0,COUNTA(M391)=0),LEFT(D391,3),"")</f>
        <v>5-3</v>
      </c>
    </row>
    <row r="392" spans="3:60" ht="13.5" x14ac:dyDescent="0.3">
      <c r="C392" s="265" t="s">
        <v>69</v>
      </c>
      <c r="D392" s="407" t="s">
        <v>2452</v>
      </c>
      <c r="E392" s="264" t="s">
        <v>1054</v>
      </c>
      <c r="F392" s="251" t="s">
        <v>1055</v>
      </c>
      <c r="G392" s="265"/>
      <c r="H392" s="264" t="s">
        <v>110</v>
      </c>
      <c r="I392" s="264" t="s">
        <v>110</v>
      </c>
      <c r="J392" s="271" t="s">
        <v>2859</v>
      </c>
      <c r="K392" s="271"/>
      <c r="L392" s="272">
        <v>44603</v>
      </c>
      <c r="M392" s="264"/>
      <c r="N392" s="272">
        <v>44518</v>
      </c>
      <c r="O392" s="272">
        <v>44518</v>
      </c>
      <c r="P392" s="272">
        <v>44547</v>
      </c>
      <c r="Q392" s="264" t="s">
        <v>6</v>
      </c>
      <c r="R392" s="264" t="s">
        <v>2938</v>
      </c>
      <c r="S392" s="264" t="s">
        <v>2938</v>
      </c>
      <c r="X392" s="264"/>
      <c r="Z392" s="264"/>
      <c r="AA392" s="264"/>
      <c r="AB392" s="265" t="str">
        <f>VLOOKUP(功能_33[[#This Row],[User]],SKL放款!A:G,7,FALSE)</f>
        <v>放款推展課</v>
      </c>
      <c r="AC392" s="272">
        <v>44533</v>
      </c>
      <c r="AD392" s="272" t="s">
        <v>168</v>
      </c>
      <c r="AE392" s="258">
        <v>44550</v>
      </c>
      <c r="AF392" s="272">
        <v>44550</v>
      </c>
      <c r="AG392" s="209">
        <v>44550</v>
      </c>
      <c r="AH392" s="272"/>
      <c r="AI392" s="272"/>
      <c r="AJ392" s="322"/>
      <c r="AK392" s="272">
        <f>IFERROR(IF(VLOOKUP(功能_33[[#This Row],[功能代號]],E:U,11,FALSE)=0,"",VLOOKUP(功能_33[[#This Row],[功能代號]],E:U,11,FALSE)),"")</f>
        <v>44518</v>
      </c>
      <c r="AL392" s="272"/>
      <c r="AM392" s="272"/>
      <c r="AN392" s="265"/>
      <c r="AO392" s="272"/>
      <c r="AP392" s="264" t="s">
        <v>2603</v>
      </c>
      <c r="AQ392" s="264" t="s">
        <v>163</v>
      </c>
      <c r="AR392" s="593" t="s">
        <v>3207</v>
      </c>
      <c r="AS392" s="483" t="str">
        <f>IF(COUNTA(AG392)=1,LEFT(D392,3),"")</f>
        <v>5-3</v>
      </c>
      <c r="AT392" s="485" t="str">
        <f>IF(AND(COUNTA(O392)=1,COUNTA(P392)=1,COUNTA(AC392)=1,COUNTA(AF392)=1,COUNTA(AG392)=0),LEFT(D392,3),"")</f>
        <v/>
      </c>
      <c r="AU392" s="487" t="str">
        <f>IF(AND(COUNTA(O392)=1,COUNTA(P392)=1,COUNTA(AC392)=1,COUNTA(AF392)=0,COUNTA(AG392)=0),LEFT(D392,3),"")</f>
        <v/>
      </c>
      <c r="AV392" s="489" t="str">
        <f>IF(AND(COUNTA(P392)=0,COUNTA(AC392)=1),LEFT(D392,3),"")</f>
        <v/>
      </c>
      <c r="AW392" s="491" t="str">
        <f>IF(AND(COUNTA(P392)=1,COUNTA(AC392)=0),LEFT(D392,3),"")</f>
        <v/>
      </c>
      <c r="AX392" s="493" t="str">
        <f>IF(AND(COUNTA(P392)=0,COUNTA(AC392)=0),LEFT(D392,3),"")</f>
        <v/>
      </c>
      <c r="AY392" s="514" t="str">
        <f>IFERROR(VLOOKUP(功能_33[[#This Row],[功能代號]],SIT_FT_2021tmp!D:D,1,FALSE),"")</f>
        <v/>
      </c>
      <c r="AZ392" s="587">
        <v>44610</v>
      </c>
      <c r="BB392" s="514" t="s">
        <v>2453</v>
      </c>
      <c r="BC392" s="265" t="s">
        <v>2453</v>
      </c>
      <c r="BD392" s="593"/>
      <c r="BE392" s="265" t="str">
        <f>IF(AND(COUNTIF(AY392,"&gt;&lt;0")=1,COUNTA(M392)=1),LEFT(D392,3),"")</f>
        <v/>
      </c>
      <c r="BF392" s="265" t="str">
        <f>IF(AND(COUNTIF(AY392,"&gt;&lt;")=1,COUNTA(M392)=0),LEFT(D392,3),"")</f>
        <v/>
      </c>
      <c r="BG392" s="265" t="str">
        <f>IF(AND(COUNTIF(AY392,"&gt;&lt;0")=0,COUNTA(M392)=1),LEFT(D392,3),"")</f>
        <v/>
      </c>
      <c r="BH392" s="265" t="str">
        <f>IF(AND(COUNTIF(AY392,"&gt;&lt;0")=0,COUNTA(M392)=0),LEFT(D392,3),"")</f>
        <v>5-3</v>
      </c>
    </row>
    <row r="393" spans="3:60" ht="13.5" x14ac:dyDescent="0.3">
      <c r="C393" s="265" t="s">
        <v>69</v>
      </c>
      <c r="D393" s="407" t="s">
        <v>2452</v>
      </c>
      <c r="E393" s="264" t="s">
        <v>1056</v>
      </c>
      <c r="F393" s="251" t="s">
        <v>2793</v>
      </c>
      <c r="G393" s="265"/>
      <c r="H393" s="264" t="s">
        <v>110</v>
      </c>
      <c r="I393" s="264" t="s">
        <v>110</v>
      </c>
      <c r="J393" s="271" t="s">
        <v>2859</v>
      </c>
      <c r="K393" s="271"/>
      <c r="L393" s="272">
        <v>44603</v>
      </c>
      <c r="M393" s="264"/>
      <c r="N393" s="272">
        <v>44523</v>
      </c>
      <c r="O393" s="272">
        <v>44524</v>
      </c>
      <c r="P393" s="272">
        <v>44547</v>
      </c>
      <c r="Q393" s="264" t="s">
        <v>6</v>
      </c>
      <c r="R393" s="264" t="s">
        <v>10</v>
      </c>
      <c r="S393" s="264" t="s">
        <v>10</v>
      </c>
      <c r="X393" s="264"/>
      <c r="Z393" s="264"/>
      <c r="AA393" s="264"/>
      <c r="AB393" s="265" t="str">
        <f>VLOOKUP(功能_33[[#This Row],[User]],SKL放款!A:G,7,FALSE)</f>
        <v>放款服務課</v>
      </c>
      <c r="AC393" s="272">
        <v>44533</v>
      </c>
      <c r="AD393" s="272" t="s">
        <v>107</v>
      </c>
      <c r="AE393" s="258">
        <v>44550</v>
      </c>
      <c r="AF393" s="272">
        <v>44550</v>
      </c>
      <c r="AG393" s="209">
        <v>44550</v>
      </c>
      <c r="AH393" s="272"/>
      <c r="AI393" s="272"/>
      <c r="AJ393" s="322"/>
      <c r="AK393" s="272">
        <f>IFERROR(IF(VLOOKUP(功能_33[[#This Row],[功能代號]],E:U,11,FALSE)=0,"",VLOOKUP(功能_33[[#This Row],[功能代號]],E:U,11,FALSE)),"")</f>
        <v>44524</v>
      </c>
      <c r="AL393" s="272"/>
      <c r="AM393" s="272"/>
      <c r="AN393" s="265"/>
      <c r="AO393" s="272"/>
      <c r="AP393" s="264" t="s">
        <v>2603</v>
      </c>
      <c r="AQ393" s="264" t="s">
        <v>163</v>
      </c>
      <c r="AR393" s="593" t="s">
        <v>3207</v>
      </c>
      <c r="AS393" s="483" t="str">
        <f>IF(COUNTA(AG393)=1,LEFT(D393,3),"")</f>
        <v>5-3</v>
      </c>
      <c r="AT393" s="485" t="str">
        <f>IF(AND(COUNTA(O393)=1,COUNTA(P393)=1,COUNTA(AC393)=1,COUNTA(AF393)=1,COUNTA(AG393)=0),LEFT(D393,3),"")</f>
        <v/>
      </c>
      <c r="AU393" s="487" t="str">
        <f>IF(AND(COUNTA(O393)=1,COUNTA(P393)=1,COUNTA(AC393)=1,COUNTA(AF393)=0,COUNTA(AG393)=0),LEFT(D393,3),"")</f>
        <v/>
      </c>
      <c r="AV393" s="489" t="str">
        <f>IF(AND(COUNTA(P393)=0,COUNTA(AC393)=1),LEFT(D393,3),"")</f>
        <v/>
      </c>
      <c r="AW393" s="491" t="str">
        <f>IF(AND(COUNTA(P393)=1,COUNTA(AC393)=0),LEFT(D393,3),"")</f>
        <v/>
      </c>
      <c r="AX393" s="493" t="str">
        <f>IF(AND(COUNTA(P393)=0,COUNTA(AC393)=0),LEFT(D393,3),"")</f>
        <v/>
      </c>
      <c r="AY393" s="514" t="str">
        <f>IFERROR(VLOOKUP(功能_33[[#This Row],[功能代號]],SIT_FT_2021tmp!D:D,1,FALSE),"")</f>
        <v/>
      </c>
      <c r="AZ393" s="587">
        <v>44610</v>
      </c>
      <c r="BB393" s="514" t="s">
        <v>2453</v>
      </c>
      <c r="BC393" s="265" t="s">
        <v>2453</v>
      </c>
      <c r="BD393" s="593"/>
      <c r="BE393" s="265" t="str">
        <f>IF(AND(COUNTIF(AY393,"&gt;&lt;0")=1,COUNTA(M393)=1),LEFT(D393,3),"")</f>
        <v/>
      </c>
      <c r="BF393" s="265" t="str">
        <f>IF(AND(COUNTIF(AY393,"&gt;&lt;")=1,COUNTA(M393)=0),LEFT(D393,3),"")</f>
        <v/>
      </c>
      <c r="BG393" s="265" t="str">
        <f>IF(AND(COUNTIF(AY393,"&gt;&lt;0")=0,COUNTA(M393)=1),LEFT(D393,3),"")</f>
        <v/>
      </c>
      <c r="BH393" s="265" t="str">
        <f>IF(AND(COUNTIF(AY393,"&gt;&lt;0")=0,COUNTA(M393)=0),LEFT(D393,3),"")</f>
        <v>5-3</v>
      </c>
    </row>
    <row r="394" spans="3:60" ht="13.5" x14ac:dyDescent="0.3">
      <c r="C394" s="265" t="s">
        <v>69</v>
      </c>
      <c r="D394" s="407" t="s">
        <v>2452</v>
      </c>
      <c r="E394" s="264" t="s">
        <v>1057</v>
      </c>
      <c r="F394" s="251" t="s">
        <v>1058</v>
      </c>
      <c r="G394" s="265"/>
      <c r="H394" s="264" t="s">
        <v>110</v>
      </c>
      <c r="I394" s="264" t="s">
        <v>110</v>
      </c>
      <c r="J394" s="271" t="s">
        <v>2859</v>
      </c>
      <c r="K394" s="271"/>
      <c r="L394" s="272">
        <v>44603</v>
      </c>
      <c r="M394" s="264"/>
      <c r="N394" s="272">
        <v>44523</v>
      </c>
      <c r="O394" s="272">
        <v>44524</v>
      </c>
      <c r="P394" s="272">
        <v>44547</v>
      </c>
      <c r="Q394" s="264" t="s">
        <v>6</v>
      </c>
      <c r="R394" s="264" t="s">
        <v>10</v>
      </c>
      <c r="S394" s="264" t="s">
        <v>10</v>
      </c>
      <c r="X394" s="264"/>
      <c r="Z394" s="264"/>
      <c r="AA394" s="264"/>
      <c r="AB394" s="265" t="str">
        <f>VLOOKUP(功能_33[[#This Row],[User]],SKL放款!A:G,7,FALSE)</f>
        <v>放款服務課</v>
      </c>
      <c r="AC394" s="272">
        <v>44533</v>
      </c>
      <c r="AD394" s="272" t="s">
        <v>107</v>
      </c>
      <c r="AE394" s="258">
        <v>44550</v>
      </c>
      <c r="AF394" s="272">
        <v>44550</v>
      </c>
      <c r="AG394" s="209">
        <v>44550</v>
      </c>
      <c r="AH394" s="272"/>
      <c r="AI394" s="272"/>
      <c r="AJ394" s="322"/>
      <c r="AK394" s="272">
        <f>IFERROR(IF(VLOOKUP(功能_33[[#This Row],[功能代號]],E:U,11,FALSE)=0,"",VLOOKUP(功能_33[[#This Row],[功能代號]],E:U,11,FALSE)),"")</f>
        <v>44524</v>
      </c>
      <c r="AL394" s="272"/>
      <c r="AM394" s="272"/>
      <c r="AN394" s="265"/>
      <c r="AO394" s="272"/>
      <c r="AP394" s="264" t="s">
        <v>2603</v>
      </c>
      <c r="AQ394" s="264" t="s">
        <v>163</v>
      </c>
      <c r="AR394" s="593" t="s">
        <v>3207</v>
      </c>
      <c r="AS394" s="483" t="str">
        <f>IF(COUNTA(AG394)=1,LEFT(D394,3),"")</f>
        <v>5-3</v>
      </c>
      <c r="AT394" s="485" t="str">
        <f>IF(AND(COUNTA(O394)=1,COUNTA(P394)=1,COUNTA(AC394)=1,COUNTA(AF394)=1,COUNTA(AG394)=0),LEFT(D394,3),"")</f>
        <v/>
      </c>
      <c r="AU394" s="487" t="str">
        <f>IF(AND(COUNTA(O394)=1,COUNTA(P394)=1,COUNTA(AC394)=1,COUNTA(AF394)=0,COUNTA(AG394)=0),LEFT(D394,3),"")</f>
        <v/>
      </c>
      <c r="AV394" s="489" t="str">
        <f>IF(AND(COUNTA(P394)=0,COUNTA(AC394)=1),LEFT(D394,3),"")</f>
        <v/>
      </c>
      <c r="AW394" s="491" t="str">
        <f>IF(AND(COUNTA(P394)=1,COUNTA(AC394)=0),LEFT(D394,3),"")</f>
        <v/>
      </c>
      <c r="AX394" s="493" t="str">
        <f>IF(AND(COUNTA(P394)=0,COUNTA(AC394)=0),LEFT(D394,3),"")</f>
        <v/>
      </c>
      <c r="AY394" s="514" t="str">
        <f>IFERROR(VLOOKUP(功能_33[[#This Row],[功能代號]],SIT_FT_2021tmp!D:D,1,FALSE),"")</f>
        <v/>
      </c>
      <c r="AZ394" s="587">
        <v>44610</v>
      </c>
      <c r="BB394" s="514" t="s">
        <v>2453</v>
      </c>
      <c r="BC394" s="265" t="s">
        <v>2453</v>
      </c>
      <c r="BD394" s="593"/>
      <c r="BE394" s="265" t="str">
        <f>IF(AND(COUNTIF(AY394,"&gt;&lt;0")=1,COUNTA(M394)=1),LEFT(D394,3),"")</f>
        <v/>
      </c>
      <c r="BF394" s="265" t="str">
        <f>IF(AND(COUNTIF(AY394,"&gt;&lt;")=1,COUNTA(M394)=0),LEFT(D394,3),"")</f>
        <v/>
      </c>
      <c r="BG394" s="265" t="str">
        <f>IF(AND(COUNTIF(AY394,"&gt;&lt;0")=0,COUNTA(M394)=1),LEFT(D394,3),"")</f>
        <v/>
      </c>
      <c r="BH394" s="265" t="str">
        <f>IF(AND(COUNTIF(AY394,"&gt;&lt;0")=0,COUNTA(M394)=0),LEFT(D394,3),"")</f>
        <v>5-3</v>
      </c>
    </row>
    <row r="395" spans="3:60" ht="13.5" x14ac:dyDescent="0.3">
      <c r="C395" s="265" t="s">
        <v>69</v>
      </c>
      <c r="D395" s="407" t="s">
        <v>2452</v>
      </c>
      <c r="E395" s="264" t="s">
        <v>1059</v>
      </c>
      <c r="F395" s="251" t="s">
        <v>1060</v>
      </c>
      <c r="G395" s="265"/>
      <c r="H395" s="264" t="s">
        <v>110</v>
      </c>
      <c r="I395" s="264" t="s">
        <v>110</v>
      </c>
      <c r="J395" s="271" t="s">
        <v>2859</v>
      </c>
      <c r="K395" s="271"/>
      <c r="L395" s="272">
        <v>44603</v>
      </c>
      <c r="M395" s="264"/>
      <c r="N395" s="272">
        <v>44523</v>
      </c>
      <c r="O395" s="272">
        <v>44524</v>
      </c>
      <c r="P395" s="272">
        <v>44547</v>
      </c>
      <c r="Q395" s="264" t="s">
        <v>6</v>
      </c>
      <c r="R395" s="264" t="s">
        <v>10</v>
      </c>
      <c r="S395" s="264" t="s">
        <v>10</v>
      </c>
      <c r="X395" s="264"/>
      <c r="Z395" s="264"/>
      <c r="AA395" s="264"/>
      <c r="AB395" s="265" t="str">
        <f>VLOOKUP(功能_33[[#This Row],[User]],SKL放款!A:G,7,FALSE)</f>
        <v>放款服務課</v>
      </c>
      <c r="AC395" s="272">
        <v>44533</v>
      </c>
      <c r="AD395" s="272" t="s">
        <v>107</v>
      </c>
      <c r="AE395" s="258">
        <v>44550</v>
      </c>
      <c r="AF395" s="272">
        <v>44550</v>
      </c>
      <c r="AG395" s="209">
        <v>44550</v>
      </c>
      <c r="AH395" s="272"/>
      <c r="AI395" s="272"/>
      <c r="AJ395" s="322"/>
      <c r="AK395" s="272">
        <f>IFERROR(IF(VLOOKUP(功能_33[[#This Row],[功能代號]],E:U,11,FALSE)=0,"",VLOOKUP(功能_33[[#This Row],[功能代號]],E:U,11,FALSE)),"")</f>
        <v>44524</v>
      </c>
      <c r="AL395" s="272"/>
      <c r="AM395" s="272"/>
      <c r="AN395" s="265"/>
      <c r="AO395" s="272"/>
      <c r="AP395" s="264" t="s">
        <v>2603</v>
      </c>
      <c r="AQ395" s="264" t="s">
        <v>163</v>
      </c>
      <c r="AR395" s="593" t="s">
        <v>3207</v>
      </c>
      <c r="AS395" s="483" t="str">
        <f>IF(COUNTA(AG395)=1,LEFT(D395,3),"")</f>
        <v>5-3</v>
      </c>
      <c r="AT395" s="485" t="str">
        <f>IF(AND(COUNTA(O395)=1,COUNTA(P395)=1,COUNTA(AC395)=1,COUNTA(AF395)=1,COUNTA(AG395)=0),LEFT(D395,3),"")</f>
        <v/>
      </c>
      <c r="AU395" s="487" t="str">
        <f>IF(AND(COUNTA(O395)=1,COUNTA(P395)=1,COUNTA(AC395)=1,COUNTA(AF395)=0,COUNTA(AG395)=0),LEFT(D395,3),"")</f>
        <v/>
      </c>
      <c r="AV395" s="489" t="str">
        <f>IF(AND(COUNTA(P395)=0,COUNTA(AC395)=1),LEFT(D395,3),"")</f>
        <v/>
      </c>
      <c r="AW395" s="491" t="str">
        <f>IF(AND(COUNTA(P395)=1,COUNTA(AC395)=0),LEFT(D395,3),"")</f>
        <v/>
      </c>
      <c r="AX395" s="493" t="str">
        <f>IF(AND(COUNTA(P395)=0,COUNTA(AC395)=0),LEFT(D395,3),"")</f>
        <v/>
      </c>
      <c r="AY395" s="514" t="str">
        <f>IFERROR(VLOOKUP(功能_33[[#This Row],[功能代號]],SIT_FT_2021tmp!D:D,1,FALSE),"")</f>
        <v/>
      </c>
      <c r="AZ395" s="587">
        <v>44610</v>
      </c>
      <c r="BB395" s="514" t="s">
        <v>2453</v>
      </c>
      <c r="BC395" s="265" t="s">
        <v>2453</v>
      </c>
      <c r="BD395" s="593"/>
      <c r="BE395" s="265" t="str">
        <f>IF(AND(COUNTIF(AY395,"&gt;&lt;0")=1,COUNTA(M395)=1),LEFT(D395,3),"")</f>
        <v/>
      </c>
      <c r="BF395" s="265" t="str">
        <f>IF(AND(COUNTIF(AY395,"&gt;&lt;")=1,COUNTA(M395)=0),LEFT(D395,3),"")</f>
        <v/>
      </c>
      <c r="BG395" s="265" t="str">
        <f>IF(AND(COUNTIF(AY395,"&gt;&lt;0")=0,COUNTA(M395)=1),LEFT(D395,3),"")</f>
        <v/>
      </c>
      <c r="BH395" s="265" t="str">
        <f>IF(AND(COUNTIF(AY395,"&gt;&lt;0")=0,COUNTA(M395)=0),LEFT(D395,3),"")</f>
        <v>5-3</v>
      </c>
    </row>
    <row r="396" spans="3:60" ht="13.5" x14ac:dyDescent="0.3">
      <c r="C396" s="265" t="s">
        <v>69</v>
      </c>
      <c r="D396" s="407" t="s">
        <v>2452</v>
      </c>
      <c r="E396" s="264" t="s">
        <v>1061</v>
      </c>
      <c r="F396" s="251" t="s">
        <v>1062</v>
      </c>
      <c r="G396" s="265"/>
      <c r="H396" s="264" t="s">
        <v>110</v>
      </c>
      <c r="I396" s="264" t="s">
        <v>110</v>
      </c>
      <c r="J396" s="271" t="s">
        <v>2859</v>
      </c>
      <c r="K396" s="271"/>
      <c r="L396" s="272">
        <v>44603</v>
      </c>
      <c r="M396" s="264"/>
      <c r="N396" s="272">
        <v>44519</v>
      </c>
      <c r="O396" s="272">
        <v>44518</v>
      </c>
      <c r="P396" s="272">
        <v>44547</v>
      </c>
      <c r="Q396" s="264" t="s">
        <v>6</v>
      </c>
      <c r="R396" s="264" t="s">
        <v>2938</v>
      </c>
      <c r="S396" s="264" t="s">
        <v>2938</v>
      </c>
      <c r="X396" s="264"/>
      <c r="Z396" s="264"/>
      <c r="AA396" s="264"/>
      <c r="AB396" s="265" t="str">
        <f>VLOOKUP(功能_33[[#This Row],[User]],SKL放款!A:G,7,FALSE)</f>
        <v>放款推展課</v>
      </c>
      <c r="AC396" s="272">
        <v>44533</v>
      </c>
      <c r="AD396" s="272" t="s">
        <v>168</v>
      </c>
      <c r="AE396" s="258">
        <v>44550</v>
      </c>
      <c r="AF396" s="272">
        <v>44550</v>
      </c>
      <c r="AG396" s="209">
        <v>44550</v>
      </c>
      <c r="AH396" s="272"/>
      <c r="AI396" s="272"/>
      <c r="AJ396" s="322"/>
      <c r="AK396" s="272">
        <f>IFERROR(IF(VLOOKUP(功能_33[[#This Row],[功能代號]],E:U,11,FALSE)=0,"",VLOOKUP(功能_33[[#This Row],[功能代號]],E:U,11,FALSE)),"")</f>
        <v>44518</v>
      </c>
      <c r="AL396" s="272"/>
      <c r="AM396" s="272"/>
      <c r="AN396" s="265"/>
      <c r="AO396" s="272"/>
      <c r="AP396" s="264" t="s">
        <v>2603</v>
      </c>
      <c r="AQ396" s="264" t="s">
        <v>163</v>
      </c>
      <c r="AR396" s="593" t="s">
        <v>3207</v>
      </c>
      <c r="AS396" s="483" t="str">
        <f>IF(COUNTA(AG396)=1,LEFT(D396,3),"")</f>
        <v>5-3</v>
      </c>
      <c r="AT396" s="485" t="str">
        <f>IF(AND(COUNTA(O396)=1,COUNTA(P396)=1,COUNTA(AC396)=1,COUNTA(AF396)=1,COUNTA(AG396)=0),LEFT(D396,3),"")</f>
        <v/>
      </c>
      <c r="AU396" s="487" t="str">
        <f>IF(AND(COUNTA(O396)=1,COUNTA(P396)=1,COUNTA(AC396)=1,COUNTA(AF396)=0,COUNTA(AG396)=0),LEFT(D396,3),"")</f>
        <v/>
      </c>
      <c r="AV396" s="489" t="str">
        <f>IF(AND(COUNTA(P396)=0,COUNTA(AC396)=1),LEFT(D396,3),"")</f>
        <v/>
      </c>
      <c r="AW396" s="491" t="str">
        <f>IF(AND(COUNTA(P396)=1,COUNTA(AC396)=0),LEFT(D396,3),"")</f>
        <v/>
      </c>
      <c r="AX396" s="493" t="str">
        <f>IF(AND(COUNTA(P396)=0,COUNTA(AC396)=0),LEFT(D396,3),"")</f>
        <v/>
      </c>
      <c r="AY396" s="514" t="str">
        <f>IFERROR(VLOOKUP(功能_33[[#This Row],[功能代號]],SIT_FT_2021tmp!D:D,1,FALSE),"")</f>
        <v/>
      </c>
      <c r="AZ396" s="587">
        <v>44610</v>
      </c>
      <c r="BB396" s="514" t="s">
        <v>2453</v>
      </c>
      <c r="BC396" s="265" t="s">
        <v>2453</v>
      </c>
      <c r="BD396" s="593"/>
      <c r="BE396" s="265" t="str">
        <f>IF(AND(COUNTIF(AY396,"&gt;&lt;0")=1,COUNTA(M396)=1),LEFT(D396,3),"")</f>
        <v/>
      </c>
      <c r="BF396" s="265" t="str">
        <f>IF(AND(COUNTIF(AY396,"&gt;&lt;")=1,COUNTA(M396)=0),LEFT(D396,3),"")</f>
        <v/>
      </c>
      <c r="BG396" s="265" t="str">
        <f>IF(AND(COUNTIF(AY396,"&gt;&lt;0")=0,COUNTA(M396)=1),LEFT(D396,3),"")</f>
        <v/>
      </c>
      <c r="BH396" s="265" t="str">
        <f>IF(AND(COUNTIF(AY396,"&gt;&lt;0")=0,COUNTA(M396)=0),LEFT(D396,3),"")</f>
        <v>5-3</v>
      </c>
    </row>
    <row r="397" spans="3:60" ht="13.5" x14ac:dyDescent="0.3">
      <c r="C397" s="265" t="s">
        <v>69</v>
      </c>
      <c r="D397" s="407" t="s">
        <v>2452</v>
      </c>
      <c r="E397" s="264" t="s">
        <v>1063</v>
      </c>
      <c r="F397" s="251" t="s">
        <v>1064</v>
      </c>
      <c r="G397" s="265"/>
      <c r="H397" s="264" t="s">
        <v>110</v>
      </c>
      <c r="I397" s="264" t="s">
        <v>110</v>
      </c>
      <c r="J397" s="271" t="s">
        <v>2859</v>
      </c>
      <c r="K397" s="271"/>
      <c r="L397" s="272">
        <v>44603</v>
      </c>
      <c r="M397" s="264"/>
      <c r="N397" s="272">
        <v>44519</v>
      </c>
      <c r="O397" s="272">
        <v>44518</v>
      </c>
      <c r="P397" s="272">
        <v>44547</v>
      </c>
      <c r="Q397" s="264" t="s">
        <v>6</v>
      </c>
      <c r="R397" s="264" t="s">
        <v>2938</v>
      </c>
      <c r="S397" s="264" t="s">
        <v>2938</v>
      </c>
      <c r="X397" s="264"/>
      <c r="Z397" s="264"/>
      <c r="AA397" s="264"/>
      <c r="AB397" s="265" t="str">
        <f>VLOOKUP(功能_33[[#This Row],[User]],SKL放款!A:G,7,FALSE)</f>
        <v>放款推展課</v>
      </c>
      <c r="AC397" s="272">
        <v>44533</v>
      </c>
      <c r="AD397" s="272" t="s">
        <v>168</v>
      </c>
      <c r="AE397" s="258">
        <v>44550</v>
      </c>
      <c r="AF397" s="272">
        <v>44550</v>
      </c>
      <c r="AG397" s="209">
        <v>44550</v>
      </c>
      <c r="AH397" s="272"/>
      <c r="AI397" s="272"/>
      <c r="AJ397" s="322"/>
      <c r="AK397" s="272">
        <f>IFERROR(IF(VLOOKUP(功能_33[[#This Row],[功能代號]],E:U,11,FALSE)=0,"",VLOOKUP(功能_33[[#This Row],[功能代號]],E:U,11,FALSE)),"")</f>
        <v>44518</v>
      </c>
      <c r="AL397" s="272"/>
      <c r="AM397" s="272"/>
      <c r="AN397" s="265"/>
      <c r="AO397" s="272"/>
      <c r="AP397" s="264" t="s">
        <v>2603</v>
      </c>
      <c r="AQ397" s="264" t="s">
        <v>163</v>
      </c>
      <c r="AR397" s="593" t="s">
        <v>3207</v>
      </c>
      <c r="AS397" s="483" t="str">
        <f>IF(COUNTA(AG397)=1,LEFT(D397,3),"")</f>
        <v>5-3</v>
      </c>
      <c r="AT397" s="485" t="str">
        <f>IF(AND(COUNTA(O397)=1,COUNTA(P397)=1,COUNTA(AC397)=1,COUNTA(AF397)=1,COUNTA(AG397)=0),LEFT(D397,3),"")</f>
        <v/>
      </c>
      <c r="AU397" s="487" t="str">
        <f>IF(AND(COUNTA(O397)=1,COUNTA(P397)=1,COUNTA(AC397)=1,COUNTA(AF397)=0,COUNTA(AG397)=0),LEFT(D397,3),"")</f>
        <v/>
      </c>
      <c r="AV397" s="489" t="str">
        <f>IF(AND(COUNTA(P397)=0,COUNTA(AC397)=1),LEFT(D397,3),"")</f>
        <v/>
      </c>
      <c r="AW397" s="491" t="str">
        <f>IF(AND(COUNTA(P397)=1,COUNTA(AC397)=0),LEFT(D397,3),"")</f>
        <v/>
      </c>
      <c r="AX397" s="493" t="str">
        <f>IF(AND(COUNTA(P397)=0,COUNTA(AC397)=0),LEFT(D397,3),"")</f>
        <v/>
      </c>
      <c r="AY397" s="514" t="str">
        <f>IFERROR(VLOOKUP(功能_33[[#This Row],[功能代號]],SIT_FT_2021tmp!D:D,1,FALSE),"")</f>
        <v/>
      </c>
      <c r="AZ397" s="587">
        <v>44610</v>
      </c>
      <c r="BB397" s="514" t="s">
        <v>2453</v>
      </c>
      <c r="BC397" s="265" t="s">
        <v>2453</v>
      </c>
      <c r="BD397" s="593"/>
      <c r="BE397" s="265" t="str">
        <f>IF(AND(COUNTIF(AY397,"&gt;&lt;0")=1,COUNTA(M397)=1),LEFT(D397,3),"")</f>
        <v/>
      </c>
      <c r="BF397" s="265" t="str">
        <f>IF(AND(COUNTIF(AY397,"&gt;&lt;")=1,COUNTA(M397)=0),LEFT(D397,3),"")</f>
        <v/>
      </c>
      <c r="BG397" s="265" t="str">
        <f>IF(AND(COUNTIF(AY397,"&gt;&lt;0")=0,COUNTA(M397)=1),LEFT(D397,3),"")</f>
        <v/>
      </c>
      <c r="BH397" s="265" t="str">
        <f>IF(AND(COUNTIF(AY397,"&gt;&lt;0")=0,COUNTA(M397)=0),LEFT(D397,3),"")</f>
        <v>5-3</v>
      </c>
    </row>
    <row r="398" spans="3:60" ht="13.5" x14ac:dyDescent="0.3">
      <c r="C398" s="265" t="s">
        <v>69</v>
      </c>
      <c r="D398" s="407" t="s">
        <v>2452</v>
      </c>
      <c r="E398" s="264" t="s">
        <v>1065</v>
      </c>
      <c r="F398" s="251" t="s">
        <v>1066</v>
      </c>
      <c r="G398" s="265"/>
      <c r="H398" s="264" t="s">
        <v>110</v>
      </c>
      <c r="I398" s="264" t="s">
        <v>110</v>
      </c>
      <c r="J398" s="271" t="s">
        <v>2859</v>
      </c>
      <c r="K398" s="271"/>
      <c r="L398" s="272">
        <v>44603</v>
      </c>
      <c r="M398" s="264"/>
      <c r="N398" s="272">
        <v>44519</v>
      </c>
      <c r="O398" s="272">
        <v>44518</v>
      </c>
      <c r="P398" s="272">
        <v>44547</v>
      </c>
      <c r="Q398" s="264" t="s">
        <v>6</v>
      </c>
      <c r="R398" s="264" t="s">
        <v>2938</v>
      </c>
      <c r="S398" s="264" t="s">
        <v>2938</v>
      </c>
      <c r="X398" s="264"/>
      <c r="Z398" s="264"/>
      <c r="AA398" s="264"/>
      <c r="AB398" s="265" t="str">
        <f>VLOOKUP(功能_33[[#This Row],[User]],SKL放款!A:G,7,FALSE)</f>
        <v>放款推展課</v>
      </c>
      <c r="AC398" s="272">
        <v>44533</v>
      </c>
      <c r="AD398" s="272" t="s">
        <v>168</v>
      </c>
      <c r="AE398" s="258">
        <v>44550</v>
      </c>
      <c r="AF398" s="272">
        <v>44550</v>
      </c>
      <c r="AG398" s="209">
        <v>44550</v>
      </c>
      <c r="AH398" s="272"/>
      <c r="AI398" s="272"/>
      <c r="AJ398" s="322"/>
      <c r="AK398" s="272">
        <f>IFERROR(IF(VLOOKUP(功能_33[[#This Row],[功能代號]],E:U,11,FALSE)=0,"",VLOOKUP(功能_33[[#This Row],[功能代號]],E:U,11,FALSE)),"")</f>
        <v>44518</v>
      </c>
      <c r="AL398" s="272"/>
      <c r="AM398" s="272"/>
      <c r="AN398" s="265"/>
      <c r="AO398" s="272"/>
      <c r="AP398" s="264" t="s">
        <v>2603</v>
      </c>
      <c r="AQ398" s="264" t="s">
        <v>163</v>
      </c>
      <c r="AR398" s="593" t="s">
        <v>3207</v>
      </c>
      <c r="AS398" s="483" t="str">
        <f>IF(COUNTA(AG398)=1,LEFT(D398,3),"")</f>
        <v>5-3</v>
      </c>
      <c r="AT398" s="485" t="str">
        <f>IF(AND(COUNTA(O398)=1,COUNTA(P398)=1,COUNTA(AC398)=1,COUNTA(AF398)=1,COUNTA(AG398)=0),LEFT(D398,3),"")</f>
        <v/>
      </c>
      <c r="AU398" s="487" t="str">
        <f>IF(AND(COUNTA(O398)=1,COUNTA(P398)=1,COUNTA(AC398)=1,COUNTA(AF398)=0,COUNTA(AG398)=0),LEFT(D398,3),"")</f>
        <v/>
      </c>
      <c r="AV398" s="489" t="str">
        <f>IF(AND(COUNTA(P398)=0,COUNTA(AC398)=1),LEFT(D398,3),"")</f>
        <v/>
      </c>
      <c r="AW398" s="491" t="str">
        <f>IF(AND(COUNTA(P398)=1,COUNTA(AC398)=0),LEFT(D398,3),"")</f>
        <v/>
      </c>
      <c r="AX398" s="493" t="str">
        <f>IF(AND(COUNTA(P398)=0,COUNTA(AC398)=0),LEFT(D398,3),"")</f>
        <v/>
      </c>
      <c r="AY398" s="514" t="str">
        <f>IFERROR(VLOOKUP(功能_33[[#This Row],[功能代號]],SIT_FT_2021tmp!D:D,1,FALSE),"")</f>
        <v/>
      </c>
      <c r="AZ398" s="587">
        <v>44610</v>
      </c>
      <c r="BB398" s="514" t="s">
        <v>2453</v>
      </c>
      <c r="BC398" s="265" t="s">
        <v>2453</v>
      </c>
      <c r="BD398" s="593"/>
      <c r="BE398" s="265" t="str">
        <f>IF(AND(COUNTIF(AY398,"&gt;&lt;0")=1,COUNTA(M398)=1),LEFT(D398,3),"")</f>
        <v/>
      </c>
      <c r="BF398" s="265" t="str">
        <f>IF(AND(COUNTIF(AY398,"&gt;&lt;")=1,COUNTA(M398)=0),LEFT(D398,3),"")</f>
        <v/>
      </c>
      <c r="BG398" s="265" t="str">
        <f>IF(AND(COUNTIF(AY398,"&gt;&lt;0")=0,COUNTA(M398)=1),LEFT(D398,3),"")</f>
        <v/>
      </c>
      <c r="BH398" s="265" t="str">
        <f>IF(AND(COUNTIF(AY398,"&gt;&lt;0")=0,COUNTA(M398)=0),LEFT(D398,3),"")</f>
        <v>5-3</v>
      </c>
    </row>
    <row r="399" spans="3:60" ht="17" x14ac:dyDescent="0.3">
      <c r="C399" s="265" t="s">
        <v>69</v>
      </c>
      <c r="D399" s="407" t="s">
        <v>2476</v>
      </c>
      <c r="E399" s="264" t="s">
        <v>1070</v>
      </c>
      <c r="F399" s="251" t="s">
        <v>1071</v>
      </c>
      <c r="G399" s="265"/>
      <c r="H399" s="264" t="s">
        <v>110</v>
      </c>
      <c r="I399" s="264" t="s">
        <v>3278</v>
      </c>
      <c r="J399" s="271" t="s">
        <v>2859</v>
      </c>
      <c r="K399" s="271"/>
      <c r="L399" s="272">
        <v>44582</v>
      </c>
      <c r="M399" s="272">
        <v>44580</v>
      </c>
      <c r="N399" s="272">
        <v>44519</v>
      </c>
      <c r="O399" s="272">
        <v>44518</v>
      </c>
      <c r="P399" s="272">
        <v>44533</v>
      </c>
      <c r="Q399" s="264" t="s">
        <v>6</v>
      </c>
      <c r="R399" s="264" t="s">
        <v>2938</v>
      </c>
      <c r="S399" s="264" t="s">
        <v>2938</v>
      </c>
      <c r="X399" s="264"/>
      <c r="Z399" s="264"/>
      <c r="AA399" s="264"/>
      <c r="AB399" s="265" t="str">
        <f>VLOOKUP(功能_33[[#This Row],[User]],SKL放款!A:G,7,FALSE)</f>
        <v>放款推展課</v>
      </c>
      <c r="AC399" s="272">
        <v>44533</v>
      </c>
      <c r="AD399" s="272" t="s">
        <v>2394</v>
      </c>
      <c r="AE399" s="258">
        <v>44550</v>
      </c>
      <c r="AF399" s="272">
        <v>44550</v>
      </c>
      <c r="AG399" s="209">
        <v>44550</v>
      </c>
      <c r="AH399" s="272"/>
      <c r="AI399" s="272"/>
      <c r="AJ399" s="322"/>
      <c r="AK399" s="272">
        <f>IFERROR(IF(VLOOKUP(功能_33[[#This Row],[功能代號]],E:U,11,FALSE)=0,"",VLOOKUP(功能_33[[#This Row],[功能代號]],E:U,11,FALSE)),"")</f>
        <v>44518</v>
      </c>
      <c r="AL399" s="272"/>
      <c r="AM399" s="272"/>
      <c r="AN399" s="265"/>
      <c r="AO399" s="272"/>
      <c r="AP399" s="557" t="s">
        <v>2791</v>
      </c>
      <c r="AQ399" s="550" t="s">
        <v>2792</v>
      </c>
      <c r="AR399" s="593" t="s">
        <v>3207</v>
      </c>
      <c r="AS399" s="483" t="str">
        <f>IF(COUNTA(AG399)=1,LEFT(D399,3),"")</f>
        <v>5-2</v>
      </c>
      <c r="AT399" s="485" t="str">
        <f>IF(AND(COUNTA(O399)=1,COUNTA(P399)=1,COUNTA(AC399)=1,COUNTA(AF399)=1,COUNTA(AG399)=0),LEFT(D399,3),"")</f>
        <v/>
      </c>
      <c r="AU399" s="487" t="str">
        <f>IF(AND(COUNTA(O399)=1,COUNTA(P399)=1,COUNTA(AC399)=1,COUNTA(AF399)=0,COUNTA(AG399)=0),LEFT(D399,3),"")</f>
        <v/>
      </c>
      <c r="AV399" s="489" t="str">
        <f>IF(AND(COUNTA(P399)=0,COUNTA(AC399)=1),LEFT(D399,3),"")</f>
        <v/>
      </c>
      <c r="AW399" s="491" t="str">
        <f>IF(AND(COUNTA(P399)=1,COUNTA(AC399)=0),LEFT(D399,3),"")</f>
        <v/>
      </c>
      <c r="AX399" s="493" t="str">
        <f>IF(AND(COUNTA(P399)=0,COUNTA(AC399)=0),LEFT(D399,3),"")</f>
        <v/>
      </c>
      <c r="AY399" s="514" t="str">
        <f>IFERROR(VLOOKUP(功能_33[[#This Row],[功能代號]],SIT_FT_2021tmp!D:D,1,FALSE),"")</f>
        <v>L5910</v>
      </c>
      <c r="AZ399" s="587">
        <v>44550</v>
      </c>
      <c r="BA399" s="587">
        <v>44550</v>
      </c>
      <c r="BB399" s="514" t="s">
        <v>3000</v>
      </c>
      <c r="BC399" s="265" t="s">
        <v>3072</v>
      </c>
      <c r="BD399" s="593"/>
      <c r="BE399" s="264" t="str">
        <f>IF(AND(COUNTIF(AY399,"&gt;&lt;0")=1,COUNTA(M399)=1),LEFT(D399,3),"")</f>
        <v>5-2</v>
      </c>
      <c r="BF399" s="264" t="str">
        <f>IF(AND(COUNTIF(AY399,"&gt;&lt;")=1,COUNTA(M399)=0),LEFT(D399,3),"")</f>
        <v/>
      </c>
      <c r="BG399" s="264" t="str">
        <f>IF(AND(COUNTIF(AY399,"&gt;&lt;0")=0,COUNTA(M399)=1),LEFT(D399,3),"")</f>
        <v/>
      </c>
      <c r="BH399" s="264" t="str">
        <f>IF(AND(COUNTIF(AY399,"&gt;&lt;0")=0,COUNTA(M399)=0),LEFT(D399,3),"")</f>
        <v/>
      </c>
    </row>
    <row r="400" spans="3:60" ht="17" x14ac:dyDescent="0.3">
      <c r="C400" s="265" t="s">
        <v>69</v>
      </c>
      <c r="D400" s="407" t="s">
        <v>2476</v>
      </c>
      <c r="E400" s="264" t="s">
        <v>1072</v>
      </c>
      <c r="F400" s="251" t="s">
        <v>1073</v>
      </c>
      <c r="G400" s="265"/>
      <c r="H400" s="264" t="s">
        <v>110</v>
      </c>
      <c r="I400" s="264" t="s">
        <v>3278</v>
      </c>
      <c r="J400" s="271" t="s">
        <v>2859</v>
      </c>
      <c r="K400" s="271"/>
      <c r="L400" s="272">
        <v>44582</v>
      </c>
      <c r="M400" s="272">
        <v>44580</v>
      </c>
      <c r="N400" s="272">
        <v>44519</v>
      </c>
      <c r="O400" s="272">
        <v>44518</v>
      </c>
      <c r="P400" s="272">
        <v>44533</v>
      </c>
      <c r="Q400" s="264" t="s">
        <v>6</v>
      </c>
      <c r="R400" s="264" t="s">
        <v>2938</v>
      </c>
      <c r="S400" s="264" t="s">
        <v>2938</v>
      </c>
      <c r="X400" s="264"/>
      <c r="Z400" s="264"/>
      <c r="AA400" s="264"/>
      <c r="AB400" s="265" t="str">
        <f>VLOOKUP(功能_33[[#This Row],[User]],SKL放款!A:G,7,FALSE)</f>
        <v>放款推展課</v>
      </c>
      <c r="AC400" s="272">
        <v>44533</v>
      </c>
      <c r="AD400" s="272" t="s">
        <v>2394</v>
      </c>
      <c r="AE400" s="258">
        <v>44550</v>
      </c>
      <c r="AF400" s="272">
        <v>44550</v>
      </c>
      <c r="AG400" s="209">
        <v>44550</v>
      </c>
      <c r="AH400" s="272"/>
      <c r="AI400" s="272"/>
      <c r="AJ400" s="322"/>
      <c r="AK400" s="272">
        <f>IFERROR(IF(VLOOKUP(功能_33[[#This Row],[功能代號]],E:U,11,FALSE)=0,"",VLOOKUP(功能_33[[#This Row],[功能代號]],E:U,11,FALSE)),"")</f>
        <v>44518</v>
      </c>
      <c r="AL400" s="272"/>
      <c r="AM400" s="272"/>
      <c r="AN400" s="265"/>
      <c r="AO400" s="272"/>
      <c r="AP400" s="557" t="s">
        <v>2791</v>
      </c>
      <c r="AQ400" s="549" t="s">
        <v>2792</v>
      </c>
      <c r="AR400" s="593" t="s">
        <v>3207</v>
      </c>
      <c r="AS400" s="483" t="str">
        <f>IF(COUNTA(AG400)=1,LEFT(D400,3),"")</f>
        <v>5-2</v>
      </c>
      <c r="AT400" s="485" t="str">
        <f>IF(AND(COUNTA(O400)=1,COUNTA(P400)=1,COUNTA(AC400)=1,COUNTA(AF400)=1,COUNTA(AG400)=0),LEFT(D400,3),"")</f>
        <v/>
      </c>
      <c r="AU400" s="487" t="str">
        <f>IF(AND(COUNTA(O400)=1,COUNTA(P400)=1,COUNTA(AC400)=1,COUNTA(AF400)=0,COUNTA(AG400)=0),LEFT(D400,3),"")</f>
        <v/>
      </c>
      <c r="AV400" s="489" t="str">
        <f>IF(AND(COUNTA(P400)=0,COUNTA(AC400)=1),LEFT(D400,3),"")</f>
        <v/>
      </c>
      <c r="AW400" s="491" t="str">
        <f>IF(AND(COUNTA(P400)=1,COUNTA(AC400)=0),LEFT(D400,3),"")</f>
        <v/>
      </c>
      <c r="AX400" s="493" t="str">
        <f>IF(AND(COUNTA(P400)=0,COUNTA(AC400)=0),LEFT(D400,3),"")</f>
        <v/>
      </c>
      <c r="AY400" s="514" t="str">
        <f>IFERROR(VLOOKUP(功能_33[[#This Row],[功能代號]],SIT_FT_2021tmp!D:D,1,FALSE),"")</f>
        <v>L5912</v>
      </c>
      <c r="AZ400" s="587">
        <v>44550</v>
      </c>
      <c r="BA400" s="587">
        <v>44550</v>
      </c>
      <c r="BB400" s="514" t="s">
        <v>3000</v>
      </c>
      <c r="BC400" s="265" t="s">
        <v>3072</v>
      </c>
      <c r="BD400" s="593"/>
      <c r="BE400" s="264" t="str">
        <f>IF(AND(COUNTIF(AY400,"&gt;&lt;0")=1,COUNTA(M400)=1),LEFT(D400,3),"")</f>
        <v>5-2</v>
      </c>
      <c r="BF400" s="264" t="str">
        <f>IF(AND(COUNTIF(AY400,"&gt;&lt;")=1,COUNTA(M400)=0),LEFT(D400,3),"")</f>
        <v/>
      </c>
      <c r="BG400" s="264" t="str">
        <f>IF(AND(COUNTIF(AY400,"&gt;&lt;0")=0,COUNTA(M400)=1),LEFT(D400,3),"")</f>
        <v/>
      </c>
      <c r="BH400" s="264" t="str">
        <f>IF(AND(COUNTIF(AY400,"&gt;&lt;0")=0,COUNTA(M400)=0),LEFT(D400,3),"")</f>
        <v/>
      </c>
    </row>
    <row r="401" spans="1:60" ht="13.5" x14ac:dyDescent="0.3">
      <c r="C401" s="265" t="s">
        <v>70</v>
      </c>
      <c r="D401" s="407" t="s">
        <v>2466</v>
      </c>
      <c r="E401" s="264" t="s">
        <v>1019</v>
      </c>
      <c r="F401" s="265" t="s">
        <v>1020</v>
      </c>
      <c r="G401" s="265"/>
      <c r="H401" s="264" t="s">
        <v>166</v>
      </c>
      <c r="I401" s="264" t="s">
        <v>287</v>
      </c>
      <c r="J401" s="212" t="s">
        <v>2853</v>
      </c>
      <c r="K401" s="212"/>
      <c r="L401" s="272">
        <v>44565</v>
      </c>
      <c r="M401" s="272">
        <v>44565</v>
      </c>
      <c r="N401" s="272">
        <v>44397</v>
      </c>
      <c r="O401" s="272">
        <v>44397</v>
      </c>
      <c r="P401" s="272">
        <v>44402</v>
      </c>
      <c r="Q401" s="264" t="s">
        <v>2</v>
      </c>
      <c r="R401" s="264" t="s">
        <v>2938</v>
      </c>
      <c r="S401" s="264" t="s">
        <v>2938</v>
      </c>
      <c r="X401" s="264"/>
      <c r="Z401" s="264"/>
      <c r="AA401" s="264"/>
      <c r="AB401" s="265" t="str">
        <f>VLOOKUP(功能_33[[#This Row],[User]],SKL放款!A:G,7,FALSE)</f>
        <v>放款推展課</v>
      </c>
      <c r="AC401" s="272">
        <v>44402</v>
      </c>
      <c r="AD401" s="272" t="s">
        <v>107</v>
      </c>
      <c r="AE401" s="258">
        <v>44550</v>
      </c>
      <c r="AF401" s="272">
        <v>44550</v>
      </c>
      <c r="AG401" s="209">
        <v>44550</v>
      </c>
      <c r="AH401" s="272"/>
      <c r="AI401" s="272"/>
      <c r="AJ401" s="322"/>
      <c r="AK401" s="272">
        <f>IFERROR(IF(VLOOKUP(功能_33[[#This Row],[功能代號]],E:U,11,FALSE)=0,"",VLOOKUP(功能_33[[#This Row],[功能代號]],E:U,11,FALSE)),"")</f>
        <v>44397</v>
      </c>
      <c r="AL401" s="272"/>
      <c r="AM401" s="272"/>
      <c r="AN401" s="265"/>
      <c r="AO401" s="272">
        <v>44397</v>
      </c>
      <c r="AP401" s="264" t="s">
        <v>163</v>
      </c>
      <c r="AQ401" s="264" t="s">
        <v>163</v>
      </c>
      <c r="AR401" s="593" t="s">
        <v>3207</v>
      </c>
      <c r="AS401" s="483" t="str">
        <f>IF(COUNTA(AG401)=1,LEFT(D401,3),"")</f>
        <v>6-7</v>
      </c>
      <c r="AT401" s="485" t="str">
        <f>IF(AND(COUNTA(O401)=1,COUNTA(P401)=1,COUNTA(AC401)=1,COUNTA(AF401)=1,COUNTA(AG401)=0),LEFT(D401,3),"")</f>
        <v/>
      </c>
      <c r="AU401" s="487" t="str">
        <f>IF(AND(COUNTA(O401)=1,COUNTA(P401)=1,COUNTA(AC401)=1,COUNTA(AF401)=0,COUNTA(AG401)=0),LEFT(D401,3),"")</f>
        <v/>
      </c>
      <c r="AV401" s="489" t="str">
        <f>IF(AND(COUNTA(P401)=0,COUNTA(AC401)=1),LEFT(D401,3),"")</f>
        <v/>
      </c>
      <c r="AW401" s="491" t="str">
        <f>IF(AND(COUNTA(P401)=1,COUNTA(AC401)=0),LEFT(D401,3),"")</f>
        <v/>
      </c>
      <c r="AX401" s="493" t="str">
        <f>IF(AND(COUNTA(P401)=0,COUNTA(AC401)=0),LEFT(D401,3),"")</f>
        <v/>
      </c>
      <c r="AY401" s="514" t="str">
        <f>IFERROR(VLOOKUP(功能_33[[#This Row],[功能代號]],SIT_FT_2021tmp!D:D,1,FALSE),"")</f>
        <v>L6751</v>
      </c>
      <c r="AZ401" s="587">
        <v>44515</v>
      </c>
      <c r="BA401" s="587">
        <v>44515</v>
      </c>
      <c r="BB401" s="514" t="s">
        <v>3000</v>
      </c>
      <c r="BC401" s="265" t="s">
        <v>3064</v>
      </c>
      <c r="BD401" s="593"/>
      <c r="BE401" s="264" t="str">
        <f>IF(AND(COUNTIF(AY401,"&gt;&lt;0")=1,COUNTA(M401)=1),LEFT(D401,3),"")</f>
        <v>6-7</v>
      </c>
      <c r="BF401" s="264" t="str">
        <f>IF(AND(COUNTIF(AY401,"&gt;&lt;")=1,COUNTA(M401)=0),LEFT(D401,3),"")</f>
        <v/>
      </c>
      <c r="BG401" s="264" t="str">
        <f>IF(AND(COUNTIF(AY401,"&gt;&lt;0")=0,COUNTA(M401)=1),LEFT(D401,3),"")</f>
        <v/>
      </c>
      <c r="BH401" s="264" t="str">
        <f>IF(AND(COUNTIF(AY401,"&gt;&lt;0")=0,COUNTA(M401)=0),LEFT(D401,3),"")</f>
        <v/>
      </c>
    </row>
    <row r="402" spans="1:60" ht="13.5" x14ac:dyDescent="0.3">
      <c r="C402" s="265" t="s">
        <v>70</v>
      </c>
      <c r="D402" s="407" t="s">
        <v>2466</v>
      </c>
      <c r="E402" s="264" t="s">
        <v>986</v>
      </c>
      <c r="F402" s="265" t="s">
        <v>987</v>
      </c>
      <c r="G402" s="265"/>
      <c r="H402" s="264" t="s">
        <v>166</v>
      </c>
      <c r="I402" s="264" t="s">
        <v>287</v>
      </c>
      <c r="J402" s="212" t="s">
        <v>2853</v>
      </c>
      <c r="K402" s="212"/>
      <c r="L402" s="272">
        <v>44565</v>
      </c>
      <c r="M402" s="272">
        <v>44565</v>
      </c>
      <c r="N402" s="272">
        <v>44396</v>
      </c>
      <c r="O402" s="272">
        <v>44396</v>
      </c>
      <c r="P402" s="272">
        <v>44402</v>
      </c>
      <c r="Q402" s="264" t="s">
        <v>6</v>
      </c>
      <c r="R402" s="264" t="s">
        <v>2938</v>
      </c>
      <c r="S402" s="264" t="s">
        <v>2938</v>
      </c>
      <c r="U402" s="264">
        <v>1</v>
      </c>
      <c r="V402" s="264" t="s">
        <v>988</v>
      </c>
      <c r="X402" s="264"/>
      <c r="Z402" s="264"/>
      <c r="AA402" s="264"/>
      <c r="AB402" s="265" t="str">
        <f>VLOOKUP(功能_33[[#This Row],[User]],SKL放款!A:G,7,FALSE)</f>
        <v>放款推展課</v>
      </c>
      <c r="AC402" s="272">
        <v>44402</v>
      </c>
      <c r="AD402" s="272" t="s">
        <v>107</v>
      </c>
      <c r="AE402" s="258">
        <v>44550</v>
      </c>
      <c r="AF402" s="272">
        <v>44550</v>
      </c>
      <c r="AG402" s="209">
        <v>44550</v>
      </c>
      <c r="AH402" s="272"/>
      <c r="AI402" s="272"/>
      <c r="AJ402" s="322"/>
      <c r="AK402" s="272">
        <f>IFERROR(IF(VLOOKUP(功能_33[[#This Row],[功能代號]],E:U,11,FALSE)=0,"",VLOOKUP(功能_33[[#This Row],[功能代號]],E:U,11,FALSE)),"")</f>
        <v>44396</v>
      </c>
      <c r="AL402" s="272"/>
      <c r="AM402" s="272"/>
      <c r="AN402" s="265"/>
      <c r="AO402" s="272">
        <v>44396</v>
      </c>
      <c r="AP402" s="276" t="s">
        <v>984</v>
      </c>
      <c r="AQ402" s="277" t="s">
        <v>985</v>
      </c>
      <c r="AR402" s="593" t="s">
        <v>3207</v>
      </c>
      <c r="AS402" s="483" t="str">
        <f>IF(COUNTA(AG402)=1,LEFT(D402,3),"")</f>
        <v>6-7</v>
      </c>
      <c r="AT402" s="485" t="str">
        <f>IF(AND(COUNTA(O402)=1,COUNTA(P402)=1,COUNTA(AC402)=1,COUNTA(AF402)=1,COUNTA(AG402)=0),LEFT(D402,3),"")</f>
        <v/>
      </c>
      <c r="AU402" s="487" t="str">
        <f>IF(AND(COUNTA(O402)=1,COUNTA(P402)=1,COUNTA(AC402)=1,COUNTA(AF402)=0,COUNTA(AG402)=0),LEFT(D402,3),"")</f>
        <v/>
      </c>
      <c r="AV402" s="489" t="str">
        <f>IF(AND(COUNTA(P402)=0,COUNTA(AC402)=1),LEFT(D402,3),"")</f>
        <v/>
      </c>
      <c r="AW402" s="491" t="str">
        <f>IF(AND(COUNTA(P402)=1,COUNTA(AC402)=0),LEFT(D402,3),"")</f>
        <v/>
      </c>
      <c r="AX402" s="493" t="str">
        <f>IF(AND(COUNTA(P402)=0,COUNTA(AC402)=0),LEFT(D402,3),"")</f>
        <v/>
      </c>
      <c r="AY402" s="514" t="str">
        <f>IFERROR(VLOOKUP(功能_33[[#This Row],[功能代號]],SIT_FT_2021tmp!D:D,1,FALSE),"")</f>
        <v>L6752</v>
      </c>
      <c r="AZ402" s="587">
        <v>44512</v>
      </c>
      <c r="BA402" s="587">
        <v>44512</v>
      </c>
      <c r="BB402" s="514" t="s">
        <v>3000</v>
      </c>
      <c r="BC402" s="265" t="s">
        <v>3065</v>
      </c>
      <c r="BD402" s="593"/>
      <c r="BE402" s="264" t="str">
        <f>IF(AND(COUNTIF(AY402,"&gt;&lt;0")=1,COUNTA(M402)=1),LEFT(D402,3),"")</f>
        <v>6-7</v>
      </c>
      <c r="BF402" s="264" t="str">
        <f>IF(AND(COUNTIF(AY402,"&gt;&lt;")=1,COUNTA(M402)=0),LEFT(D402,3),"")</f>
        <v/>
      </c>
      <c r="BG402" s="264" t="str">
        <f>IF(AND(COUNTIF(AY402,"&gt;&lt;0")=0,COUNTA(M402)=1),LEFT(D402,3),"")</f>
        <v/>
      </c>
      <c r="BH402" s="264" t="str">
        <f>IF(AND(COUNTIF(AY402,"&gt;&lt;0")=0,COUNTA(M402)=0),LEFT(D402,3),"")</f>
        <v/>
      </c>
    </row>
    <row r="403" spans="1:60" ht="13.5" x14ac:dyDescent="0.3">
      <c r="C403" s="265" t="s">
        <v>70</v>
      </c>
      <c r="D403" s="407" t="s">
        <v>2466</v>
      </c>
      <c r="E403" s="264" t="s">
        <v>1013</v>
      </c>
      <c r="F403" s="265" t="s">
        <v>1014</v>
      </c>
      <c r="G403" s="265"/>
      <c r="H403" s="264" t="s">
        <v>166</v>
      </c>
      <c r="I403" s="264" t="s">
        <v>287</v>
      </c>
      <c r="J403" s="212" t="s">
        <v>2853</v>
      </c>
      <c r="K403" s="212"/>
      <c r="L403" s="272">
        <v>44565</v>
      </c>
      <c r="M403" s="272">
        <v>44565</v>
      </c>
      <c r="N403" s="272">
        <v>44398</v>
      </c>
      <c r="O403" s="272">
        <v>44398</v>
      </c>
      <c r="P403" s="272">
        <v>44402</v>
      </c>
      <c r="Q403" s="264" t="s">
        <v>6</v>
      </c>
      <c r="R403" s="264" t="s">
        <v>145</v>
      </c>
      <c r="S403" s="264" t="s">
        <v>145</v>
      </c>
      <c r="X403" s="264"/>
      <c r="Z403" s="264"/>
      <c r="AA403" s="264"/>
      <c r="AB403" s="265" t="str">
        <f>VLOOKUP(功能_33[[#This Row],[User]],SKL放款!A:G,7,FALSE)</f>
        <v>放款服務課</v>
      </c>
      <c r="AC403" s="272">
        <v>44402</v>
      </c>
      <c r="AD403" s="272" t="s">
        <v>107</v>
      </c>
      <c r="AE403" s="258">
        <v>44544</v>
      </c>
      <c r="AF403" s="258">
        <v>44544</v>
      </c>
      <c r="AG403" s="209">
        <v>44550</v>
      </c>
      <c r="AH403" s="272"/>
      <c r="AI403" s="272"/>
      <c r="AJ403" s="322"/>
      <c r="AK403" s="272">
        <f>IFERROR(IF(VLOOKUP(功能_33[[#This Row],[功能代號]],E:U,11,FALSE)=0,"",VLOOKUP(功能_33[[#This Row],[功能代號]],E:U,11,FALSE)),"")</f>
        <v>44398</v>
      </c>
      <c r="AL403" s="272"/>
      <c r="AM403" s="272"/>
      <c r="AN403" s="265"/>
      <c r="AO403" s="272">
        <v>44398</v>
      </c>
      <c r="AP403" s="264" t="s">
        <v>163</v>
      </c>
      <c r="AQ403" s="264" t="s">
        <v>163</v>
      </c>
      <c r="AR403" s="593" t="s">
        <v>3207</v>
      </c>
      <c r="AS403" s="483" t="str">
        <f>IF(COUNTA(AG403)=1,LEFT(D403,3),"")</f>
        <v>6-7</v>
      </c>
      <c r="AT403" s="485" t="str">
        <f>IF(AND(COUNTA(O403)=1,COUNTA(P403)=1,COUNTA(AC403)=1,COUNTA(AF403)=1,COUNTA(AG403)=0),LEFT(D403,3),"")</f>
        <v/>
      </c>
      <c r="AU403" s="487" t="str">
        <f>IF(AND(COUNTA(O403)=1,COUNTA(P403)=1,COUNTA(AC403)=1,COUNTA(AF403)=0,COUNTA(AG403)=0),LEFT(D403,3),"")</f>
        <v/>
      </c>
      <c r="AV403" s="489" t="str">
        <f>IF(AND(COUNTA(P403)=0,COUNTA(AC403)=1),LEFT(D403,3),"")</f>
        <v/>
      </c>
      <c r="AW403" s="491" t="str">
        <f>IF(AND(COUNTA(P403)=1,COUNTA(AC403)=0),LEFT(D403,3),"")</f>
        <v/>
      </c>
      <c r="AX403" s="493" t="str">
        <f>IF(AND(COUNTA(P403)=0,COUNTA(AC403)=0),LEFT(D403,3),"")</f>
        <v/>
      </c>
      <c r="AY403" s="514" t="str">
        <f>IFERROR(VLOOKUP(功能_33[[#This Row],[功能代號]],SIT_FT_2021tmp!D:D,1,FALSE),"")</f>
        <v>L6754</v>
      </c>
      <c r="AZ403" s="587">
        <v>44515</v>
      </c>
      <c r="BA403" s="587">
        <v>44515</v>
      </c>
      <c r="BB403" s="514" t="s">
        <v>3000</v>
      </c>
      <c r="BC403" s="265" t="s">
        <v>3064</v>
      </c>
      <c r="BD403" s="593"/>
      <c r="BE403" s="264" t="str">
        <f>IF(AND(COUNTIF(AY403,"&gt;&lt;0")=1,COUNTA(M403)=1),LEFT(D403,3),"")</f>
        <v>6-7</v>
      </c>
      <c r="BF403" s="264" t="str">
        <f>IF(AND(COUNTIF(AY403,"&gt;&lt;")=1,COUNTA(M403)=0),LEFT(D403,3),"")</f>
        <v/>
      </c>
      <c r="BG403" s="264" t="str">
        <f>IF(AND(COUNTIF(AY403,"&gt;&lt;0")=0,COUNTA(M403)=1),LEFT(D403,3),"")</f>
        <v/>
      </c>
      <c r="BH403" s="264" t="str">
        <f>IF(AND(COUNTIF(AY403,"&gt;&lt;0")=0,COUNTA(M403)=0),LEFT(D403,3),"")</f>
        <v/>
      </c>
    </row>
    <row r="404" spans="1:60" ht="13.5" x14ac:dyDescent="0.3">
      <c r="A404" s="265"/>
      <c r="C404" s="265" t="s">
        <v>70</v>
      </c>
      <c r="D404" s="265" t="s">
        <v>2466</v>
      </c>
      <c r="E404" s="264" t="s">
        <v>510</v>
      </c>
      <c r="F404" s="265" t="s">
        <v>511</v>
      </c>
      <c r="G404" s="265"/>
      <c r="H404" s="264" t="s">
        <v>166</v>
      </c>
      <c r="I404" s="264" t="s">
        <v>287</v>
      </c>
      <c r="J404" s="212" t="s">
        <v>2853</v>
      </c>
      <c r="K404" s="212"/>
      <c r="L404" s="272">
        <v>44565</v>
      </c>
      <c r="M404" s="272">
        <v>44565</v>
      </c>
      <c r="N404" s="272">
        <v>44515</v>
      </c>
      <c r="O404" s="272">
        <v>44466</v>
      </c>
      <c r="P404" s="272">
        <f>IFERROR(IF(VLOOKUP(功能_33[[#This Row],[功能代號]],討論項目!A:H,8,FALSE)=0,"",VLOOKUP(功能_33[[#This Row],[功能代號]],討論項目!A:H,8,FALSE)),"")</f>
        <v>44475</v>
      </c>
      <c r="Q404" s="264" t="s">
        <v>6</v>
      </c>
      <c r="R404" s="264" t="s">
        <v>7</v>
      </c>
      <c r="S404" s="264" t="s">
        <v>7</v>
      </c>
      <c r="X404" s="264"/>
      <c r="Z404" s="264"/>
      <c r="AA404" s="264"/>
      <c r="AB404" s="265" t="str">
        <f>VLOOKUP(功能_33[[#This Row],[User]],SKL放款!A:G,7,FALSE)</f>
        <v>放款推展課</v>
      </c>
      <c r="AC404" s="272">
        <v>44533</v>
      </c>
      <c r="AD404" s="272">
        <v>44533</v>
      </c>
      <c r="AE404" s="272">
        <v>44533</v>
      </c>
      <c r="AF404" s="272">
        <v>44533</v>
      </c>
      <c r="AG404" s="209">
        <v>44550</v>
      </c>
      <c r="AH404" s="272"/>
      <c r="AI404" s="272"/>
      <c r="AJ404" s="322"/>
      <c r="AK404" s="272">
        <f>IFERROR(IF(VLOOKUP(功能_33[[#This Row],[功能代號]],E:U,11,FALSE)=0,"",VLOOKUP(功能_33[[#This Row],[功能代號]],E:U,11,FALSE)),"")</f>
        <v>44466</v>
      </c>
      <c r="AL404" s="272"/>
      <c r="AM404" s="272"/>
      <c r="AN404" s="265"/>
      <c r="AO404" s="272"/>
      <c r="AP404" s="276" t="s">
        <v>508</v>
      </c>
      <c r="AQ404" s="277" t="s">
        <v>509</v>
      </c>
      <c r="AR404" s="593" t="s">
        <v>3207</v>
      </c>
      <c r="AS404" s="483" t="str">
        <f>IF(COUNTA(AG404)=1,LEFT(D404,3),"")</f>
        <v>6-7</v>
      </c>
      <c r="AT404" s="485" t="str">
        <f>IF(AND(COUNTA(O404)=1,COUNTA(P404)=1,COUNTA(AC404)=1,COUNTA(AF404)=1,COUNTA(AG404)=0),LEFT(D404,3),"")</f>
        <v/>
      </c>
      <c r="AU404" s="487" t="str">
        <f>IF(AND(COUNTA(O404)=1,COUNTA(P404)=1,COUNTA(AC404)=1,COUNTA(AF404)=0,COUNTA(AG404)=0),LEFT(D404,3),"")</f>
        <v/>
      </c>
      <c r="AV404" s="489" t="str">
        <f>IF(AND(COUNTA(P404)=0,COUNTA(AC404)=1),LEFT(D404,3),"")</f>
        <v/>
      </c>
      <c r="AW404" s="491" t="str">
        <f>IF(AND(COUNTA(P404)=1,COUNTA(AC404)=0),LEFT(D404,3),"")</f>
        <v/>
      </c>
      <c r="AX404" s="493" t="str">
        <f>IF(AND(COUNTA(P404)=0,COUNTA(AC404)=0),LEFT(D404,3),"")</f>
        <v/>
      </c>
      <c r="AY404" s="514" t="str">
        <f>IFERROR(VLOOKUP(功能_33[[#This Row],[功能代號]],SIT_FT_2021tmp!D:D,1,FALSE),"")</f>
        <v>L6755</v>
      </c>
      <c r="AZ404" s="587">
        <v>44512</v>
      </c>
      <c r="BA404" s="587">
        <v>44512</v>
      </c>
      <c r="BB404" s="514" t="s">
        <v>3000</v>
      </c>
      <c r="BC404" s="265" t="s">
        <v>3036</v>
      </c>
      <c r="BD404" s="593"/>
      <c r="BE404" s="264" t="str">
        <f>IF(AND(COUNTIF(AY404,"&gt;&lt;0")=1,COUNTA(M404)=1),LEFT(D404,3),"")</f>
        <v>6-7</v>
      </c>
      <c r="BF404" s="264" t="str">
        <f>IF(AND(COUNTIF(AY404,"&gt;&lt;")=1,COUNTA(M404)=0),LEFT(D404,3),"")</f>
        <v/>
      </c>
      <c r="BG404" s="264" t="str">
        <f>IF(AND(COUNTIF(AY404,"&gt;&lt;0")=0,COUNTA(M404)=1),LEFT(D404,3),"")</f>
        <v/>
      </c>
      <c r="BH404" s="264" t="str">
        <f>IF(AND(COUNTIF(AY404,"&gt;&lt;0")=0,COUNTA(M404)=0),LEFT(D404,3),"")</f>
        <v/>
      </c>
    </row>
    <row r="405" spans="1:60" ht="13.5" x14ac:dyDescent="0.3">
      <c r="A405" s="265"/>
      <c r="B405" s="360"/>
      <c r="C405" s="265" t="s">
        <v>70</v>
      </c>
      <c r="D405" s="265" t="s">
        <v>2950</v>
      </c>
      <c r="E405" s="264" t="s">
        <v>2951</v>
      </c>
      <c r="F405" s="265" t="s">
        <v>2960</v>
      </c>
      <c r="G405" s="265" t="s">
        <v>3159</v>
      </c>
      <c r="H405" s="264" t="s">
        <v>2870</v>
      </c>
      <c r="I405" s="264" t="s">
        <v>2870</v>
      </c>
      <c r="J405" s="212"/>
      <c r="K405" s="212"/>
      <c r="L405" s="272">
        <v>44582</v>
      </c>
      <c r="M405" s="272">
        <v>44582</v>
      </c>
      <c r="N405" s="272"/>
      <c r="O405" s="272"/>
      <c r="P405" s="272"/>
      <c r="Q405" s="264" t="s">
        <v>1</v>
      </c>
      <c r="R405" s="264" t="e">
        <v>#N/A</v>
      </c>
      <c r="S405" s="664" t="s">
        <v>2799</v>
      </c>
      <c r="X405" s="264"/>
      <c r="Z405" s="264"/>
      <c r="AA405" s="264"/>
      <c r="AB405" s="360" t="str">
        <f>VLOOKUP(功能_33[[#This Row],[User]],SKL放款!A:G,7,FALSE)</f>
        <v>放款服務課</v>
      </c>
      <c r="AC405" s="272"/>
      <c r="AD405" s="272"/>
      <c r="AE405" s="272"/>
      <c r="AF405" s="272"/>
      <c r="AG405" s="209"/>
      <c r="AH405" s="276" t="s">
        <v>508</v>
      </c>
      <c r="AI405" s="277" t="s">
        <v>509</v>
      </c>
      <c r="AJ405" s="259"/>
      <c r="AK405" s="259" t="str">
        <f>IFERROR(IF(VLOOKUP(功能_33[[#This Row],[功能代號]],E:U,11,FALSE)=0,"",VLOOKUP(功能_33[[#This Row],[功能代號]],E:U,11,FALSE)),"")</f>
        <v/>
      </c>
      <c r="AL405" s="259"/>
      <c r="AM405" s="259"/>
      <c r="AN405" s="360"/>
      <c r="AP405" s="264" t="s">
        <v>163</v>
      </c>
      <c r="AQ405" s="264" t="s">
        <v>163</v>
      </c>
      <c r="AR405" s="593" t="s">
        <v>3207</v>
      </c>
      <c r="AS405" s="536" t="str">
        <f>IF(COUNTA(AG405)=1,LEFT(D405,3),"")</f>
        <v/>
      </c>
      <c r="AT405" s="485" t="str">
        <f>IF(AND(COUNTA(O405)=1,COUNTA(P405)=1,COUNTA(AC405)=1,COUNTA(AF405)=1,COUNTA(AG405)=0),LEFT(D405,3),"")</f>
        <v/>
      </c>
      <c r="AU405" s="487" t="str">
        <f>IF(AND(COUNTA(O405)=1,COUNTA(P405)=1,COUNTA(AC405)=1,COUNTA(AF405)=0,COUNTA(AG405)=0),LEFT(D405,3),"")</f>
        <v/>
      </c>
      <c r="AV405" s="489" t="str">
        <f>IF(AND(COUNTA(P405)=0,COUNTA(AC405)=1),LEFT(D405,3),"")</f>
        <v/>
      </c>
      <c r="AW405" s="491" t="str">
        <f>IF(AND(COUNTA(P405)=1,COUNTA(AC405)=0),LEFT(D405,3),"")</f>
        <v/>
      </c>
      <c r="AX405" s="493" t="str">
        <f>IF(AND(COUNTA(P405)=0,COUNTA(AC405)=0),LEFT(D405,3),"")</f>
        <v>6-9</v>
      </c>
      <c r="AY405" s="514" t="str">
        <f>IFERROR(VLOOKUP(功能_33[[#This Row],[功能代號]],SIT_FT_2021tmp!D:D,1,FALSE),"")</f>
        <v/>
      </c>
      <c r="AZ405" s="587">
        <v>44610</v>
      </c>
      <c r="BB405" s="514" t="s">
        <v>2453</v>
      </c>
      <c r="BC405" s="265" t="s">
        <v>2453</v>
      </c>
      <c r="BD405" s="593"/>
      <c r="BE405" s="265" t="str">
        <f>IF(AND(COUNTIF(AY405,"&gt;&lt;0")=1,COUNTA(M405)=1),LEFT(D405,3),"")</f>
        <v/>
      </c>
      <c r="BF405" s="265" t="str">
        <f>IF(AND(COUNTIF(AY405,"&gt;&lt;")=1,COUNTA(M405)=0),LEFT(D405,3),"")</f>
        <v/>
      </c>
      <c r="BG405" s="265" t="str">
        <f>IF(AND(COUNTIF(AY405,"&gt;&lt;0")=0,COUNTA(M405)=1),LEFT(D405,3),"")</f>
        <v>6-9</v>
      </c>
      <c r="BH405" s="265" t="str">
        <f>IF(AND(COUNTIF(AY405,"&gt;&lt;0")=0,COUNTA(M405)=0),LEFT(D405,3),"")</f>
        <v/>
      </c>
    </row>
    <row r="406" spans="1:60" ht="13.5" x14ac:dyDescent="0.3">
      <c r="A406" s="265"/>
      <c r="B406" s="360"/>
      <c r="C406" s="265" t="s">
        <v>70</v>
      </c>
      <c r="D406" s="265" t="s">
        <v>2950</v>
      </c>
      <c r="E406" s="264" t="s">
        <v>2952</v>
      </c>
      <c r="F406" s="265" t="s">
        <v>2956</v>
      </c>
      <c r="G406" s="265" t="s">
        <v>3160</v>
      </c>
      <c r="H406" s="264" t="s">
        <v>2870</v>
      </c>
      <c r="I406" s="264" t="s">
        <v>2870</v>
      </c>
      <c r="J406" s="212" t="s">
        <v>3109</v>
      </c>
      <c r="K406" s="271" t="s">
        <v>2834</v>
      </c>
      <c r="L406" s="272">
        <v>44582</v>
      </c>
      <c r="M406" s="272">
        <v>44582</v>
      </c>
      <c r="N406" s="272"/>
      <c r="O406" s="272"/>
      <c r="P406" s="272" t="str">
        <f>IFERROR(IF(VLOOKUP(功能_33[[#This Row],[功能代號]],討論項目!A:H,8,FALSE)=0,"",VLOOKUP(功能_33[[#This Row],[功能代號]],討論項目!A:H,8,FALSE)),"")</f>
        <v/>
      </c>
      <c r="Q406" s="264" t="s">
        <v>1</v>
      </c>
      <c r="R406" s="264" t="e">
        <v>#N/A</v>
      </c>
      <c r="S406" s="664" t="s">
        <v>2799</v>
      </c>
      <c r="X406" s="264"/>
      <c r="Z406" s="264"/>
      <c r="AA406" s="264"/>
      <c r="AB406" s="360" t="str">
        <f>VLOOKUP(功能_33[[#This Row],[User]],SKL放款!A:G,7,FALSE)</f>
        <v>放款服務課</v>
      </c>
      <c r="AC406" s="272"/>
      <c r="AD406" s="272"/>
      <c r="AE406" s="272"/>
      <c r="AF406" s="272"/>
      <c r="AG406" s="583">
        <v>44578</v>
      </c>
      <c r="AH406" s="259"/>
      <c r="AI406" s="259"/>
      <c r="AJ406" s="259"/>
      <c r="AK406" s="259" t="str">
        <f>IFERROR(IF(VLOOKUP(功能_33[[#This Row],[功能代號]],E:U,11,FALSE)=0,"",VLOOKUP(功能_33[[#This Row],[功能代號]],E:U,11,FALSE)),"")</f>
        <v/>
      </c>
      <c r="AL406" s="259"/>
      <c r="AM406" s="259"/>
      <c r="AN406" s="360"/>
      <c r="AP406" s="264" t="s">
        <v>163</v>
      </c>
      <c r="AQ406" s="264" t="s">
        <v>163</v>
      </c>
      <c r="AR406" s="593" t="s">
        <v>3207</v>
      </c>
      <c r="AS406" s="536" t="str">
        <f>IF(COUNTA(AG406)=1,LEFT(D406,3),"")</f>
        <v>6-9</v>
      </c>
      <c r="AT406" s="485" t="str">
        <f>IF(AND(COUNTA(O406)=1,COUNTA(P406)=1,COUNTA(AC406)=1,COUNTA(AF406)=1,COUNTA(AG406)=0),LEFT(D406,3),"")</f>
        <v/>
      </c>
      <c r="AU406" s="487" t="str">
        <f>IF(AND(COUNTA(O406)=1,COUNTA(P406)=1,COUNTA(AC406)=1,COUNTA(AF406)=0,COUNTA(AG406)=0),LEFT(D406,3),"")</f>
        <v/>
      </c>
      <c r="AV406" s="489" t="str">
        <f>IF(AND(COUNTA(P406)=0,COUNTA(AC406)=1),LEFT(D406,3),"")</f>
        <v/>
      </c>
      <c r="AW406" s="491" t="str">
        <f>IF(AND(COUNTA(P406)=1,COUNTA(AC406)=0),LEFT(D406,3),"")</f>
        <v>6-9</v>
      </c>
      <c r="AX406" s="493" t="str">
        <f>IF(AND(COUNTA(P406)=0,COUNTA(AC406)=0),LEFT(D406,3),"")</f>
        <v/>
      </c>
      <c r="AY406" s="514" t="str">
        <f>IFERROR(VLOOKUP(功能_33[[#This Row],[功能代號]],SIT_FT_2021tmp!D:D,1,FALSE),"")</f>
        <v/>
      </c>
      <c r="AZ406" s="587">
        <v>44610</v>
      </c>
      <c r="BB406" s="514" t="s">
        <v>2453</v>
      </c>
      <c r="BC406" s="265" t="s">
        <v>2453</v>
      </c>
      <c r="BD406" s="593"/>
      <c r="BE406" s="265" t="str">
        <f>IF(AND(COUNTIF(AY406,"&gt;&lt;0")=1,COUNTA(M406)=1),LEFT(D406,3),"")</f>
        <v/>
      </c>
      <c r="BF406" s="265" t="str">
        <f>IF(AND(COUNTIF(AY406,"&gt;&lt;")=1,COUNTA(M406)=0),LEFT(D406,3),"")</f>
        <v/>
      </c>
      <c r="BG406" s="265" t="str">
        <f>IF(AND(COUNTIF(AY406,"&gt;&lt;0")=0,COUNTA(M406)=1),LEFT(D406,3),"")</f>
        <v>6-9</v>
      </c>
      <c r="BH406" s="265" t="str">
        <f>IF(AND(COUNTIF(AY406,"&gt;&lt;0")=0,COUNTA(M406)=0),LEFT(D406,3),"")</f>
        <v/>
      </c>
    </row>
    <row r="407" spans="1:60" ht="13.5" x14ac:dyDescent="0.3">
      <c r="A407" s="265"/>
      <c r="B407" s="360"/>
      <c r="C407" s="265" t="s">
        <v>70</v>
      </c>
      <c r="D407" s="265" t="s">
        <v>2950</v>
      </c>
      <c r="E407" s="264" t="s">
        <v>2953</v>
      </c>
      <c r="F407" s="265" t="s">
        <v>2957</v>
      </c>
      <c r="G407" s="265" t="s">
        <v>3161</v>
      </c>
      <c r="H407" s="264" t="s">
        <v>2870</v>
      </c>
      <c r="I407" s="264" t="s">
        <v>2870</v>
      </c>
      <c r="J407" s="212"/>
      <c r="K407" s="212"/>
      <c r="L407" s="272">
        <v>44582</v>
      </c>
      <c r="M407" s="272">
        <v>44582</v>
      </c>
      <c r="N407" s="272"/>
      <c r="O407" s="272"/>
      <c r="P407" s="272" t="str">
        <f>IFERROR(IF(VLOOKUP(功能_33[[#This Row],[功能代號]],討論項目!A:H,8,FALSE)=0,"",VLOOKUP(功能_33[[#This Row],[功能代號]],討論項目!A:H,8,FALSE)),"")</f>
        <v/>
      </c>
      <c r="Q407" s="264" t="s">
        <v>1</v>
      </c>
      <c r="R407" s="264" t="e">
        <v>#N/A</v>
      </c>
      <c r="S407" s="664" t="s">
        <v>2799</v>
      </c>
      <c r="X407" s="264"/>
      <c r="Z407" s="264"/>
      <c r="AA407" s="264"/>
      <c r="AB407" s="360" t="str">
        <f>VLOOKUP(功能_33[[#This Row],[User]],SKL放款!A:G,7,FALSE)</f>
        <v>放款服務課</v>
      </c>
      <c r="AC407" s="272"/>
      <c r="AD407" s="272"/>
      <c r="AE407" s="272"/>
      <c r="AF407" s="272"/>
      <c r="AG407" s="209"/>
      <c r="AH407" s="259"/>
      <c r="AI407" s="259"/>
      <c r="AJ407" s="259"/>
      <c r="AK407" s="259" t="str">
        <f>IFERROR(IF(VLOOKUP(功能_33[[#This Row],[功能代號]],E:U,11,FALSE)=0,"",VLOOKUP(功能_33[[#This Row],[功能代號]],E:U,11,FALSE)),"")</f>
        <v/>
      </c>
      <c r="AL407" s="259"/>
      <c r="AM407" s="259"/>
      <c r="AN407" s="360"/>
      <c r="AP407" s="264" t="s">
        <v>163</v>
      </c>
      <c r="AQ407" s="264" t="s">
        <v>163</v>
      </c>
      <c r="AR407" s="593" t="s">
        <v>3207</v>
      </c>
      <c r="AS407" s="536" t="str">
        <f>IF(COUNTA(AG407)=1,LEFT(D407,3),"")</f>
        <v/>
      </c>
      <c r="AT407" s="485" t="str">
        <f>IF(AND(COUNTA(O407)=1,COUNTA(P407)=1,COUNTA(AC407)=1,COUNTA(AF407)=1,COUNTA(AG407)=0),LEFT(D407,3),"")</f>
        <v/>
      </c>
      <c r="AU407" s="487" t="str">
        <f>IF(AND(COUNTA(O407)=1,COUNTA(P407)=1,COUNTA(AC407)=1,COUNTA(AF407)=0,COUNTA(AG407)=0),LEFT(D407,3),"")</f>
        <v/>
      </c>
      <c r="AV407" s="489" t="str">
        <f>IF(AND(COUNTA(P407)=0,COUNTA(AC407)=1),LEFT(D407,3),"")</f>
        <v/>
      </c>
      <c r="AW407" s="491" t="str">
        <f>IF(AND(COUNTA(P407)=1,COUNTA(AC407)=0),LEFT(D407,3),"")</f>
        <v>6-9</v>
      </c>
      <c r="AX407" s="493" t="str">
        <f>IF(AND(COUNTA(P407)=0,COUNTA(AC407)=0),LEFT(D407,3),"")</f>
        <v/>
      </c>
      <c r="AY407" s="514" t="str">
        <f>IFERROR(VLOOKUP(功能_33[[#This Row],[功能代號]],SIT_FT_2021tmp!D:D,1,FALSE),"")</f>
        <v/>
      </c>
      <c r="AZ407" s="587">
        <v>44610</v>
      </c>
      <c r="BB407" s="514" t="s">
        <v>2453</v>
      </c>
      <c r="BC407" s="265" t="s">
        <v>2453</v>
      </c>
      <c r="BD407" s="593"/>
      <c r="BE407" s="265" t="str">
        <f>IF(AND(COUNTIF(AY407,"&gt;&lt;0")=1,COUNTA(M407)=1),LEFT(D407,3),"")</f>
        <v/>
      </c>
      <c r="BF407" s="265" t="str">
        <f>IF(AND(COUNTIF(AY407,"&gt;&lt;")=1,COUNTA(M407)=0),LEFT(D407,3),"")</f>
        <v/>
      </c>
      <c r="BG407" s="265" t="str">
        <f>IF(AND(COUNTIF(AY407,"&gt;&lt;0")=0,COUNTA(M407)=1),LEFT(D407,3),"")</f>
        <v>6-9</v>
      </c>
      <c r="BH407" s="265" t="str">
        <f>IF(AND(COUNTIF(AY407,"&gt;&lt;0")=0,COUNTA(M407)=0),LEFT(D407,3),"")</f>
        <v/>
      </c>
    </row>
    <row r="408" spans="1:60" ht="13.5" x14ac:dyDescent="0.3">
      <c r="A408" s="265"/>
      <c r="B408" s="360"/>
      <c r="C408" s="265" t="s">
        <v>70</v>
      </c>
      <c r="D408" s="265" t="s">
        <v>2950</v>
      </c>
      <c r="E408" s="264" t="s">
        <v>2954</v>
      </c>
      <c r="F408" s="265" t="s">
        <v>2958</v>
      </c>
      <c r="G408" s="265" t="s">
        <v>3162</v>
      </c>
      <c r="H408" s="264" t="s">
        <v>2870</v>
      </c>
      <c r="I408" s="264" t="s">
        <v>287</v>
      </c>
      <c r="J408" s="212"/>
      <c r="K408" s="212"/>
      <c r="L408" s="272">
        <v>44582</v>
      </c>
      <c r="M408" s="272">
        <v>44582</v>
      </c>
      <c r="N408" s="272"/>
      <c r="O408" s="272"/>
      <c r="P408" s="272" t="str">
        <f>IFERROR(IF(VLOOKUP(功能_33[[#This Row],[功能代號]],討論項目!A:H,8,FALSE)=0,"",VLOOKUP(功能_33[[#This Row],[功能代號]],討論項目!A:H,8,FALSE)),"")</f>
        <v/>
      </c>
      <c r="Q408" s="264" t="s">
        <v>1</v>
      </c>
      <c r="R408" s="264" t="e">
        <v>#N/A</v>
      </c>
      <c r="S408" s="664" t="s">
        <v>2799</v>
      </c>
      <c r="X408" s="264"/>
      <c r="Z408" s="264"/>
      <c r="AA408" s="264"/>
      <c r="AB408" s="360" t="str">
        <f>VLOOKUP(功能_33[[#This Row],[User]],SKL放款!A:G,7,FALSE)</f>
        <v>放款服務課</v>
      </c>
      <c r="AC408" s="272"/>
      <c r="AD408" s="272"/>
      <c r="AE408" s="272"/>
      <c r="AF408" s="272"/>
      <c r="AG408" s="209"/>
      <c r="AH408" s="259"/>
      <c r="AI408" s="259"/>
      <c r="AJ408" s="259"/>
      <c r="AK408" s="259" t="str">
        <f>IFERROR(IF(VLOOKUP(功能_33[[#This Row],[功能代號]],E:U,11,FALSE)=0,"",VLOOKUP(功能_33[[#This Row],[功能代號]],E:U,11,FALSE)),"")</f>
        <v/>
      </c>
      <c r="AL408" s="259"/>
      <c r="AM408" s="259"/>
      <c r="AN408" s="360"/>
      <c r="AP408" s="264" t="s">
        <v>163</v>
      </c>
      <c r="AQ408" s="264" t="s">
        <v>163</v>
      </c>
      <c r="AR408" s="593" t="s">
        <v>3207</v>
      </c>
      <c r="AS408" s="536" t="str">
        <f>IF(COUNTA(AG408)=1,LEFT(D408,3),"")</f>
        <v/>
      </c>
      <c r="AT408" s="485" t="str">
        <f>IF(AND(COUNTA(O408)=1,COUNTA(P408)=1,COUNTA(AC408)=1,COUNTA(AF408)=1,COUNTA(AG408)=0),LEFT(D408,3),"")</f>
        <v/>
      </c>
      <c r="AU408" s="487" t="str">
        <f>IF(AND(COUNTA(O408)=1,COUNTA(P408)=1,COUNTA(AC408)=1,COUNTA(AF408)=0,COUNTA(AG408)=0),LEFT(D408,3),"")</f>
        <v/>
      </c>
      <c r="AV408" s="489" t="str">
        <f>IF(AND(COUNTA(P408)=0,COUNTA(AC408)=1),LEFT(D408,3),"")</f>
        <v/>
      </c>
      <c r="AW408" s="491" t="str">
        <f>IF(AND(COUNTA(P408)=1,COUNTA(AC408)=0),LEFT(D408,3),"")</f>
        <v>6-9</v>
      </c>
      <c r="AX408" s="493" t="str">
        <f>IF(AND(COUNTA(P408)=0,COUNTA(AC408)=0),LEFT(D408,3),"")</f>
        <v/>
      </c>
      <c r="AY408" s="514" t="str">
        <f>IFERROR(VLOOKUP(功能_33[[#This Row],[功能代號]],SIT_FT_2021tmp!D:D,1,FALSE),"")</f>
        <v/>
      </c>
      <c r="AZ408" s="587">
        <v>44610</v>
      </c>
      <c r="BB408" s="514" t="s">
        <v>2453</v>
      </c>
      <c r="BC408" s="265" t="s">
        <v>2453</v>
      </c>
      <c r="BD408" s="593"/>
      <c r="BE408" s="265" t="str">
        <f>IF(AND(COUNTIF(AY408,"&gt;&lt;0")=1,COUNTA(M408)=1),LEFT(D408,3),"")</f>
        <v/>
      </c>
      <c r="BF408" s="265" t="str">
        <f>IF(AND(COUNTIF(AY408,"&gt;&lt;")=1,COUNTA(M408)=0),LEFT(D408,3),"")</f>
        <v/>
      </c>
      <c r="BG408" s="265" t="str">
        <f>IF(AND(COUNTIF(AY408,"&gt;&lt;0")=0,COUNTA(M408)=1),LEFT(D408,3),"")</f>
        <v>6-9</v>
      </c>
      <c r="BH408" s="265" t="str">
        <f>IF(AND(COUNTIF(AY408,"&gt;&lt;0")=0,COUNTA(M408)=0),LEFT(D408,3),"")</f>
        <v/>
      </c>
    </row>
    <row r="409" spans="1:60" ht="13.5" x14ac:dyDescent="0.3">
      <c r="A409" s="265"/>
      <c r="B409" s="360"/>
      <c r="C409" s="265" t="s">
        <v>70</v>
      </c>
      <c r="D409" s="265" t="s">
        <v>2950</v>
      </c>
      <c r="E409" s="264" t="s">
        <v>2955</v>
      </c>
      <c r="F409" s="265" t="s">
        <v>2959</v>
      </c>
      <c r="G409" s="265" t="s">
        <v>3163</v>
      </c>
      <c r="H409" s="264" t="s">
        <v>2870</v>
      </c>
      <c r="I409" s="264" t="s">
        <v>2870</v>
      </c>
      <c r="J409" s="212" t="s">
        <v>3109</v>
      </c>
      <c r="K409" s="271" t="s">
        <v>2834</v>
      </c>
      <c r="L409" s="272">
        <v>44582</v>
      </c>
      <c r="M409" s="272">
        <v>44582</v>
      </c>
      <c r="N409" s="272"/>
      <c r="O409" s="272"/>
      <c r="P409" s="272" t="str">
        <f>IFERROR(IF(VLOOKUP(功能_33[[#This Row],[功能代號]],討論項目!A:H,8,FALSE)=0,"",VLOOKUP(功能_33[[#This Row],[功能代號]],討論項目!A:H,8,FALSE)),"")</f>
        <v/>
      </c>
      <c r="Q409" s="264" t="s">
        <v>1</v>
      </c>
      <c r="R409" s="264" t="e">
        <v>#N/A</v>
      </c>
      <c r="S409" s="664" t="s">
        <v>2799</v>
      </c>
      <c r="X409" s="264"/>
      <c r="Z409" s="264"/>
      <c r="AA409" s="264"/>
      <c r="AB409" s="360" t="str">
        <f>VLOOKUP(功能_33[[#This Row],[User]],SKL放款!A:G,7,FALSE)</f>
        <v>放款服務課</v>
      </c>
      <c r="AC409" s="272"/>
      <c r="AD409" s="272"/>
      <c r="AE409" s="272"/>
      <c r="AF409" s="272"/>
      <c r="AG409" s="583">
        <v>44578</v>
      </c>
      <c r="AH409" s="259"/>
      <c r="AI409" s="259"/>
      <c r="AJ409" s="259"/>
      <c r="AK409" s="259" t="str">
        <f>IFERROR(IF(VLOOKUP(功能_33[[#This Row],[功能代號]],E:U,11,FALSE)=0,"",VLOOKUP(功能_33[[#This Row],[功能代號]],E:U,11,FALSE)),"")</f>
        <v/>
      </c>
      <c r="AL409" s="259"/>
      <c r="AM409" s="259"/>
      <c r="AN409" s="360"/>
      <c r="AP409" s="264" t="s">
        <v>163</v>
      </c>
      <c r="AQ409" s="264" t="s">
        <v>163</v>
      </c>
      <c r="AR409" s="593" t="s">
        <v>3207</v>
      </c>
      <c r="AS409" s="536" t="str">
        <f>IF(COUNTA(AG409)=1,LEFT(D409,3),"")</f>
        <v>6-9</v>
      </c>
      <c r="AT409" s="485" t="str">
        <f>IF(AND(COUNTA(O409)=1,COUNTA(P409)=1,COUNTA(AC409)=1,COUNTA(AF409)=1,COUNTA(AG409)=0),LEFT(D409,3),"")</f>
        <v/>
      </c>
      <c r="AU409" s="487" t="str">
        <f>IF(AND(COUNTA(O409)=1,COUNTA(P409)=1,COUNTA(AC409)=1,COUNTA(AF409)=0,COUNTA(AG409)=0),LEFT(D409,3),"")</f>
        <v/>
      </c>
      <c r="AV409" s="489" t="str">
        <f>IF(AND(COUNTA(P409)=0,COUNTA(AC409)=1),LEFT(D409,3),"")</f>
        <v/>
      </c>
      <c r="AW409" s="491" t="str">
        <f>IF(AND(COUNTA(P409)=1,COUNTA(AC409)=0),LEFT(D409,3),"")</f>
        <v>6-9</v>
      </c>
      <c r="AX409" s="493" t="str">
        <f>IF(AND(COUNTA(P409)=0,COUNTA(AC409)=0),LEFT(D409,3),"")</f>
        <v/>
      </c>
      <c r="AY409" s="514" t="str">
        <f>IFERROR(VLOOKUP(功能_33[[#This Row],[功能代號]],SIT_FT_2021tmp!D:D,1,FALSE),"")</f>
        <v/>
      </c>
      <c r="AZ409" s="587">
        <v>44610</v>
      </c>
      <c r="BB409" s="514" t="s">
        <v>2453</v>
      </c>
      <c r="BC409" s="265" t="s">
        <v>2453</v>
      </c>
      <c r="BD409" s="593"/>
      <c r="BE409" s="265" t="str">
        <f>IF(AND(COUNTIF(AY409,"&gt;&lt;0")=1,COUNTA(M409)=1),LEFT(D409,3),"")</f>
        <v/>
      </c>
      <c r="BF409" s="265" t="str">
        <f>IF(AND(COUNTIF(AY409,"&gt;&lt;")=1,COUNTA(M409)=0),LEFT(D409,3),"")</f>
        <v/>
      </c>
      <c r="BG409" s="265" t="str">
        <f>IF(AND(COUNTIF(AY409,"&gt;&lt;0")=0,COUNTA(M409)=1),LEFT(D409,3),"")</f>
        <v>6-9</v>
      </c>
      <c r="BH409" s="265" t="str">
        <f>IF(AND(COUNTIF(AY409,"&gt;&lt;0")=0,COUNTA(M409)=0),LEFT(D409,3),"")</f>
        <v/>
      </c>
    </row>
    <row r="410" spans="1:60" ht="13.5" x14ac:dyDescent="0.3">
      <c r="A410" s="265"/>
      <c r="C410" s="265" t="s">
        <v>72</v>
      </c>
      <c r="D410" s="265" t="s">
        <v>890</v>
      </c>
      <c r="E410" s="264" t="s">
        <v>894</v>
      </c>
      <c r="F410" s="265" t="s">
        <v>895</v>
      </c>
      <c r="G410" s="265"/>
      <c r="H410" s="264" t="s">
        <v>166</v>
      </c>
      <c r="I410" s="264" t="s">
        <v>287</v>
      </c>
      <c r="J410" s="212" t="s">
        <v>2841</v>
      </c>
      <c r="K410" s="212"/>
      <c r="L410" s="272">
        <v>44579</v>
      </c>
      <c r="M410" s="272">
        <v>44572</v>
      </c>
      <c r="N410" s="272">
        <v>44502</v>
      </c>
      <c r="O410" s="272">
        <v>44503</v>
      </c>
      <c r="P410" s="272">
        <v>44503</v>
      </c>
      <c r="Q410" s="264" t="s">
        <v>1</v>
      </c>
      <c r="R410" s="264" t="s">
        <v>145</v>
      </c>
      <c r="S410" s="663" t="s">
        <v>19</v>
      </c>
      <c r="T410" s="265" t="s">
        <v>3283</v>
      </c>
      <c r="X410" s="264"/>
      <c r="Z410" s="264"/>
      <c r="AA410" s="264"/>
      <c r="AB410" s="265" t="str">
        <f>VLOOKUP(功能_33[[#This Row],[User]],SKL放款!A:G,7,FALSE)</f>
        <v>放款審查課</v>
      </c>
      <c r="AC410" s="272">
        <v>44533</v>
      </c>
      <c r="AD410" s="272" t="s">
        <v>168</v>
      </c>
      <c r="AE410" s="272">
        <v>44526</v>
      </c>
      <c r="AF410" s="272">
        <v>44526</v>
      </c>
      <c r="AG410" s="209">
        <v>44546</v>
      </c>
      <c r="AH410" s="272"/>
      <c r="AI410" s="272"/>
      <c r="AJ410" s="322"/>
      <c r="AK410" s="272">
        <f>IFERROR(IF(VLOOKUP(功能_33[[#This Row],[功能代號]],E:U,11,FALSE)=0,"",VLOOKUP(功能_33[[#This Row],[功能代號]],E:U,11,FALSE)),"")</f>
        <v>44503</v>
      </c>
      <c r="AL410" s="272"/>
      <c r="AM410" s="272"/>
      <c r="AN410" s="265"/>
      <c r="AO410" s="272"/>
      <c r="AP410" s="264" t="s">
        <v>163</v>
      </c>
      <c r="AQ410" s="264" t="s">
        <v>163</v>
      </c>
      <c r="AR410" s="593" t="s">
        <v>3207</v>
      </c>
      <c r="AS410" s="483" t="str">
        <f>IF(COUNTA(AG410)=1,LEFT(D410,3),"")</f>
        <v>8-1</v>
      </c>
      <c r="AT410" s="485" t="str">
        <f>IF(AND(COUNTA(O410)=1,COUNTA(P410)=1,COUNTA(AC410)=1,COUNTA(AF410)=1,COUNTA(AG410)=0),LEFT(D410,3),"")</f>
        <v/>
      </c>
      <c r="AU410" s="487" t="str">
        <f>IF(AND(COUNTA(O410)=1,COUNTA(P410)=1,COUNTA(AC410)=1,COUNTA(AF410)=0,COUNTA(AG410)=0),LEFT(D410,3),"")</f>
        <v/>
      </c>
      <c r="AV410" s="489" t="str">
        <f>IF(AND(COUNTA(P410)=0,COUNTA(AC410)=1),LEFT(D410,3),"")</f>
        <v/>
      </c>
      <c r="AW410" s="491" t="str">
        <f>IF(AND(COUNTA(P410)=1,COUNTA(AC410)=0),LEFT(D410,3),"")</f>
        <v/>
      </c>
      <c r="AX410" s="493" t="str">
        <f>IF(AND(COUNTA(P410)=0,COUNTA(AC410)=0),LEFT(D410,3),"")</f>
        <v/>
      </c>
      <c r="AY410" s="514" t="str">
        <f>IFERROR(VLOOKUP(功能_33[[#This Row],[功能代號]],SIT_FT_2021tmp!D:D,1,FALSE),"")</f>
        <v>L8100</v>
      </c>
      <c r="AZ410" s="587">
        <v>44540</v>
      </c>
      <c r="BA410" s="587">
        <v>44540</v>
      </c>
      <c r="BB410" s="514" t="s">
        <v>3000</v>
      </c>
      <c r="BC410" s="265" t="s">
        <v>3032</v>
      </c>
      <c r="BD410" s="593"/>
      <c r="BE410" s="264" t="str">
        <f>IF(AND(COUNTIF(AY410,"&gt;&lt;0")=1,COUNTA(M410)=1),LEFT(D410,3),"")</f>
        <v>8-1</v>
      </c>
      <c r="BF410" s="264" t="str">
        <f>IF(AND(COUNTIF(AY410,"&gt;&lt;")=1,COUNTA(M410)=0),LEFT(D410,3),"")</f>
        <v/>
      </c>
      <c r="BG410" s="264" t="str">
        <f>IF(AND(COUNTIF(AY410,"&gt;&lt;0")=0,COUNTA(M410)=1),LEFT(D410,3),"")</f>
        <v/>
      </c>
      <c r="BH410" s="264" t="str">
        <f>IF(AND(COUNTIF(AY410,"&gt;&lt;0")=0,COUNTA(M410)=0),LEFT(D410,3),"")</f>
        <v/>
      </c>
    </row>
    <row r="411" spans="1:60" ht="13.5" x14ac:dyDescent="0.3">
      <c r="C411" s="265" t="s">
        <v>72</v>
      </c>
      <c r="D411" s="265" t="s">
        <v>2777</v>
      </c>
      <c r="E411" s="264" t="s">
        <v>909</v>
      </c>
      <c r="F411" s="265" t="s">
        <v>910</v>
      </c>
      <c r="G411" s="265"/>
      <c r="H411" s="264" t="s">
        <v>166</v>
      </c>
      <c r="I411" s="264" t="s">
        <v>287</v>
      </c>
      <c r="J411" s="271" t="s">
        <v>2770</v>
      </c>
      <c r="K411" s="271"/>
      <c r="L411" s="272">
        <v>44578</v>
      </c>
      <c r="M411" s="272">
        <v>44573</v>
      </c>
      <c r="N411" s="272">
        <v>44498</v>
      </c>
      <c r="O411" s="272">
        <v>44498</v>
      </c>
      <c r="P411" s="272">
        <v>44498</v>
      </c>
      <c r="Q411" s="264" t="s">
        <v>1</v>
      </c>
      <c r="R411" s="264" t="s">
        <v>15</v>
      </c>
      <c r="S411" s="264" t="s">
        <v>15</v>
      </c>
      <c r="X411" s="264"/>
      <c r="Z411" s="264"/>
      <c r="AA411" s="264"/>
      <c r="AB411" s="265" t="str">
        <f>VLOOKUP(功能_33[[#This Row],[User]],SKL放款!A:G,7,FALSE)</f>
        <v>放款服務課</v>
      </c>
      <c r="AC411" s="272">
        <v>44533</v>
      </c>
      <c r="AD411" s="272" t="s">
        <v>2394</v>
      </c>
      <c r="AE411" s="209" t="s">
        <v>2696</v>
      </c>
      <c r="AF411" s="272">
        <v>44544</v>
      </c>
      <c r="AG411" s="209">
        <v>44544</v>
      </c>
      <c r="AH411" s="272"/>
      <c r="AI411" s="272"/>
      <c r="AJ411" s="322"/>
      <c r="AK411" s="272">
        <f>IFERROR(IF(VLOOKUP(功能_33[[#This Row],[功能代號]],E:U,11,FALSE)=0,"",VLOOKUP(功能_33[[#This Row],[功能代號]],E:U,11,FALSE)),"")</f>
        <v>44498</v>
      </c>
      <c r="AL411" s="272"/>
      <c r="AM411" s="272"/>
      <c r="AN411" s="265"/>
      <c r="AO411" s="272"/>
      <c r="AP411" s="264" t="s">
        <v>163</v>
      </c>
      <c r="AQ411" s="264" t="s">
        <v>163</v>
      </c>
      <c r="AR411" s="593" t="s">
        <v>3207</v>
      </c>
      <c r="AS411" s="483" t="str">
        <f>IF(COUNTA(AG411)=1,LEFT(D411,3),"")</f>
        <v>8-2</v>
      </c>
      <c r="AT411" s="485" t="str">
        <f>IF(AND(COUNTA(O411)=1,COUNTA(P411)=1,COUNTA(AC411)=1,COUNTA(AF411)=1,COUNTA(AG411)=0),LEFT(D411,3),"")</f>
        <v/>
      </c>
      <c r="AU411" s="487" t="str">
        <f>IF(AND(COUNTA(O411)=1,COUNTA(P411)=1,COUNTA(AC411)=1,COUNTA(AF411)=0,COUNTA(AG411)=0),LEFT(D411,3),"")</f>
        <v/>
      </c>
      <c r="AV411" s="489" t="str">
        <f>IF(AND(COUNTA(P411)=0,COUNTA(AC411)=1),LEFT(D411,3),"")</f>
        <v/>
      </c>
      <c r="AW411" s="491" t="str">
        <f>IF(AND(COUNTA(P411)=1,COUNTA(AC411)=0),LEFT(D411,3),"")</f>
        <v/>
      </c>
      <c r="AX411" s="493" t="str">
        <f>IF(AND(COUNTA(P411)=0,COUNTA(AC411)=0),LEFT(D411,3),"")</f>
        <v/>
      </c>
      <c r="AY411" s="514" t="str">
        <f>IFERROR(VLOOKUP(功能_33[[#This Row],[功能代號]],SIT_FT_2021tmp!D:D,1,FALSE),"")</f>
        <v/>
      </c>
      <c r="AZ411" s="587">
        <v>44603</v>
      </c>
      <c r="BB411" s="514" t="s">
        <v>2453</v>
      </c>
      <c r="BC411" s="265" t="s">
        <v>2453</v>
      </c>
      <c r="BD411" s="593"/>
      <c r="BE411" s="265" t="str">
        <f>IF(AND(COUNTIF(AY411,"&gt;&lt;0")=1,COUNTA(M411)=1),LEFT(D411,3),"")</f>
        <v/>
      </c>
      <c r="BF411" s="265" t="str">
        <f>IF(AND(COUNTIF(AY411,"&gt;&lt;")=1,COUNTA(M411)=0),LEFT(D411,3),"")</f>
        <v/>
      </c>
      <c r="BG411" s="265" t="str">
        <f>IF(AND(COUNTIF(AY411,"&gt;&lt;0")=0,COUNTA(M411)=1),LEFT(D411,3),"")</f>
        <v>8-2</v>
      </c>
      <c r="BH411" s="265" t="str">
        <f>IF(AND(COUNTIF(AY411,"&gt;&lt;0")=0,COUNTA(M411)=0),LEFT(D411,3),"")</f>
        <v/>
      </c>
    </row>
    <row r="412" spans="1:60" ht="13.5" x14ac:dyDescent="0.3">
      <c r="C412" s="265" t="s">
        <v>72</v>
      </c>
      <c r="D412" s="265" t="s">
        <v>908</v>
      </c>
      <c r="E412" s="264" t="s">
        <v>911</v>
      </c>
      <c r="F412" s="265" t="s">
        <v>912</v>
      </c>
      <c r="G412" s="265"/>
      <c r="H412" s="264" t="s">
        <v>166</v>
      </c>
      <c r="I412" s="264" t="s">
        <v>287</v>
      </c>
      <c r="J412" s="271" t="s">
        <v>2770</v>
      </c>
      <c r="K412" s="271"/>
      <c r="L412" s="272">
        <v>44578</v>
      </c>
      <c r="M412" s="272">
        <v>44572</v>
      </c>
      <c r="N412" s="272">
        <v>44498</v>
      </c>
      <c r="O412" s="272">
        <v>44498</v>
      </c>
      <c r="P412" s="272">
        <v>44533</v>
      </c>
      <c r="Q412" s="264" t="s">
        <v>6</v>
      </c>
      <c r="R412" s="264" t="s">
        <v>15</v>
      </c>
      <c r="S412" s="264" t="s">
        <v>15</v>
      </c>
      <c r="X412" s="264"/>
      <c r="Z412" s="264"/>
      <c r="AA412" s="264"/>
      <c r="AB412" s="265" t="str">
        <f>VLOOKUP(功能_33[[#This Row],[User]],SKL放款!A:G,7,FALSE)</f>
        <v>放款服務課</v>
      </c>
      <c r="AC412" s="272">
        <v>44533</v>
      </c>
      <c r="AD412" s="272" t="s">
        <v>2394</v>
      </c>
      <c r="AE412" s="209" t="s">
        <v>2676</v>
      </c>
      <c r="AF412" s="272">
        <v>44544</v>
      </c>
      <c r="AG412" s="209">
        <v>44544</v>
      </c>
      <c r="AH412" s="272"/>
      <c r="AI412" s="272"/>
      <c r="AJ412" s="322"/>
      <c r="AK412" s="272">
        <f>IFERROR(IF(VLOOKUP(功能_33[[#This Row],[功能代號]],E:U,11,FALSE)=0,"",VLOOKUP(功能_33[[#This Row],[功能代號]],E:U,11,FALSE)),"")</f>
        <v>44498</v>
      </c>
      <c r="AL412" s="272"/>
      <c r="AM412" s="272"/>
      <c r="AN412" s="265"/>
      <c r="AO412" s="272"/>
      <c r="AP412" s="276" t="s">
        <v>913</v>
      </c>
      <c r="AQ412" s="277" t="s">
        <v>914</v>
      </c>
      <c r="AR412" s="593" t="s">
        <v>3207</v>
      </c>
      <c r="AS412" s="483" t="str">
        <f>IF(COUNTA(AG412)=1,LEFT(D412,3),"")</f>
        <v>8-2</v>
      </c>
      <c r="AT412" s="485" t="str">
        <f>IF(AND(COUNTA(O412)=1,COUNTA(P412)=1,COUNTA(AC412)=1,COUNTA(AF412)=1,COUNTA(AG412)=0),LEFT(D412,3),"")</f>
        <v/>
      </c>
      <c r="AU412" s="487" t="str">
        <f>IF(AND(COUNTA(O412)=1,COUNTA(P412)=1,COUNTA(AC412)=1,COUNTA(AF412)=0,COUNTA(AG412)=0),LEFT(D412,3),"")</f>
        <v/>
      </c>
      <c r="AV412" s="489" t="str">
        <f>IF(AND(COUNTA(P412)=0,COUNTA(AC412)=1),LEFT(D412,3),"")</f>
        <v/>
      </c>
      <c r="AW412" s="491" t="str">
        <f>IF(AND(COUNTA(P412)=1,COUNTA(AC412)=0),LEFT(D412,3),"")</f>
        <v/>
      </c>
      <c r="AX412" s="493" t="str">
        <f>IF(AND(COUNTA(P412)=0,COUNTA(AC412)=0),LEFT(D412,3),"")</f>
        <v/>
      </c>
      <c r="AY412" s="514" t="str">
        <f>IFERROR(VLOOKUP(功能_33[[#This Row],[功能代號]],SIT_FT_2021tmp!D:D,1,FALSE),"")</f>
        <v/>
      </c>
      <c r="AZ412" s="587">
        <v>44603</v>
      </c>
      <c r="BB412" s="514" t="s">
        <v>2453</v>
      </c>
      <c r="BC412" s="265" t="s">
        <v>2453</v>
      </c>
      <c r="BD412" s="593"/>
      <c r="BE412" s="265" t="str">
        <f>IF(AND(COUNTIF(AY412,"&gt;&lt;0")=1,COUNTA(M412)=1),LEFT(D412,3),"")</f>
        <v/>
      </c>
      <c r="BF412" s="265" t="str">
        <f>IF(AND(COUNTIF(AY412,"&gt;&lt;")=1,COUNTA(M412)=0),LEFT(D412,3),"")</f>
        <v/>
      </c>
      <c r="BG412" s="265" t="str">
        <f>IF(AND(COUNTIF(AY412,"&gt;&lt;0")=0,COUNTA(M412)=1),LEFT(D412,3),"")</f>
        <v>8-2</v>
      </c>
      <c r="BH412" s="265" t="str">
        <f>IF(AND(COUNTIF(AY412,"&gt;&lt;0")=0,COUNTA(M412)=0),LEFT(D412,3),"")</f>
        <v/>
      </c>
    </row>
    <row r="413" spans="1:60" ht="13.5" x14ac:dyDescent="0.3">
      <c r="C413" s="265" t="s">
        <v>72</v>
      </c>
      <c r="D413" s="265" t="s">
        <v>908</v>
      </c>
      <c r="E413" s="264" t="s">
        <v>915</v>
      </c>
      <c r="F413" s="265" t="s">
        <v>916</v>
      </c>
      <c r="G413" s="265"/>
      <c r="H413" s="264" t="s">
        <v>166</v>
      </c>
      <c r="I413" s="264" t="s">
        <v>287</v>
      </c>
      <c r="J413" s="271" t="s">
        <v>3091</v>
      </c>
      <c r="K413" s="605" t="s">
        <v>3095</v>
      </c>
      <c r="L413" s="272">
        <v>44578</v>
      </c>
      <c r="M413" s="272">
        <v>44574</v>
      </c>
      <c r="N413" s="272">
        <v>44498</v>
      </c>
      <c r="O413" s="272">
        <v>44498</v>
      </c>
      <c r="P413" s="272">
        <v>44533</v>
      </c>
      <c r="Q413" s="264" t="s">
        <v>1</v>
      </c>
      <c r="R413" s="264" t="s">
        <v>15</v>
      </c>
      <c r="S413" s="264" t="s">
        <v>15</v>
      </c>
      <c r="X413" s="264"/>
      <c r="Z413" s="264"/>
      <c r="AA413" s="264"/>
      <c r="AB413" s="265" t="str">
        <f>VLOOKUP(功能_33[[#This Row],[User]],SKL放款!A:G,7,FALSE)</f>
        <v>放款服務課</v>
      </c>
      <c r="AC413" s="272">
        <v>44533</v>
      </c>
      <c r="AD413" s="272" t="s">
        <v>2394</v>
      </c>
      <c r="AE413" s="209" t="s">
        <v>2676</v>
      </c>
      <c r="AF413" s="272">
        <v>44544</v>
      </c>
      <c r="AG413" s="209" t="s">
        <v>3101</v>
      </c>
      <c r="AH413" s="272"/>
      <c r="AI413" s="272"/>
      <c r="AJ413" s="322"/>
      <c r="AK413" s="272">
        <f>IFERROR(IF(VLOOKUP(功能_33[[#This Row],[功能代號]],E:U,11,FALSE)=0,"",VLOOKUP(功能_33[[#This Row],[功能代號]],E:U,11,FALSE)),"")</f>
        <v>44498</v>
      </c>
      <c r="AL413" s="272"/>
      <c r="AM413" s="272"/>
      <c r="AN413" s="265"/>
      <c r="AO413" s="272"/>
      <c r="AP413" s="264" t="s">
        <v>163</v>
      </c>
      <c r="AQ413" s="264" t="s">
        <v>163</v>
      </c>
      <c r="AR413" s="593" t="s">
        <v>3207</v>
      </c>
      <c r="AS413" s="483" t="str">
        <f>IF(COUNTA(AG413)=1,LEFT(D413,3),"")</f>
        <v>8-2</v>
      </c>
      <c r="AT413" s="485" t="str">
        <f>IF(AND(COUNTA(O413)=1,COUNTA(P413)=1,COUNTA(AC413)=1,COUNTA(AF413)=1,COUNTA(AG413)=0),LEFT(D413,3),"")</f>
        <v/>
      </c>
      <c r="AU413" s="487" t="str">
        <f>IF(AND(COUNTA(O413)=1,COUNTA(P413)=1,COUNTA(AC413)=1,COUNTA(AF413)=0,COUNTA(AG413)=0),LEFT(D413,3),"")</f>
        <v/>
      </c>
      <c r="AV413" s="489" t="str">
        <f>IF(AND(COUNTA(P413)=0,COUNTA(AC413)=1),LEFT(D413,3),"")</f>
        <v/>
      </c>
      <c r="AW413" s="491" t="str">
        <f>IF(AND(COUNTA(P413)=1,COUNTA(AC413)=0),LEFT(D413,3),"")</f>
        <v/>
      </c>
      <c r="AX413" s="493" t="str">
        <f>IF(AND(COUNTA(P413)=0,COUNTA(AC413)=0),LEFT(D413,3),"")</f>
        <v/>
      </c>
      <c r="AY413" s="514" t="str">
        <f>IFERROR(VLOOKUP(功能_33[[#This Row],[功能代號]],SIT_FT_2021tmp!D:D,1,FALSE),"")</f>
        <v>L8924</v>
      </c>
      <c r="AZ413" s="587">
        <v>44559</v>
      </c>
      <c r="BA413" s="587">
        <v>44559</v>
      </c>
      <c r="BB413" s="514" t="s">
        <v>3073</v>
      </c>
      <c r="BC413" s="265" t="s">
        <v>3042</v>
      </c>
      <c r="BD413" s="593"/>
      <c r="BE413" s="264" t="str">
        <f>IF(AND(COUNTIF(AY413,"&gt;&lt;0")=1,COUNTA(M413)=1),LEFT(D413,3),"")</f>
        <v>8-2</v>
      </c>
      <c r="BF413" s="264" t="str">
        <f>IF(AND(COUNTIF(AY413,"&gt;&lt;")=1,COUNTA(M413)=0),LEFT(D413,3),"")</f>
        <v/>
      </c>
      <c r="BG413" s="264" t="str">
        <f>IF(AND(COUNTIF(AY413,"&gt;&lt;0")=0,COUNTA(M413)=1),LEFT(D413,3),"")</f>
        <v/>
      </c>
      <c r="BH413" s="264" t="str">
        <f>IF(AND(COUNTIF(AY413,"&gt;&lt;0")=0,COUNTA(M413)=0),LEFT(D413,3),"")</f>
        <v/>
      </c>
    </row>
    <row r="414" spans="1:60" ht="13.5" x14ac:dyDescent="0.3">
      <c r="C414" s="265" t="s">
        <v>72</v>
      </c>
      <c r="D414" s="265" t="s">
        <v>908</v>
      </c>
      <c r="E414" s="264" t="s">
        <v>2756</v>
      </c>
      <c r="F414" s="265" t="s">
        <v>2757</v>
      </c>
      <c r="G414" s="265" t="s">
        <v>2758</v>
      </c>
      <c r="H414" s="264" t="s">
        <v>166</v>
      </c>
      <c r="I414" s="264" t="s">
        <v>287</v>
      </c>
      <c r="J414" s="271" t="s">
        <v>2770</v>
      </c>
      <c r="K414" s="271"/>
      <c r="L414" s="272">
        <v>44578</v>
      </c>
      <c r="M414" s="272">
        <v>44574</v>
      </c>
      <c r="N414" s="272">
        <v>44498</v>
      </c>
      <c r="O414" s="272">
        <v>44498</v>
      </c>
      <c r="P414" s="272">
        <v>44533</v>
      </c>
      <c r="Q414" s="264" t="s">
        <v>1</v>
      </c>
      <c r="R414" s="264" t="s">
        <v>15</v>
      </c>
      <c r="S414" s="264" t="s">
        <v>15</v>
      </c>
      <c r="X414" s="264"/>
      <c r="Z414" s="264"/>
      <c r="AA414" s="264"/>
      <c r="AB414" s="265" t="str">
        <f>VLOOKUP(功能_33[[#This Row],[User]],SKL放款!A:G,7,FALSE)</f>
        <v>放款服務課</v>
      </c>
      <c r="AC414" s="272">
        <v>44533</v>
      </c>
      <c r="AD414" s="272" t="s">
        <v>2394</v>
      </c>
      <c r="AE414" s="272">
        <v>44544</v>
      </c>
      <c r="AF414" s="272">
        <v>44544</v>
      </c>
      <c r="AG414" s="209">
        <v>44544</v>
      </c>
      <c r="AH414" s="272"/>
      <c r="AI414" s="272"/>
      <c r="AJ414" s="322"/>
      <c r="AK414" s="272">
        <f>IFERROR(IF(VLOOKUP(功能_33[[#This Row],[功能代號]],E:U,11,FALSE)=0,"",VLOOKUP(功能_33[[#This Row],[功能代號]],E:U,11,FALSE)),"")</f>
        <v>44498</v>
      </c>
      <c r="AL414" s="272"/>
      <c r="AM414" s="272"/>
      <c r="AN414" s="265"/>
      <c r="AO414" s="272"/>
      <c r="AP414" s="264" t="s">
        <v>163</v>
      </c>
      <c r="AQ414" s="264" t="s">
        <v>163</v>
      </c>
      <c r="AR414" s="593" t="s">
        <v>3207</v>
      </c>
      <c r="AS414" s="483" t="str">
        <f>IF(COUNTA(AG414)=1,LEFT(D414,3),"")</f>
        <v>8-2</v>
      </c>
      <c r="AT414" s="485" t="str">
        <f>IF(AND(COUNTA(O414)=1,COUNTA(P414)=1,COUNTA(AC414)=1,COUNTA(AF414)=1,COUNTA(AG414)=0),LEFT(D414,3),"")</f>
        <v/>
      </c>
      <c r="AU414" s="487" t="str">
        <f>IF(AND(COUNTA(O414)=1,COUNTA(P414)=1,COUNTA(AC414)=1,COUNTA(AF414)=0,COUNTA(AG414)=0),LEFT(D414,3),"")</f>
        <v/>
      </c>
      <c r="AV414" s="489" t="str">
        <f>IF(AND(COUNTA(P414)=0,COUNTA(AC414)=1),LEFT(D414,3),"")</f>
        <v/>
      </c>
      <c r="AW414" s="491" t="str">
        <f>IF(AND(COUNTA(P414)=1,COUNTA(AC414)=0),LEFT(D414,3),"")</f>
        <v/>
      </c>
      <c r="AX414" s="493" t="str">
        <f>IF(AND(COUNTA(P414)=0,COUNTA(AC414)=0),LEFT(D414,3),"")</f>
        <v/>
      </c>
      <c r="AY414" s="514" t="str">
        <f>IFERROR(VLOOKUP(功能_33[[#This Row],[功能代號]],SIT_FT_2021tmp!D:D,1,FALSE),"")</f>
        <v>L8925</v>
      </c>
      <c r="AZ414" s="587">
        <v>44559</v>
      </c>
      <c r="BA414" s="587">
        <v>44559</v>
      </c>
      <c r="BB414" s="514" t="s">
        <v>3073</v>
      </c>
      <c r="BC414" s="265" t="s">
        <v>3042</v>
      </c>
      <c r="BD414" s="593"/>
      <c r="BE414" s="264" t="str">
        <f>IF(AND(COUNTIF(AY414,"&gt;&lt;0")=1,COUNTA(M414)=1),LEFT(D414,3),"")</f>
        <v>8-2</v>
      </c>
      <c r="BF414" s="264" t="str">
        <f>IF(AND(COUNTIF(AY414,"&gt;&lt;")=1,COUNTA(M414)=0),LEFT(D414,3),"")</f>
        <v/>
      </c>
      <c r="BG414" s="264" t="str">
        <f>IF(AND(COUNTIF(AY414,"&gt;&lt;0")=0,COUNTA(M414)=1),LEFT(D414,3),"")</f>
        <v/>
      </c>
      <c r="BH414" s="264" t="str">
        <f>IF(AND(COUNTIF(AY414,"&gt;&lt;0")=0,COUNTA(M414)=0),LEFT(D414,3),"")</f>
        <v/>
      </c>
    </row>
    <row r="415" spans="1:60" ht="13.5" x14ac:dyDescent="0.3">
      <c r="C415" s="265" t="s">
        <v>72</v>
      </c>
      <c r="D415" s="265" t="s">
        <v>908</v>
      </c>
      <c r="E415" s="264" t="s">
        <v>917</v>
      </c>
      <c r="F415" s="265" t="s">
        <v>918</v>
      </c>
      <c r="G415" s="265"/>
      <c r="H415" s="264" t="s">
        <v>166</v>
      </c>
      <c r="I415" s="264" t="s">
        <v>287</v>
      </c>
      <c r="J415" s="271" t="s">
        <v>2770</v>
      </c>
      <c r="K415" s="271"/>
      <c r="L415" s="272">
        <v>44578</v>
      </c>
      <c r="M415" s="272">
        <v>44572</v>
      </c>
      <c r="N415" s="272">
        <v>44498</v>
      </c>
      <c r="O415" s="272">
        <v>44498</v>
      </c>
      <c r="P415" s="272">
        <v>44537</v>
      </c>
      <c r="Q415" s="264" t="s">
        <v>1</v>
      </c>
      <c r="R415" s="264" t="s">
        <v>15</v>
      </c>
      <c r="S415" s="264" t="s">
        <v>15</v>
      </c>
      <c r="X415" s="264"/>
      <c r="Z415" s="264"/>
      <c r="AA415" s="264"/>
      <c r="AB415" s="265" t="str">
        <f>VLOOKUP(功能_33[[#This Row],[User]],SKL放款!A:G,7,FALSE)</f>
        <v>放款服務課</v>
      </c>
      <c r="AC415" s="272">
        <v>44537</v>
      </c>
      <c r="AD415" s="272" t="s">
        <v>2394</v>
      </c>
      <c r="AE415" s="209" t="s">
        <v>2676</v>
      </c>
      <c r="AF415" s="272">
        <v>44544</v>
      </c>
      <c r="AG415" s="209">
        <v>44544</v>
      </c>
      <c r="AH415" s="272"/>
      <c r="AI415" s="272"/>
      <c r="AJ415" s="322"/>
      <c r="AK415" s="272">
        <f>IFERROR(IF(VLOOKUP(功能_33[[#This Row],[功能代號]],E:U,11,FALSE)=0,"",VLOOKUP(功能_33[[#This Row],[功能代號]],E:U,11,FALSE)),"")</f>
        <v>44498</v>
      </c>
      <c r="AL415" s="272"/>
      <c r="AM415" s="272"/>
      <c r="AN415" s="265"/>
      <c r="AO415" s="272"/>
      <c r="AP415" s="264" t="s">
        <v>2761</v>
      </c>
      <c r="AQ415" s="261" t="s">
        <v>919</v>
      </c>
      <c r="AR415" s="593" t="s">
        <v>3207</v>
      </c>
      <c r="AS415" s="483" t="str">
        <f>IF(COUNTA(AG415)=1,LEFT(D415,3),"")</f>
        <v>8-2</v>
      </c>
      <c r="AT415" s="485" t="str">
        <f>IF(AND(COUNTA(O415)=1,COUNTA(P415)=1,COUNTA(AC415)=1,COUNTA(AF415)=1,COUNTA(AG415)=0),LEFT(D415,3),"")</f>
        <v/>
      </c>
      <c r="AU415" s="487" t="str">
        <f>IF(AND(COUNTA(O415)=1,COUNTA(P415)=1,COUNTA(AC415)=1,COUNTA(AF415)=0,COUNTA(AG415)=0),LEFT(D415,3),"")</f>
        <v/>
      </c>
      <c r="AV415" s="489" t="str">
        <f>IF(AND(COUNTA(P415)=0,COUNTA(AC415)=1),LEFT(D415,3),"")</f>
        <v/>
      </c>
      <c r="AW415" s="491" t="str">
        <f>IF(AND(COUNTA(P415)=1,COUNTA(AC415)=0),LEFT(D415,3),"")</f>
        <v/>
      </c>
      <c r="AX415" s="493" t="str">
        <f>IF(AND(COUNTA(P415)=0,COUNTA(AC415)=0),LEFT(D415,3),"")</f>
        <v/>
      </c>
      <c r="AY415" s="514" t="str">
        <f>IFERROR(VLOOKUP(功能_33[[#This Row],[功能代號]],SIT_FT_2021tmp!D:D,1,FALSE),"")</f>
        <v/>
      </c>
      <c r="AZ415" s="587">
        <v>44603</v>
      </c>
      <c r="BB415" s="514" t="s">
        <v>2453</v>
      </c>
      <c r="BC415" s="265" t="s">
        <v>2453</v>
      </c>
      <c r="BD415" s="593"/>
      <c r="BE415" s="265" t="str">
        <f>IF(AND(COUNTIF(AY415,"&gt;&lt;0")=1,COUNTA(M415)=1),LEFT(D415,3),"")</f>
        <v/>
      </c>
      <c r="BF415" s="265" t="str">
        <f>IF(AND(COUNTIF(AY415,"&gt;&lt;")=1,COUNTA(M415)=0),LEFT(D415,3),"")</f>
        <v/>
      </c>
      <c r="BG415" s="265" t="str">
        <f>IF(AND(COUNTIF(AY415,"&gt;&lt;0")=0,COUNTA(M415)=1),LEFT(D415,3),"")</f>
        <v>8-2</v>
      </c>
      <c r="BH415" s="265" t="str">
        <f>IF(AND(COUNTIF(AY415,"&gt;&lt;0")=0,COUNTA(M415)=0),LEFT(D415,3),"")</f>
        <v/>
      </c>
    </row>
    <row r="416" spans="1:60" ht="13.5" x14ac:dyDescent="0.3">
      <c r="C416" s="265" t="s">
        <v>72</v>
      </c>
      <c r="D416" s="265" t="s">
        <v>908</v>
      </c>
      <c r="E416" s="264" t="s">
        <v>920</v>
      </c>
      <c r="F416" s="265" t="s">
        <v>921</v>
      </c>
      <c r="G416" s="265"/>
      <c r="H416" s="264" t="s">
        <v>166</v>
      </c>
      <c r="I416" s="264" t="s">
        <v>287</v>
      </c>
      <c r="J416" s="271" t="s">
        <v>2770</v>
      </c>
      <c r="K416" s="271"/>
      <c r="L416" s="272">
        <v>44578</v>
      </c>
      <c r="M416" s="272">
        <v>44573</v>
      </c>
      <c r="N416" s="272">
        <v>44498</v>
      </c>
      <c r="O416" s="272">
        <v>44498</v>
      </c>
      <c r="P416" s="272">
        <v>44498</v>
      </c>
      <c r="Q416" s="264" t="s">
        <v>6</v>
      </c>
      <c r="R416" s="264" t="s">
        <v>5</v>
      </c>
      <c r="S416" s="264" t="s">
        <v>5</v>
      </c>
      <c r="X416" s="264"/>
      <c r="Z416" s="264"/>
      <c r="AA416" s="264"/>
      <c r="AB416" s="265" t="str">
        <f>VLOOKUP(功能_33[[#This Row],[User]],SKL放款!A:G,7,FALSE)</f>
        <v>放款服務課</v>
      </c>
      <c r="AC416" s="272">
        <v>44533</v>
      </c>
      <c r="AD416" s="272" t="s">
        <v>168</v>
      </c>
      <c r="AE416" s="272">
        <v>44498</v>
      </c>
      <c r="AF416" s="272">
        <v>44544</v>
      </c>
      <c r="AG416" s="209">
        <v>44544</v>
      </c>
      <c r="AH416" s="272"/>
      <c r="AI416" s="272"/>
      <c r="AJ416" s="322"/>
      <c r="AK416" s="272">
        <f>IFERROR(IF(VLOOKUP(功能_33[[#This Row],[功能代號]],E:U,11,FALSE)=0,"",VLOOKUP(功能_33[[#This Row],[功能代號]],E:U,11,FALSE)),"")</f>
        <v>44498</v>
      </c>
      <c r="AL416" s="272"/>
      <c r="AM416" s="272"/>
      <c r="AN416" s="265"/>
      <c r="AO416" s="272"/>
      <c r="AP416" s="276" t="s">
        <v>922</v>
      </c>
      <c r="AQ416" s="277" t="s">
        <v>923</v>
      </c>
      <c r="AR416" s="593" t="s">
        <v>3207</v>
      </c>
      <c r="AS416" s="483" t="str">
        <f>IF(COUNTA(AG416)=1,LEFT(D416,3),"")</f>
        <v>8-2</v>
      </c>
      <c r="AT416" s="485" t="str">
        <f>IF(AND(COUNTA(O416)=1,COUNTA(P416)=1,COUNTA(AC416)=1,COUNTA(AF416)=1,COUNTA(AG416)=0),LEFT(D416,3),"")</f>
        <v/>
      </c>
      <c r="AU416" s="487" t="str">
        <f>IF(AND(COUNTA(O416)=1,COUNTA(P416)=1,COUNTA(AC416)=1,COUNTA(AF416)=0,COUNTA(AG416)=0),LEFT(D416,3),"")</f>
        <v/>
      </c>
      <c r="AV416" s="489" t="str">
        <f>IF(AND(COUNTA(P416)=0,COUNTA(AC416)=1),LEFT(D416,3),"")</f>
        <v/>
      </c>
      <c r="AW416" s="491" t="str">
        <f>IF(AND(COUNTA(P416)=1,COUNTA(AC416)=0),LEFT(D416,3),"")</f>
        <v/>
      </c>
      <c r="AX416" s="493" t="str">
        <f>IF(AND(COUNTA(P416)=0,COUNTA(AC416)=0),LEFT(D416,3),"")</f>
        <v/>
      </c>
      <c r="AY416" s="514" t="str">
        <f>IFERROR(VLOOKUP(功能_33[[#This Row],[功能代號]],SIT_FT_2021tmp!D:D,1,FALSE),"")</f>
        <v/>
      </c>
      <c r="AZ416" s="587">
        <v>44603</v>
      </c>
      <c r="BB416" s="514" t="s">
        <v>2453</v>
      </c>
      <c r="BC416" s="265" t="s">
        <v>2453</v>
      </c>
      <c r="BD416" s="593"/>
      <c r="BE416" s="265" t="str">
        <f>IF(AND(COUNTIF(AY416,"&gt;&lt;0")=1,COUNTA(M416)=1),LEFT(D416,3),"")</f>
        <v/>
      </c>
      <c r="BF416" s="265" t="str">
        <f>IF(AND(COUNTIF(AY416,"&gt;&lt;")=1,COUNTA(M416)=0),LEFT(D416,3),"")</f>
        <v/>
      </c>
      <c r="BG416" s="265" t="str">
        <f>IF(AND(COUNTIF(AY416,"&gt;&lt;0")=0,COUNTA(M416)=1),LEFT(D416,3),"")</f>
        <v>8-2</v>
      </c>
      <c r="BH416" s="265" t="str">
        <f>IF(AND(COUNTIF(AY416,"&gt;&lt;0")=0,COUNTA(M416)=0),LEFT(D416,3),"")</f>
        <v/>
      </c>
    </row>
    <row r="417" spans="3:60" ht="13.5" x14ac:dyDescent="0.3">
      <c r="C417" s="265" t="s">
        <v>72</v>
      </c>
      <c r="D417" s="265" t="s">
        <v>908</v>
      </c>
      <c r="E417" s="264" t="s">
        <v>924</v>
      </c>
      <c r="F417" s="265" t="s">
        <v>923</v>
      </c>
      <c r="G417" s="265"/>
      <c r="H417" s="264" t="s">
        <v>166</v>
      </c>
      <c r="I417" s="264" t="s">
        <v>287</v>
      </c>
      <c r="J417" s="271" t="s">
        <v>2770</v>
      </c>
      <c r="K417" s="271"/>
      <c r="L417" s="272">
        <v>44578</v>
      </c>
      <c r="M417" s="272">
        <v>44573</v>
      </c>
      <c r="N417" s="272">
        <v>44498</v>
      </c>
      <c r="O417" s="272">
        <v>44498</v>
      </c>
      <c r="P417" s="272">
        <v>44533</v>
      </c>
      <c r="Q417" s="264" t="s">
        <v>6</v>
      </c>
      <c r="R417" s="264" t="s">
        <v>15</v>
      </c>
      <c r="S417" s="264" t="s">
        <v>15</v>
      </c>
      <c r="X417" s="264"/>
      <c r="Z417" s="264"/>
      <c r="AA417" s="264"/>
      <c r="AB417" s="265" t="str">
        <f>VLOOKUP(功能_33[[#This Row],[User]],SKL放款!A:G,7,FALSE)</f>
        <v>放款服務課</v>
      </c>
      <c r="AC417" s="272">
        <v>44533</v>
      </c>
      <c r="AD417" s="272" t="s">
        <v>2394</v>
      </c>
      <c r="AE417" s="209" t="s">
        <v>2676</v>
      </c>
      <c r="AF417" s="272">
        <v>44544</v>
      </c>
      <c r="AG417" s="209">
        <v>44544</v>
      </c>
      <c r="AH417" s="272"/>
      <c r="AI417" s="272"/>
      <c r="AJ417" s="322"/>
      <c r="AK417" s="272">
        <f>IFERROR(IF(VLOOKUP(功能_33[[#This Row],[功能代號]],E:U,11,FALSE)=0,"",VLOOKUP(功能_33[[#This Row],[功能代號]],E:U,11,FALSE)),"")</f>
        <v>44498</v>
      </c>
      <c r="AL417" s="272"/>
      <c r="AM417" s="272"/>
      <c r="AN417" s="265"/>
      <c r="AO417" s="272"/>
      <c r="AP417" s="276" t="s">
        <v>922</v>
      </c>
      <c r="AQ417" s="277" t="s">
        <v>923</v>
      </c>
      <c r="AR417" s="593" t="s">
        <v>3207</v>
      </c>
      <c r="AS417" s="483" t="str">
        <f>IF(COUNTA(AG417)=1,LEFT(D417,3),"")</f>
        <v>8-2</v>
      </c>
      <c r="AT417" s="485" t="str">
        <f>IF(AND(COUNTA(O417)=1,COUNTA(P417)=1,COUNTA(AC417)=1,COUNTA(AF417)=1,COUNTA(AG417)=0),LEFT(D417,3),"")</f>
        <v/>
      </c>
      <c r="AU417" s="487" t="str">
        <f>IF(AND(COUNTA(O417)=1,COUNTA(P417)=1,COUNTA(AC417)=1,COUNTA(AF417)=0,COUNTA(AG417)=0),LEFT(D417,3),"")</f>
        <v/>
      </c>
      <c r="AV417" s="489" t="str">
        <f>IF(AND(COUNTA(P417)=0,COUNTA(AC417)=1),LEFT(D417,3),"")</f>
        <v/>
      </c>
      <c r="AW417" s="491" t="str">
        <f>IF(AND(COUNTA(P417)=1,COUNTA(AC417)=0),LEFT(D417,3),"")</f>
        <v/>
      </c>
      <c r="AX417" s="493" t="str">
        <f>IF(AND(COUNTA(P417)=0,COUNTA(AC417)=0),LEFT(D417,3),"")</f>
        <v/>
      </c>
      <c r="AY417" s="514" t="str">
        <f>IFERROR(VLOOKUP(功能_33[[#This Row],[功能代號]],SIT_FT_2021tmp!D:D,1,FALSE),"")</f>
        <v/>
      </c>
      <c r="AZ417" s="587">
        <v>44603</v>
      </c>
      <c r="BB417" s="514" t="s">
        <v>2453</v>
      </c>
      <c r="BC417" s="265" t="s">
        <v>2453</v>
      </c>
      <c r="BD417" s="593"/>
      <c r="BE417" s="265" t="str">
        <f>IF(AND(COUNTIF(AY417,"&gt;&lt;0")=1,COUNTA(M417)=1),LEFT(D417,3),"")</f>
        <v/>
      </c>
      <c r="BF417" s="265" t="str">
        <f>IF(AND(COUNTIF(AY417,"&gt;&lt;")=1,COUNTA(M417)=0),LEFT(D417,3),"")</f>
        <v/>
      </c>
      <c r="BG417" s="265" t="str">
        <f>IF(AND(COUNTIF(AY417,"&gt;&lt;0")=0,COUNTA(M417)=1),LEFT(D417,3),"")</f>
        <v>8-2</v>
      </c>
      <c r="BH417" s="265" t="str">
        <f>IF(AND(COUNTIF(AY417,"&gt;&lt;0")=0,COUNTA(M417)=0),LEFT(D417,3),"")</f>
        <v/>
      </c>
    </row>
    <row r="418" spans="3:60" ht="13.5" x14ac:dyDescent="0.3">
      <c r="C418" s="265" t="s">
        <v>72</v>
      </c>
      <c r="D418" s="265" t="s">
        <v>908</v>
      </c>
      <c r="E418" s="264" t="s">
        <v>925</v>
      </c>
      <c r="F418" s="265" t="s">
        <v>926</v>
      </c>
      <c r="G418" s="265"/>
      <c r="H418" s="264" t="s">
        <v>166</v>
      </c>
      <c r="I418" s="264" t="s">
        <v>287</v>
      </c>
      <c r="J418" s="271" t="s">
        <v>3091</v>
      </c>
      <c r="K418" s="271" t="s">
        <v>3094</v>
      </c>
      <c r="L418" s="272">
        <v>44578</v>
      </c>
      <c r="M418" s="272">
        <v>44574</v>
      </c>
      <c r="N418" s="272">
        <v>44498</v>
      </c>
      <c r="O418" s="272">
        <v>44498</v>
      </c>
      <c r="P418" s="272">
        <v>44533</v>
      </c>
      <c r="Q418" s="264" t="s">
        <v>6</v>
      </c>
      <c r="R418" s="264" t="s">
        <v>5</v>
      </c>
      <c r="S418" s="264" t="s">
        <v>5</v>
      </c>
      <c r="X418" s="264"/>
      <c r="Z418" s="264"/>
      <c r="AA418" s="264"/>
      <c r="AB418" s="265" t="str">
        <f>VLOOKUP(功能_33[[#This Row],[User]],SKL放款!A:G,7,FALSE)</f>
        <v>放款服務課</v>
      </c>
      <c r="AC418" s="272">
        <v>44533</v>
      </c>
      <c r="AD418" s="272" t="s">
        <v>2394</v>
      </c>
      <c r="AE418" s="272" t="s">
        <v>2585</v>
      </c>
      <c r="AF418" s="272">
        <v>44544</v>
      </c>
      <c r="AG418" s="209" t="s">
        <v>3101</v>
      </c>
      <c r="AH418" s="272"/>
      <c r="AI418" s="272"/>
      <c r="AJ418" s="322"/>
      <c r="AK418" s="272">
        <f>IFERROR(IF(VLOOKUP(功能_33[[#This Row],[功能代號]],E:U,11,FALSE)=0,"",VLOOKUP(功能_33[[#This Row],[功能代號]],E:U,11,FALSE)),"")</f>
        <v>44498</v>
      </c>
      <c r="AL418" s="272"/>
      <c r="AM418" s="272"/>
      <c r="AN418" s="265"/>
      <c r="AO418" s="272"/>
      <c r="AP418" s="276" t="s">
        <v>927</v>
      </c>
      <c r="AQ418" s="277" t="s">
        <v>928</v>
      </c>
      <c r="AR418" s="593" t="s">
        <v>3207</v>
      </c>
      <c r="AS418" s="483" t="str">
        <f>IF(COUNTA(AG418)=1,LEFT(D418,3),"")</f>
        <v>8-2</v>
      </c>
      <c r="AT418" s="485" t="str">
        <f>IF(AND(COUNTA(O418)=1,COUNTA(P418)=1,COUNTA(AC418)=1,COUNTA(AF418)=1,COUNTA(AG418)=0),LEFT(D418,3),"")</f>
        <v/>
      </c>
      <c r="AU418" s="487" t="str">
        <f>IF(AND(COUNTA(O418)=1,COUNTA(P418)=1,COUNTA(AC418)=1,COUNTA(AF418)=0,COUNTA(AG418)=0),LEFT(D418,3),"")</f>
        <v/>
      </c>
      <c r="AV418" s="489" t="str">
        <f>IF(AND(COUNTA(P418)=0,COUNTA(AC418)=1),LEFT(D418,3),"")</f>
        <v/>
      </c>
      <c r="AW418" s="491" t="str">
        <f>IF(AND(COUNTA(P418)=1,COUNTA(AC418)=0),LEFT(D418,3),"")</f>
        <v/>
      </c>
      <c r="AX418" s="493" t="str">
        <f>IF(AND(COUNTA(P418)=0,COUNTA(AC418)=0),LEFT(D418,3),"")</f>
        <v/>
      </c>
      <c r="AY418" s="514" t="str">
        <f>IFERROR(VLOOKUP(功能_33[[#This Row],[功能代號]],SIT_FT_2021tmp!D:D,1,FALSE),"")</f>
        <v>L8923</v>
      </c>
      <c r="AZ418" s="587">
        <v>44559</v>
      </c>
      <c r="BA418" s="587">
        <v>44559</v>
      </c>
      <c r="BB418" s="514" t="s">
        <v>3073</v>
      </c>
      <c r="BC418" s="265" t="s">
        <v>3042</v>
      </c>
      <c r="BD418" s="593"/>
      <c r="BE418" s="264" t="str">
        <f>IF(AND(COUNTIF(AY418,"&gt;&lt;0")=1,COUNTA(M418)=1),LEFT(D418,3),"")</f>
        <v>8-2</v>
      </c>
      <c r="BF418" s="264" t="str">
        <f>IF(AND(COUNTIF(AY418,"&gt;&lt;")=1,COUNTA(M418)=0),LEFT(D418,3),"")</f>
        <v/>
      </c>
      <c r="BG418" s="264" t="str">
        <f>IF(AND(COUNTIF(AY418,"&gt;&lt;0")=0,COUNTA(M418)=1),LEFT(D418,3),"")</f>
        <v/>
      </c>
      <c r="BH418" s="264" t="str">
        <f>IF(AND(COUNTIF(AY418,"&gt;&lt;0")=0,COUNTA(M418)=0),LEFT(D418,3),"")</f>
        <v/>
      </c>
    </row>
    <row r="419" spans="3:60" ht="13.5" x14ac:dyDescent="0.3">
      <c r="C419" s="265" t="s">
        <v>72</v>
      </c>
      <c r="D419" s="265" t="s">
        <v>908</v>
      </c>
      <c r="E419" s="264" t="s">
        <v>929</v>
      </c>
      <c r="F419" s="265" t="s">
        <v>930</v>
      </c>
      <c r="G419" s="265"/>
      <c r="H419" s="264" t="s">
        <v>166</v>
      </c>
      <c r="I419" s="264" t="s">
        <v>287</v>
      </c>
      <c r="J419" s="271" t="s">
        <v>2770</v>
      </c>
      <c r="K419" s="271"/>
      <c r="L419" s="272">
        <v>44578</v>
      </c>
      <c r="M419" s="272">
        <v>44574</v>
      </c>
      <c r="N419" s="272">
        <v>44498</v>
      </c>
      <c r="O419" s="272">
        <v>44498</v>
      </c>
      <c r="P419" s="272">
        <v>44533</v>
      </c>
      <c r="Q419" s="264" t="s">
        <v>6</v>
      </c>
      <c r="R419" s="264" t="s">
        <v>145</v>
      </c>
      <c r="S419" s="264" t="s">
        <v>145</v>
      </c>
      <c r="T419" s="265" t="s">
        <v>8</v>
      </c>
      <c r="X419" s="264"/>
      <c r="Z419" s="264"/>
      <c r="AA419" s="264"/>
      <c r="AB419" s="265" t="str">
        <f>VLOOKUP(功能_33[[#This Row],[User]],SKL放款!A:G,7,FALSE)</f>
        <v>放款服務課</v>
      </c>
      <c r="AC419" s="272">
        <v>44533</v>
      </c>
      <c r="AD419" s="272" t="s">
        <v>107</v>
      </c>
      <c r="AE419" s="272" t="s">
        <v>2585</v>
      </c>
      <c r="AF419" s="272">
        <v>44544</v>
      </c>
      <c r="AG419" s="209">
        <v>44544</v>
      </c>
      <c r="AH419" s="272"/>
      <c r="AI419" s="272"/>
      <c r="AJ419" s="322"/>
      <c r="AK419" s="272">
        <f>IFERROR(IF(VLOOKUP(功能_33[[#This Row],[功能代號]],E:U,11,FALSE)=0,"",VLOOKUP(功能_33[[#This Row],[功能代號]],E:U,11,FALSE)),"")</f>
        <v>44498</v>
      </c>
      <c r="AL419" s="272"/>
      <c r="AM419" s="272"/>
      <c r="AN419" s="265"/>
      <c r="AO419" s="272">
        <v>44482</v>
      </c>
      <c r="AP419" s="276" t="s">
        <v>927</v>
      </c>
      <c r="AQ419" s="277" t="s">
        <v>928</v>
      </c>
      <c r="AR419" s="593" t="s">
        <v>3207</v>
      </c>
      <c r="AS419" s="483" t="str">
        <f>IF(COUNTA(AG419)=1,LEFT(D419,3),"")</f>
        <v>8-2</v>
      </c>
      <c r="AT419" s="485" t="str">
        <f>IF(AND(COUNTA(O419)=1,COUNTA(P419)=1,COUNTA(AC419)=1,COUNTA(AF419)=1,COUNTA(AG419)=0),LEFT(D419,3),"")</f>
        <v/>
      </c>
      <c r="AU419" s="487" t="str">
        <f>IF(AND(COUNTA(O419)=1,COUNTA(P419)=1,COUNTA(AC419)=1,COUNTA(AF419)=0,COUNTA(AG419)=0),LEFT(D419,3),"")</f>
        <v/>
      </c>
      <c r="AV419" s="489" t="str">
        <f>IF(AND(COUNTA(P419)=0,COUNTA(AC419)=1),LEFT(D419,3),"")</f>
        <v/>
      </c>
      <c r="AW419" s="491" t="str">
        <f>IF(AND(COUNTA(P419)=1,COUNTA(AC419)=0),LEFT(D419,3),"")</f>
        <v/>
      </c>
      <c r="AX419" s="493" t="str">
        <f>IF(AND(COUNTA(P419)=0,COUNTA(AC419)=0),LEFT(D419,3),"")</f>
        <v/>
      </c>
      <c r="AY419" s="514" t="str">
        <f>IFERROR(VLOOKUP(功能_33[[#This Row],[功能代號]],SIT_FT_2021tmp!D:D,1,FALSE),"")</f>
        <v>L8204</v>
      </c>
      <c r="AZ419" s="587">
        <v>44559</v>
      </c>
      <c r="BA419" s="587">
        <v>44559</v>
      </c>
      <c r="BB419" s="514" t="s">
        <v>3073</v>
      </c>
      <c r="BC419" s="265" t="s">
        <v>3042</v>
      </c>
      <c r="BD419" s="593"/>
      <c r="BE419" s="264" t="str">
        <f>IF(AND(COUNTIF(AY419,"&gt;&lt;0")=1,COUNTA(M419)=1),LEFT(D419,3),"")</f>
        <v>8-2</v>
      </c>
      <c r="BF419" s="264" t="str">
        <f>IF(AND(COUNTIF(AY419,"&gt;&lt;")=1,COUNTA(M419)=0),LEFT(D419,3),"")</f>
        <v/>
      </c>
      <c r="BG419" s="264" t="str">
        <f>IF(AND(COUNTIF(AY419,"&gt;&lt;0")=0,COUNTA(M419)=1),LEFT(D419,3),"")</f>
        <v/>
      </c>
      <c r="BH419" s="264" t="str">
        <f>IF(AND(COUNTIF(AY419,"&gt;&lt;0")=0,COUNTA(M419)=0),LEFT(D419,3),"")</f>
        <v/>
      </c>
    </row>
    <row r="420" spans="3:60" ht="13.5" x14ac:dyDescent="0.3">
      <c r="C420" s="265" t="s">
        <v>72</v>
      </c>
      <c r="D420" s="265" t="s">
        <v>908</v>
      </c>
      <c r="E420" s="264" t="s">
        <v>2473</v>
      </c>
      <c r="F420" s="265" t="s">
        <v>2474</v>
      </c>
      <c r="G420" s="265" t="s">
        <v>2475</v>
      </c>
      <c r="H420" s="264" t="s">
        <v>166</v>
      </c>
      <c r="I420" s="264" t="s">
        <v>287</v>
      </c>
      <c r="J420" s="271" t="s">
        <v>2770</v>
      </c>
      <c r="K420" s="271"/>
      <c r="L420" s="272">
        <v>44578</v>
      </c>
      <c r="M420" s="272">
        <v>44574</v>
      </c>
      <c r="N420" s="272">
        <v>44498</v>
      </c>
      <c r="O420" s="272">
        <v>44498</v>
      </c>
      <c r="P420" s="272">
        <v>44533</v>
      </c>
      <c r="Q420" s="264" t="s">
        <v>6</v>
      </c>
      <c r="R420" s="264" t="s">
        <v>145</v>
      </c>
      <c r="S420" s="264" t="s">
        <v>145</v>
      </c>
      <c r="T420" s="265" t="s">
        <v>8</v>
      </c>
      <c r="X420" s="264"/>
      <c r="Z420" s="264"/>
      <c r="AA420" s="264"/>
      <c r="AB420" s="265" t="str">
        <f>VLOOKUP(功能_33[[#This Row],[User]],SKL放款!A:G,7,FALSE)</f>
        <v>放款服務課</v>
      </c>
      <c r="AC420" s="272">
        <v>44533</v>
      </c>
      <c r="AD420" s="272" t="s">
        <v>2443</v>
      </c>
      <c r="AE420" s="272" t="s">
        <v>2585</v>
      </c>
      <c r="AF420" s="272">
        <v>44544</v>
      </c>
      <c r="AG420" s="209">
        <v>44544</v>
      </c>
      <c r="AH420" s="272"/>
      <c r="AI420" s="272"/>
      <c r="AJ420" s="322"/>
      <c r="AK420" s="272">
        <f>IFERROR(IF(VLOOKUP(功能_33[[#This Row],[功能代號]],E:U,11,FALSE)=0,"",VLOOKUP(功能_33[[#This Row],[功能代號]],E:U,11,FALSE)),"")</f>
        <v>44498</v>
      </c>
      <c r="AL420" s="272"/>
      <c r="AM420" s="272"/>
      <c r="AN420" s="265"/>
      <c r="AO420" s="272">
        <v>44482</v>
      </c>
      <c r="AP420" s="276" t="s">
        <v>927</v>
      </c>
      <c r="AQ420" s="277" t="s">
        <v>928</v>
      </c>
      <c r="AR420" s="593" t="s">
        <v>3207</v>
      </c>
      <c r="AS420" s="483" t="str">
        <f>IF(COUNTA(AG420)=1,LEFT(D420,3),"")</f>
        <v>8-2</v>
      </c>
      <c r="AT420" s="485" t="str">
        <f>IF(AND(COUNTA(O420)=1,COUNTA(P420)=1,COUNTA(AC420)=1,COUNTA(AF420)=1,COUNTA(AG420)=0),LEFT(D420,3),"")</f>
        <v/>
      </c>
      <c r="AU420" s="487" t="str">
        <f>IF(AND(COUNTA(O420)=1,COUNTA(P420)=1,COUNTA(AC420)=1,COUNTA(AF420)=0,COUNTA(AG420)=0),LEFT(D420,3),"")</f>
        <v/>
      </c>
      <c r="AV420" s="489" t="str">
        <f>IF(AND(COUNTA(P420)=0,COUNTA(AC420)=1),LEFT(D420,3),"")</f>
        <v/>
      </c>
      <c r="AW420" s="491" t="str">
        <f>IF(AND(COUNTA(P420)=1,COUNTA(AC420)=0),LEFT(D420,3),"")</f>
        <v/>
      </c>
      <c r="AX420" s="493" t="str">
        <f>IF(AND(COUNTA(P420)=0,COUNTA(AC420)=0),LEFT(D420,3),"")</f>
        <v/>
      </c>
      <c r="AY420" s="514" t="str">
        <f>IFERROR(VLOOKUP(功能_33[[#This Row],[功能代號]],SIT_FT_2021tmp!D:D,1,FALSE),"")</f>
        <v/>
      </c>
      <c r="AZ420" s="587">
        <v>44603</v>
      </c>
      <c r="BB420" s="514" t="s">
        <v>2453</v>
      </c>
      <c r="BC420" s="265" t="s">
        <v>2453</v>
      </c>
      <c r="BD420" s="593"/>
      <c r="BE420" s="265" t="str">
        <f>IF(AND(COUNTIF(AY420,"&gt;&lt;0")=1,COUNTA(M420)=1),LEFT(D420,3),"")</f>
        <v/>
      </c>
      <c r="BF420" s="265" t="str">
        <f>IF(AND(COUNTIF(AY420,"&gt;&lt;")=1,COUNTA(M420)=0),LEFT(D420,3),"")</f>
        <v/>
      </c>
      <c r="BG420" s="265" t="str">
        <f>IF(AND(COUNTIF(AY420,"&gt;&lt;0")=0,COUNTA(M420)=1),LEFT(D420,3),"")</f>
        <v>8-2</v>
      </c>
      <c r="BH420" s="265" t="str">
        <f>IF(AND(COUNTIF(AY420,"&gt;&lt;0")=0,COUNTA(M420)=0),LEFT(D420,3),"")</f>
        <v/>
      </c>
    </row>
    <row r="421" spans="3:60" ht="13.5" x14ac:dyDescent="0.3">
      <c r="C421" s="265" t="s">
        <v>72</v>
      </c>
      <c r="D421" s="265" t="s">
        <v>2776</v>
      </c>
      <c r="E421" s="264" t="s">
        <v>905</v>
      </c>
      <c r="F421" s="265" t="s">
        <v>906</v>
      </c>
      <c r="G421" s="265"/>
      <c r="H421" s="264" t="s">
        <v>166</v>
      </c>
      <c r="I421" s="264" t="s">
        <v>287</v>
      </c>
      <c r="J421" s="271" t="s">
        <v>2770</v>
      </c>
      <c r="K421" s="271"/>
      <c r="L421" s="272">
        <v>44579</v>
      </c>
      <c r="M421" s="272">
        <v>44572</v>
      </c>
      <c r="N421" s="272">
        <v>44503</v>
      </c>
      <c r="O421" s="272">
        <v>44503</v>
      </c>
      <c r="P421" s="272">
        <v>44533</v>
      </c>
      <c r="Q421" s="264" t="s">
        <v>1</v>
      </c>
      <c r="R421" s="264" t="s">
        <v>13</v>
      </c>
      <c r="S421" s="264" t="s">
        <v>13</v>
      </c>
      <c r="X421" s="264"/>
      <c r="Z421" s="264"/>
      <c r="AA421" s="264"/>
      <c r="AB421" s="265" t="str">
        <f>VLOOKUP(功能_33[[#This Row],[User]],SKL放款!A:G,7,FALSE)</f>
        <v>放款服務課</v>
      </c>
      <c r="AC421" s="272">
        <v>44533</v>
      </c>
      <c r="AD421" s="272" t="s">
        <v>2394</v>
      </c>
      <c r="AE421" s="258">
        <v>44543</v>
      </c>
      <c r="AF421" s="272">
        <v>44543</v>
      </c>
      <c r="AG421" s="209">
        <v>44544</v>
      </c>
      <c r="AH421" s="272"/>
      <c r="AI421" s="272"/>
      <c r="AJ421" s="322"/>
      <c r="AK421" s="272">
        <f>IFERROR(IF(VLOOKUP(功能_33[[#This Row],[功能代號]],E:U,11,FALSE)=0,"",VLOOKUP(功能_33[[#This Row],[功能代號]],E:U,11,FALSE)),"")</f>
        <v>44503</v>
      </c>
      <c r="AL421" s="272"/>
      <c r="AM421" s="272"/>
      <c r="AN421" s="265"/>
      <c r="AO421" s="272"/>
      <c r="AP421" s="533" t="s">
        <v>2760</v>
      </c>
      <c r="AQ421" s="265" t="s">
        <v>907</v>
      </c>
      <c r="AR421" s="593" t="s">
        <v>3207</v>
      </c>
      <c r="AS421" s="483" t="str">
        <f>IF(COUNTA(AG421)=1,LEFT(D421,3),"")</f>
        <v>8-7</v>
      </c>
      <c r="AT421" s="485" t="str">
        <f>IF(AND(COUNTA(O421)=1,COUNTA(P421)=1,COUNTA(AC421)=1,COUNTA(AF421)=1,COUNTA(AG421)=0),LEFT(D421,3),"")</f>
        <v/>
      </c>
      <c r="AU421" s="487" t="str">
        <f>IF(AND(COUNTA(O421)=1,COUNTA(P421)=1,COUNTA(AC421)=1,COUNTA(AF421)=0,COUNTA(AG421)=0),LEFT(D421,3),"")</f>
        <v/>
      </c>
      <c r="AV421" s="489" t="str">
        <f>IF(AND(COUNTA(P421)=0,COUNTA(AC421)=1),LEFT(D421,3),"")</f>
        <v/>
      </c>
      <c r="AW421" s="491" t="str">
        <f>IF(AND(COUNTA(P421)=1,COUNTA(AC421)=0),LEFT(D421,3),"")</f>
        <v/>
      </c>
      <c r="AX421" s="493" t="str">
        <f>IF(AND(COUNTA(P421)=0,COUNTA(AC421)=0),LEFT(D421,3),"")</f>
        <v/>
      </c>
      <c r="AY421" s="514" t="str">
        <f>IFERROR(VLOOKUP(功能_33[[#This Row],[功能代號]],SIT_FT_2021tmp!D:D,1,FALSE),"")</f>
        <v/>
      </c>
      <c r="AZ421" s="587">
        <v>44603</v>
      </c>
      <c r="BB421" s="514" t="s">
        <v>2453</v>
      </c>
      <c r="BC421" s="265" t="s">
        <v>2453</v>
      </c>
      <c r="BD421" s="593"/>
      <c r="BE421" s="265" t="str">
        <f>IF(AND(COUNTIF(AY421,"&gt;&lt;0")=1,COUNTA(M421)=1),LEFT(D421,3),"")</f>
        <v/>
      </c>
      <c r="BF421" s="265" t="str">
        <f>IF(AND(COUNTIF(AY421,"&gt;&lt;")=1,COUNTA(M421)=0),LEFT(D421,3),"")</f>
        <v/>
      </c>
      <c r="BG421" s="265" t="str">
        <f>IF(AND(COUNTIF(AY421,"&gt;&lt;0")=0,COUNTA(M421)=1),LEFT(D421,3),"")</f>
        <v>8-7</v>
      </c>
      <c r="BH421" s="265" t="str">
        <f>IF(AND(COUNTIF(AY421,"&gt;&lt;0")=0,COUNTA(M421)=0),LEFT(D421,3),"")</f>
        <v/>
      </c>
    </row>
    <row r="422" spans="3:60" ht="13.5" x14ac:dyDescent="0.3">
      <c r="C422" s="265" t="s">
        <v>73</v>
      </c>
      <c r="D422" s="265" t="s">
        <v>2459</v>
      </c>
      <c r="E422" s="264" t="s">
        <v>285</v>
      </c>
      <c r="F422" s="265" t="s">
        <v>286</v>
      </c>
      <c r="G422" s="265"/>
      <c r="H422" s="264" t="s">
        <v>166</v>
      </c>
      <c r="I422" s="264" t="s">
        <v>287</v>
      </c>
      <c r="J422" s="212" t="s">
        <v>2778</v>
      </c>
      <c r="K422" s="212"/>
      <c r="L422" s="272">
        <v>44579</v>
      </c>
      <c r="M422" s="272">
        <v>44574</v>
      </c>
      <c r="N422" s="272">
        <v>44438</v>
      </c>
      <c r="O422" s="272">
        <v>44435</v>
      </c>
      <c r="P422" s="272">
        <v>44445</v>
      </c>
      <c r="Q422" s="264" t="s">
        <v>2</v>
      </c>
      <c r="R422" s="264" t="s">
        <v>145</v>
      </c>
      <c r="S422" s="264" t="s">
        <v>145</v>
      </c>
      <c r="T422" s="265" t="s">
        <v>288</v>
      </c>
      <c r="X422" s="264"/>
      <c r="Z422" s="264"/>
      <c r="AA422" s="264"/>
      <c r="AB422" s="265" t="str">
        <f>VLOOKUP(功能_33[[#This Row],[User]],SKL放款!A:G,7,FALSE)</f>
        <v>放款服務課</v>
      </c>
      <c r="AC422" s="272">
        <v>44445</v>
      </c>
      <c r="AD422" s="272" t="s">
        <v>107</v>
      </c>
      <c r="AE422" s="272">
        <v>44544</v>
      </c>
      <c r="AF422" s="272">
        <v>44544</v>
      </c>
      <c r="AG422" s="209">
        <v>44544</v>
      </c>
      <c r="AH422" s="272"/>
      <c r="AI422" s="272"/>
      <c r="AJ422" s="322"/>
      <c r="AK422" s="272">
        <f>IFERROR(IF(VLOOKUP(功能_33[[#This Row],[功能代號]],E:U,11,FALSE)=0,"",VLOOKUP(功能_33[[#This Row],[功能代號]],E:U,11,FALSE)),"")</f>
        <v>44435</v>
      </c>
      <c r="AL422" s="272"/>
      <c r="AM422" s="272"/>
      <c r="AN422" s="265"/>
      <c r="AO422" s="265"/>
      <c r="AP422" s="276" t="s">
        <v>289</v>
      </c>
      <c r="AQ422" s="277" t="s">
        <v>290</v>
      </c>
      <c r="AR422" s="593" t="s">
        <v>3207</v>
      </c>
      <c r="AS422" s="483" t="str">
        <f>IF(COUNTA(AG422)=1,LEFT(D422,3),"")</f>
        <v>9-9</v>
      </c>
      <c r="AT422" s="485" t="str">
        <f>IF(AND(COUNTA(O422)=1,COUNTA(P422)=1,COUNTA(AC422)=1,COUNTA(AF422)=1,COUNTA(AG422)=0),LEFT(D422,3),"")</f>
        <v/>
      </c>
      <c r="AU422" s="487" t="str">
        <f>IF(AND(COUNTA(O422)=1,COUNTA(P422)=1,COUNTA(AC422)=1,COUNTA(AF422)=0,COUNTA(AG422)=0),LEFT(D422,3),"")</f>
        <v/>
      </c>
      <c r="AV422" s="489" t="str">
        <f>IF(AND(COUNTA(P422)=0,COUNTA(AC422)=1),LEFT(D422,3),"")</f>
        <v/>
      </c>
      <c r="AW422" s="491" t="str">
        <f>IF(AND(COUNTA(P422)=1,COUNTA(AC422)=0),LEFT(D422,3),"")</f>
        <v/>
      </c>
      <c r="AX422" s="493" t="str">
        <f>IF(AND(COUNTA(P422)=0,COUNTA(AC422)=0),LEFT(D422,3),"")</f>
        <v/>
      </c>
      <c r="AY422" s="514" t="str">
        <f>IFERROR(VLOOKUP(功能_33[[#This Row],[功能代號]],SIT_FT_2021tmp!D:D,1,FALSE),"")</f>
        <v>L9110</v>
      </c>
      <c r="AZ422" s="587">
        <v>44547</v>
      </c>
      <c r="BA422" s="587">
        <v>44547</v>
      </c>
      <c r="BB422" s="514" t="s">
        <v>3073</v>
      </c>
      <c r="BC422" s="265" t="s">
        <v>3009</v>
      </c>
      <c r="BD422" s="593"/>
      <c r="BE422" s="264" t="str">
        <f>IF(AND(COUNTIF(AY422,"&gt;&lt;0")=1,COUNTA(M422)=1),LEFT(D422,3),"")</f>
        <v>9-9</v>
      </c>
      <c r="BF422" s="264" t="str">
        <f>IF(AND(COUNTIF(AY422,"&gt;&lt;")=1,COUNTA(M422)=0),LEFT(D422,3),"")</f>
        <v/>
      </c>
      <c r="BG422" s="264" t="str">
        <f>IF(AND(COUNTIF(AY422,"&gt;&lt;0")=0,COUNTA(M422)=1),LEFT(D422,3),"")</f>
        <v/>
      </c>
      <c r="BH422" s="264" t="str">
        <f>IF(AND(COUNTIF(AY422,"&gt;&lt;0")=0,COUNTA(M422)=0),LEFT(D422,3),"")</f>
        <v/>
      </c>
    </row>
    <row r="423" spans="3:60" ht="27" x14ac:dyDescent="0.3">
      <c r="C423" s="265" t="s">
        <v>72</v>
      </c>
      <c r="D423" s="265" t="s">
        <v>2477</v>
      </c>
      <c r="E423" s="264" t="s">
        <v>1103</v>
      </c>
      <c r="F423" s="265" t="s">
        <v>1104</v>
      </c>
      <c r="G423" s="265" t="s">
        <v>1105</v>
      </c>
      <c r="H423" s="264" t="s">
        <v>110</v>
      </c>
      <c r="I423" s="264" t="s">
        <v>110</v>
      </c>
      <c r="J423" s="271" t="s">
        <v>3238</v>
      </c>
      <c r="K423" s="638" t="s">
        <v>3239</v>
      </c>
      <c r="L423" s="272">
        <v>44575</v>
      </c>
      <c r="M423" s="272">
        <v>44575</v>
      </c>
      <c r="N423" s="272">
        <v>44515</v>
      </c>
      <c r="O423" s="272">
        <v>44517</v>
      </c>
      <c r="P423" s="272">
        <v>44533</v>
      </c>
      <c r="Q423" s="264" t="s">
        <v>1</v>
      </c>
      <c r="R423" s="264" t="s">
        <v>16</v>
      </c>
      <c r="S423" s="264" t="s">
        <v>16</v>
      </c>
      <c r="X423" s="264"/>
      <c r="Z423" s="264"/>
      <c r="AA423" s="264"/>
      <c r="AB423" s="265" t="str">
        <f>VLOOKUP(功能_33[[#This Row],[User]],SKL放款!A:G,7,FALSE)</f>
        <v>放款管理課</v>
      </c>
      <c r="AC423" s="272">
        <v>44533</v>
      </c>
      <c r="AD423" s="272" t="s">
        <v>107</v>
      </c>
      <c r="AE423" s="272">
        <v>44540</v>
      </c>
      <c r="AF423" s="272">
        <v>44540</v>
      </c>
      <c r="AG423" s="209" t="s">
        <v>2971</v>
      </c>
      <c r="AH423" s="272"/>
      <c r="AI423" s="272"/>
      <c r="AJ423" s="322"/>
      <c r="AK423" s="272">
        <f>IFERROR(IF(VLOOKUP(功能_33[[#This Row],[功能代號]],E:U,11,FALSE)=0,"",VLOOKUP(功能_33[[#This Row],[功能代號]],E:U,11,FALSE)),"")</f>
        <v>44517</v>
      </c>
      <c r="AL423" s="272"/>
      <c r="AM423" s="272"/>
      <c r="AN423" s="265"/>
      <c r="AP423" s="264" t="s">
        <v>2680</v>
      </c>
      <c r="AQ423" s="265" t="s">
        <v>2789</v>
      </c>
      <c r="AR423" s="594" t="s">
        <v>3138</v>
      </c>
      <c r="AS423" s="483" t="str">
        <f>IF(COUNTA(AG423)=1,LEFT(D423,3),"")</f>
        <v>8-3</v>
      </c>
      <c r="AT423" s="485" t="str">
        <f>IF(AND(COUNTA(O423)=1,COUNTA(P423)=1,COUNTA(AC423)=1,COUNTA(AF423)=1,COUNTA(AG423)=0),LEFT(D423,3),"")</f>
        <v/>
      </c>
      <c r="AU423" s="487" t="str">
        <f>IF(AND(COUNTA(O423)=1,COUNTA(P423)=1,COUNTA(AC423)=1,COUNTA(AF423)=0,COUNTA(AG423)=0),LEFT(D423,3),"")</f>
        <v/>
      </c>
      <c r="AV423" s="489" t="str">
        <f>IF(AND(COUNTA(P423)=0,COUNTA(AC423)=1),LEFT(D423,3),"")</f>
        <v/>
      </c>
      <c r="AW423" s="491" t="str">
        <f>IF(AND(COUNTA(P423)=1,COUNTA(AC423)=0),LEFT(D423,3),"")</f>
        <v/>
      </c>
      <c r="AX423" s="493" t="str">
        <f>IF(AND(COUNTA(P423)=0,COUNTA(AC423)=0),LEFT(D423,3),"")</f>
        <v/>
      </c>
      <c r="AY423" s="514" t="str">
        <f>IFERROR(VLOOKUP(功能_33[[#This Row],[功能代號]],SIT_FT_2021tmp!D:D,1,FALSE),"")</f>
        <v/>
      </c>
      <c r="AZ423" s="587">
        <v>44603</v>
      </c>
      <c r="BB423" s="514"/>
      <c r="BC423" s="265" t="s">
        <v>2453</v>
      </c>
      <c r="BD423" s="594"/>
      <c r="BE423" s="265" t="str">
        <f>IF(AND(COUNTIF(AY423,"&gt;&lt;0")=1,COUNTA(M423)=1),LEFT(D423,3),"")</f>
        <v/>
      </c>
      <c r="BF423" s="265" t="str">
        <f>IF(AND(COUNTIF(AY423,"&gt;&lt;")=1,COUNTA(M423)=0),LEFT(D423,3),"")</f>
        <v/>
      </c>
      <c r="BG423" s="265" t="str">
        <f>IF(AND(COUNTIF(AY423,"&gt;&lt;0")=0,COUNTA(M423)=1),LEFT(D423,3),"")</f>
        <v>8-3</v>
      </c>
      <c r="BH423" s="265" t="str">
        <f>IF(AND(COUNTIF(AY423,"&gt;&lt;0")=0,COUNTA(M423)=0),LEFT(D423,3),"")</f>
        <v/>
      </c>
    </row>
    <row r="424" spans="3:60" ht="27" x14ac:dyDescent="0.3">
      <c r="C424" s="265" t="s">
        <v>72</v>
      </c>
      <c r="D424" s="265" t="s">
        <v>2477</v>
      </c>
      <c r="E424" s="264" t="s">
        <v>1106</v>
      </c>
      <c r="F424" s="265" t="s">
        <v>1107</v>
      </c>
      <c r="G424" s="265" t="s">
        <v>1105</v>
      </c>
      <c r="H424" s="264" t="s">
        <v>110</v>
      </c>
      <c r="I424" s="264" t="s">
        <v>110</v>
      </c>
      <c r="J424" s="271" t="s">
        <v>3238</v>
      </c>
      <c r="K424" s="638" t="s">
        <v>3239</v>
      </c>
      <c r="L424" s="272">
        <v>44575</v>
      </c>
      <c r="M424" s="272">
        <v>44575</v>
      </c>
      <c r="N424" s="272">
        <v>44515</v>
      </c>
      <c r="O424" s="272">
        <v>44517</v>
      </c>
      <c r="P424" s="272">
        <v>44536</v>
      </c>
      <c r="Q424" s="264" t="s">
        <v>1</v>
      </c>
      <c r="R424" s="264" t="s">
        <v>16</v>
      </c>
      <c r="S424" s="264" t="s">
        <v>16</v>
      </c>
      <c r="X424" s="264"/>
      <c r="Z424" s="264"/>
      <c r="AA424" s="264"/>
      <c r="AB424" s="265" t="str">
        <f>VLOOKUP(功能_33[[#This Row],[User]],SKL放款!A:G,7,FALSE)</f>
        <v>放款管理課</v>
      </c>
      <c r="AC424" s="272">
        <v>44533</v>
      </c>
      <c r="AD424" s="272" t="s">
        <v>168</v>
      </c>
      <c r="AE424" s="272">
        <v>44540</v>
      </c>
      <c r="AF424" s="272">
        <v>44540</v>
      </c>
      <c r="AG424" s="209" t="s">
        <v>2971</v>
      </c>
      <c r="AH424" s="272"/>
      <c r="AI424" s="272"/>
      <c r="AJ424" s="322"/>
      <c r="AK424" s="272">
        <f>IFERROR(IF(VLOOKUP(功能_33[[#This Row],[功能代號]],E:U,11,FALSE)=0,"",VLOOKUP(功能_33[[#This Row],[功能代號]],E:U,11,FALSE)),"")</f>
        <v>44517</v>
      </c>
      <c r="AL424" s="272"/>
      <c r="AM424" s="272"/>
      <c r="AN424" s="265"/>
      <c r="AP424" s="264" t="s">
        <v>2603</v>
      </c>
      <c r="AQ424" s="264" t="s">
        <v>163</v>
      </c>
      <c r="AR424" s="594" t="s">
        <v>3138</v>
      </c>
      <c r="AS424" s="483" t="str">
        <f>IF(COUNTA(AG424)=1,LEFT(D424,3),"")</f>
        <v>8-3</v>
      </c>
      <c r="AT424" s="485" t="str">
        <f>IF(AND(COUNTA(O424)=1,COUNTA(P424)=1,COUNTA(AC424)=1,COUNTA(AF424)=1,COUNTA(AG424)=0),LEFT(D424,3),"")</f>
        <v/>
      </c>
      <c r="AU424" s="487" t="str">
        <f>IF(AND(COUNTA(O424)=1,COUNTA(P424)=1,COUNTA(AC424)=1,COUNTA(AF424)=0,COUNTA(AG424)=0),LEFT(D424,3),"")</f>
        <v/>
      </c>
      <c r="AV424" s="489" t="str">
        <f>IF(AND(COUNTA(P424)=0,COUNTA(AC424)=1),LEFT(D424,3),"")</f>
        <v/>
      </c>
      <c r="AW424" s="491" t="str">
        <f>IF(AND(COUNTA(P424)=1,COUNTA(AC424)=0),LEFT(D424,3),"")</f>
        <v/>
      </c>
      <c r="AX424" s="493" t="str">
        <f>IF(AND(COUNTA(P424)=0,COUNTA(AC424)=0),LEFT(D424,3),"")</f>
        <v/>
      </c>
      <c r="AY424" s="514" t="str">
        <f>IFERROR(VLOOKUP(功能_33[[#This Row],[功能代號]],SIT_FT_2021tmp!D:D,1,FALSE),"")</f>
        <v/>
      </c>
      <c r="AZ424" s="587">
        <v>44603</v>
      </c>
      <c r="BB424" s="514"/>
      <c r="BC424" s="265" t="s">
        <v>2453</v>
      </c>
      <c r="BD424" s="594"/>
      <c r="BE424" s="265" t="str">
        <f>IF(AND(COUNTIF(AY424,"&gt;&lt;0")=1,COUNTA(M424)=1),LEFT(D424,3),"")</f>
        <v/>
      </c>
      <c r="BF424" s="265" t="str">
        <f>IF(AND(COUNTIF(AY424,"&gt;&lt;")=1,COUNTA(M424)=0),LEFT(D424,3),"")</f>
        <v/>
      </c>
      <c r="BG424" s="265" t="str">
        <f>IF(AND(COUNTIF(AY424,"&gt;&lt;0")=0,COUNTA(M424)=1),LEFT(D424,3),"")</f>
        <v>8-3</v>
      </c>
      <c r="BH424" s="265" t="str">
        <f>IF(AND(COUNTIF(AY424,"&gt;&lt;0")=0,COUNTA(M424)=0),LEFT(D424,3),"")</f>
        <v/>
      </c>
    </row>
    <row r="425" spans="3:60" ht="27" x14ac:dyDescent="0.3">
      <c r="C425" s="265" t="s">
        <v>72</v>
      </c>
      <c r="D425" s="265" t="s">
        <v>2477</v>
      </c>
      <c r="E425" s="264" t="s">
        <v>1108</v>
      </c>
      <c r="F425" s="265" t="s">
        <v>1109</v>
      </c>
      <c r="G425" s="265" t="s">
        <v>1105</v>
      </c>
      <c r="H425" s="264" t="s">
        <v>110</v>
      </c>
      <c r="I425" s="264" t="s">
        <v>110</v>
      </c>
      <c r="J425" s="271" t="s">
        <v>3238</v>
      </c>
      <c r="K425" s="638" t="s">
        <v>3239</v>
      </c>
      <c r="L425" s="272">
        <v>44575</v>
      </c>
      <c r="M425" s="272">
        <v>44575</v>
      </c>
      <c r="N425" s="272">
        <v>44515</v>
      </c>
      <c r="O425" s="272">
        <v>44517</v>
      </c>
      <c r="P425" s="272">
        <v>44533</v>
      </c>
      <c r="Q425" s="264" t="s">
        <v>1</v>
      </c>
      <c r="R425" s="264" t="s">
        <v>16</v>
      </c>
      <c r="S425" s="264" t="s">
        <v>16</v>
      </c>
      <c r="X425" s="264"/>
      <c r="Z425" s="264"/>
      <c r="AA425" s="264"/>
      <c r="AB425" s="265" t="str">
        <f>VLOOKUP(功能_33[[#This Row],[User]],SKL放款!A:G,7,FALSE)</f>
        <v>放款管理課</v>
      </c>
      <c r="AC425" s="272">
        <v>44533</v>
      </c>
      <c r="AD425" s="272" t="s">
        <v>107</v>
      </c>
      <c r="AE425" s="272">
        <v>44540</v>
      </c>
      <c r="AF425" s="272">
        <v>44540</v>
      </c>
      <c r="AG425" s="209" t="s">
        <v>2971</v>
      </c>
      <c r="AH425" s="272"/>
      <c r="AI425" s="272"/>
      <c r="AJ425" s="322"/>
      <c r="AK425" s="272">
        <f>IFERROR(IF(VLOOKUP(功能_33[[#This Row],[功能代號]],E:U,11,FALSE)=0,"",VLOOKUP(功能_33[[#This Row],[功能代號]],E:U,11,FALSE)),"")</f>
        <v>44517</v>
      </c>
      <c r="AL425" s="272"/>
      <c r="AM425" s="272"/>
      <c r="AN425" s="265"/>
      <c r="AP425" s="264" t="s">
        <v>2603</v>
      </c>
      <c r="AQ425" s="264" t="s">
        <v>163</v>
      </c>
      <c r="AR425" s="594" t="s">
        <v>3138</v>
      </c>
      <c r="AS425" s="483" t="str">
        <f>IF(COUNTA(AG425)=1,LEFT(D425,3),"")</f>
        <v>8-3</v>
      </c>
      <c r="AT425" s="485" t="str">
        <f>IF(AND(COUNTA(O425)=1,COUNTA(P425)=1,COUNTA(AC425)=1,COUNTA(AF425)=1,COUNTA(AG425)=0),LEFT(D425,3),"")</f>
        <v/>
      </c>
      <c r="AU425" s="487" t="str">
        <f>IF(AND(COUNTA(O425)=1,COUNTA(P425)=1,COUNTA(AC425)=1,COUNTA(AF425)=0,COUNTA(AG425)=0),LEFT(D425,3),"")</f>
        <v/>
      </c>
      <c r="AV425" s="489" t="str">
        <f>IF(AND(COUNTA(P425)=0,COUNTA(AC425)=1),LEFT(D425,3),"")</f>
        <v/>
      </c>
      <c r="AW425" s="491" t="str">
        <f>IF(AND(COUNTA(P425)=1,COUNTA(AC425)=0),LEFT(D425,3),"")</f>
        <v/>
      </c>
      <c r="AX425" s="493" t="str">
        <f>IF(AND(COUNTA(P425)=0,COUNTA(AC425)=0),LEFT(D425,3),"")</f>
        <v/>
      </c>
      <c r="AY425" s="514" t="str">
        <f>IFERROR(VLOOKUP(功能_33[[#This Row],[功能代號]],SIT_FT_2021tmp!D:D,1,FALSE),"")</f>
        <v/>
      </c>
      <c r="AZ425" s="587">
        <v>44603</v>
      </c>
      <c r="BB425" s="514"/>
      <c r="BC425" s="265" t="s">
        <v>2453</v>
      </c>
      <c r="BD425" s="594"/>
      <c r="BE425" s="265" t="str">
        <f>IF(AND(COUNTIF(AY425,"&gt;&lt;0")=1,COUNTA(M425)=1),LEFT(D425,3),"")</f>
        <v/>
      </c>
      <c r="BF425" s="265" t="str">
        <f>IF(AND(COUNTIF(AY425,"&gt;&lt;")=1,COUNTA(M425)=0),LEFT(D425,3),"")</f>
        <v/>
      </c>
      <c r="BG425" s="265" t="str">
        <f>IF(AND(COUNTIF(AY425,"&gt;&lt;0")=0,COUNTA(M425)=1),LEFT(D425,3),"")</f>
        <v>8-3</v>
      </c>
      <c r="BH425" s="265" t="str">
        <f>IF(AND(COUNTIF(AY425,"&gt;&lt;0")=0,COUNTA(M425)=0),LEFT(D425,3),"")</f>
        <v/>
      </c>
    </row>
    <row r="426" spans="3:60" ht="27" x14ac:dyDescent="0.3">
      <c r="C426" s="265" t="s">
        <v>72</v>
      </c>
      <c r="D426" s="265" t="s">
        <v>2477</v>
      </c>
      <c r="E426" s="264" t="s">
        <v>1110</v>
      </c>
      <c r="F426" s="265" t="s">
        <v>1111</v>
      </c>
      <c r="G426" s="265" t="s">
        <v>1105</v>
      </c>
      <c r="H426" s="264" t="s">
        <v>110</v>
      </c>
      <c r="I426" s="264" t="s">
        <v>110</v>
      </c>
      <c r="J426" s="271" t="s">
        <v>3238</v>
      </c>
      <c r="K426" s="638" t="s">
        <v>3239</v>
      </c>
      <c r="L426" s="272">
        <v>44575</v>
      </c>
      <c r="M426" s="272">
        <v>44575</v>
      </c>
      <c r="N426" s="272">
        <v>44515</v>
      </c>
      <c r="O426" s="272">
        <v>44517</v>
      </c>
      <c r="P426" s="272">
        <v>44536</v>
      </c>
      <c r="Q426" s="264" t="s">
        <v>1</v>
      </c>
      <c r="R426" s="264" t="s">
        <v>16</v>
      </c>
      <c r="S426" s="264" t="s">
        <v>16</v>
      </c>
      <c r="X426" s="264"/>
      <c r="Z426" s="264"/>
      <c r="AA426" s="264"/>
      <c r="AB426" s="265" t="str">
        <f>VLOOKUP(功能_33[[#This Row],[User]],SKL放款!A:G,7,FALSE)</f>
        <v>放款管理課</v>
      </c>
      <c r="AC426" s="272">
        <v>44533</v>
      </c>
      <c r="AD426" s="272" t="s">
        <v>168</v>
      </c>
      <c r="AE426" s="272">
        <v>44540</v>
      </c>
      <c r="AF426" s="272">
        <v>44540</v>
      </c>
      <c r="AG426" s="209" t="s">
        <v>2971</v>
      </c>
      <c r="AH426" s="272"/>
      <c r="AI426" s="272"/>
      <c r="AJ426" s="322"/>
      <c r="AK426" s="272">
        <f>IFERROR(IF(VLOOKUP(功能_33[[#This Row],[功能代號]],E:U,11,FALSE)=0,"",VLOOKUP(功能_33[[#This Row],[功能代號]],E:U,11,FALSE)),"")</f>
        <v>44517</v>
      </c>
      <c r="AL426" s="272"/>
      <c r="AM426" s="272"/>
      <c r="AN426" s="265"/>
      <c r="AP426" s="264" t="s">
        <v>2603</v>
      </c>
      <c r="AQ426" s="264" t="s">
        <v>163</v>
      </c>
      <c r="AR426" s="594" t="s">
        <v>3138</v>
      </c>
      <c r="AS426" s="483" t="str">
        <f>IF(COUNTA(AG426)=1,LEFT(D426,3),"")</f>
        <v>8-3</v>
      </c>
      <c r="AT426" s="485" t="str">
        <f>IF(AND(COUNTA(O426)=1,COUNTA(P426)=1,COUNTA(AC426)=1,COUNTA(AF426)=1,COUNTA(AG426)=0),LEFT(D426,3),"")</f>
        <v/>
      </c>
      <c r="AU426" s="487" t="str">
        <f>IF(AND(COUNTA(O426)=1,COUNTA(P426)=1,COUNTA(AC426)=1,COUNTA(AF426)=0,COUNTA(AG426)=0),LEFT(D426,3),"")</f>
        <v/>
      </c>
      <c r="AV426" s="489" t="str">
        <f>IF(AND(COUNTA(P426)=0,COUNTA(AC426)=1),LEFT(D426,3),"")</f>
        <v/>
      </c>
      <c r="AW426" s="491" t="str">
        <f>IF(AND(COUNTA(P426)=1,COUNTA(AC426)=0),LEFT(D426,3),"")</f>
        <v/>
      </c>
      <c r="AX426" s="493" t="str">
        <f>IF(AND(COUNTA(P426)=0,COUNTA(AC426)=0),LEFT(D426,3),"")</f>
        <v/>
      </c>
      <c r="AY426" s="514" t="str">
        <f>IFERROR(VLOOKUP(功能_33[[#This Row],[功能代號]],SIT_FT_2021tmp!D:D,1,FALSE),"")</f>
        <v/>
      </c>
      <c r="AZ426" s="587">
        <v>44603</v>
      </c>
      <c r="BB426" s="514"/>
      <c r="BC426" s="265" t="s">
        <v>2453</v>
      </c>
      <c r="BD426" s="594"/>
      <c r="BE426" s="265" t="str">
        <f>IF(AND(COUNTIF(AY426,"&gt;&lt;0")=1,COUNTA(M426)=1),LEFT(D426,3),"")</f>
        <v/>
      </c>
      <c r="BF426" s="265" t="str">
        <f>IF(AND(COUNTIF(AY426,"&gt;&lt;")=1,COUNTA(M426)=0),LEFT(D426,3),"")</f>
        <v/>
      </c>
      <c r="BG426" s="265" t="str">
        <f>IF(AND(COUNTIF(AY426,"&gt;&lt;0")=0,COUNTA(M426)=1),LEFT(D426,3),"")</f>
        <v>8-3</v>
      </c>
      <c r="BH426" s="265" t="str">
        <f>IF(AND(COUNTIF(AY426,"&gt;&lt;0")=0,COUNTA(M426)=0),LEFT(D426,3),"")</f>
        <v/>
      </c>
    </row>
    <row r="427" spans="3:60" ht="27" x14ac:dyDescent="0.3">
      <c r="C427" s="265" t="s">
        <v>72</v>
      </c>
      <c r="D427" s="265" t="s">
        <v>2477</v>
      </c>
      <c r="E427" s="264" t="s">
        <v>1112</v>
      </c>
      <c r="F427" s="265" t="s">
        <v>1113</v>
      </c>
      <c r="G427" s="265" t="s">
        <v>1105</v>
      </c>
      <c r="H427" s="264" t="s">
        <v>110</v>
      </c>
      <c r="I427" s="264" t="s">
        <v>110</v>
      </c>
      <c r="J427" s="271" t="s">
        <v>3238</v>
      </c>
      <c r="K427" s="638" t="s">
        <v>3239</v>
      </c>
      <c r="L427" s="272">
        <v>44575</v>
      </c>
      <c r="M427" s="272">
        <v>44575</v>
      </c>
      <c r="N427" s="272">
        <v>44515</v>
      </c>
      <c r="O427" s="272">
        <v>44517</v>
      </c>
      <c r="P427" s="272">
        <v>44536</v>
      </c>
      <c r="Q427" s="264" t="s">
        <v>1</v>
      </c>
      <c r="R427" s="264" t="s">
        <v>16</v>
      </c>
      <c r="S427" s="264" t="s">
        <v>16</v>
      </c>
      <c r="X427" s="264"/>
      <c r="Z427" s="264"/>
      <c r="AA427" s="264"/>
      <c r="AB427" s="265" t="str">
        <f>VLOOKUP(功能_33[[#This Row],[User]],SKL放款!A:G,7,FALSE)</f>
        <v>放款管理課</v>
      </c>
      <c r="AC427" s="272">
        <v>44533</v>
      </c>
      <c r="AD427" s="272" t="s">
        <v>168</v>
      </c>
      <c r="AE427" s="272">
        <v>44540</v>
      </c>
      <c r="AF427" s="272">
        <v>44540</v>
      </c>
      <c r="AG427" s="209" t="s">
        <v>2971</v>
      </c>
      <c r="AH427" s="272"/>
      <c r="AI427" s="272"/>
      <c r="AJ427" s="322"/>
      <c r="AK427" s="272">
        <f>IFERROR(IF(VLOOKUP(功能_33[[#This Row],[功能代號]],E:U,11,FALSE)=0,"",VLOOKUP(功能_33[[#This Row],[功能代號]],E:U,11,FALSE)),"")</f>
        <v>44517</v>
      </c>
      <c r="AL427" s="272"/>
      <c r="AM427" s="272"/>
      <c r="AN427" s="265"/>
      <c r="AP427" s="264" t="s">
        <v>2603</v>
      </c>
      <c r="AQ427" s="264" t="s">
        <v>163</v>
      </c>
      <c r="AR427" s="594" t="s">
        <v>3138</v>
      </c>
      <c r="AS427" s="483" t="str">
        <f>IF(COUNTA(AG427)=1,LEFT(D427,3),"")</f>
        <v>8-3</v>
      </c>
      <c r="AT427" s="485" t="str">
        <f>IF(AND(COUNTA(O427)=1,COUNTA(P427)=1,COUNTA(AC427)=1,COUNTA(AF427)=1,COUNTA(AG427)=0),LEFT(D427,3),"")</f>
        <v/>
      </c>
      <c r="AU427" s="487" t="str">
        <f>IF(AND(COUNTA(O427)=1,COUNTA(P427)=1,COUNTA(AC427)=1,COUNTA(AF427)=0,COUNTA(AG427)=0),LEFT(D427,3),"")</f>
        <v/>
      </c>
      <c r="AV427" s="489" t="str">
        <f>IF(AND(COUNTA(P427)=0,COUNTA(AC427)=1),LEFT(D427,3),"")</f>
        <v/>
      </c>
      <c r="AW427" s="491" t="str">
        <f>IF(AND(COUNTA(P427)=1,COUNTA(AC427)=0),LEFT(D427,3),"")</f>
        <v/>
      </c>
      <c r="AX427" s="493" t="str">
        <f>IF(AND(COUNTA(P427)=0,COUNTA(AC427)=0),LEFT(D427,3),"")</f>
        <v/>
      </c>
      <c r="AY427" s="514" t="str">
        <f>IFERROR(VLOOKUP(功能_33[[#This Row],[功能代號]],SIT_FT_2021tmp!D:D,1,FALSE),"")</f>
        <v/>
      </c>
      <c r="AZ427" s="587">
        <v>44603</v>
      </c>
      <c r="BB427" s="514"/>
      <c r="BC427" s="265" t="s">
        <v>2453</v>
      </c>
      <c r="BD427" s="594"/>
      <c r="BE427" s="265" t="str">
        <f>IF(AND(COUNTIF(AY427,"&gt;&lt;0")=1,COUNTA(M427)=1),LEFT(D427,3),"")</f>
        <v/>
      </c>
      <c r="BF427" s="265" t="str">
        <f>IF(AND(COUNTIF(AY427,"&gt;&lt;")=1,COUNTA(M427)=0),LEFT(D427,3),"")</f>
        <v/>
      </c>
      <c r="BG427" s="265" t="str">
        <f>IF(AND(COUNTIF(AY427,"&gt;&lt;0")=0,COUNTA(M427)=1),LEFT(D427,3),"")</f>
        <v>8-3</v>
      </c>
      <c r="BH427" s="265" t="str">
        <f>IF(AND(COUNTIF(AY427,"&gt;&lt;0")=0,COUNTA(M427)=0),LEFT(D427,3),"")</f>
        <v/>
      </c>
    </row>
    <row r="428" spans="3:60" ht="27" x14ac:dyDescent="0.3">
      <c r="C428" s="265" t="s">
        <v>72</v>
      </c>
      <c r="D428" s="265" t="s">
        <v>2477</v>
      </c>
      <c r="E428" s="264" t="s">
        <v>1114</v>
      </c>
      <c r="F428" s="265" t="s">
        <v>1115</v>
      </c>
      <c r="G428" s="265" t="s">
        <v>1105</v>
      </c>
      <c r="H428" s="264" t="s">
        <v>110</v>
      </c>
      <c r="I428" s="264" t="s">
        <v>110</v>
      </c>
      <c r="J428" s="271" t="s">
        <v>3238</v>
      </c>
      <c r="K428" s="638" t="s">
        <v>3239</v>
      </c>
      <c r="L428" s="272">
        <v>44575</v>
      </c>
      <c r="M428" s="272">
        <v>44575</v>
      </c>
      <c r="N428" s="272">
        <v>44515</v>
      </c>
      <c r="O428" s="272">
        <v>44517</v>
      </c>
      <c r="P428" s="272">
        <v>44536</v>
      </c>
      <c r="Q428" s="264" t="s">
        <v>1</v>
      </c>
      <c r="R428" s="264" t="s">
        <v>16</v>
      </c>
      <c r="S428" s="264" t="s">
        <v>16</v>
      </c>
      <c r="X428" s="264"/>
      <c r="Z428" s="264"/>
      <c r="AA428" s="264"/>
      <c r="AB428" s="265" t="str">
        <f>VLOOKUP(功能_33[[#This Row],[User]],SKL放款!A:G,7,FALSE)</f>
        <v>放款管理課</v>
      </c>
      <c r="AC428" s="272">
        <v>44533</v>
      </c>
      <c r="AD428" s="272" t="s">
        <v>168</v>
      </c>
      <c r="AE428" s="272">
        <v>44540</v>
      </c>
      <c r="AF428" s="272">
        <v>44540</v>
      </c>
      <c r="AG428" s="209" t="s">
        <v>2971</v>
      </c>
      <c r="AH428" s="272"/>
      <c r="AI428" s="272"/>
      <c r="AJ428" s="322"/>
      <c r="AK428" s="272">
        <f>IFERROR(IF(VLOOKUP(功能_33[[#This Row],[功能代號]],E:U,11,FALSE)=0,"",VLOOKUP(功能_33[[#This Row],[功能代號]],E:U,11,FALSE)),"")</f>
        <v>44517</v>
      </c>
      <c r="AL428" s="272"/>
      <c r="AM428" s="272"/>
      <c r="AN428" s="265"/>
      <c r="AP428" s="264" t="s">
        <v>2603</v>
      </c>
      <c r="AQ428" s="264" t="s">
        <v>163</v>
      </c>
      <c r="AR428" s="594" t="s">
        <v>3138</v>
      </c>
      <c r="AS428" s="483" t="str">
        <f>IF(COUNTA(AG428)=1,LEFT(D428,3),"")</f>
        <v>8-3</v>
      </c>
      <c r="AT428" s="485" t="str">
        <f>IF(AND(COUNTA(O428)=1,COUNTA(P428)=1,COUNTA(AC428)=1,COUNTA(AF428)=1,COUNTA(AG428)=0),LEFT(D428,3),"")</f>
        <v/>
      </c>
      <c r="AU428" s="487" t="str">
        <f>IF(AND(COUNTA(O428)=1,COUNTA(P428)=1,COUNTA(AC428)=1,COUNTA(AF428)=0,COUNTA(AG428)=0),LEFT(D428,3),"")</f>
        <v/>
      </c>
      <c r="AV428" s="489" t="str">
        <f>IF(AND(COUNTA(P428)=0,COUNTA(AC428)=1),LEFT(D428,3),"")</f>
        <v/>
      </c>
      <c r="AW428" s="491" t="str">
        <f>IF(AND(COUNTA(P428)=1,COUNTA(AC428)=0),LEFT(D428,3),"")</f>
        <v/>
      </c>
      <c r="AX428" s="493" t="str">
        <f>IF(AND(COUNTA(P428)=0,COUNTA(AC428)=0),LEFT(D428,3),"")</f>
        <v/>
      </c>
      <c r="AY428" s="514" t="str">
        <f>IFERROR(VLOOKUP(功能_33[[#This Row],[功能代號]],SIT_FT_2021tmp!D:D,1,FALSE),"")</f>
        <v/>
      </c>
      <c r="AZ428" s="587">
        <v>44603</v>
      </c>
      <c r="BB428" s="514"/>
      <c r="BC428" s="265" t="s">
        <v>2453</v>
      </c>
      <c r="BD428" s="594"/>
      <c r="BE428" s="265" t="str">
        <f>IF(AND(COUNTIF(AY428,"&gt;&lt;0")=1,COUNTA(M428)=1),LEFT(D428,3),"")</f>
        <v/>
      </c>
      <c r="BF428" s="265" t="str">
        <f>IF(AND(COUNTIF(AY428,"&gt;&lt;")=1,COUNTA(M428)=0),LEFT(D428,3),"")</f>
        <v/>
      </c>
      <c r="BG428" s="265" t="str">
        <f>IF(AND(COUNTIF(AY428,"&gt;&lt;0")=0,COUNTA(M428)=1),LEFT(D428,3),"")</f>
        <v>8-3</v>
      </c>
      <c r="BH428" s="265" t="str">
        <f>IF(AND(COUNTIF(AY428,"&gt;&lt;0")=0,COUNTA(M428)=0),LEFT(D428,3),"")</f>
        <v/>
      </c>
    </row>
    <row r="429" spans="3:60" ht="27" x14ac:dyDescent="0.3">
      <c r="C429" s="265" t="s">
        <v>72</v>
      </c>
      <c r="D429" s="265" t="s">
        <v>2477</v>
      </c>
      <c r="E429" s="264" t="s">
        <v>1116</v>
      </c>
      <c r="F429" s="265" t="s">
        <v>1117</v>
      </c>
      <c r="G429" s="265" t="s">
        <v>1105</v>
      </c>
      <c r="H429" s="264" t="s">
        <v>110</v>
      </c>
      <c r="I429" s="264" t="s">
        <v>110</v>
      </c>
      <c r="J429" s="271" t="s">
        <v>3238</v>
      </c>
      <c r="K429" s="638" t="s">
        <v>3239</v>
      </c>
      <c r="L429" s="272">
        <v>44575</v>
      </c>
      <c r="M429" s="272">
        <v>44575</v>
      </c>
      <c r="N429" s="272">
        <v>44515</v>
      </c>
      <c r="O429" s="272">
        <v>44517</v>
      </c>
      <c r="P429" s="272">
        <v>44536</v>
      </c>
      <c r="Q429" s="264" t="s">
        <v>1</v>
      </c>
      <c r="R429" s="264" t="s">
        <v>16</v>
      </c>
      <c r="S429" s="264" t="s">
        <v>16</v>
      </c>
      <c r="X429" s="264"/>
      <c r="Z429" s="264"/>
      <c r="AA429" s="264"/>
      <c r="AB429" s="265" t="str">
        <f>VLOOKUP(功能_33[[#This Row],[User]],SKL放款!A:G,7,FALSE)</f>
        <v>放款管理課</v>
      </c>
      <c r="AC429" s="272">
        <v>44533</v>
      </c>
      <c r="AD429" s="272" t="s">
        <v>168</v>
      </c>
      <c r="AE429" s="272">
        <v>44540</v>
      </c>
      <c r="AF429" s="272">
        <v>44540</v>
      </c>
      <c r="AG429" s="209" t="s">
        <v>2971</v>
      </c>
      <c r="AH429" s="272"/>
      <c r="AI429" s="272"/>
      <c r="AJ429" s="322"/>
      <c r="AK429" s="272">
        <f>IFERROR(IF(VLOOKUP(功能_33[[#This Row],[功能代號]],E:U,11,FALSE)=0,"",VLOOKUP(功能_33[[#This Row],[功能代號]],E:U,11,FALSE)),"")</f>
        <v>44517</v>
      </c>
      <c r="AL429" s="272"/>
      <c r="AM429" s="272"/>
      <c r="AN429" s="265"/>
      <c r="AP429" s="264" t="s">
        <v>2603</v>
      </c>
      <c r="AQ429" s="264" t="s">
        <v>163</v>
      </c>
      <c r="AR429" s="594" t="s">
        <v>3138</v>
      </c>
      <c r="AS429" s="483" t="str">
        <f>IF(COUNTA(AG429)=1,LEFT(D429,3),"")</f>
        <v>8-3</v>
      </c>
      <c r="AT429" s="485" t="str">
        <f>IF(AND(COUNTA(O429)=1,COUNTA(P429)=1,COUNTA(AC429)=1,COUNTA(AF429)=1,COUNTA(AG429)=0),LEFT(D429,3),"")</f>
        <v/>
      </c>
      <c r="AU429" s="487" t="str">
        <f>IF(AND(COUNTA(O429)=1,COUNTA(P429)=1,COUNTA(AC429)=1,COUNTA(AF429)=0,COUNTA(AG429)=0),LEFT(D429,3),"")</f>
        <v/>
      </c>
      <c r="AV429" s="489" t="str">
        <f>IF(AND(COUNTA(P429)=0,COUNTA(AC429)=1),LEFT(D429,3),"")</f>
        <v/>
      </c>
      <c r="AW429" s="491" t="str">
        <f>IF(AND(COUNTA(P429)=1,COUNTA(AC429)=0),LEFT(D429,3),"")</f>
        <v/>
      </c>
      <c r="AX429" s="493" t="str">
        <f>IF(AND(COUNTA(P429)=0,COUNTA(AC429)=0),LEFT(D429,3),"")</f>
        <v/>
      </c>
      <c r="AY429" s="514" t="str">
        <f>IFERROR(VLOOKUP(功能_33[[#This Row],[功能代號]],SIT_FT_2021tmp!D:D,1,FALSE),"")</f>
        <v/>
      </c>
      <c r="AZ429" s="587">
        <v>44603</v>
      </c>
      <c r="BB429" s="514"/>
      <c r="BC429" s="265" t="s">
        <v>2453</v>
      </c>
      <c r="BD429" s="594"/>
      <c r="BE429" s="265" t="str">
        <f>IF(AND(COUNTIF(AY429,"&gt;&lt;0")=1,COUNTA(M429)=1),LEFT(D429,3),"")</f>
        <v/>
      </c>
      <c r="BF429" s="265" t="str">
        <f>IF(AND(COUNTIF(AY429,"&gt;&lt;")=1,COUNTA(M429)=0),LEFT(D429,3),"")</f>
        <v/>
      </c>
      <c r="BG429" s="265" t="str">
        <f>IF(AND(COUNTIF(AY429,"&gt;&lt;0")=0,COUNTA(M429)=1),LEFT(D429,3),"")</f>
        <v>8-3</v>
      </c>
      <c r="BH429" s="265" t="str">
        <f>IF(AND(COUNTIF(AY429,"&gt;&lt;0")=0,COUNTA(M429)=0),LEFT(D429,3),"")</f>
        <v/>
      </c>
    </row>
    <row r="430" spans="3:60" ht="27" x14ac:dyDescent="0.3">
      <c r="C430" s="265" t="s">
        <v>72</v>
      </c>
      <c r="D430" s="265" t="s">
        <v>2477</v>
      </c>
      <c r="E430" s="264" t="s">
        <v>1118</v>
      </c>
      <c r="F430" s="265" t="s">
        <v>1119</v>
      </c>
      <c r="G430" s="265" t="s">
        <v>1105</v>
      </c>
      <c r="H430" s="264" t="s">
        <v>110</v>
      </c>
      <c r="I430" s="264" t="s">
        <v>110</v>
      </c>
      <c r="J430" s="271" t="s">
        <v>3238</v>
      </c>
      <c r="K430" s="638" t="s">
        <v>3239</v>
      </c>
      <c r="L430" s="272">
        <v>44575</v>
      </c>
      <c r="M430" s="272">
        <v>44575</v>
      </c>
      <c r="N430" s="272">
        <v>44515</v>
      </c>
      <c r="O430" s="272">
        <v>44517</v>
      </c>
      <c r="P430" s="272">
        <v>44536</v>
      </c>
      <c r="Q430" s="264" t="s">
        <v>1</v>
      </c>
      <c r="R430" s="264" t="s">
        <v>16</v>
      </c>
      <c r="S430" s="264" t="s">
        <v>16</v>
      </c>
      <c r="X430" s="264"/>
      <c r="Z430" s="264"/>
      <c r="AA430" s="264"/>
      <c r="AB430" s="265" t="str">
        <f>VLOOKUP(功能_33[[#This Row],[User]],SKL放款!A:G,7,FALSE)</f>
        <v>放款管理課</v>
      </c>
      <c r="AC430" s="272">
        <v>44533</v>
      </c>
      <c r="AD430" s="272" t="s">
        <v>168</v>
      </c>
      <c r="AE430" s="272">
        <v>44540</v>
      </c>
      <c r="AF430" s="272">
        <v>44540</v>
      </c>
      <c r="AG430" s="209" t="s">
        <v>2971</v>
      </c>
      <c r="AH430" s="272"/>
      <c r="AI430" s="272"/>
      <c r="AJ430" s="322"/>
      <c r="AK430" s="272">
        <f>IFERROR(IF(VLOOKUP(功能_33[[#This Row],[功能代號]],E:U,11,FALSE)=0,"",VLOOKUP(功能_33[[#This Row],[功能代號]],E:U,11,FALSE)),"")</f>
        <v>44517</v>
      </c>
      <c r="AL430" s="272"/>
      <c r="AM430" s="272"/>
      <c r="AN430" s="265"/>
      <c r="AP430" s="264" t="s">
        <v>2603</v>
      </c>
      <c r="AQ430" s="264" t="s">
        <v>163</v>
      </c>
      <c r="AR430" s="594" t="s">
        <v>3138</v>
      </c>
      <c r="AS430" s="483" t="str">
        <f>IF(COUNTA(AG430)=1,LEFT(D430,3),"")</f>
        <v>8-3</v>
      </c>
      <c r="AT430" s="485" t="str">
        <f>IF(AND(COUNTA(O430)=1,COUNTA(P430)=1,COUNTA(AC430)=1,COUNTA(AF430)=1,COUNTA(AG430)=0),LEFT(D430,3),"")</f>
        <v/>
      </c>
      <c r="AU430" s="487" t="str">
        <f>IF(AND(COUNTA(O430)=1,COUNTA(P430)=1,COUNTA(AC430)=1,COUNTA(AF430)=0,COUNTA(AG430)=0),LEFT(D430,3),"")</f>
        <v/>
      </c>
      <c r="AV430" s="489" t="str">
        <f>IF(AND(COUNTA(P430)=0,COUNTA(AC430)=1),LEFT(D430,3),"")</f>
        <v/>
      </c>
      <c r="AW430" s="491" t="str">
        <f>IF(AND(COUNTA(P430)=1,COUNTA(AC430)=0),LEFT(D430,3),"")</f>
        <v/>
      </c>
      <c r="AX430" s="493" t="str">
        <f>IF(AND(COUNTA(P430)=0,COUNTA(AC430)=0),LEFT(D430,3),"")</f>
        <v/>
      </c>
      <c r="AY430" s="514" t="str">
        <f>IFERROR(VLOOKUP(功能_33[[#This Row],[功能代號]],SIT_FT_2021tmp!D:D,1,FALSE),"")</f>
        <v/>
      </c>
      <c r="AZ430" s="587">
        <v>44603</v>
      </c>
      <c r="BB430" s="514"/>
      <c r="BC430" s="265" t="s">
        <v>2453</v>
      </c>
      <c r="BD430" s="594"/>
      <c r="BE430" s="265" t="str">
        <f>IF(AND(COUNTIF(AY430,"&gt;&lt;0")=1,COUNTA(M430)=1),LEFT(D430,3),"")</f>
        <v/>
      </c>
      <c r="BF430" s="265" t="str">
        <f>IF(AND(COUNTIF(AY430,"&gt;&lt;")=1,COUNTA(M430)=0),LEFT(D430,3),"")</f>
        <v/>
      </c>
      <c r="BG430" s="265" t="str">
        <f>IF(AND(COUNTIF(AY430,"&gt;&lt;0")=0,COUNTA(M430)=1),LEFT(D430,3),"")</f>
        <v>8-3</v>
      </c>
      <c r="BH430" s="265" t="str">
        <f>IF(AND(COUNTIF(AY430,"&gt;&lt;0")=0,COUNTA(M430)=0),LEFT(D430,3),"")</f>
        <v/>
      </c>
    </row>
    <row r="431" spans="3:60" ht="27" x14ac:dyDescent="0.3">
      <c r="C431" s="265" t="s">
        <v>72</v>
      </c>
      <c r="D431" s="265" t="s">
        <v>2477</v>
      </c>
      <c r="E431" s="264" t="s">
        <v>1120</v>
      </c>
      <c r="F431" s="265" t="s">
        <v>1121</v>
      </c>
      <c r="G431" s="265" t="s">
        <v>1105</v>
      </c>
      <c r="H431" s="264" t="s">
        <v>110</v>
      </c>
      <c r="I431" s="264" t="s">
        <v>110</v>
      </c>
      <c r="J431" s="271" t="s">
        <v>3238</v>
      </c>
      <c r="K431" s="638" t="s">
        <v>3239</v>
      </c>
      <c r="L431" s="272">
        <v>44575</v>
      </c>
      <c r="M431" s="272">
        <v>44575</v>
      </c>
      <c r="N431" s="272">
        <v>44515</v>
      </c>
      <c r="O431" s="272">
        <v>44517</v>
      </c>
      <c r="P431" s="272">
        <v>44533</v>
      </c>
      <c r="Q431" s="264" t="s">
        <v>1</v>
      </c>
      <c r="R431" s="264" t="s">
        <v>16</v>
      </c>
      <c r="S431" s="264" t="s">
        <v>16</v>
      </c>
      <c r="X431" s="264"/>
      <c r="Z431" s="264"/>
      <c r="AA431" s="264"/>
      <c r="AB431" s="265" t="str">
        <f>VLOOKUP(功能_33[[#This Row],[User]],SKL放款!A:G,7,FALSE)</f>
        <v>放款管理課</v>
      </c>
      <c r="AC431" s="272">
        <v>44533</v>
      </c>
      <c r="AD431" s="272" t="s">
        <v>107</v>
      </c>
      <c r="AE431" s="272">
        <v>44540</v>
      </c>
      <c r="AF431" s="272">
        <v>44540</v>
      </c>
      <c r="AG431" s="209" t="s">
        <v>2971</v>
      </c>
      <c r="AH431" s="272"/>
      <c r="AI431" s="272"/>
      <c r="AJ431" s="322"/>
      <c r="AK431" s="272">
        <f>IFERROR(IF(VLOOKUP(功能_33[[#This Row],[功能代號]],E:U,11,FALSE)=0,"",VLOOKUP(功能_33[[#This Row],[功能代號]],E:U,11,FALSE)),"")</f>
        <v>44517</v>
      </c>
      <c r="AL431" s="272"/>
      <c r="AM431" s="272"/>
      <c r="AN431" s="265"/>
      <c r="AP431" s="264" t="s">
        <v>2603</v>
      </c>
      <c r="AQ431" s="264" t="s">
        <v>163</v>
      </c>
      <c r="AR431" s="594" t="s">
        <v>3138</v>
      </c>
      <c r="AS431" s="483" t="str">
        <f>IF(COUNTA(AG431)=1,LEFT(D431,3),"")</f>
        <v>8-3</v>
      </c>
      <c r="AT431" s="485" t="str">
        <f>IF(AND(COUNTA(O431)=1,COUNTA(P431)=1,COUNTA(AC431)=1,COUNTA(AF431)=1,COUNTA(AG431)=0),LEFT(D431,3),"")</f>
        <v/>
      </c>
      <c r="AU431" s="487" t="str">
        <f>IF(AND(COUNTA(O431)=1,COUNTA(P431)=1,COUNTA(AC431)=1,COUNTA(AF431)=0,COUNTA(AG431)=0),LEFT(D431,3),"")</f>
        <v/>
      </c>
      <c r="AV431" s="489" t="str">
        <f>IF(AND(COUNTA(P431)=0,COUNTA(AC431)=1),LEFT(D431,3),"")</f>
        <v/>
      </c>
      <c r="AW431" s="491" t="str">
        <f>IF(AND(COUNTA(P431)=1,COUNTA(AC431)=0),LEFT(D431,3),"")</f>
        <v/>
      </c>
      <c r="AX431" s="493" t="str">
        <f>IF(AND(COUNTA(P431)=0,COUNTA(AC431)=0),LEFT(D431,3),"")</f>
        <v/>
      </c>
      <c r="AY431" s="514" t="str">
        <f>IFERROR(VLOOKUP(功能_33[[#This Row],[功能代號]],SIT_FT_2021tmp!D:D,1,FALSE),"")</f>
        <v/>
      </c>
      <c r="AZ431" s="587">
        <v>44603</v>
      </c>
      <c r="BB431" s="514"/>
      <c r="BC431" s="265" t="s">
        <v>2453</v>
      </c>
      <c r="BD431" s="594"/>
      <c r="BE431" s="265" t="str">
        <f>IF(AND(COUNTIF(AY431,"&gt;&lt;0")=1,COUNTA(M431)=1),LEFT(D431,3),"")</f>
        <v/>
      </c>
      <c r="BF431" s="265" t="str">
        <f>IF(AND(COUNTIF(AY431,"&gt;&lt;")=1,COUNTA(M431)=0),LEFT(D431,3),"")</f>
        <v/>
      </c>
      <c r="BG431" s="265" t="str">
        <f>IF(AND(COUNTIF(AY431,"&gt;&lt;0")=0,COUNTA(M431)=1),LEFT(D431,3),"")</f>
        <v>8-3</v>
      </c>
      <c r="BH431" s="265" t="str">
        <f>IF(AND(COUNTIF(AY431,"&gt;&lt;0")=0,COUNTA(M431)=0),LEFT(D431,3),"")</f>
        <v/>
      </c>
    </row>
    <row r="432" spans="3:60" ht="27" x14ac:dyDescent="0.3">
      <c r="C432" s="265" t="s">
        <v>72</v>
      </c>
      <c r="D432" s="265" t="s">
        <v>2477</v>
      </c>
      <c r="E432" s="264" t="s">
        <v>1122</v>
      </c>
      <c r="F432" s="265" t="s">
        <v>1123</v>
      </c>
      <c r="G432" s="265" t="s">
        <v>1105</v>
      </c>
      <c r="H432" s="264" t="s">
        <v>110</v>
      </c>
      <c r="I432" s="264" t="s">
        <v>110</v>
      </c>
      <c r="J432" s="271" t="s">
        <v>3238</v>
      </c>
      <c r="K432" s="638" t="s">
        <v>3239</v>
      </c>
      <c r="L432" s="272">
        <v>44575</v>
      </c>
      <c r="M432" s="272">
        <v>44575</v>
      </c>
      <c r="N432" s="272">
        <v>44515</v>
      </c>
      <c r="O432" s="272">
        <v>44517</v>
      </c>
      <c r="P432" s="272">
        <v>44533</v>
      </c>
      <c r="Q432" s="264" t="s">
        <v>1</v>
      </c>
      <c r="R432" s="264" t="s">
        <v>16</v>
      </c>
      <c r="S432" s="264" t="s">
        <v>16</v>
      </c>
      <c r="X432" s="264"/>
      <c r="Z432" s="264"/>
      <c r="AA432" s="264"/>
      <c r="AB432" s="265" t="str">
        <f>VLOOKUP(功能_33[[#This Row],[User]],SKL放款!A:G,7,FALSE)</f>
        <v>放款管理課</v>
      </c>
      <c r="AC432" s="272">
        <v>44533</v>
      </c>
      <c r="AD432" s="272" t="s">
        <v>107</v>
      </c>
      <c r="AE432" s="272">
        <v>44540</v>
      </c>
      <c r="AF432" s="272">
        <v>44540</v>
      </c>
      <c r="AG432" s="209" t="s">
        <v>2971</v>
      </c>
      <c r="AH432" s="272"/>
      <c r="AI432" s="272"/>
      <c r="AJ432" s="322"/>
      <c r="AK432" s="272">
        <f>IFERROR(IF(VLOOKUP(功能_33[[#This Row],[功能代號]],E:U,11,FALSE)=0,"",VLOOKUP(功能_33[[#This Row],[功能代號]],E:U,11,FALSE)),"")</f>
        <v>44517</v>
      </c>
      <c r="AL432" s="272"/>
      <c r="AM432" s="272"/>
      <c r="AN432" s="265"/>
      <c r="AP432" s="264" t="s">
        <v>2603</v>
      </c>
      <c r="AQ432" s="264" t="s">
        <v>163</v>
      </c>
      <c r="AR432" s="594" t="s">
        <v>3138</v>
      </c>
      <c r="AS432" s="483" t="str">
        <f>IF(COUNTA(AG432)=1,LEFT(D432,3),"")</f>
        <v>8-3</v>
      </c>
      <c r="AT432" s="485" t="str">
        <f>IF(AND(COUNTA(O432)=1,COUNTA(P432)=1,COUNTA(AC432)=1,COUNTA(AF432)=1,COUNTA(AG432)=0),LEFT(D432,3),"")</f>
        <v/>
      </c>
      <c r="AU432" s="487" t="str">
        <f>IF(AND(COUNTA(O432)=1,COUNTA(P432)=1,COUNTA(AC432)=1,COUNTA(AF432)=0,COUNTA(AG432)=0),LEFT(D432,3),"")</f>
        <v/>
      </c>
      <c r="AV432" s="489" t="str">
        <f>IF(AND(COUNTA(P432)=0,COUNTA(AC432)=1),LEFT(D432,3),"")</f>
        <v/>
      </c>
      <c r="AW432" s="491" t="str">
        <f>IF(AND(COUNTA(P432)=1,COUNTA(AC432)=0),LEFT(D432,3),"")</f>
        <v/>
      </c>
      <c r="AX432" s="493" t="str">
        <f>IF(AND(COUNTA(P432)=0,COUNTA(AC432)=0),LEFT(D432,3),"")</f>
        <v/>
      </c>
      <c r="AY432" s="514" t="str">
        <f>IFERROR(VLOOKUP(功能_33[[#This Row],[功能代號]],SIT_FT_2021tmp!D:D,1,FALSE),"")</f>
        <v/>
      </c>
      <c r="AZ432" s="587">
        <v>44603</v>
      </c>
      <c r="BB432" s="514"/>
      <c r="BC432" s="265" t="s">
        <v>2453</v>
      </c>
      <c r="BD432" s="594"/>
      <c r="BE432" s="265" t="str">
        <f>IF(AND(COUNTIF(AY432,"&gt;&lt;0")=1,COUNTA(M432)=1),LEFT(D432,3),"")</f>
        <v/>
      </c>
      <c r="BF432" s="265" t="str">
        <f>IF(AND(COUNTIF(AY432,"&gt;&lt;")=1,COUNTA(M432)=0),LEFT(D432,3),"")</f>
        <v/>
      </c>
      <c r="BG432" s="265" t="str">
        <f>IF(AND(COUNTIF(AY432,"&gt;&lt;0")=0,COUNTA(M432)=1),LEFT(D432,3),"")</f>
        <v>8-3</v>
      </c>
      <c r="BH432" s="265" t="str">
        <f>IF(AND(COUNTIF(AY432,"&gt;&lt;0")=0,COUNTA(M432)=0),LEFT(D432,3),"")</f>
        <v/>
      </c>
    </row>
    <row r="433" spans="3:60" ht="27" x14ac:dyDescent="0.3">
      <c r="C433" s="265" t="s">
        <v>72</v>
      </c>
      <c r="D433" s="265" t="s">
        <v>2477</v>
      </c>
      <c r="E433" s="264" t="s">
        <v>1124</v>
      </c>
      <c r="F433" s="265" t="s">
        <v>1125</v>
      </c>
      <c r="G433" s="265" t="s">
        <v>1105</v>
      </c>
      <c r="H433" s="264" t="s">
        <v>110</v>
      </c>
      <c r="I433" s="264" t="s">
        <v>110</v>
      </c>
      <c r="J433" s="271" t="s">
        <v>3238</v>
      </c>
      <c r="K433" s="638" t="s">
        <v>3239</v>
      </c>
      <c r="L433" s="272">
        <v>44575</v>
      </c>
      <c r="M433" s="272">
        <v>44575</v>
      </c>
      <c r="N433" s="272">
        <v>44515</v>
      </c>
      <c r="O433" s="272">
        <v>44517</v>
      </c>
      <c r="P433" s="272">
        <v>44536</v>
      </c>
      <c r="Q433" s="264" t="s">
        <v>1</v>
      </c>
      <c r="R433" s="264" t="s">
        <v>16</v>
      </c>
      <c r="S433" s="264" t="s">
        <v>16</v>
      </c>
      <c r="X433" s="264"/>
      <c r="Z433" s="264"/>
      <c r="AA433" s="264"/>
      <c r="AB433" s="265" t="str">
        <f>VLOOKUP(功能_33[[#This Row],[User]],SKL放款!A:G,7,FALSE)</f>
        <v>放款管理課</v>
      </c>
      <c r="AC433" s="272">
        <v>44533</v>
      </c>
      <c r="AD433" s="272" t="s">
        <v>168</v>
      </c>
      <c r="AE433" s="272">
        <v>44540</v>
      </c>
      <c r="AF433" s="272">
        <v>44540</v>
      </c>
      <c r="AG433" s="209" t="s">
        <v>2971</v>
      </c>
      <c r="AH433" s="272"/>
      <c r="AI433" s="272"/>
      <c r="AJ433" s="322"/>
      <c r="AK433" s="272">
        <f>IFERROR(IF(VLOOKUP(功能_33[[#This Row],[功能代號]],E:U,11,FALSE)=0,"",VLOOKUP(功能_33[[#This Row],[功能代號]],E:U,11,FALSE)),"")</f>
        <v>44517</v>
      </c>
      <c r="AL433" s="272"/>
      <c r="AM433" s="272"/>
      <c r="AN433" s="265"/>
      <c r="AP433" s="264" t="s">
        <v>2603</v>
      </c>
      <c r="AQ433" s="264" t="s">
        <v>163</v>
      </c>
      <c r="AR433" s="594" t="s">
        <v>3138</v>
      </c>
      <c r="AS433" s="483" t="str">
        <f>IF(COUNTA(AG433)=1,LEFT(D433,3),"")</f>
        <v>8-3</v>
      </c>
      <c r="AT433" s="485" t="str">
        <f>IF(AND(COUNTA(O433)=1,COUNTA(P433)=1,COUNTA(AC433)=1,COUNTA(AF433)=1,COUNTA(AG433)=0),LEFT(D433,3),"")</f>
        <v/>
      </c>
      <c r="AU433" s="487" t="str">
        <f>IF(AND(COUNTA(O433)=1,COUNTA(P433)=1,COUNTA(AC433)=1,COUNTA(AF433)=0,COUNTA(AG433)=0),LEFT(D433,3),"")</f>
        <v/>
      </c>
      <c r="AV433" s="489" t="str">
        <f>IF(AND(COUNTA(P433)=0,COUNTA(AC433)=1),LEFT(D433,3),"")</f>
        <v/>
      </c>
      <c r="AW433" s="491" t="str">
        <f>IF(AND(COUNTA(P433)=1,COUNTA(AC433)=0),LEFT(D433,3),"")</f>
        <v/>
      </c>
      <c r="AX433" s="493" t="str">
        <f>IF(AND(COUNTA(P433)=0,COUNTA(AC433)=0),LEFT(D433,3),"")</f>
        <v/>
      </c>
      <c r="AY433" s="514" t="str">
        <f>IFERROR(VLOOKUP(功能_33[[#This Row],[功能代號]],SIT_FT_2021tmp!D:D,1,FALSE),"")</f>
        <v/>
      </c>
      <c r="AZ433" s="587">
        <v>44603</v>
      </c>
      <c r="BB433" s="514"/>
      <c r="BC433" s="265" t="s">
        <v>2453</v>
      </c>
      <c r="BD433" s="594"/>
      <c r="BE433" s="265" t="str">
        <f>IF(AND(COUNTIF(AY433,"&gt;&lt;0")=1,COUNTA(M433)=1),LEFT(D433,3),"")</f>
        <v/>
      </c>
      <c r="BF433" s="265" t="str">
        <f>IF(AND(COUNTIF(AY433,"&gt;&lt;")=1,COUNTA(M433)=0),LEFT(D433,3),"")</f>
        <v/>
      </c>
      <c r="BG433" s="265" t="str">
        <f>IF(AND(COUNTIF(AY433,"&gt;&lt;0")=0,COUNTA(M433)=1),LEFT(D433,3),"")</f>
        <v>8-3</v>
      </c>
      <c r="BH433" s="265" t="str">
        <f>IF(AND(COUNTIF(AY433,"&gt;&lt;0")=0,COUNTA(M433)=0),LEFT(D433,3),"")</f>
        <v/>
      </c>
    </row>
    <row r="434" spans="3:60" ht="27" x14ac:dyDescent="0.3">
      <c r="C434" s="265" t="s">
        <v>72</v>
      </c>
      <c r="D434" s="265" t="s">
        <v>2477</v>
      </c>
      <c r="E434" s="264" t="s">
        <v>1126</v>
      </c>
      <c r="F434" s="265" t="s">
        <v>1127</v>
      </c>
      <c r="G434" s="265" t="s">
        <v>1105</v>
      </c>
      <c r="H434" s="264" t="s">
        <v>110</v>
      </c>
      <c r="I434" s="264" t="s">
        <v>110</v>
      </c>
      <c r="J434" s="271" t="s">
        <v>3238</v>
      </c>
      <c r="K434" s="638" t="s">
        <v>3239</v>
      </c>
      <c r="L434" s="272">
        <v>44575</v>
      </c>
      <c r="M434" s="272">
        <v>44575</v>
      </c>
      <c r="N434" s="272">
        <v>44516</v>
      </c>
      <c r="O434" s="272">
        <v>44517</v>
      </c>
      <c r="P434" s="272">
        <v>44536</v>
      </c>
      <c r="Q434" s="264" t="s">
        <v>1</v>
      </c>
      <c r="R434" s="264" t="s">
        <v>16</v>
      </c>
      <c r="S434" s="264" t="s">
        <v>16</v>
      </c>
      <c r="X434" s="264"/>
      <c r="Z434" s="264"/>
      <c r="AA434" s="264"/>
      <c r="AB434" s="265" t="str">
        <f>VLOOKUP(功能_33[[#This Row],[User]],SKL放款!A:G,7,FALSE)</f>
        <v>放款管理課</v>
      </c>
      <c r="AC434" s="272">
        <v>44533</v>
      </c>
      <c r="AD434" s="272" t="s">
        <v>168</v>
      </c>
      <c r="AE434" s="272">
        <v>44540</v>
      </c>
      <c r="AF434" s="272">
        <v>44540</v>
      </c>
      <c r="AG434" s="209" t="s">
        <v>2971</v>
      </c>
      <c r="AH434" s="272"/>
      <c r="AI434" s="272"/>
      <c r="AJ434" s="322"/>
      <c r="AK434" s="272">
        <f>IFERROR(IF(VLOOKUP(功能_33[[#This Row],[功能代號]],E:U,11,FALSE)=0,"",VLOOKUP(功能_33[[#This Row],[功能代號]],E:U,11,FALSE)),"")</f>
        <v>44517</v>
      </c>
      <c r="AL434" s="272"/>
      <c r="AM434" s="272"/>
      <c r="AN434" s="265"/>
      <c r="AP434" s="264" t="s">
        <v>2603</v>
      </c>
      <c r="AQ434" s="264" t="s">
        <v>163</v>
      </c>
      <c r="AR434" s="594" t="s">
        <v>3138</v>
      </c>
      <c r="AS434" s="483" t="str">
        <f>IF(COUNTA(AG434)=1,LEFT(D434,3),"")</f>
        <v>8-3</v>
      </c>
      <c r="AT434" s="485" t="str">
        <f>IF(AND(COUNTA(O434)=1,COUNTA(P434)=1,COUNTA(AC434)=1,COUNTA(AF434)=1,COUNTA(AG434)=0),LEFT(D434,3),"")</f>
        <v/>
      </c>
      <c r="AU434" s="487" t="str">
        <f>IF(AND(COUNTA(O434)=1,COUNTA(P434)=1,COUNTA(AC434)=1,COUNTA(AF434)=0,COUNTA(AG434)=0),LEFT(D434,3),"")</f>
        <v/>
      </c>
      <c r="AV434" s="489" t="str">
        <f>IF(AND(COUNTA(P434)=0,COUNTA(AC434)=1),LEFT(D434,3),"")</f>
        <v/>
      </c>
      <c r="AW434" s="491" t="str">
        <f>IF(AND(COUNTA(P434)=1,COUNTA(AC434)=0),LEFT(D434,3),"")</f>
        <v/>
      </c>
      <c r="AX434" s="493" t="str">
        <f>IF(AND(COUNTA(P434)=0,COUNTA(AC434)=0),LEFT(D434,3),"")</f>
        <v/>
      </c>
      <c r="AY434" s="514" t="str">
        <f>IFERROR(VLOOKUP(功能_33[[#This Row],[功能代號]],SIT_FT_2021tmp!D:D,1,FALSE),"")</f>
        <v/>
      </c>
      <c r="AZ434" s="587">
        <v>44603</v>
      </c>
      <c r="BB434" s="514"/>
      <c r="BC434" s="265" t="s">
        <v>2453</v>
      </c>
      <c r="BD434" s="594"/>
      <c r="BE434" s="265" t="str">
        <f>IF(AND(COUNTIF(AY434,"&gt;&lt;0")=1,COUNTA(M434)=1),LEFT(D434,3),"")</f>
        <v/>
      </c>
      <c r="BF434" s="265" t="str">
        <f>IF(AND(COUNTIF(AY434,"&gt;&lt;")=1,COUNTA(M434)=0),LEFT(D434,3),"")</f>
        <v/>
      </c>
      <c r="BG434" s="265" t="str">
        <f>IF(AND(COUNTIF(AY434,"&gt;&lt;0")=0,COUNTA(M434)=1),LEFT(D434,3),"")</f>
        <v>8-3</v>
      </c>
      <c r="BH434" s="265" t="str">
        <f>IF(AND(COUNTIF(AY434,"&gt;&lt;0")=0,COUNTA(M434)=0),LEFT(D434,3),"")</f>
        <v/>
      </c>
    </row>
    <row r="435" spans="3:60" ht="27" x14ac:dyDescent="0.3">
      <c r="C435" s="265" t="s">
        <v>72</v>
      </c>
      <c r="D435" s="265" t="s">
        <v>2477</v>
      </c>
      <c r="E435" s="264" t="s">
        <v>1128</v>
      </c>
      <c r="F435" s="265" t="s">
        <v>1129</v>
      </c>
      <c r="G435" s="265" t="s">
        <v>1105</v>
      </c>
      <c r="H435" s="264" t="s">
        <v>110</v>
      </c>
      <c r="I435" s="264" t="s">
        <v>110</v>
      </c>
      <c r="J435" s="271" t="s">
        <v>3238</v>
      </c>
      <c r="K435" s="638" t="s">
        <v>3239</v>
      </c>
      <c r="L435" s="272">
        <v>44575</v>
      </c>
      <c r="M435" s="272">
        <v>44575</v>
      </c>
      <c r="N435" s="272">
        <v>44516</v>
      </c>
      <c r="O435" s="272">
        <v>44517</v>
      </c>
      <c r="P435" s="272">
        <v>44536</v>
      </c>
      <c r="Q435" s="264" t="s">
        <v>1</v>
      </c>
      <c r="R435" s="264" t="s">
        <v>16</v>
      </c>
      <c r="S435" s="264" t="s">
        <v>16</v>
      </c>
      <c r="X435" s="264"/>
      <c r="Z435" s="264"/>
      <c r="AA435" s="264"/>
      <c r="AB435" s="265" t="str">
        <f>VLOOKUP(功能_33[[#This Row],[User]],SKL放款!A:G,7,FALSE)</f>
        <v>放款管理課</v>
      </c>
      <c r="AC435" s="272">
        <v>44533</v>
      </c>
      <c r="AD435" s="272" t="s">
        <v>168</v>
      </c>
      <c r="AE435" s="272">
        <v>44540</v>
      </c>
      <c r="AF435" s="272">
        <v>44540</v>
      </c>
      <c r="AG435" s="209" t="s">
        <v>2971</v>
      </c>
      <c r="AH435" s="272"/>
      <c r="AI435" s="272"/>
      <c r="AJ435" s="322"/>
      <c r="AK435" s="272">
        <f>IFERROR(IF(VLOOKUP(功能_33[[#This Row],[功能代號]],E:U,11,FALSE)=0,"",VLOOKUP(功能_33[[#This Row],[功能代號]],E:U,11,FALSE)),"")</f>
        <v>44517</v>
      </c>
      <c r="AL435" s="272"/>
      <c r="AM435" s="272"/>
      <c r="AN435" s="265"/>
      <c r="AP435" s="264" t="s">
        <v>2603</v>
      </c>
      <c r="AQ435" s="264" t="s">
        <v>163</v>
      </c>
      <c r="AR435" s="594" t="s">
        <v>3138</v>
      </c>
      <c r="AS435" s="483" t="str">
        <f>IF(COUNTA(AG435)=1,LEFT(D435,3),"")</f>
        <v>8-3</v>
      </c>
      <c r="AT435" s="485" t="str">
        <f>IF(AND(COUNTA(O435)=1,COUNTA(P435)=1,COUNTA(AC435)=1,COUNTA(AF435)=1,COUNTA(AG435)=0),LEFT(D435,3),"")</f>
        <v/>
      </c>
      <c r="AU435" s="487" t="str">
        <f>IF(AND(COUNTA(O435)=1,COUNTA(P435)=1,COUNTA(AC435)=1,COUNTA(AF435)=0,COUNTA(AG435)=0),LEFT(D435,3),"")</f>
        <v/>
      </c>
      <c r="AV435" s="489" t="str">
        <f>IF(AND(COUNTA(P435)=0,COUNTA(AC435)=1),LEFT(D435,3),"")</f>
        <v/>
      </c>
      <c r="AW435" s="491" t="str">
        <f>IF(AND(COUNTA(P435)=1,COUNTA(AC435)=0),LEFT(D435,3),"")</f>
        <v/>
      </c>
      <c r="AX435" s="493" t="str">
        <f>IF(AND(COUNTA(P435)=0,COUNTA(AC435)=0),LEFT(D435,3),"")</f>
        <v/>
      </c>
      <c r="AY435" s="514" t="str">
        <f>IFERROR(VLOOKUP(功能_33[[#This Row],[功能代號]],SIT_FT_2021tmp!D:D,1,FALSE),"")</f>
        <v/>
      </c>
      <c r="AZ435" s="587">
        <v>44603</v>
      </c>
      <c r="BB435" s="514"/>
      <c r="BC435" s="265" t="s">
        <v>2453</v>
      </c>
      <c r="BD435" s="594"/>
      <c r="BE435" s="265" t="str">
        <f>IF(AND(COUNTIF(AY435,"&gt;&lt;0")=1,COUNTA(M435)=1),LEFT(D435,3),"")</f>
        <v/>
      </c>
      <c r="BF435" s="265" t="str">
        <f>IF(AND(COUNTIF(AY435,"&gt;&lt;")=1,COUNTA(M435)=0),LEFT(D435,3),"")</f>
        <v/>
      </c>
      <c r="BG435" s="265" t="str">
        <f>IF(AND(COUNTIF(AY435,"&gt;&lt;0")=0,COUNTA(M435)=1),LEFT(D435,3),"")</f>
        <v>8-3</v>
      </c>
      <c r="BH435" s="265" t="str">
        <f>IF(AND(COUNTIF(AY435,"&gt;&lt;0")=0,COUNTA(M435)=0),LEFT(D435,3),"")</f>
        <v/>
      </c>
    </row>
    <row r="436" spans="3:60" ht="27" x14ac:dyDescent="0.3">
      <c r="C436" s="265" t="s">
        <v>72</v>
      </c>
      <c r="D436" s="265" t="s">
        <v>2477</v>
      </c>
      <c r="E436" s="264" t="s">
        <v>1130</v>
      </c>
      <c r="F436" s="265" t="s">
        <v>1131</v>
      </c>
      <c r="G436" s="265" t="s">
        <v>1105</v>
      </c>
      <c r="H436" s="264" t="s">
        <v>110</v>
      </c>
      <c r="I436" s="264" t="s">
        <v>110</v>
      </c>
      <c r="J436" s="271" t="s">
        <v>3238</v>
      </c>
      <c r="K436" s="638" t="s">
        <v>3239</v>
      </c>
      <c r="L436" s="272">
        <v>44575</v>
      </c>
      <c r="M436" s="272">
        <v>44575</v>
      </c>
      <c r="N436" s="272">
        <v>44516</v>
      </c>
      <c r="O436" s="272">
        <v>44517</v>
      </c>
      <c r="P436" s="272">
        <v>44536</v>
      </c>
      <c r="Q436" s="264" t="s">
        <v>1</v>
      </c>
      <c r="R436" s="264" t="s">
        <v>16</v>
      </c>
      <c r="S436" s="264" t="s">
        <v>16</v>
      </c>
      <c r="X436" s="264"/>
      <c r="Z436" s="264"/>
      <c r="AA436" s="264"/>
      <c r="AB436" s="265" t="str">
        <f>VLOOKUP(功能_33[[#This Row],[User]],SKL放款!A:G,7,FALSE)</f>
        <v>放款管理課</v>
      </c>
      <c r="AC436" s="272">
        <v>44533</v>
      </c>
      <c r="AD436" s="272" t="s">
        <v>168</v>
      </c>
      <c r="AE436" s="272">
        <v>44540</v>
      </c>
      <c r="AF436" s="272">
        <v>44540</v>
      </c>
      <c r="AG436" s="209" t="s">
        <v>2971</v>
      </c>
      <c r="AH436" s="272"/>
      <c r="AI436" s="272"/>
      <c r="AJ436" s="322"/>
      <c r="AK436" s="272">
        <f>IFERROR(IF(VLOOKUP(功能_33[[#This Row],[功能代號]],E:U,11,FALSE)=0,"",VLOOKUP(功能_33[[#This Row],[功能代號]],E:U,11,FALSE)),"")</f>
        <v>44517</v>
      </c>
      <c r="AL436" s="272"/>
      <c r="AM436" s="272"/>
      <c r="AN436" s="265"/>
      <c r="AP436" s="264" t="s">
        <v>2603</v>
      </c>
      <c r="AQ436" s="264" t="s">
        <v>163</v>
      </c>
      <c r="AR436" s="594" t="s">
        <v>3138</v>
      </c>
      <c r="AS436" s="483" t="str">
        <f>IF(COUNTA(AG436)=1,LEFT(D436,3),"")</f>
        <v>8-3</v>
      </c>
      <c r="AT436" s="485" t="str">
        <f>IF(AND(COUNTA(O436)=1,COUNTA(P436)=1,COUNTA(AC436)=1,COUNTA(AF436)=1,COUNTA(AG436)=0),LEFT(D436,3),"")</f>
        <v/>
      </c>
      <c r="AU436" s="487" t="str">
        <f>IF(AND(COUNTA(O436)=1,COUNTA(P436)=1,COUNTA(AC436)=1,COUNTA(AF436)=0,COUNTA(AG436)=0),LEFT(D436,3),"")</f>
        <v/>
      </c>
      <c r="AV436" s="489" t="str">
        <f>IF(AND(COUNTA(P436)=0,COUNTA(AC436)=1),LEFT(D436,3),"")</f>
        <v/>
      </c>
      <c r="AW436" s="491" t="str">
        <f>IF(AND(COUNTA(P436)=1,COUNTA(AC436)=0),LEFT(D436,3),"")</f>
        <v/>
      </c>
      <c r="AX436" s="493" t="str">
        <f>IF(AND(COUNTA(P436)=0,COUNTA(AC436)=0),LEFT(D436,3),"")</f>
        <v/>
      </c>
      <c r="AY436" s="514" t="str">
        <f>IFERROR(VLOOKUP(功能_33[[#This Row],[功能代號]],SIT_FT_2021tmp!D:D,1,FALSE),"")</f>
        <v/>
      </c>
      <c r="AZ436" s="587">
        <v>44603</v>
      </c>
      <c r="BB436" s="514"/>
      <c r="BC436" s="265" t="s">
        <v>2453</v>
      </c>
      <c r="BD436" s="594"/>
      <c r="BE436" s="265" t="str">
        <f>IF(AND(COUNTIF(AY436,"&gt;&lt;0")=1,COUNTA(M436)=1),LEFT(D436,3),"")</f>
        <v/>
      </c>
      <c r="BF436" s="265" t="str">
        <f>IF(AND(COUNTIF(AY436,"&gt;&lt;")=1,COUNTA(M436)=0),LEFT(D436,3),"")</f>
        <v/>
      </c>
      <c r="BG436" s="265" t="str">
        <f>IF(AND(COUNTIF(AY436,"&gt;&lt;0")=0,COUNTA(M436)=1),LEFT(D436,3),"")</f>
        <v>8-3</v>
      </c>
      <c r="BH436" s="265" t="str">
        <f>IF(AND(COUNTIF(AY436,"&gt;&lt;0")=0,COUNTA(M436)=0),LEFT(D436,3),"")</f>
        <v/>
      </c>
    </row>
    <row r="437" spans="3:60" ht="27" x14ac:dyDescent="0.3">
      <c r="C437" s="265" t="s">
        <v>72</v>
      </c>
      <c r="D437" s="265" t="s">
        <v>2477</v>
      </c>
      <c r="E437" s="264" t="s">
        <v>1132</v>
      </c>
      <c r="F437" s="265" t="s">
        <v>1133</v>
      </c>
      <c r="G437" s="265" t="s">
        <v>1105</v>
      </c>
      <c r="H437" s="264" t="s">
        <v>110</v>
      </c>
      <c r="I437" s="264" t="s">
        <v>110</v>
      </c>
      <c r="J437" s="271" t="s">
        <v>3238</v>
      </c>
      <c r="K437" s="638" t="s">
        <v>3239</v>
      </c>
      <c r="L437" s="272">
        <v>44575</v>
      </c>
      <c r="M437" s="272">
        <v>44575</v>
      </c>
      <c r="N437" s="272">
        <v>44516</v>
      </c>
      <c r="O437" s="272">
        <v>44517</v>
      </c>
      <c r="P437" s="272">
        <v>44536</v>
      </c>
      <c r="Q437" s="264" t="s">
        <v>1</v>
      </c>
      <c r="R437" s="264" t="s">
        <v>16</v>
      </c>
      <c r="S437" s="264" t="s">
        <v>16</v>
      </c>
      <c r="X437" s="264"/>
      <c r="Z437" s="264"/>
      <c r="AA437" s="264"/>
      <c r="AB437" s="265" t="str">
        <f>VLOOKUP(功能_33[[#This Row],[User]],SKL放款!A:G,7,FALSE)</f>
        <v>放款管理課</v>
      </c>
      <c r="AC437" s="272">
        <v>44533</v>
      </c>
      <c r="AD437" s="272" t="s">
        <v>168</v>
      </c>
      <c r="AE437" s="272">
        <v>44540</v>
      </c>
      <c r="AF437" s="272">
        <v>44540</v>
      </c>
      <c r="AG437" s="209" t="s">
        <v>2971</v>
      </c>
      <c r="AH437" s="272"/>
      <c r="AI437" s="272"/>
      <c r="AJ437" s="322"/>
      <c r="AK437" s="272">
        <f>IFERROR(IF(VLOOKUP(功能_33[[#This Row],[功能代號]],E:U,11,FALSE)=0,"",VLOOKUP(功能_33[[#This Row],[功能代號]],E:U,11,FALSE)),"")</f>
        <v>44517</v>
      </c>
      <c r="AL437" s="272"/>
      <c r="AM437" s="272"/>
      <c r="AN437" s="265"/>
      <c r="AP437" s="264" t="s">
        <v>2603</v>
      </c>
      <c r="AQ437" s="264" t="s">
        <v>163</v>
      </c>
      <c r="AR437" s="594" t="s">
        <v>3138</v>
      </c>
      <c r="AS437" s="483" t="str">
        <f>IF(COUNTA(AG437)=1,LEFT(D437,3),"")</f>
        <v>8-3</v>
      </c>
      <c r="AT437" s="485" t="str">
        <f>IF(AND(COUNTA(O437)=1,COUNTA(P437)=1,COUNTA(AC437)=1,COUNTA(AF437)=1,COUNTA(AG437)=0),LEFT(D437,3),"")</f>
        <v/>
      </c>
      <c r="AU437" s="487" t="str">
        <f>IF(AND(COUNTA(O437)=1,COUNTA(P437)=1,COUNTA(AC437)=1,COUNTA(AF437)=0,COUNTA(AG437)=0),LEFT(D437,3),"")</f>
        <v/>
      </c>
      <c r="AV437" s="489" t="str">
        <f>IF(AND(COUNTA(P437)=0,COUNTA(AC437)=1),LEFT(D437,3),"")</f>
        <v/>
      </c>
      <c r="AW437" s="491" t="str">
        <f>IF(AND(COUNTA(P437)=1,COUNTA(AC437)=0),LEFT(D437,3),"")</f>
        <v/>
      </c>
      <c r="AX437" s="493" t="str">
        <f>IF(AND(COUNTA(P437)=0,COUNTA(AC437)=0),LEFT(D437,3),"")</f>
        <v/>
      </c>
      <c r="AY437" s="514" t="str">
        <f>IFERROR(VLOOKUP(功能_33[[#This Row],[功能代號]],SIT_FT_2021tmp!D:D,1,FALSE),"")</f>
        <v/>
      </c>
      <c r="AZ437" s="587">
        <v>44603</v>
      </c>
      <c r="BB437" s="514"/>
      <c r="BC437" s="265" t="s">
        <v>2453</v>
      </c>
      <c r="BD437" s="594"/>
      <c r="BE437" s="265" t="str">
        <f>IF(AND(COUNTIF(AY437,"&gt;&lt;0")=1,COUNTA(M437)=1),LEFT(D437,3),"")</f>
        <v/>
      </c>
      <c r="BF437" s="265" t="str">
        <f>IF(AND(COUNTIF(AY437,"&gt;&lt;")=1,COUNTA(M437)=0),LEFT(D437,3),"")</f>
        <v/>
      </c>
      <c r="BG437" s="265" t="str">
        <f>IF(AND(COUNTIF(AY437,"&gt;&lt;0")=0,COUNTA(M437)=1),LEFT(D437,3),"")</f>
        <v>8-3</v>
      </c>
      <c r="BH437" s="265" t="str">
        <f>IF(AND(COUNTIF(AY437,"&gt;&lt;0")=0,COUNTA(M437)=0),LEFT(D437,3),"")</f>
        <v/>
      </c>
    </row>
    <row r="438" spans="3:60" ht="27" x14ac:dyDescent="0.3">
      <c r="C438" s="265" t="s">
        <v>72</v>
      </c>
      <c r="D438" s="265" t="s">
        <v>2477</v>
      </c>
      <c r="E438" s="264" t="s">
        <v>1134</v>
      </c>
      <c r="F438" s="265" t="s">
        <v>1135</v>
      </c>
      <c r="G438" s="265" t="s">
        <v>1105</v>
      </c>
      <c r="H438" s="264" t="s">
        <v>110</v>
      </c>
      <c r="I438" s="264" t="s">
        <v>110</v>
      </c>
      <c r="J438" s="271" t="s">
        <v>3238</v>
      </c>
      <c r="K438" s="638" t="s">
        <v>3239</v>
      </c>
      <c r="L438" s="272">
        <v>44575</v>
      </c>
      <c r="M438" s="272">
        <v>44575</v>
      </c>
      <c r="N438" s="272">
        <v>44516</v>
      </c>
      <c r="O438" s="272">
        <v>44517</v>
      </c>
      <c r="P438" s="272">
        <v>44536</v>
      </c>
      <c r="Q438" s="264" t="s">
        <v>1</v>
      </c>
      <c r="R438" s="264" t="s">
        <v>16</v>
      </c>
      <c r="S438" s="264" t="s">
        <v>16</v>
      </c>
      <c r="X438" s="264"/>
      <c r="Z438" s="264"/>
      <c r="AA438" s="264"/>
      <c r="AB438" s="265" t="str">
        <f>VLOOKUP(功能_33[[#This Row],[User]],SKL放款!A:G,7,FALSE)</f>
        <v>放款管理課</v>
      </c>
      <c r="AC438" s="272">
        <v>44533</v>
      </c>
      <c r="AD438" s="272" t="s">
        <v>168</v>
      </c>
      <c r="AE438" s="272">
        <v>44540</v>
      </c>
      <c r="AF438" s="272">
        <v>44540</v>
      </c>
      <c r="AG438" s="209" t="s">
        <v>2971</v>
      </c>
      <c r="AH438" s="272"/>
      <c r="AI438" s="272"/>
      <c r="AJ438" s="322"/>
      <c r="AK438" s="272">
        <f>IFERROR(IF(VLOOKUP(功能_33[[#This Row],[功能代號]],E:U,11,FALSE)=0,"",VLOOKUP(功能_33[[#This Row],[功能代號]],E:U,11,FALSE)),"")</f>
        <v>44517</v>
      </c>
      <c r="AL438" s="272"/>
      <c r="AM438" s="272"/>
      <c r="AN438" s="265"/>
      <c r="AP438" s="264" t="s">
        <v>2603</v>
      </c>
      <c r="AQ438" s="264" t="s">
        <v>163</v>
      </c>
      <c r="AR438" s="594" t="s">
        <v>3138</v>
      </c>
      <c r="AS438" s="483" t="str">
        <f>IF(COUNTA(AG438)=1,LEFT(D438,3),"")</f>
        <v>8-3</v>
      </c>
      <c r="AT438" s="485" t="str">
        <f>IF(AND(COUNTA(O438)=1,COUNTA(P438)=1,COUNTA(AC438)=1,COUNTA(AF438)=1,COUNTA(AG438)=0),LEFT(D438,3),"")</f>
        <v/>
      </c>
      <c r="AU438" s="487" t="str">
        <f>IF(AND(COUNTA(O438)=1,COUNTA(P438)=1,COUNTA(AC438)=1,COUNTA(AF438)=0,COUNTA(AG438)=0),LEFT(D438,3),"")</f>
        <v/>
      </c>
      <c r="AV438" s="489" t="str">
        <f>IF(AND(COUNTA(P438)=0,COUNTA(AC438)=1),LEFT(D438,3),"")</f>
        <v/>
      </c>
      <c r="AW438" s="491" t="str">
        <f>IF(AND(COUNTA(P438)=1,COUNTA(AC438)=0),LEFT(D438,3),"")</f>
        <v/>
      </c>
      <c r="AX438" s="493" t="str">
        <f>IF(AND(COUNTA(P438)=0,COUNTA(AC438)=0),LEFT(D438,3),"")</f>
        <v/>
      </c>
      <c r="AY438" s="514" t="str">
        <f>IFERROR(VLOOKUP(功能_33[[#This Row],[功能代號]],SIT_FT_2021tmp!D:D,1,FALSE),"")</f>
        <v/>
      </c>
      <c r="AZ438" s="587">
        <v>44603</v>
      </c>
      <c r="BB438" s="514"/>
      <c r="BC438" s="265" t="s">
        <v>2453</v>
      </c>
      <c r="BD438" s="594"/>
      <c r="BE438" s="265" t="str">
        <f>IF(AND(COUNTIF(AY438,"&gt;&lt;0")=1,COUNTA(M438)=1),LEFT(D438,3),"")</f>
        <v/>
      </c>
      <c r="BF438" s="265" t="str">
        <f>IF(AND(COUNTIF(AY438,"&gt;&lt;")=1,COUNTA(M438)=0),LEFT(D438,3),"")</f>
        <v/>
      </c>
      <c r="BG438" s="265" t="str">
        <f>IF(AND(COUNTIF(AY438,"&gt;&lt;0")=0,COUNTA(M438)=1),LEFT(D438,3),"")</f>
        <v>8-3</v>
      </c>
      <c r="BH438" s="265" t="str">
        <f>IF(AND(COUNTIF(AY438,"&gt;&lt;0")=0,COUNTA(M438)=0),LEFT(D438,3),"")</f>
        <v/>
      </c>
    </row>
    <row r="439" spans="3:60" ht="27" x14ac:dyDescent="0.3">
      <c r="C439" s="265" t="s">
        <v>72</v>
      </c>
      <c r="D439" s="265" t="s">
        <v>2477</v>
      </c>
      <c r="E439" s="264" t="s">
        <v>1136</v>
      </c>
      <c r="F439" s="265" t="s">
        <v>1137</v>
      </c>
      <c r="G439" s="265" t="s">
        <v>1105</v>
      </c>
      <c r="H439" s="264" t="s">
        <v>110</v>
      </c>
      <c r="I439" s="264" t="s">
        <v>110</v>
      </c>
      <c r="J439" s="271" t="s">
        <v>3238</v>
      </c>
      <c r="K439" s="638" t="s">
        <v>3239</v>
      </c>
      <c r="L439" s="272">
        <v>44575</v>
      </c>
      <c r="M439" s="272">
        <v>44575</v>
      </c>
      <c r="N439" s="272">
        <v>44516</v>
      </c>
      <c r="O439" s="272">
        <v>44517</v>
      </c>
      <c r="P439" s="272">
        <v>44536</v>
      </c>
      <c r="Q439" s="264" t="s">
        <v>1</v>
      </c>
      <c r="R439" s="264" t="s">
        <v>16</v>
      </c>
      <c r="S439" s="264" t="s">
        <v>16</v>
      </c>
      <c r="X439" s="264"/>
      <c r="Z439" s="264"/>
      <c r="AA439" s="264"/>
      <c r="AB439" s="265" t="str">
        <f>VLOOKUP(功能_33[[#This Row],[User]],SKL放款!A:G,7,FALSE)</f>
        <v>放款管理課</v>
      </c>
      <c r="AC439" s="272">
        <v>44533</v>
      </c>
      <c r="AD439" s="272" t="s">
        <v>168</v>
      </c>
      <c r="AE439" s="272">
        <v>44540</v>
      </c>
      <c r="AF439" s="272">
        <v>44540</v>
      </c>
      <c r="AG439" s="209" t="s">
        <v>2971</v>
      </c>
      <c r="AH439" s="272"/>
      <c r="AI439" s="272"/>
      <c r="AJ439" s="322"/>
      <c r="AK439" s="272">
        <f>IFERROR(IF(VLOOKUP(功能_33[[#This Row],[功能代號]],E:U,11,FALSE)=0,"",VLOOKUP(功能_33[[#This Row],[功能代號]],E:U,11,FALSE)),"")</f>
        <v>44517</v>
      </c>
      <c r="AL439" s="272"/>
      <c r="AM439" s="272"/>
      <c r="AN439" s="265"/>
      <c r="AP439" s="264" t="s">
        <v>2603</v>
      </c>
      <c r="AQ439" s="264" t="s">
        <v>163</v>
      </c>
      <c r="AR439" s="594" t="s">
        <v>3138</v>
      </c>
      <c r="AS439" s="483" t="str">
        <f>IF(COUNTA(AG439)=1,LEFT(D439,3),"")</f>
        <v>8-3</v>
      </c>
      <c r="AT439" s="485" t="str">
        <f>IF(AND(COUNTA(O439)=1,COUNTA(P439)=1,COUNTA(AC439)=1,COUNTA(AF439)=1,COUNTA(AG439)=0),LEFT(D439,3),"")</f>
        <v/>
      </c>
      <c r="AU439" s="487" t="str">
        <f>IF(AND(COUNTA(O439)=1,COUNTA(P439)=1,COUNTA(AC439)=1,COUNTA(AF439)=0,COUNTA(AG439)=0),LEFT(D439,3),"")</f>
        <v/>
      </c>
      <c r="AV439" s="489" t="str">
        <f>IF(AND(COUNTA(P439)=0,COUNTA(AC439)=1),LEFT(D439,3),"")</f>
        <v/>
      </c>
      <c r="AW439" s="491" t="str">
        <f>IF(AND(COUNTA(P439)=1,COUNTA(AC439)=0),LEFT(D439,3),"")</f>
        <v/>
      </c>
      <c r="AX439" s="493" t="str">
        <f>IF(AND(COUNTA(P439)=0,COUNTA(AC439)=0),LEFT(D439,3),"")</f>
        <v/>
      </c>
      <c r="AY439" s="514" t="str">
        <f>IFERROR(VLOOKUP(功能_33[[#This Row],[功能代號]],SIT_FT_2021tmp!D:D,1,FALSE),"")</f>
        <v/>
      </c>
      <c r="AZ439" s="587">
        <v>44613</v>
      </c>
      <c r="BB439" s="514"/>
      <c r="BC439" s="265" t="s">
        <v>2453</v>
      </c>
      <c r="BD439" s="594"/>
      <c r="BE439" s="265" t="str">
        <f>IF(AND(COUNTIF(AY439,"&gt;&lt;0")=1,COUNTA(M439)=1),LEFT(D439,3),"")</f>
        <v/>
      </c>
      <c r="BF439" s="265" t="str">
        <f>IF(AND(COUNTIF(AY439,"&gt;&lt;")=1,COUNTA(M439)=0),LEFT(D439,3),"")</f>
        <v/>
      </c>
      <c r="BG439" s="265" t="str">
        <f>IF(AND(COUNTIF(AY439,"&gt;&lt;0")=0,COUNTA(M439)=1),LEFT(D439,3),"")</f>
        <v>8-3</v>
      </c>
      <c r="BH439" s="265" t="str">
        <f>IF(AND(COUNTIF(AY439,"&gt;&lt;0")=0,COUNTA(M439)=0),LEFT(D439,3),"")</f>
        <v/>
      </c>
    </row>
    <row r="440" spans="3:60" ht="27" x14ac:dyDescent="0.3">
      <c r="C440" s="265" t="s">
        <v>72</v>
      </c>
      <c r="D440" s="265" t="s">
        <v>2477</v>
      </c>
      <c r="E440" s="264" t="s">
        <v>1138</v>
      </c>
      <c r="F440" s="265" t="s">
        <v>1139</v>
      </c>
      <c r="G440" s="265" t="s">
        <v>1105</v>
      </c>
      <c r="H440" s="264" t="s">
        <v>110</v>
      </c>
      <c r="I440" s="264" t="s">
        <v>110</v>
      </c>
      <c r="J440" s="271" t="s">
        <v>3238</v>
      </c>
      <c r="K440" s="638" t="s">
        <v>3239</v>
      </c>
      <c r="L440" s="272">
        <v>44575</v>
      </c>
      <c r="M440" s="272">
        <v>44575</v>
      </c>
      <c r="N440" s="272">
        <v>44516</v>
      </c>
      <c r="O440" s="272">
        <v>44517</v>
      </c>
      <c r="P440" s="272">
        <v>44536</v>
      </c>
      <c r="Q440" s="264" t="s">
        <v>1</v>
      </c>
      <c r="R440" s="264" t="s">
        <v>16</v>
      </c>
      <c r="S440" s="264" t="s">
        <v>16</v>
      </c>
      <c r="X440" s="264"/>
      <c r="Z440" s="264"/>
      <c r="AA440" s="264"/>
      <c r="AB440" s="265" t="str">
        <f>VLOOKUP(功能_33[[#This Row],[User]],SKL放款!A:G,7,FALSE)</f>
        <v>放款管理課</v>
      </c>
      <c r="AC440" s="272">
        <v>44533</v>
      </c>
      <c r="AD440" s="272" t="s">
        <v>168</v>
      </c>
      <c r="AE440" s="272">
        <v>44540</v>
      </c>
      <c r="AF440" s="272">
        <v>44540</v>
      </c>
      <c r="AG440" s="209" t="s">
        <v>2971</v>
      </c>
      <c r="AH440" s="272"/>
      <c r="AI440" s="272"/>
      <c r="AJ440" s="322"/>
      <c r="AK440" s="272">
        <f>IFERROR(IF(VLOOKUP(功能_33[[#This Row],[功能代號]],E:U,11,FALSE)=0,"",VLOOKUP(功能_33[[#This Row],[功能代號]],E:U,11,FALSE)),"")</f>
        <v>44517</v>
      </c>
      <c r="AL440" s="272"/>
      <c r="AM440" s="272"/>
      <c r="AN440" s="265"/>
      <c r="AP440" s="264" t="s">
        <v>2603</v>
      </c>
      <c r="AQ440" s="264" t="s">
        <v>163</v>
      </c>
      <c r="AR440" s="594" t="s">
        <v>3138</v>
      </c>
      <c r="AS440" s="483" t="str">
        <f>IF(COUNTA(AG440)=1,LEFT(D440,3),"")</f>
        <v>8-3</v>
      </c>
      <c r="AT440" s="485" t="str">
        <f>IF(AND(COUNTA(O440)=1,COUNTA(P440)=1,COUNTA(AC440)=1,COUNTA(AF440)=1,COUNTA(AG440)=0),LEFT(D440,3),"")</f>
        <v/>
      </c>
      <c r="AU440" s="487" t="str">
        <f>IF(AND(COUNTA(O440)=1,COUNTA(P440)=1,COUNTA(AC440)=1,COUNTA(AF440)=0,COUNTA(AG440)=0),LEFT(D440,3),"")</f>
        <v/>
      </c>
      <c r="AV440" s="489" t="str">
        <f>IF(AND(COUNTA(P440)=0,COUNTA(AC440)=1),LEFT(D440,3),"")</f>
        <v/>
      </c>
      <c r="AW440" s="491" t="str">
        <f>IF(AND(COUNTA(P440)=1,COUNTA(AC440)=0),LEFT(D440,3),"")</f>
        <v/>
      </c>
      <c r="AX440" s="493" t="str">
        <f>IF(AND(COUNTA(P440)=0,COUNTA(AC440)=0),LEFT(D440,3),"")</f>
        <v/>
      </c>
      <c r="AY440" s="514" t="str">
        <f>IFERROR(VLOOKUP(功能_33[[#This Row],[功能代號]],SIT_FT_2021tmp!D:D,1,FALSE),"")</f>
        <v/>
      </c>
      <c r="AZ440" s="587">
        <v>44613</v>
      </c>
      <c r="BB440" s="514"/>
      <c r="BC440" s="265" t="s">
        <v>2453</v>
      </c>
      <c r="BD440" s="594"/>
      <c r="BE440" s="265" t="str">
        <f>IF(AND(COUNTIF(AY440,"&gt;&lt;0")=1,COUNTA(M440)=1),LEFT(D440,3),"")</f>
        <v/>
      </c>
      <c r="BF440" s="265" t="str">
        <f>IF(AND(COUNTIF(AY440,"&gt;&lt;")=1,COUNTA(M440)=0),LEFT(D440,3),"")</f>
        <v/>
      </c>
      <c r="BG440" s="265" t="str">
        <f>IF(AND(COUNTIF(AY440,"&gt;&lt;0")=0,COUNTA(M440)=1),LEFT(D440,3),"")</f>
        <v>8-3</v>
      </c>
      <c r="BH440" s="265" t="str">
        <f>IF(AND(COUNTIF(AY440,"&gt;&lt;0")=0,COUNTA(M440)=0),LEFT(D440,3),"")</f>
        <v/>
      </c>
    </row>
    <row r="441" spans="3:60" ht="27" x14ac:dyDescent="0.3">
      <c r="C441" s="265" t="s">
        <v>72</v>
      </c>
      <c r="D441" s="265" t="s">
        <v>2477</v>
      </c>
      <c r="E441" s="264" t="s">
        <v>1140</v>
      </c>
      <c r="F441" s="265" t="s">
        <v>1141</v>
      </c>
      <c r="G441" s="265" t="s">
        <v>1105</v>
      </c>
      <c r="H441" s="264" t="s">
        <v>110</v>
      </c>
      <c r="I441" s="264" t="s">
        <v>110</v>
      </c>
      <c r="J441" s="271" t="s">
        <v>3238</v>
      </c>
      <c r="K441" s="638" t="s">
        <v>3239</v>
      </c>
      <c r="L441" s="272">
        <v>44575</v>
      </c>
      <c r="M441" s="272">
        <v>44578</v>
      </c>
      <c r="N441" s="272">
        <v>44517</v>
      </c>
      <c r="O441" s="272">
        <v>44517</v>
      </c>
      <c r="P441" s="272">
        <v>44536</v>
      </c>
      <c r="Q441" s="264" t="s">
        <v>1</v>
      </c>
      <c r="R441" s="264" t="s">
        <v>16</v>
      </c>
      <c r="S441" s="264" t="s">
        <v>16</v>
      </c>
      <c r="X441" s="264"/>
      <c r="Z441" s="264"/>
      <c r="AA441" s="264"/>
      <c r="AB441" s="265" t="str">
        <f>VLOOKUP(功能_33[[#This Row],[User]],SKL放款!A:G,7,FALSE)</f>
        <v>放款管理課</v>
      </c>
      <c r="AC441" s="272">
        <v>44533</v>
      </c>
      <c r="AD441" s="272" t="s">
        <v>168</v>
      </c>
      <c r="AE441" s="272">
        <v>44540</v>
      </c>
      <c r="AF441" s="272">
        <v>44540</v>
      </c>
      <c r="AG441" s="209" t="s">
        <v>2971</v>
      </c>
      <c r="AH441" s="272"/>
      <c r="AI441" s="272"/>
      <c r="AJ441" s="322"/>
      <c r="AK441" s="272">
        <f>IFERROR(IF(VLOOKUP(功能_33[[#This Row],[功能代號]],E:U,11,FALSE)=0,"",VLOOKUP(功能_33[[#This Row],[功能代號]],E:U,11,FALSE)),"")</f>
        <v>44517</v>
      </c>
      <c r="AL441" s="272"/>
      <c r="AM441" s="272"/>
      <c r="AN441" s="265"/>
      <c r="AP441" s="264" t="s">
        <v>2603</v>
      </c>
      <c r="AQ441" s="264" t="s">
        <v>163</v>
      </c>
      <c r="AR441" s="594" t="s">
        <v>3138</v>
      </c>
      <c r="AS441" s="483" t="str">
        <f>IF(COUNTA(AG441)=1,LEFT(D441,3),"")</f>
        <v>8-3</v>
      </c>
      <c r="AT441" s="485" t="str">
        <f>IF(AND(COUNTA(O441)=1,COUNTA(P441)=1,COUNTA(AC441)=1,COUNTA(AF441)=1,COUNTA(AG441)=0),LEFT(D441,3),"")</f>
        <v/>
      </c>
      <c r="AU441" s="487" t="str">
        <f>IF(AND(COUNTA(O441)=1,COUNTA(P441)=1,COUNTA(AC441)=1,COUNTA(AF441)=0,COUNTA(AG441)=0),LEFT(D441,3),"")</f>
        <v/>
      </c>
      <c r="AV441" s="489" t="str">
        <f>IF(AND(COUNTA(P441)=0,COUNTA(AC441)=1),LEFT(D441,3),"")</f>
        <v/>
      </c>
      <c r="AW441" s="491" t="str">
        <f>IF(AND(COUNTA(P441)=1,COUNTA(AC441)=0),LEFT(D441,3),"")</f>
        <v/>
      </c>
      <c r="AX441" s="493" t="str">
        <f>IF(AND(COUNTA(P441)=0,COUNTA(AC441)=0),LEFT(D441,3),"")</f>
        <v/>
      </c>
      <c r="AY441" s="514" t="str">
        <f>IFERROR(VLOOKUP(功能_33[[#This Row],[功能代號]],SIT_FT_2021tmp!D:D,1,FALSE),"")</f>
        <v/>
      </c>
      <c r="AZ441" s="587">
        <v>44603</v>
      </c>
      <c r="BB441" s="514" t="s">
        <v>2453</v>
      </c>
      <c r="BC441" s="265" t="s">
        <v>2453</v>
      </c>
      <c r="BD441" s="594"/>
      <c r="BE441" s="265" t="str">
        <f>IF(AND(COUNTIF(AY441,"&gt;&lt;0")=1,COUNTA(M441)=1),LEFT(D441,3),"")</f>
        <v/>
      </c>
      <c r="BF441" s="265" t="str">
        <f>IF(AND(COUNTIF(AY441,"&gt;&lt;")=1,COUNTA(M441)=0),LEFT(D441,3),"")</f>
        <v/>
      </c>
      <c r="BG441" s="265" t="str">
        <f>IF(AND(COUNTIF(AY441,"&gt;&lt;0")=0,COUNTA(M441)=1),LEFT(D441,3),"")</f>
        <v>8-3</v>
      </c>
      <c r="BH441" s="265" t="str">
        <f>IF(AND(COUNTIF(AY441,"&gt;&lt;0")=0,COUNTA(M441)=0),LEFT(D441,3),"")</f>
        <v/>
      </c>
    </row>
    <row r="442" spans="3:60" ht="27" x14ac:dyDescent="0.3">
      <c r="C442" s="265" t="s">
        <v>72</v>
      </c>
      <c r="D442" s="265" t="s">
        <v>2477</v>
      </c>
      <c r="E442" s="264" t="s">
        <v>1142</v>
      </c>
      <c r="F442" s="265" t="s">
        <v>1143</v>
      </c>
      <c r="G442" s="265" t="s">
        <v>1105</v>
      </c>
      <c r="H442" s="264" t="s">
        <v>110</v>
      </c>
      <c r="I442" s="264" t="s">
        <v>110</v>
      </c>
      <c r="J442" s="271" t="s">
        <v>3238</v>
      </c>
      <c r="K442" s="638" t="s">
        <v>3239</v>
      </c>
      <c r="L442" s="272">
        <v>44575</v>
      </c>
      <c r="M442" s="272">
        <v>44578</v>
      </c>
      <c r="N442" s="272">
        <v>44517</v>
      </c>
      <c r="O442" s="272">
        <v>44517</v>
      </c>
      <c r="P442" s="272">
        <v>44536</v>
      </c>
      <c r="Q442" s="264" t="s">
        <v>1</v>
      </c>
      <c r="R442" s="264" t="s">
        <v>16</v>
      </c>
      <c r="S442" s="264" t="s">
        <v>16</v>
      </c>
      <c r="X442" s="264"/>
      <c r="Z442" s="264"/>
      <c r="AA442" s="264"/>
      <c r="AB442" s="265" t="str">
        <f>VLOOKUP(功能_33[[#This Row],[User]],SKL放款!A:G,7,FALSE)</f>
        <v>放款管理課</v>
      </c>
      <c r="AC442" s="272">
        <v>44533</v>
      </c>
      <c r="AD442" s="272" t="s">
        <v>168</v>
      </c>
      <c r="AE442" s="272">
        <v>44540</v>
      </c>
      <c r="AF442" s="272">
        <v>44540</v>
      </c>
      <c r="AG442" s="209" t="s">
        <v>2971</v>
      </c>
      <c r="AH442" s="272"/>
      <c r="AI442" s="272"/>
      <c r="AJ442" s="322"/>
      <c r="AK442" s="272">
        <f>IFERROR(IF(VLOOKUP(功能_33[[#This Row],[功能代號]],E:U,11,FALSE)=0,"",VLOOKUP(功能_33[[#This Row],[功能代號]],E:U,11,FALSE)),"")</f>
        <v>44517</v>
      </c>
      <c r="AL442" s="272"/>
      <c r="AM442" s="272"/>
      <c r="AN442" s="265"/>
      <c r="AP442" s="264" t="s">
        <v>2603</v>
      </c>
      <c r="AQ442" s="264" t="s">
        <v>163</v>
      </c>
      <c r="AR442" s="594" t="s">
        <v>3138</v>
      </c>
      <c r="AS442" s="483" t="str">
        <f>IF(COUNTA(AG442)=1,LEFT(D442,3),"")</f>
        <v>8-3</v>
      </c>
      <c r="AT442" s="485" t="str">
        <f>IF(AND(COUNTA(O442)=1,COUNTA(P442)=1,COUNTA(AC442)=1,COUNTA(AF442)=1,COUNTA(AG442)=0),LEFT(D442,3),"")</f>
        <v/>
      </c>
      <c r="AU442" s="487" t="str">
        <f>IF(AND(COUNTA(O442)=1,COUNTA(P442)=1,COUNTA(AC442)=1,COUNTA(AF442)=0,COUNTA(AG442)=0),LEFT(D442,3),"")</f>
        <v/>
      </c>
      <c r="AV442" s="489" t="str">
        <f>IF(AND(COUNTA(P442)=0,COUNTA(AC442)=1),LEFT(D442,3),"")</f>
        <v/>
      </c>
      <c r="AW442" s="491" t="str">
        <f>IF(AND(COUNTA(P442)=1,COUNTA(AC442)=0),LEFT(D442,3),"")</f>
        <v/>
      </c>
      <c r="AX442" s="493" t="str">
        <f>IF(AND(COUNTA(P442)=0,COUNTA(AC442)=0),LEFT(D442,3),"")</f>
        <v/>
      </c>
      <c r="AY442" s="514" t="str">
        <f>IFERROR(VLOOKUP(功能_33[[#This Row],[功能代號]],SIT_FT_2021tmp!D:D,1,FALSE),"")</f>
        <v/>
      </c>
      <c r="AZ442" s="587">
        <v>44603</v>
      </c>
      <c r="BB442" s="514" t="s">
        <v>2453</v>
      </c>
      <c r="BC442" s="265" t="s">
        <v>2453</v>
      </c>
      <c r="BD442" s="594"/>
      <c r="BE442" s="265" t="str">
        <f>IF(AND(COUNTIF(AY442,"&gt;&lt;0")=1,COUNTA(M442)=1),LEFT(D442,3),"")</f>
        <v/>
      </c>
      <c r="BF442" s="265" t="str">
        <f>IF(AND(COUNTIF(AY442,"&gt;&lt;")=1,COUNTA(M442)=0),LEFT(D442,3),"")</f>
        <v/>
      </c>
      <c r="BG442" s="265" t="str">
        <f>IF(AND(COUNTIF(AY442,"&gt;&lt;0")=0,COUNTA(M442)=1),LEFT(D442,3),"")</f>
        <v>8-3</v>
      </c>
      <c r="BH442" s="265" t="str">
        <f>IF(AND(COUNTIF(AY442,"&gt;&lt;0")=0,COUNTA(M442)=0),LEFT(D442,3),"")</f>
        <v/>
      </c>
    </row>
    <row r="443" spans="3:60" ht="27" x14ac:dyDescent="0.3">
      <c r="C443" s="265" t="s">
        <v>72</v>
      </c>
      <c r="D443" s="265" t="s">
        <v>2477</v>
      </c>
      <c r="E443" s="264" t="s">
        <v>1144</v>
      </c>
      <c r="F443" s="265" t="s">
        <v>1145</v>
      </c>
      <c r="G443" s="265" t="s">
        <v>1105</v>
      </c>
      <c r="H443" s="264" t="s">
        <v>110</v>
      </c>
      <c r="I443" s="264" t="s">
        <v>110</v>
      </c>
      <c r="J443" s="271" t="s">
        <v>3238</v>
      </c>
      <c r="K443" s="638" t="s">
        <v>3239</v>
      </c>
      <c r="L443" s="272">
        <v>44575</v>
      </c>
      <c r="M443" s="272">
        <v>44578</v>
      </c>
      <c r="N443" s="272">
        <v>44517</v>
      </c>
      <c r="O443" s="272">
        <v>44517</v>
      </c>
      <c r="P443" s="272">
        <v>44536</v>
      </c>
      <c r="Q443" s="264" t="s">
        <v>1</v>
      </c>
      <c r="R443" s="264" t="s">
        <v>16</v>
      </c>
      <c r="S443" s="264" t="s">
        <v>16</v>
      </c>
      <c r="X443" s="264"/>
      <c r="Z443" s="264"/>
      <c r="AA443" s="264"/>
      <c r="AB443" s="265" t="str">
        <f>VLOOKUP(功能_33[[#This Row],[User]],SKL放款!A:G,7,FALSE)</f>
        <v>放款管理課</v>
      </c>
      <c r="AC443" s="272">
        <v>44533</v>
      </c>
      <c r="AD443" s="272" t="s">
        <v>168</v>
      </c>
      <c r="AE443" s="272">
        <v>44540</v>
      </c>
      <c r="AF443" s="272">
        <v>44540</v>
      </c>
      <c r="AG443" s="209" t="s">
        <v>2971</v>
      </c>
      <c r="AH443" s="272"/>
      <c r="AI443" s="272"/>
      <c r="AJ443" s="322"/>
      <c r="AK443" s="272">
        <f>IFERROR(IF(VLOOKUP(功能_33[[#This Row],[功能代號]],E:U,11,FALSE)=0,"",VLOOKUP(功能_33[[#This Row],[功能代號]],E:U,11,FALSE)),"")</f>
        <v>44517</v>
      </c>
      <c r="AL443" s="272"/>
      <c r="AM443" s="272"/>
      <c r="AN443" s="265"/>
      <c r="AP443" s="264" t="s">
        <v>2603</v>
      </c>
      <c r="AQ443" s="264" t="s">
        <v>163</v>
      </c>
      <c r="AR443" s="594" t="s">
        <v>3138</v>
      </c>
      <c r="AS443" s="483" t="str">
        <f>IF(COUNTA(AG443)=1,LEFT(D443,3),"")</f>
        <v>8-3</v>
      </c>
      <c r="AT443" s="485" t="str">
        <f>IF(AND(COUNTA(O443)=1,COUNTA(P443)=1,COUNTA(AC443)=1,COUNTA(AF443)=1,COUNTA(AG443)=0),LEFT(D443,3),"")</f>
        <v/>
      </c>
      <c r="AU443" s="487" t="str">
        <f>IF(AND(COUNTA(O443)=1,COUNTA(P443)=1,COUNTA(AC443)=1,COUNTA(AF443)=0,COUNTA(AG443)=0),LEFT(D443,3),"")</f>
        <v/>
      </c>
      <c r="AV443" s="489" t="str">
        <f>IF(AND(COUNTA(P443)=0,COUNTA(AC443)=1),LEFT(D443,3),"")</f>
        <v/>
      </c>
      <c r="AW443" s="491" t="str">
        <f>IF(AND(COUNTA(P443)=1,COUNTA(AC443)=0),LEFT(D443,3),"")</f>
        <v/>
      </c>
      <c r="AX443" s="493" t="str">
        <f>IF(AND(COUNTA(P443)=0,COUNTA(AC443)=0),LEFT(D443,3),"")</f>
        <v/>
      </c>
      <c r="AY443" s="514" t="str">
        <f>IFERROR(VLOOKUP(功能_33[[#This Row],[功能代號]],SIT_FT_2021tmp!D:D,1,FALSE),"")</f>
        <v/>
      </c>
      <c r="AZ443" s="587">
        <v>44603</v>
      </c>
      <c r="BB443" s="514" t="s">
        <v>2453</v>
      </c>
      <c r="BC443" s="265" t="s">
        <v>2453</v>
      </c>
      <c r="BD443" s="594"/>
      <c r="BE443" s="265" t="str">
        <f>IF(AND(COUNTIF(AY443,"&gt;&lt;0")=1,COUNTA(M443)=1),LEFT(D443,3),"")</f>
        <v/>
      </c>
      <c r="BF443" s="265" t="str">
        <f>IF(AND(COUNTIF(AY443,"&gt;&lt;")=1,COUNTA(M443)=0),LEFT(D443,3),"")</f>
        <v/>
      </c>
      <c r="BG443" s="265" t="str">
        <f>IF(AND(COUNTIF(AY443,"&gt;&lt;0")=0,COUNTA(M443)=1),LEFT(D443,3),"")</f>
        <v>8-3</v>
      </c>
      <c r="BH443" s="265" t="str">
        <f>IF(AND(COUNTIF(AY443,"&gt;&lt;0")=0,COUNTA(M443)=0),LEFT(D443,3),"")</f>
        <v/>
      </c>
    </row>
    <row r="444" spans="3:60" ht="27" x14ac:dyDescent="0.3">
      <c r="C444" s="265" t="s">
        <v>72</v>
      </c>
      <c r="D444" s="265" t="s">
        <v>2477</v>
      </c>
      <c r="E444" s="264" t="s">
        <v>1146</v>
      </c>
      <c r="F444" s="265" t="s">
        <v>1147</v>
      </c>
      <c r="G444" s="265" t="s">
        <v>1105</v>
      </c>
      <c r="H444" s="264" t="s">
        <v>110</v>
      </c>
      <c r="I444" s="264" t="s">
        <v>110</v>
      </c>
      <c r="J444" s="271" t="s">
        <v>3238</v>
      </c>
      <c r="K444" s="638" t="s">
        <v>3239</v>
      </c>
      <c r="L444" s="272">
        <v>44575</v>
      </c>
      <c r="M444" s="272">
        <v>44578</v>
      </c>
      <c r="N444" s="272">
        <v>44517</v>
      </c>
      <c r="O444" s="272">
        <v>44517</v>
      </c>
      <c r="P444" s="272">
        <v>44536</v>
      </c>
      <c r="Q444" s="264" t="s">
        <v>1</v>
      </c>
      <c r="R444" s="264" t="s">
        <v>16</v>
      </c>
      <c r="S444" s="264" t="s">
        <v>16</v>
      </c>
      <c r="X444" s="264"/>
      <c r="Z444" s="264"/>
      <c r="AA444" s="264"/>
      <c r="AB444" s="265" t="str">
        <f>VLOOKUP(功能_33[[#This Row],[User]],SKL放款!A:G,7,FALSE)</f>
        <v>放款管理課</v>
      </c>
      <c r="AC444" s="272">
        <v>44533</v>
      </c>
      <c r="AD444" s="272" t="s">
        <v>168</v>
      </c>
      <c r="AE444" s="272">
        <v>44540</v>
      </c>
      <c r="AF444" s="272">
        <v>44540</v>
      </c>
      <c r="AG444" s="209" t="s">
        <v>2971</v>
      </c>
      <c r="AH444" s="272"/>
      <c r="AI444" s="272"/>
      <c r="AJ444" s="322"/>
      <c r="AK444" s="272">
        <f>IFERROR(IF(VLOOKUP(功能_33[[#This Row],[功能代號]],E:U,11,FALSE)=0,"",VLOOKUP(功能_33[[#This Row],[功能代號]],E:U,11,FALSE)),"")</f>
        <v>44517</v>
      </c>
      <c r="AL444" s="272"/>
      <c r="AM444" s="272"/>
      <c r="AN444" s="265"/>
      <c r="AP444" s="264" t="s">
        <v>2603</v>
      </c>
      <c r="AQ444" s="264" t="s">
        <v>163</v>
      </c>
      <c r="AR444" s="594" t="s">
        <v>3138</v>
      </c>
      <c r="AS444" s="483" t="str">
        <f>IF(COUNTA(AG444)=1,LEFT(D444,3),"")</f>
        <v>8-3</v>
      </c>
      <c r="AT444" s="485" t="str">
        <f>IF(AND(COUNTA(O444)=1,COUNTA(P444)=1,COUNTA(AC444)=1,COUNTA(AF444)=1,COUNTA(AG444)=0),LEFT(D444,3),"")</f>
        <v/>
      </c>
      <c r="AU444" s="487" t="str">
        <f>IF(AND(COUNTA(O444)=1,COUNTA(P444)=1,COUNTA(AC444)=1,COUNTA(AF444)=0,COUNTA(AG444)=0),LEFT(D444,3),"")</f>
        <v/>
      </c>
      <c r="AV444" s="489" t="str">
        <f>IF(AND(COUNTA(P444)=0,COUNTA(AC444)=1),LEFT(D444,3),"")</f>
        <v/>
      </c>
      <c r="AW444" s="491" t="str">
        <f>IF(AND(COUNTA(P444)=1,COUNTA(AC444)=0),LEFT(D444,3),"")</f>
        <v/>
      </c>
      <c r="AX444" s="493" t="str">
        <f>IF(AND(COUNTA(P444)=0,COUNTA(AC444)=0),LEFT(D444,3),"")</f>
        <v/>
      </c>
      <c r="AY444" s="514" t="str">
        <f>IFERROR(VLOOKUP(功能_33[[#This Row],[功能代號]],SIT_FT_2021tmp!D:D,1,FALSE),"")</f>
        <v/>
      </c>
      <c r="AZ444" s="587">
        <v>44603</v>
      </c>
      <c r="BB444" s="514" t="s">
        <v>2453</v>
      </c>
      <c r="BC444" s="265" t="s">
        <v>2453</v>
      </c>
      <c r="BD444" s="594"/>
      <c r="BE444" s="265" t="str">
        <f>IF(AND(COUNTIF(AY444,"&gt;&lt;0")=1,COUNTA(M444)=1),LEFT(D444,3),"")</f>
        <v/>
      </c>
      <c r="BF444" s="265" t="str">
        <f>IF(AND(COUNTIF(AY444,"&gt;&lt;")=1,COUNTA(M444)=0),LEFT(D444,3),"")</f>
        <v/>
      </c>
      <c r="BG444" s="265" t="str">
        <f>IF(AND(COUNTIF(AY444,"&gt;&lt;0")=0,COUNTA(M444)=1),LEFT(D444,3),"")</f>
        <v>8-3</v>
      </c>
      <c r="BH444" s="265" t="str">
        <f>IF(AND(COUNTIF(AY444,"&gt;&lt;0")=0,COUNTA(M444)=0),LEFT(D444,3),"")</f>
        <v/>
      </c>
    </row>
    <row r="445" spans="3:60" ht="27" x14ac:dyDescent="0.3">
      <c r="C445" s="265" t="s">
        <v>72</v>
      </c>
      <c r="D445" s="265" t="s">
        <v>2477</v>
      </c>
      <c r="E445" s="264" t="s">
        <v>1148</v>
      </c>
      <c r="F445" s="265" t="s">
        <v>1149</v>
      </c>
      <c r="G445" s="265" t="s">
        <v>1105</v>
      </c>
      <c r="H445" s="264" t="s">
        <v>110</v>
      </c>
      <c r="I445" s="264" t="s">
        <v>110</v>
      </c>
      <c r="J445" s="271" t="s">
        <v>3238</v>
      </c>
      <c r="K445" s="638" t="s">
        <v>3239</v>
      </c>
      <c r="L445" s="272">
        <v>44575</v>
      </c>
      <c r="M445" s="272">
        <v>44578</v>
      </c>
      <c r="N445" s="272">
        <v>44518</v>
      </c>
      <c r="O445" s="272">
        <v>44517</v>
      </c>
      <c r="P445" s="272">
        <v>44536</v>
      </c>
      <c r="Q445" s="264" t="s">
        <v>1</v>
      </c>
      <c r="R445" s="264" t="s">
        <v>16</v>
      </c>
      <c r="S445" s="264" t="s">
        <v>16</v>
      </c>
      <c r="X445" s="264"/>
      <c r="Z445" s="264"/>
      <c r="AA445" s="264"/>
      <c r="AB445" s="265" t="str">
        <f>VLOOKUP(功能_33[[#This Row],[User]],SKL放款!A:G,7,FALSE)</f>
        <v>放款管理課</v>
      </c>
      <c r="AC445" s="272">
        <v>44533</v>
      </c>
      <c r="AD445" s="272" t="s">
        <v>168</v>
      </c>
      <c r="AE445" s="272">
        <v>44540</v>
      </c>
      <c r="AF445" s="272">
        <v>44540</v>
      </c>
      <c r="AG445" s="209" t="s">
        <v>2971</v>
      </c>
      <c r="AH445" s="272"/>
      <c r="AI445" s="272"/>
      <c r="AJ445" s="322"/>
      <c r="AK445" s="272">
        <f>IFERROR(IF(VLOOKUP(功能_33[[#This Row],[功能代號]],E:U,11,FALSE)=0,"",VLOOKUP(功能_33[[#This Row],[功能代號]],E:U,11,FALSE)),"")</f>
        <v>44517</v>
      </c>
      <c r="AL445" s="272"/>
      <c r="AM445" s="272"/>
      <c r="AN445" s="265"/>
      <c r="AP445" s="264" t="s">
        <v>2603</v>
      </c>
      <c r="AQ445" s="264" t="s">
        <v>163</v>
      </c>
      <c r="AR445" s="594" t="s">
        <v>3138</v>
      </c>
      <c r="AS445" s="483" t="str">
        <f>IF(COUNTA(AG445)=1,LEFT(D445,3),"")</f>
        <v>8-3</v>
      </c>
      <c r="AT445" s="485" t="str">
        <f>IF(AND(COUNTA(O445)=1,COUNTA(P445)=1,COUNTA(AC445)=1,COUNTA(AF445)=1,COUNTA(AG445)=0),LEFT(D445,3),"")</f>
        <v/>
      </c>
      <c r="AU445" s="487" t="str">
        <f>IF(AND(COUNTA(O445)=1,COUNTA(P445)=1,COUNTA(AC445)=1,COUNTA(AF445)=0,COUNTA(AG445)=0),LEFT(D445,3),"")</f>
        <v/>
      </c>
      <c r="AV445" s="489" t="str">
        <f>IF(AND(COUNTA(P445)=0,COUNTA(AC445)=1),LEFT(D445,3),"")</f>
        <v/>
      </c>
      <c r="AW445" s="491" t="str">
        <f>IF(AND(COUNTA(P445)=1,COUNTA(AC445)=0),LEFT(D445,3),"")</f>
        <v/>
      </c>
      <c r="AX445" s="493" t="str">
        <f>IF(AND(COUNTA(P445)=0,COUNTA(AC445)=0),LEFT(D445,3),"")</f>
        <v/>
      </c>
      <c r="AY445" s="514" t="str">
        <f>IFERROR(VLOOKUP(功能_33[[#This Row],[功能代號]],SIT_FT_2021tmp!D:D,1,FALSE),"")</f>
        <v/>
      </c>
      <c r="AZ445" s="587">
        <v>44613</v>
      </c>
      <c r="BB445" s="514" t="s">
        <v>2453</v>
      </c>
      <c r="BC445" s="265" t="s">
        <v>2453</v>
      </c>
      <c r="BD445" s="594"/>
      <c r="BE445" s="265" t="str">
        <f>IF(AND(COUNTIF(AY445,"&gt;&lt;0")=1,COUNTA(M445)=1),LEFT(D445,3),"")</f>
        <v/>
      </c>
      <c r="BF445" s="265" t="str">
        <f>IF(AND(COUNTIF(AY445,"&gt;&lt;")=1,COUNTA(M445)=0),LEFT(D445,3),"")</f>
        <v/>
      </c>
      <c r="BG445" s="265" t="str">
        <f>IF(AND(COUNTIF(AY445,"&gt;&lt;0")=0,COUNTA(M445)=1),LEFT(D445,3),"")</f>
        <v>8-3</v>
      </c>
      <c r="BH445" s="265" t="str">
        <f>IF(AND(COUNTIF(AY445,"&gt;&lt;0")=0,COUNTA(M445)=0),LEFT(D445,3),"")</f>
        <v/>
      </c>
    </row>
    <row r="446" spans="3:60" ht="27" x14ac:dyDescent="0.3">
      <c r="C446" s="265" t="s">
        <v>72</v>
      </c>
      <c r="D446" s="265" t="s">
        <v>2477</v>
      </c>
      <c r="E446" s="264" t="s">
        <v>1150</v>
      </c>
      <c r="F446" s="265" t="s">
        <v>1151</v>
      </c>
      <c r="G446" s="265" t="s">
        <v>1105</v>
      </c>
      <c r="H446" s="264" t="s">
        <v>110</v>
      </c>
      <c r="I446" s="264" t="s">
        <v>110</v>
      </c>
      <c r="J446" s="271" t="s">
        <v>3238</v>
      </c>
      <c r="K446" s="638" t="s">
        <v>3239</v>
      </c>
      <c r="L446" s="272">
        <v>44575</v>
      </c>
      <c r="M446" s="272">
        <v>44578</v>
      </c>
      <c r="N446" s="272">
        <v>44518</v>
      </c>
      <c r="O446" s="272">
        <v>44517</v>
      </c>
      <c r="P446" s="272">
        <v>44536</v>
      </c>
      <c r="Q446" s="264" t="s">
        <v>1</v>
      </c>
      <c r="R446" s="264" t="s">
        <v>16</v>
      </c>
      <c r="S446" s="264" t="s">
        <v>16</v>
      </c>
      <c r="X446" s="264"/>
      <c r="Z446" s="264"/>
      <c r="AA446" s="264"/>
      <c r="AB446" s="265" t="str">
        <f>VLOOKUP(功能_33[[#This Row],[User]],SKL放款!A:G,7,FALSE)</f>
        <v>放款管理課</v>
      </c>
      <c r="AC446" s="272">
        <v>44533</v>
      </c>
      <c r="AD446" s="272" t="s">
        <v>168</v>
      </c>
      <c r="AE446" s="272">
        <v>44540</v>
      </c>
      <c r="AF446" s="272">
        <v>44540</v>
      </c>
      <c r="AG446" s="209" t="s">
        <v>2971</v>
      </c>
      <c r="AH446" s="272"/>
      <c r="AI446" s="272"/>
      <c r="AJ446" s="322"/>
      <c r="AK446" s="272">
        <f>IFERROR(IF(VLOOKUP(功能_33[[#This Row],[功能代號]],E:U,11,FALSE)=0,"",VLOOKUP(功能_33[[#This Row],[功能代號]],E:U,11,FALSE)),"")</f>
        <v>44517</v>
      </c>
      <c r="AL446" s="272"/>
      <c r="AM446" s="272"/>
      <c r="AN446" s="265"/>
      <c r="AP446" s="264" t="s">
        <v>2603</v>
      </c>
      <c r="AQ446" s="264" t="s">
        <v>163</v>
      </c>
      <c r="AR446" s="594" t="s">
        <v>3138</v>
      </c>
      <c r="AS446" s="483" t="str">
        <f>IF(COUNTA(AG446)=1,LEFT(D446,3),"")</f>
        <v>8-3</v>
      </c>
      <c r="AT446" s="485" t="str">
        <f>IF(AND(COUNTA(O446)=1,COUNTA(P446)=1,COUNTA(AC446)=1,COUNTA(AF446)=1,COUNTA(AG446)=0),LEFT(D446,3),"")</f>
        <v/>
      </c>
      <c r="AU446" s="487" t="str">
        <f>IF(AND(COUNTA(O446)=1,COUNTA(P446)=1,COUNTA(AC446)=1,COUNTA(AF446)=0,COUNTA(AG446)=0),LEFT(D446,3),"")</f>
        <v/>
      </c>
      <c r="AV446" s="489" t="str">
        <f>IF(AND(COUNTA(P446)=0,COUNTA(AC446)=1),LEFT(D446,3),"")</f>
        <v/>
      </c>
      <c r="AW446" s="491" t="str">
        <f>IF(AND(COUNTA(P446)=1,COUNTA(AC446)=0),LEFT(D446,3),"")</f>
        <v/>
      </c>
      <c r="AX446" s="493" t="str">
        <f>IF(AND(COUNTA(P446)=0,COUNTA(AC446)=0),LEFT(D446,3),"")</f>
        <v/>
      </c>
      <c r="AY446" s="514" t="str">
        <f>IFERROR(VLOOKUP(功能_33[[#This Row],[功能代號]],SIT_FT_2021tmp!D:D,1,FALSE),"")</f>
        <v/>
      </c>
      <c r="AZ446" s="587">
        <v>44613</v>
      </c>
      <c r="BB446" s="514" t="s">
        <v>2453</v>
      </c>
      <c r="BC446" s="265" t="s">
        <v>2453</v>
      </c>
      <c r="BD446" s="594"/>
      <c r="BE446" s="265" t="str">
        <f>IF(AND(COUNTIF(AY446,"&gt;&lt;0")=1,COUNTA(M446)=1),LEFT(D446,3),"")</f>
        <v/>
      </c>
      <c r="BF446" s="265" t="str">
        <f>IF(AND(COUNTIF(AY446,"&gt;&lt;")=1,COUNTA(M446)=0),LEFT(D446,3),"")</f>
        <v/>
      </c>
      <c r="BG446" s="265" t="str">
        <f>IF(AND(COUNTIF(AY446,"&gt;&lt;0")=0,COUNTA(M446)=1),LEFT(D446,3),"")</f>
        <v>8-3</v>
      </c>
      <c r="BH446" s="265" t="str">
        <f>IF(AND(COUNTIF(AY446,"&gt;&lt;0")=0,COUNTA(M446)=0),LEFT(D446,3),"")</f>
        <v/>
      </c>
    </row>
    <row r="447" spans="3:60" ht="27" x14ac:dyDescent="0.3">
      <c r="C447" s="265" t="s">
        <v>72</v>
      </c>
      <c r="D447" s="265" t="s">
        <v>2477</v>
      </c>
      <c r="E447" s="264" t="s">
        <v>1152</v>
      </c>
      <c r="F447" s="265" t="s">
        <v>1153</v>
      </c>
      <c r="G447" s="265" t="s">
        <v>1105</v>
      </c>
      <c r="H447" s="264" t="s">
        <v>110</v>
      </c>
      <c r="I447" s="264" t="s">
        <v>110</v>
      </c>
      <c r="J447" s="271" t="s">
        <v>3238</v>
      </c>
      <c r="K447" s="638" t="s">
        <v>3239</v>
      </c>
      <c r="L447" s="272">
        <v>44575</v>
      </c>
      <c r="M447" s="272">
        <v>44578</v>
      </c>
      <c r="N447" s="272">
        <v>44518</v>
      </c>
      <c r="O447" s="272">
        <v>44517</v>
      </c>
      <c r="P447" s="272">
        <v>44536</v>
      </c>
      <c r="Q447" s="264" t="s">
        <v>1</v>
      </c>
      <c r="R447" s="264" t="s">
        <v>16</v>
      </c>
      <c r="S447" s="264" t="s">
        <v>16</v>
      </c>
      <c r="X447" s="264"/>
      <c r="Z447" s="264"/>
      <c r="AA447" s="264"/>
      <c r="AB447" s="265" t="str">
        <f>VLOOKUP(功能_33[[#This Row],[User]],SKL放款!A:G,7,FALSE)</f>
        <v>放款管理課</v>
      </c>
      <c r="AC447" s="272">
        <v>44533</v>
      </c>
      <c r="AD447" s="272" t="s">
        <v>168</v>
      </c>
      <c r="AE447" s="272">
        <v>44540</v>
      </c>
      <c r="AF447" s="272">
        <v>44540</v>
      </c>
      <c r="AG447" s="209" t="s">
        <v>2971</v>
      </c>
      <c r="AH447" s="272"/>
      <c r="AI447" s="272"/>
      <c r="AJ447" s="322"/>
      <c r="AK447" s="272">
        <f>IFERROR(IF(VLOOKUP(功能_33[[#This Row],[功能代號]],E:U,11,FALSE)=0,"",VLOOKUP(功能_33[[#This Row],[功能代號]],E:U,11,FALSE)),"")</f>
        <v>44517</v>
      </c>
      <c r="AL447" s="272"/>
      <c r="AM447" s="272"/>
      <c r="AN447" s="265"/>
      <c r="AP447" s="264" t="s">
        <v>2603</v>
      </c>
      <c r="AQ447" s="264" t="s">
        <v>163</v>
      </c>
      <c r="AR447" s="594" t="s">
        <v>3138</v>
      </c>
      <c r="AS447" s="483" t="str">
        <f>IF(COUNTA(AG447)=1,LEFT(D447,3),"")</f>
        <v>8-3</v>
      </c>
      <c r="AT447" s="485" t="str">
        <f>IF(AND(COUNTA(O447)=1,COUNTA(P447)=1,COUNTA(AC447)=1,COUNTA(AF447)=1,COUNTA(AG447)=0),LEFT(D447,3),"")</f>
        <v/>
      </c>
      <c r="AU447" s="487" t="str">
        <f>IF(AND(COUNTA(O447)=1,COUNTA(P447)=1,COUNTA(AC447)=1,COUNTA(AF447)=0,COUNTA(AG447)=0),LEFT(D447,3),"")</f>
        <v/>
      </c>
      <c r="AV447" s="489" t="str">
        <f>IF(AND(COUNTA(P447)=0,COUNTA(AC447)=1),LEFT(D447,3),"")</f>
        <v/>
      </c>
      <c r="AW447" s="491" t="str">
        <f>IF(AND(COUNTA(P447)=1,COUNTA(AC447)=0),LEFT(D447,3),"")</f>
        <v/>
      </c>
      <c r="AX447" s="493" t="str">
        <f>IF(AND(COUNTA(P447)=0,COUNTA(AC447)=0),LEFT(D447,3),"")</f>
        <v/>
      </c>
      <c r="AY447" s="514" t="str">
        <f>IFERROR(VLOOKUP(功能_33[[#This Row],[功能代號]],SIT_FT_2021tmp!D:D,1,FALSE),"")</f>
        <v/>
      </c>
      <c r="AZ447" s="587">
        <v>44613</v>
      </c>
      <c r="BB447" s="514" t="s">
        <v>2453</v>
      </c>
      <c r="BC447" s="265" t="s">
        <v>2453</v>
      </c>
      <c r="BD447" s="594"/>
      <c r="BE447" s="265" t="str">
        <f>IF(AND(COUNTIF(AY447,"&gt;&lt;0")=1,COUNTA(M447)=1),LEFT(D447,3),"")</f>
        <v/>
      </c>
      <c r="BF447" s="265" t="str">
        <f>IF(AND(COUNTIF(AY447,"&gt;&lt;")=1,COUNTA(M447)=0),LEFT(D447,3),"")</f>
        <v/>
      </c>
      <c r="BG447" s="265" t="str">
        <f>IF(AND(COUNTIF(AY447,"&gt;&lt;0")=0,COUNTA(M447)=1),LEFT(D447,3),"")</f>
        <v>8-3</v>
      </c>
      <c r="BH447" s="265" t="str">
        <f>IF(AND(COUNTIF(AY447,"&gt;&lt;0")=0,COUNTA(M447)=0),LEFT(D447,3),"")</f>
        <v/>
      </c>
    </row>
    <row r="448" spans="3:60" ht="27" x14ac:dyDescent="0.3">
      <c r="C448" s="265" t="s">
        <v>72</v>
      </c>
      <c r="D448" s="265" t="s">
        <v>2477</v>
      </c>
      <c r="E448" s="264" t="s">
        <v>1154</v>
      </c>
      <c r="F448" s="265" t="s">
        <v>1155</v>
      </c>
      <c r="G448" s="265" t="s">
        <v>1105</v>
      </c>
      <c r="H448" s="264" t="s">
        <v>110</v>
      </c>
      <c r="I448" s="264" t="s">
        <v>110</v>
      </c>
      <c r="J448" s="271" t="s">
        <v>3238</v>
      </c>
      <c r="K448" s="638" t="s">
        <v>3239</v>
      </c>
      <c r="L448" s="272">
        <v>44575</v>
      </c>
      <c r="M448" s="272">
        <v>44578</v>
      </c>
      <c r="N448" s="272">
        <v>44518</v>
      </c>
      <c r="O448" s="272">
        <v>44517</v>
      </c>
      <c r="P448" s="272">
        <v>44536</v>
      </c>
      <c r="Q448" s="264" t="s">
        <v>1</v>
      </c>
      <c r="R448" s="264" t="s">
        <v>16</v>
      </c>
      <c r="S448" s="264" t="s">
        <v>16</v>
      </c>
      <c r="X448" s="264"/>
      <c r="Z448" s="264"/>
      <c r="AA448" s="264"/>
      <c r="AB448" s="265" t="str">
        <f>VLOOKUP(功能_33[[#This Row],[User]],SKL放款!A:G,7,FALSE)</f>
        <v>放款管理課</v>
      </c>
      <c r="AC448" s="272">
        <v>44533</v>
      </c>
      <c r="AD448" s="272" t="s">
        <v>168</v>
      </c>
      <c r="AE448" s="272">
        <v>44540</v>
      </c>
      <c r="AF448" s="272">
        <v>44540</v>
      </c>
      <c r="AG448" s="209" t="s">
        <v>2971</v>
      </c>
      <c r="AH448" s="272"/>
      <c r="AI448" s="272"/>
      <c r="AJ448" s="322"/>
      <c r="AK448" s="272">
        <f>IFERROR(IF(VLOOKUP(功能_33[[#This Row],[功能代號]],E:U,11,FALSE)=0,"",VLOOKUP(功能_33[[#This Row],[功能代號]],E:U,11,FALSE)),"")</f>
        <v>44517</v>
      </c>
      <c r="AL448" s="272"/>
      <c r="AM448" s="272"/>
      <c r="AN448" s="265"/>
      <c r="AP448" s="264" t="s">
        <v>2603</v>
      </c>
      <c r="AQ448" s="264" t="s">
        <v>163</v>
      </c>
      <c r="AR448" s="594" t="s">
        <v>3138</v>
      </c>
      <c r="AS448" s="483" t="str">
        <f>IF(COUNTA(AG448)=1,LEFT(D448,3),"")</f>
        <v>8-3</v>
      </c>
      <c r="AT448" s="485" t="str">
        <f>IF(AND(COUNTA(O448)=1,COUNTA(P448)=1,COUNTA(AC448)=1,COUNTA(AF448)=1,COUNTA(AG448)=0),LEFT(D448,3),"")</f>
        <v/>
      </c>
      <c r="AU448" s="487" t="str">
        <f>IF(AND(COUNTA(O448)=1,COUNTA(P448)=1,COUNTA(AC448)=1,COUNTA(AF448)=0,COUNTA(AG448)=0),LEFT(D448,3),"")</f>
        <v/>
      </c>
      <c r="AV448" s="489" t="str">
        <f>IF(AND(COUNTA(P448)=0,COUNTA(AC448)=1),LEFT(D448,3),"")</f>
        <v/>
      </c>
      <c r="AW448" s="491" t="str">
        <f>IF(AND(COUNTA(P448)=1,COUNTA(AC448)=0),LEFT(D448,3),"")</f>
        <v/>
      </c>
      <c r="AX448" s="493" t="str">
        <f>IF(AND(COUNTA(P448)=0,COUNTA(AC448)=0),LEFT(D448,3),"")</f>
        <v/>
      </c>
      <c r="AY448" s="514" t="str">
        <f>IFERROR(VLOOKUP(功能_33[[#This Row],[功能代號]],SIT_FT_2021tmp!D:D,1,FALSE),"")</f>
        <v/>
      </c>
      <c r="AZ448" s="587">
        <v>44613</v>
      </c>
      <c r="BB448" s="514" t="s">
        <v>2453</v>
      </c>
      <c r="BC448" s="265" t="s">
        <v>2453</v>
      </c>
      <c r="BD448" s="594"/>
      <c r="BE448" s="265" t="str">
        <f>IF(AND(COUNTIF(AY448,"&gt;&lt;0")=1,COUNTA(M448)=1),LEFT(D448,3),"")</f>
        <v/>
      </c>
      <c r="BF448" s="265" t="str">
        <f>IF(AND(COUNTIF(AY448,"&gt;&lt;")=1,COUNTA(M448)=0),LEFT(D448,3),"")</f>
        <v/>
      </c>
      <c r="BG448" s="265" t="str">
        <f>IF(AND(COUNTIF(AY448,"&gt;&lt;0")=0,COUNTA(M448)=1),LEFT(D448,3),"")</f>
        <v>8-3</v>
      </c>
      <c r="BH448" s="265" t="str">
        <f>IF(AND(COUNTIF(AY448,"&gt;&lt;0")=0,COUNTA(M448)=0),LEFT(D448,3),"")</f>
        <v/>
      </c>
    </row>
    <row r="449" spans="3:60" ht="27" x14ac:dyDescent="0.3">
      <c r="C449" s="265" t="s">
        <v>72</v>
      </c>
      <c r="D449" s="265" t="s">
        <v>2477</v>
      </c>
      <c r="E449" s="264" t="s">
        <v>1156</v>
      </c>
      <c r="F449" s="265" t="s">
        <v>1157</v>
      </c>
      <c r="G449" s="265" t="s">
        <v>1105</v>
      </c>
      <c r="H449" s="264" t="s">
        <v>110</v>
      </c>
      <c r="I449" s="264" t="s">
        <v>110</v>
      </c>
      <c r="J449" s="271" t="s">
        <v>3238</v>
      </c>
      <c r="K449" s="638" t="s">
        <v>3239</v>
      </c>
      <c r="L449" s="272">
        <v>44575</v>
      </c>
      <c r="M449" s="272">
        <v>44578</v>
      </c>
      <c r="N449" s="272">
        <v>44518</v>
      </c>
      <c r="O449" s="272">
        <v>44517</v>
      </c>
      <c r="P449" s="272">
        <v>44536</v>
      </c>
      <c r="Q449" s="264" t="s">
        <v>1</v>
      </c>
      <c r="R449" s="264" t="s">
        <v>16</v>
      </c>
      <c r="S449" s="264" t="s">
        <v>16</v>
      </c>
      <c r="X449" s="264"/>
      <c r="Z449" s="264"/>
      <c r="AA449" s="264"/>
      <c r="AB449" s="265" t="str">
        <f>VLOOKUP(功能_33[[#This Row],[User]],SKL放款!A:G,7,FALSE)</f>
        <v>放款管理課</v>
      </c>
      <c r="AC449" s="272">
        <v>44533</v>
      </c>
      <c r="AD449" s="272" t="s">
        <v>168</v>
      </c>
      <c r="AE449" s="272">
        <v>44540</v>
      </c>
      <c r="AF449" s="272">
        <v>44540</v>
      </c>
      <c r="AG449" s="209" t="s">
        <v>2971</v>
      </c>
      <c r="AH449" s="272"/>
      <c r="AI449" s="272"/>
      <c r="AJ449" s="322"/>
      <c r="AK449" s="272">
        <f>IFERROR(IF(VLOOKUP(功能_33[[#This Row],[功能代號]],E:U,11,FALSE)=0,"",VLOOKUP(功能_33[[#This Row],[功能代號]],E:U,11,FALSE)),"")</f>
        <v>44517</v>
      </c>
      <c r="AL449" s="272"/>
      <c r="AM449" s="272"/>
      <c r="AN449" s="265"/>
      <c r="AP449" s="264" t="s">
        <v>2603</v>
      </c>
      <c r="AQ449" s="264" t="s">
        <v>163</v>
      </c>
      <c r="AR449" s="594" t="s">
        <v>3138</v>
      </c>
      <c r="AS449" s="483" t="str">
        <f>IF(COUNTA(AG449)=1,LEFT(D449,3),"")</f>
        <v>8-3</v>
      </c>
      <c r="AT449" s="485" t="str">
        <f>IF(AND(COUNTA(O449)=1,COUNTA(P449)=1,COUNTA(AC449)=1,COUNTA(AF449)=1,COUNTA(AG449)=0),LEFT(D449,3),"")</f>
        <v/>
      </c>
      <c r="AU449" s="487" t="str">
        <f>IF(AND(COUNTA(O449)=1,COUNTA(P449)=1,COUNTA(AC449)=1,COUNTA(AF449)=0,COUNTA(AG449)=0),LEFT(D449,3),"")</f>
        <v/>
      </c>
      <c r="AV449" s="489" t="str">
        <f>IF(AND(COUNTA(P449)=0,COUNTA(AC449)=1),LEFT(D449,3),"")</f>
        <v/>
      </c>
      <c r="AW449" s="491" t="str">
        <f>IF(AND(COUNTA(P449)=1,COUNTA(AC449)=0),LEFT(D449,3),"")</f>
        <v/>
      </c>
      <c r="AX449" s="493" t="str">
        <f>IF(AND(COUNTA(P449)=0,COUNTA(AC449)=0),LEFT(D449,3),"")</f>
        <v/>
      </c>
      <c r="AY449" s="514" t="str">
        <f>IFERROR(VLOOKUP(功能_33[[#This Row],[功能代號]],SIT_FT_2021tmp!D:D,1,FALSE),"")</f>
        <v/>
      </c>
      <c r="AZ449" s="587">
        <v>44613</v>
      </c>
      <c r="BB449" s="514" t="s">
        <v>2453</v>
      </c>
      <c r="BC449" s="265" t="s">
        <v>2453</v>
      </c>
      <c r="BD449" s="594"/>
      <c r="BE449" s="265" t="str">
        <f>IF(AND(COUNTIF(AY449,"&gt;&lt;0")=1,COUNTA(M449)=1),LEFT(D449,3),"")</f>
        <v/>
      </c>
      <c r="BF449" s="265" t="str">
        <f>IF(AND(COUNTIF(AY449,"&gt;&lt;")=1,COUNTA(M449)=0),LEFT(D449,3),"")</f>
        <v/>
      </c>
      <c r="BG449" s="265" t="str">
        <f>IF(AND(COUNTIF(AY449,"&gt;&lt;0")=0,COUNTA(M449)=1),LEFT(D449,3),"")</f>
        <v>8-3</v>
      </c>
      <c r="BH449" s="265" t="str">
        <f>IF(AND(COUNTIF(AY449,"&gt;&lt;0")=0,COUNTA(M449)=0),LEFT(D449,3),"")</f>
        <v/>
      </c>
    </row>
    <row r="450" spans="3:60" ht="27" x14ac:dyDescent="0.3">
      <c r="C450" s="265" t="s">
        <v>72</v>
      </c>
      <c r="D450" s="265" t="s">
        <v>2477</v>
      </c>
      <c r="E450" s="264" t="s">
        <v>1158</v>
      </c>
      <c r="F450" s="265" t="s">
        <v>1159</v>
      </c>
      <c r="G450" s="265" t="s">
        <v>1105</v>
      </c>
      <c r="H450" s="264" t="s">
        <v>110</v>
      </c>
      <c r="I450" s="264" t="s">
        <v>110</v>
      </c>
      <c r="J450" s="271" t="s">
        <v>3238</v>
      </c>
      <c r="K450" s="638" t="s">
        <v>3239</v>
      </c>
      <c r="L450" s="272">
        <v>44575</v>
      </c>
      <c r="M450" s="272">
        <v>44578</v>
      </c>
      <c r="N450" s="272">
        <v>44518</v>
      </c>
      <c r="O450" s="272">
        <v>44517</v>
      </c>
      <c r="P450" s="272">
        <v>44536</v>
      </c>
      <c r="Q450" s="264" t="s">
        <v>1</v>
      </c>
      <c r="R450" s="264" t="s">
        <v>16</v>
      </c>
      <c r="S450" s="264" t="s">
        <v>16</v>
      </c>
      <c r="X450" s="264"/>
      <c r="Z450" s="264"/>
      <c r="AA450" s="264"/>
      <c r="AB450" s="265" t="str">
        <f>VLOOKUP(功能_33[[#This Row],[User]],SKL放款!A:G,7,FALSE)</f>
        <v>放款管理課</v>
      </c>
      <c r="AC450" s="272">
        <v>44533</v>
      </c>
      <c r="AD450" s="272" t="s">
        <v>168</v>
      </c>
      <c r="AE450" s="272">
        <v>44540</v>
      </c>
      <c r="AF450" s="272">
        <v>44540</v>
      </c>
      <c r="AG450" s="209" t="s">
        <v>2971</v>
      </c>
      <c r="AH450" s="272"/>
      <c r="AI450" s="272"/>
      <c r="AJ450" s="322"/>
      <c r="AK450" s="272">
        <f>IFERROR(IF(VLOOKUP(功能_33[[#This Row],[功能代號]],E:U,11,FALSE)=0,"",VLOOKUP(功能_33[[#This Row],[功能代號]],E:U,11,FALSE)),"")</f>
        <v>44517</v>
      </c>
      <c r="AL450" s="272"/>
      <c r="AM450" s="272"/>
      <c r="AN450" s="265"/>
      <c r="AP450" s="264" t="s">
        <v>2603</v>
      </c>
      <c r="AQ450" s="264" t="s">
        <v>163</v>
      </c>
      <c r="AR450" s="594" t="s">
        <v>3138</v>
      </c>
      <c r="AS450" s="483" t="str">
        <f>IF(COUNTA(AG450)=1,LEFT(D450,3),"")</f>
        <v>8-3</v>
      </c>
      <c r="AT450" s="485" t="str">
        <f>IF(AND(COUNTA(O450)=1,COUNTA(P450)=1,COUNTA(AC450)=1,COUNTA(AF450)=1,COUNTA(AG450)=0),LEFT(D450,3),"")</f>
        <v/>
      </c>
      <c r="AU450" s="487" t="str">
        <f>IF(AND(COUNTA(O450)=1,COUNTA(P450)=1,COUNTA(AC450)=1,COUNTA(AF450)=0,COUNTA(AG450)=0),LEFT(D450,3),"")</f>
        <v/>
      </c>
      <c r="AV450" s="489" t="str">
        <f>IF(AND(COUNTA(P450)=0,COUNTA(AC450)=1),LEFT(D450,3),"")</f>
        <v/>
      </c>
      <c r="AW450" s="491" t="str">
        <f>IF(AND(COUNTA(P450)=1,COUNTA(AC450)=0),LEFT(D450,3),"")</f>
        <v/>
      </c>
      <c r="AX450" s="493" t="str">
        <f>IF(AND(COUNTA(P450)=0,COUNTA(AC450)=0),LEFT(D450,3),"")</f>
        <v/>
      </c>
      <c r="AY450" s="514" t="str">
        <f>IFERROR(VLOOKUP(功能_33[[#This Row],[功能代號]],SIT_FT_2021tmp!D:D,1,FALSE),"")</f>
        <v/>
      </c>
      <c r="AZ450" s="587">
        <v>44613</v>
      </c>
      <c r="BB450" s="514" t="s">
        <v>2453</v>
      </c>
      <c r="BC450" s="265" t="s">
        <v>2453</v>
      </c>
      <c r="BD450" s="594"/>
      <c r="BE450" s="265" t="str">
        <f>IF(AND(COUNTIF(AY450,"&gt;&lt;0")=1,COUNTA(M450)=1),LEFT(D450,3),"")</f>
        <v/>
      </c>
      <c r="BF450" s="265" t="str">
        <f>IF(AND(COUNTIF(AY450,"&gt;&lt;")=1,COUNTA(M450)=0),LEFT(D450,3),"")</f>
        <v/>
      </c>
      <c r="BG450" s="265" t="str">
        <f>IF(AND(COUNTIF(AY450,"&gt;&lt;0")=0,COUNTA(M450)=1),LEFT(D450,3),"")</f>
        <v>8-3</v>
      </c>
      <c r="BH450" s="265" t="str">
        <f>IF(AND(COUNTIF(AY450,"&gt;&lt;0")=0,COUNTA(M450)=0),LEFT(D450,3),"")</f>
        <v/>
      </c>
    </row>
    <row r="451" spans="3:60" ht="27" x14ac:dyDescent="0.3">
      <c r="C451" s="265" t="s">
        <v>72</v>
      </c>
      <c r="D451" s="265" t="s">
        <v>2477</v>
      </c>
      <c r="E451" s="264" t="s">
        <v>1160</v>
      </c>
      <c r="F451" s="265" t="s">
        <v>1161</v>
      </c>
      <c r="G451" s="265" t="s">
        <v>1105</v>
      </c>
      <c r="H451" s="264" t="s">
        <v>110</v>
      </c>
      <c r="I451" s="264" t="s">
        <v>110</v>
      </c>
      <c r="J451" s="271" t="s">
        <v>3238</v>
      </c>
      <c r="K451" s="638" t="s">
        <v>3239</v>
      </c>
      <c r="L451" s="272">
        <v>44575</v>
      </c>
      <c r="M451" s="272">
        <v>44578</v>
      </c>
      <c r="N451" s="272">
        <v>44518</v>
      </c>
      <c r="O451" s="272">
        <v>44517</v>
      </c>
      <c r="P451" s="272">
        <v>44536</v>
      </c>
      <c r="Q451" s="264" t="s">
        <v>1</v>
      </c>
      <c r="R451" s="264" t="s">
        <v>16</v>
      </c>
      <c r="S451" s="264" t="s">
        <v>16</v>
      </c>
      <c r="X451" s="264"/>
      <c r="Z451" s="264"/>
      <c r="AA451" s="264"/>
      <c r="AB451" s="265" t="str">
        <f>VLOOKUP(功能_33[[#This Row],[User]],SKL放款!A:G,7,FALSE)</f>
        <v>放款管理課</v>
      </c>
      <c r="AC451" s="272">
        <v>44533</v>
      </c>
      <c r="AD451" s="272" t="s">
        <v>168</v>
      </c>
      <c r="AE451" s="272">
        <v>44540</v>
      </c>
      <c r="AF451" s="272">
        <v>44540</v>
      </c>
      <c r="AG451" s="209" t="s">
        <v>2971</v>
      </c>
      <c r="AH451" s="272"/>
      <c r="AI451" s="272"/>
      <c r="AJ451" s="322"/>
      <c r="AK451" s="272">
        <f>IFERROR(IF(VLOOKUP(功能_33[[#This Row],[功能代號]],E:U,11,FALSE)=0,"",VLOOKUP(功能_33[[#This Row],[功能代號]],E:U,11,FALSE)),"")</f>
        <v>44517</v>
      </c>
      <c r="AL451" s="272"/>
      <c r="AM451" s="272"/>
      <c r="AN451" s="265"/>
      <c r="AP451" s="264" t="s">
        <v>2603</v>
      </c>
      <c r="AQ451" s="264" t="s">
        <v>163</v>
      </c>
      <c r="AR451" s="594" t="s">
        <v>3138</v>
      </c>
      <c r="AS451" s="483" t="str">
        <f>IF(COUNTA(AG451)=1,LEFT(D451,3),"")</f>
        <v>8-3</v>
      </c>
      <c r="AT451" s="485" t="str">
        <f>IF(AND(COUNTA(O451)=1,COUNTA(P451)=1,COUNTA(AC451)=1,COUNTA(AF451)=1,COUNTA(AG451)=0),LEFT(D451,3),"")</f>
        <v/>
      </c>
      <c r="AU451" s="487" t="str">
        <f>IF(AND(COUNTA(O451)=1,COUNTA(P451)=1,COUNTA(AC451)=1,COUNTA(AF451)=0,COUNTA(AG451)=0),LEFT(D451,3),"")</f>
        <v/>
      </c>
      <c r="AV451" s="489" t="str">
        <f>IF(AND(COUNTA(P451)=0,COUNTA(AC451)=1),LEFT(D451,3),"")</f>
        <v/>
      </c>
      <c r="AW451" s="491" t="str">
        <f>IF(AND(COUNTA(P451)=1,COUNTA(AC451)=0),LEFT(D451,3),"")</f>
        <v/>
      </c>
      <c r="AX451" s="493" t="str">
        <f>IF(AND(COUNTA(P451)=0,COUNTA(AC451)=0),LEFT(D451,3),"")</f>
        <v/>
      </c>
      <c r="AY451" s="514" t="str">
        <f>IFERROR(VLOOKUP(功能_33[[#This Row],[功能代號]],SIT_FT_2021tmp!D:D,1,FALSE),"")</f>
        <v/>
      </c>
      <c r="AZ451" s="587">
        <v>44613</v>
      </c>
      <c r="BB451" s="514" t="s">
        <v>2453</v>
      </c>
      <c r="BC451" s="265" t="s">
        <v>2453</v>
      </c>
      <c r="BD451" s="594"/>
      <c r="BE451" s="265" t="str">
        <f>IF(AND(COUNTIF(AY451,"&gt;&lt;0")=1,COUNTA(M451)=1),LEFT(D451,3),"")</f>
        <v/>
      </c>
      <c r="BF451" s="265" t="str">
        <f>IF(AND(COUNTIF(AY451,"&gt;&lt;")=1,COUNTA(M451)=0),LEFT(D451,3),"")</f>
        <v/>
      </c>
      <c r="BG451" s="265" t="str">
        <f>IF(AND(COUNTIF(AY451,"&gt;&lt;0")=0,COUNTA(M451)=1),LEFT(D451,3),"")</f>
        <v>8-3</v>
      </c>
      <c r="BH451" s="265" t="str">
        <f>IF(AND(COUNTIF(AY451,"&gt;&lt;0")=0,COUNTA(M451)=0),LEFT(D451,3),"")</f>
        <v/>
      </c>
    </row>
    <row r="452" spans="3:60" ht="27" x14ac:dyDescent="0.3">
      <c r="C452" s="265" t="s">
        <v>72</v>
      </c>
      <c r="D452" s="265" t="s">
        <v>2477</v>
      </c>
      <c r="E452" s="264" t="s">
        <v>1162</v>
      </c>
      <c r="F452" s="265" t="s">
        <v>1163</v>
      </c>
      <c r="G452" s="265" t="s">
        <v>1105</v>
      </c>
      <c r="H452" s="264" t="s">
        <v>110</v>
      </c>
      <c r="I452" s="264" t="s">
        <v>110</v>
      </c>
      <c r="J452" s="271" t="s">
        <v>3238</v>
      </c>
      <c r="K452" s="638" t="s">
        <v>3239</v>
      </c>
      <c r="L452" s="272">
        <v>44575</v>
      </c>
      <c r="M452" s="272">
        <v>44578</v>
      </c>
      <c r="N452" s="272">
        <v>44518</v>
      </c>
      <c r="O452" s="272">
        <v>44517</v>
      </c>
      <c r="P452" s="272">
        <v>44536</v>
      </c>
      <c r="Q452" s="264" t="s">
        <v>1</v>
      </c>
      <c r="R452" s="264" t="s">
        <v>16</v>
      </c>
      <c r="S452" s="264" t="s">
        <v>16</v>
      </c>
      <c r="X452" s="264"/>
      <c r="Z452" s="264"/>
      <c r="AA452" s="264"/>
      <c r="AB452" s="265" t="str">
        <f>VLOOKUP(功能_33[[#This Row],[User]],SKL放款!A:G,7,FALSE)</f>
        <v>放款管理課</v>
      </c>
      <c r="AC452" s="272">
        <v>44533</v>
      </c>
      <c r="AD452" s="272" t="s">
        <v>168</v>
      </c>
      <c r="AE452" s="272">
        <v>44540</v>
      </c>
      <c r="AF452" s="272">
        <v>44540</v>
      </c>
      <c r="AG452" s="209" t="s">
        <v>2971</v>
      </c>
      <c r="AH452" s="272"/>
      <c r="AI452" s="272"/>
      <c r="AJ452" s="322"/>
      <c r="AK452" s="272">
        <f>IFERROR(IF(VLOOKUP(功能_33[[#This Row],[功能代號]],E:U,11,FALSE)=0,"",VLOOKUP(功能_33[[#This Row],[功能代號]],E:U,11,FALSE)),"")</f>
        <v>44517</v>
      </c>
      <c r="AL452" s="272"/>
      <c r="AM452" s="272"/>
      <c r="AN452" s="265"/>
      <c r="AP452" s="264" t="s">
        <v>2603</v>
      </c>
      <c r="AQ452" s="264" t="s">
        <v>163</v>
      </c>
      <c r="AR452" s="594" t="s">
        <v>3138</v>
      </c>
      <c r="AS452" s="483" t="str">
        <f>IF(COUNTA(AG452)=1,LEFT(D452,3),"")</f>
        <v>8-3</v>
      </c>
      <c r="AT452" s="485" t="str">
        <f>IF(AND(COUNTA(O452)=1,COUNTA(P452)=1,COUNTA(AC452)=1,COUNTA(AF452)=1,COUNTA(AG452)=0),LEFT(D452,3),"")</f>
        <v/>
      </c>
      <c r="AU452" s="487" t="str">
        <f>IF(AND(COUNTA(O452)=1,COUNTA(P452)=1,COUNTA(AC452)=1,COUNTA(AF452)=0,COUNTA(AG452)=0),LEFT(D452,3),"")</f>
        <v/>
      </c>
      <c r="AV452" s="489" t="str">
        <f>IF(AND(COUNTA(P452)=0,COUNTA(AC452)=1),LEFT(D452,3),"")</f>
        <v/>
      </c>
      <c r="AW452" s="491" t="str">
        <f>IF(AND(COUNTA(P452)=1,COUNTA(AC452)=0),LEFT(D452,3),"")</f>
        <v/>
      </c>
      <c r="AX452" s="493" t="str">
        <f>IF(AND(COUNTA(P452)=0,COUNTA(AC452)=0),LEFT(D452,3),"")</f>
        <v/>
      </c>
      <c r="AY452" s="514" t="str">
        <f>IFERROR(VLOOKUP(功能_33[[#This Row],[功能代號]],SIT_FT_2021tmp!D:D,1,FALSE),"")</f>
        <v/>
      </c>
      <c r="AZ452" s="587">
        <v>44613</v>
      </c>
      <c r="BB452" s="514" t="s">
        <v>2453</v>
      </c>
      <c r="BC452" s="265" t="s">
        <v>2453</v>
      </c>
      <c r="BD452" s="594"/>
      <c r="BE452" s="265" t="str">
        <f>IF(AND(COUNTIF(AY452,"&gt;&lt;0")=1,COUNTA(M452)=1),LEFT(D452,3),"")</f>
        <v/>
      </c>
      <c r="BF452" s="265" t="str">
        <f>IF(AND(COUNTIF(AY452,"&gt;&lt;")=1,COUNTA(M452)=0),LEFT(D452,3),"")</f>
        <v/>
      </c>
      <c r="BG452" s="265" t="str">
        <f>IF(AND(COUNTIF(AY452,"&gt;&lt;0")=0,COUNTA(M452)=1),LEFT(D452,3),"")</f>
        <v>8-3</v>
      </c>
      <c r="BH452" s="265" t="str">
        <f>IF(AND(COUNTIF(AY452,"&gt;&lt;0")=0,COUNTA(M452)=0),LEFT(D452,3),"")</f>
        <v/>
      </c>
    </row>
    <row r="453" spans="3:60" ht="27" x14ac:dyDescent="0.3">
      <c r="C453" s="265" t="s">
        <v>72</v>
      </c>
      <c r="D453" s="265" t="s">
        <v>2477</v>
      </c>
      <c r="E453" s="264" t="s">
        <v>1164</v>
      </c>
      <c r="F453" s="265" t="s">
        <v>1165</v>
      </c>
      <c r="G453" s="265" t="s">
        <v>1105</v>
      </c>
      <c r="H453" s="264" t="s">
        <v>110</v>
      </c>
      <c r="I453" s="264" t="s">
        <v>110</v>
      </c>
      <c r="J453" s="271" t="s">
        <v>3238</v>
      </c>
      <c r="K453" s="638" t="s">
        <v>3239</v>
      </c>
      <c r="L453" s="272">
        <v>44575</v>
      </c>
      <c r="M453" s="272">
        <v>44578</v>
      </c>
      <c r="N453" s="272">
        <v>44518</v>
      </c>
      <c r="O453" s="272">
        <v>44517</v>
      </c>
      <c r="P453" s="272">
        <v>44536</v>
      </c>
      <c r="Q453" s="264" t="s">
        <v>1</v>
      </c>
      <c r="R453" s="264" t="s">
        <v>16</v>
      </c>
      <c r="S453" s="264" t="s">
        <v>16</v>
      </c>
      <c r="X453" s="264"/>
      <c r="Z453" s="264"/>
      <c r="AA453" s="264"/>
      <c r="AB453" s="265" t="str">
        <f>VLOOKUP(功能_33[[#This Row],[User]],SKL放款!A:G,7,FALSE)</f>
        <v>放款管理課</v>
      </c>
      <c r="AC453" s="272">
        <v>44533</v>
      </c>
      <c r="AD453" s="272" t="s">
        <v>168</v>
      </c>
      <c r="AE453" s="272">
        <v>44540</v>
      </c>
      <c r="AF453" s="272">
        <v>44540</v>
      </c>
      <c r="AG453" s="209" t="s">
        <v>2971</v>
      </c>
      <c r="AH453" s="272"/>
      <c r="AI453" s="272"/>
      <c r="AJ453" s="322"/>
      <c r="AK453" s="272">
        <f>IFERROR(IF(VLOOKUP(功能_33[[#This Row],[功能代號]],E:U,11,FALSE)=0,"",VLOOKUP(功能_33[[#This Row],[功能代號]],E:U,11,FALSE)),"")</f>
        <v>44517</v>
      </c>
      <c r="AL453" s="272"/>
      <c r="AM453" s="272"/>
      <c r="AN453" s="265"/>
      <c r="AP453" s="264" t="s">
        <v>2603</v>
      </c>
      <c r="AQ453" s="264" t="s">
        <v>163</v>
      </c>
      <c r="AR453" s="594" t="s">
        <v>3138</v>
      </c>
      <c r="AS453" s="483" t="str">
        <f>IF(COUNTA(AG453)=1,LEFT(D453,3),"")</f>
        <v>8-3</v>
      </c>
      <c r="AT453" s="485" t="str">
        <f>IF(AND(COUNTA(O453)=1,COUNTA(P453)=1,COUNTA(AC453)=1,COUNTA(AF453)=1,COUNTA(AG453)=0),LEFT(D453,3),"")</f>
        <v/>
      </c>
      <c r="AU453" s="487" t="str">
        <f>IF(AND(COUNTA(O453)=1,COUNTA(P453)=1,COUNTA(AC453)=1,COUNTA(AF453)=0,COUNTA(AG453)=0),LEFT(D453,3),"")</f>
        <v/>
      </c>
      <c r="AV453" s="489" t="str">
        <f>IF(AND(COUNTA(P453)=0,COUNTA(AC453)=1),LEFT(D453,3),"")</f>
        <v/>
      </c>
      <c r="AW453" s="491" t="str">
        <f>IF(AND(COUNTA(P453)=1,COUNTA(AC453)=0),LEFT(D453,3),"")</f>
        <v/>
      </c>
      <c r="AX453" s="493" t="str">
        <f>IF(AND(COUNTA(P453)=0,COUNTA(AC453)=0),LEFT(D453,3),"")</f>
        <v/>
      </c>
      <c r="AY453" s="514" t="str">
        <f>IFERROR(VLOOKUP(功能_33[[#This Row],[功能代號]],SIT_FT_2021tmp!D:D,1,FALSE),"")</f>
        <v/>
      </c>
      <c r="AZ453" s="587">
        <v>44613</v>
      </c>
      <c r="BB453" s="514" t="s">
        <v>2453</v>
      </c>
      <c r="BC453" s="265" t="s">
        <v>2453</v>
      </c>
      <c r="BD453" s="594"/>
      <c r="BE453" s="265" t="str">
        <f>IF(AND(COUNTIF(AY453,"&gt;&lt;0")=1,COUNTA(M453)=1),LEFT(D453,3),"")</f>
        <v/>
      </c>
      <c r="BF453" s="265" t="str">
        <f>IF(AND(COUNTIF(AY453,"&gt;&lt;")=1,COUNTA(M453)=0),LEFT(D453,3),"")</f>
        <v/>
      </c>
      <c r="BG453" s="265" t="str">
        <f>IF(AND(COUNTIF(AY453,"&gt;&lt;0")=0,COUNTA(M453)=1),LEFT(D453,3),"")</f>
        <v>8-3</v>
      </c>
      <c r="BH453" s="265" t="str">
        <f>IF(AND(COUNTIF(AY453,"&gt;&lt;0")=0,COUNTA(M453)=0),LEFT(D453,3),"")</f>
        <v/>
      </c>
    </row>
    <row r="454" spans="3:60" ht="27" x14ac:dyDescent="0.3">
      <c r="C454" s="265" t="s">
        <v>72</v>
      </c>
      <c r="D454" s="265" t="s">
        <v>2477</v>
      </c>
      <c r="E454" s="264" t="s">
        <v>1166</v>
      </c>
      <c r="F454" s="265" t="s">
        <v>1167</v>
      </c>
      <c r="G454" s="265" t="s">
        <v>1105</v>
      </c>
      <c r="H454" s="264" t="s">
        <v>110</v>
      </c>
      <c r="I454" s="264" t="s">
        <v>110</v>
      </c>
      <c r="J454" s="271" t="s">
        <v>3238</v>
      </c>
      <c r="K454" s="638" t="s">
        <v>3239</v>
      </c>
      <c r="L454" s="272">
        <v>44575</v>
      </c>
      <c r="M454" s="272">
        <v>44578</v>
      </c>
      <c r="N454" s="272">
        <v>44518</v>
      </c>
      <c r="O454" s="272">
        <v>44517</v>
      </c>
      <c r="P454" s="272">
        <v>44536</v>
      </c>
      <c r="Q454" s="264" t="s">
        <v>1</v>
      </c>
      <c r="R454" s="264" t="s">
        <v>16</v>
      </c>
      <c r="S454" s="264" t="s">
        <v>16</v>
      </c>
      <c r="X454" s="264"/>
      <c r="Z454" s="264"/>
      <c r="AA454" s="264"/>
      <c r="AB454" s="265" t="str">
        <f>VLOOKUP(功能_33[[#This Row],[User]],SKL放款!A:G,7,FALSE)</f>
        <v>放款管理課</v>
      </c>
      <c r="AC454" s="272">
        <v>44533</v>
      </c>
      <c r="AD454" s="272" t="s">
        <v>168</v>
      </c>
      <c r="AE454" s="272">
        <v>44540</v>
      </c>
      <c r="AF454" s="272">
        <v>44540</v>
      </c>
      <c r="AG454" s="209" t="s">
        <v>2971</v>
      </c>
      <c r="AH454" s="272"/>
      <c r="AI454" s="272"/>
      <c r="AJ454" s="322"/>
      <c r="AK454" s="272">
        <f>IFERROR(IF(VLOOKUP(功能_33[[#This Row],[功能代號]],E:U,11,FALSE)=0,"",VLOOKUP(功能_33[[#This Row],[功能代號]],E:U,11,FALSE)),"")</f>
        <v>44517</v>
      </c>
      <c r="AL454" s="272"/>
      <c r="AM454" s="272"/>
      <c r="AN454" s="265"/>
      <c r="AP454" s="264" t="s">
        <v>2603</v>
      </c>
      <c r="AQ454" s="264" t="s">
        <v>163</v>
      </c>
      <c r="AR454" s="594" t="s">
        <v>3138</v>
      </c>
      <c r="AS454" s="483" t="str">
        <f>IF(COUNTA(AG454)=1,LEFT(D454,3),"")</f>
        <v>8-3</v>
      </c>
      <c r="AT454" s="485" t="str">
        <f>IF(AND(COUNTA(O454)=1,COUNTA(P454)=1,COUNTA(AC454)=1,COUNTA(AF454)=1,COUNTA(AG454)=0),LEFT(D454,3),"")</f>
        <v/>
      </c>
      <c r="AU454" s="487" t="str">
        <f>IF(AND(COUNTA(O454)=1,COUNTA(P454)=1,COUNTA(AC454)=1,COUNTA(AF454)=0,COUNTA(AG454)=0),LEFT(D454,3),"")</f>
        <v/>
      </c>
      <c r="AV454" s="489" t="str">
        <f>IF(AND(COUNTA(P454)=0,COUNTA(AC454)=1),LEFT(D454,3),"")</f>
        <v/>
      </c>
      <c r="AW454" s="491" t="str">
        <f>IF(AND(COUNTA(P454)=1,COUNTA(AC454)=0),LEFT(D454,3),"")</f>
        <v/>
      </c>
      <c r="AX454" s="493" t="str">
        <f>IF(AND(COUNTA(P454)=0,COUNTA(AC454)=0),LEFT(D454,3),"")</f>
        <v/>
      </c>
      <c r="AY454" s="514" t="str">
        <f>IFERROR(VLOOKUP(功能_33[[#This Row],[功能代號]],SIT_FT_2021tmp!D:D,1,FALSE),"")</f>
        <v/>
      </c>
      <c r="AZ454" s="587">
        <v>44613</v>
      </c>
      <c r="BB454" s="514" t="s">
        <v>2453</v>
      </c>
      <c r="BC454" s="265" t="s">
        <v>2453</v>
      </c>
      <c r="BD454" s="594"/>
      <c r="BE454" s="265" t="str">
        <f>IF(AND(COUNTIF(AY454,"&gt;&lt;0")=1,COUNTA(M454)=1),LEFT(D454,3),"")</f>
        <v/>
      </c>
      <c r="BF454" s="265" t="str">
        <f>IF(AND(COUNTIF(AY454,"&gt;&lt;")=1,COUNTA(M454)=0),LEFT(D454,3),"")</f>
        <v/>
      </c>
      <c r="BG454" s="265" t="str">
        <f>IF(AND(COUNTIF(AY454,"&gt;&lt;0")=0,COUNTA(M454)=1),LEFT(D454,3),"")</f>
        <v>8-3</v>
      </c>
      <c r="BH454" s="265" t="str">
        <f>IF(AND(COUNTIF(AY454,"&gt;&lt;0")=0,COUNTA(M454)=0),LEFT(D454,3),"")</f>
        <v/>
      </c>
    </row>
    <row r="455" spans="3:60" ht="27" x14ac:dyDescent="0.3">
      <c r="C455" s="265" t="s">
        <v>72</v>
      </c>
      <c r="D455" s="265" t="s">
        <v>2477</v>
      </c>
      <c r="E455" s="264" t="s">
        <v>1168</v>
      </c>
      <c r="F455" s="265" t="s">
        <v>1169</v>
      </c>
      <c r="G455" s="265" t="s">
        <v>1105</v>
      </c>
      <c r="H455" s="264" t="s">
        <v>110</v>
      </c>
      <c r="I455" s="264" t="s">
        <v>110</v>
      </c>
      <c r="J455" s="271" t="s">
        <v>3238</v>
      </c>
      <c r="K455" s="638" t="s">
        <v>3239</v>
      </c>
      <c r="L455" s="272">
        <v>44575</v>
      </c>
      <c r="M455" s="272">
        <v>44578</v>
      </c>
      <c r="N455" s="272">
        <v>44519</v>
      </c>
      <c r="O455" s="272">
        <v>44517</v>
      </c>
      <c r="P455" s="272">
        <v>44533</v>
      </c>
      <c r="Q455" s="264" t="s">
        <v>1</v>
      </c>
      <c r="R455" s="264" t="s">
        <v>16</v>
      </c>
      <c r="S455" s="264" t="s">
        <v>16</v>
      </c>
      <c r="X455" s="264"/>
      <c r="Z455" s="264"/>
      <c r="AA455" s="264"/>
      <c r="AB455" s="265" t="str">
        <f>VLOOKUP(功能_33[[#This Row],[User]],SKL放款!A:G,7,FALSE)</f>
        <v>放款管理課</v>
      </c>
      <c r="AC455" s="272">
        <v>44533</v>
      </c>
      <c r="AD455" s="272" t="s">
        <v>107</v>
      </c>
      <c r="AE455" s="272">
        <v>44540</v>
      </c>
      <c r="AF455" s="272">
        <v>44540</v>
      </c>
      <c r="AG455" s="209" t="s">
        <v>2971</v>
      </c>
      <c r="AH455" s="272"/>
      <c r="AI455" s="272"/>
      <c r="AJ455" s="322"/>
      <c r="AK455" s="272">
        <f>IFERROR(IF(VLOOKUP(功能_33[[#This Row],[功能代號]],E:U,11,FALSE)=0,"",VLOOKUP(功能_33[[#This Row],[功能代號]],E:U,11,FALSE)),"")</f>
        <v>44517</v>
      </c>
      <c r="AL455" s="272"/>
      <c r="AM455" s="272"/>
      <c r="AN455" s="265"/>
      <c r="AP455" s="264" t="s">
        <v>2603</v>
      </c>
      <c r="AQ455" s="264" t="s">
        <v>163</v>
      </c>
      <c r="AR455" s="594" t="s">
        <v>3138</v>
      </c>
      <c r="AS455" s="483" t="str">
        <f>IF(COUNTA(AG455)=1,LEFT(D455,3),"")</f>
        <v>8-3</v>
      </c>
      <c r="AT455" s="485" t="str">
        <f>IF(AND(COUNTA(O455)=1,COUNTA(P455)=1,COUNTA(AC455)=1,COUNTA(AF455)=1,COUNTA(AG455)=0),LEFT(D455,3),"")</f>
        <v/>
      </c>
      <c r="AU455" s="487" t="str">
        <f>IF(AND(COUNTA(O455)=1,COUNTA(P455)=1,COUNTA(AC455)=1,COUNTA(AF455)=0,COUNTA(AG455)=0),LEFT(D455,3),"")</f>
        <v/>
      </c>
      <c r="AV455" s="489" t="str">
        <f>IF(AND(COUNTA(P455)=0,COUNTA(AC455)=1),LEFT(D455,3),"")</f>
        <v/>
      </c>
      <c r="AW455" s="491" t="str">
        <f>IF(AND(COUNTA(P455)=1,COUNTA(AC455)=0),LEFT(D455,3),"")</f>
        <v/>
      </c>
      <c r="AX455" s="493" t="str">
        <f>IF(AND(COUNTA(P455)=0,COUNTA(AC455)=0),LEFT(D455,3),"")</f>
        <v/>
      </c>
      <c r="AY455" s="514" t="str">
        <f>IFERROR(VLOOKUP(功能_33[[#This Row],[功能代號]],SIT_FT_2021tmp!D:D,1,FALSE),"")</f>
        <v/>
      </c>
      <c r="AZ455" s="587">
        <v>44613</v>
      </c>
      <c r="BB455" s="514" t="s">
        <v>2453</v>
      </c>
      <c r="BC455" s="265" t="s">
        <v>2453</v>
      </c>
      <c r="BD455" s="594"/>
      <c r="BE455" s="265" t="str">
        <f>IF(AND(COUNTIF(AY455,"&gt;&lt;0")=1,COUNTA(M455)=1),LEFT(D455,3),"")</f>
        <v/>
      </c>
      <c r="BF455" s="265" t="str">
        <f>IF(AND(COUNTIF(AY455,"&gt;&lt;")=1,COUNTA(M455)=0),LEFT(D455,3),"")</f>
        <v/>
      </c>
      <c r="BG455" s="265" t="str">
        <f>IF(AND(COUNTIF(AY455,"&gt;&lt;0")=0,COUNTA(M455)=1),LEFT(D455,3),"")</f>
        <v>8-3</v>
      </c>
      <c r="BH455" s="265" t="str">
        <f>IF(AND(COUNTIF(AY455,"&gt;&lt;0")=0,COUNTA(M455)=0),LEFT(D455,3),"")</f>
        <v/>
      </c>
    </row>
    <row r="456" spans="3:60" ht="27" x14ac:dyDescent="0.3">
      <c r="C456" s="265" t="s">
        <v>72</v>
      </c>
      <c r="D456" s="265" t="s">
        <v>2477</v>
      </c>
      <c r="E456" s="264" t="s">
        <v>1170</v>
      </c>
      <c r="F456" s="265" t="s">
        <v>1171</v>
      </c>
      <c r="G456" s="265" t="s">
        <v>1105</v>
      </c>
      <c r="H456" s="264" t="s">
        <v>110</v>
      </c>
      <c r="I456" s="264" t="s">
        <v>110</v>
      </c>
      <c r="J456" s="271" t="s">
        <v>3238</v>
      </c>
      <c r="K456" s="638" t="s">
        <v>3239</v>
      </c>
      <c r="L456" s="272">
        <v>44575</v>
      </c>
      <c r="M456" s="272">
        <v>44578</v>
      </c>
      <c r="N456" s="272">
        <v>44519</v>
      </c>
      <c r="O456" s="272">
        <v>44517</v>
      </c>
      <c r="P456" s="272">
        <v>44536</v>
      </c>
      <c r="Q456" s="264" t="s">
        <v>1</v>
      </c>
      <c r="R456" s="264" t="s">
        <v>16</v>
      </c>
      <c r="S456" s="264" t="s">
        <v>16</v>
      </c>
      <c r="X456" s="264"/>
      <c r="Z456" s="264"/>
      <c r="AA456" s="264"/>
      <c r="AB456" s="265" t="str">
        <f>VLOOKUP(功能_33[[#This Row],[User]],SKL放款!A:G,7,FALSE)</f>
        <v>放款管理課</v>
      </c>
      <c r="AC456" s="272">
        <v>44533</v>
      </c>
      <c r="AD456" s="272" t="s">
        <v>168</v>
      </c>
      <c r="AE456" s="272">
        <v>44540</v>
      </c>
      <c r="AF456" s="272">
        <v>44540</v>
      </c>
      <c r="AG456" s="209" t="s">
        <v>2971</v>
      </c>
      <c r="AH456" s="272"/>
      <c r="AI456" s="272"/>
      <c r="AJ456" s="322"/>
      <c r="AK456" s="272">
        <f>IFERROR(IF(VLOOKUP(功能_33[[#This Row],[功能代號]],E:U,11,FALSE)=0,"",VLOOKUP(功能_33[[#This Row],[功能代號]],E:U,11,FALSE)),"")</f>
        <v>44517</v>
      </c>
      <c r="AL456" s="272"/>
      <c r="AM456" s="272"/>
      <c r="AN456" s="265"/>
      <c r="AP456" s="264" t="s">
        <v>2603</v>
      </c>
      <c r="AQ456" s="264" t="s">
        <v>163</v>
      </c>
      <c r="AR456" s="594" t="s">
        <v>3138</v>
      </c>
      <c r="AS456" s="483" t="str">
        <f>IF(COUNTA(AG456)=1,LEFT(D456,3),"")</f>
        <v>8-3</v>
      </c>
      <c r="AT456" s="485" t="str">
        <f>IF(AND(COUNTA(O456)=1,COUNTA(P456)=1,COUNTA(AC456)=1,COUNTA(AF456)=1,COUNTA(AG456)=0),LEFT(D456,3),"")</f>
        <v/>
      </c>
      <c r="AU456" s="487" t="str">
        <f>IF(AND(COUNTA(O456)=1,COUNTA(P456)=1,COUNTA(AC456)=1,COUNTA(AF456)=0,COUNTA(AG456)=0),LEFT(D456,3),"")</f>
        <v/>
      </c>
      <c r="AV456" s="489" t="str">
        <f>IF(AND(COUNTA(P456)=0,COUNTA(AC456)=1),LEFT(D456,3),"")</f>
        <v/>
      </c>
      <c r="AW456" s="491" t="str">
        <f>IF(AND(COUNTA(P456)=1,COUNTA(AC456)=0),LEFT(D456,3),"")</f>
        <v/>
      </c>
      <c r="AX456" s="493" t="str">
        <f>IF(AND(COUNTA(P456)=0,COUNTA(AC456)=0),LEFT(D456,3),"")</f>
        <v/>
      </c>
      <c r="AY456" s="514" t="str">
        <f>IFERROR(VLOOKUP(功能_33[[#This Row],[功能代號]],SIT_FT_2021tmp!D:D,1,FALSE),"")</f>
        <v/>
      </c>
      <c r="AZ456" s="587">
        <v>44613</v>
      </c>
      <c r="BB456" s="514" t="s">
        <v>2453</v>
      </c>
      <c r="BC456" s="265" t="s">
        <v>2453</v>
      </c>
      <c r="BD456" s="594"/>
      <c r="BE456" s="265" t="str">
        <f>IF(AND(COUNTIF(AY456,"&gt;&lt;0")=1,COUNTA(M456)=1),LEFT(D456,3),"")</f>
        <v/>
      </c>
      <c r="BF456" s="265" t="str">
        <f>IF(AND(COUNTIF(AY456,"&gt;&lt;")=1,COUNTA(M456)=0),LEFT(D456,3),"")</f>
        <v/>
      </c>
      <c r="BG456" s="265" t="str">
        <f>IF(AND(COUNTIF(AY456,"&gt;&lt;0")=0,COUNTA(M456)=1),LEFT(D456,3),"")</f>
        <v>8-3</v>
      </c>
      <c r="BH456" s="265" t="str">
        <f>IF(AND(COUNTIF(AY456,"&gt;&lt;0")=0,COUNTA(M456)=0),LEFT(D456,3),"")</f>
        <v/>
      </c>
    </row>
    <row r="457" spans="3:60" ht="27" x14ac:dyDescent="0.3">
      <c r="C457" s="265" t="s">
        <v>72</v>
      </c>
      <c r="D457" s="265" t="s">
        <v>2477</v>
      </c>
      <c r="E457" s="264" t="s">
        <v>1172</v>
      </c>
      <c r="F457" s="265" t="s">
        <v>1173</v>
      </c>
      <c r="G457" s="265" t="s">
        <v>1105</v>
      </c>
      <c r="H457" s="264" t="s">
        <v>110</v>
      </c>
      <c r="I457" s="264" t="s">
        <v>110</v>
      </c>
      <c r="J457" s="271" t="s">
        <v>3238</v>
      </c>
      <c r="K457" s="638" t="s">
        <v>3239</v>
      </c>
      <c r="L457" s="272">
        <v>44575</v>
      </c>
      <c r="M457" s="272">
        <v>44578</v>
      </c>
      <c r="N457" s="272">
        <v>44519</v>
      </c>
      <c r="O457" s="272">
        <v>44517</v>
      </c>
      <c r="P457" s="272">
        <v>44536</v>
      </c>
      <c r="Q457" s="264" t="s">
        <v>1</v>
      </c>
      <c r="R457" s="264" t="s">
        <v>16</v>
      </c>
      <c r="S457" s="264" t="s">
        <v>16</v>
      </c>
      <c r="X457" s="264"/>
      <c r="Z457" s="264"/>
      <c r="AA457" s="264"/>
      <c r="AB457" s="265" t="str">
        <f>VLOOKUP(功能_33[[#This Row],[User]],SKL放款!A:G,7,FALSE)</f>
        <v>放款管理課</v>
      </c>
      <c r="AC457" s="272">
        <v>44533</v>
      </c>
      <c r="AD457" s="272" t="s">
        <v>168</v>
      </c>
      <c r="AE457" s="272">
        <v>44540</v>
      </c>
      <c r="AF457" s="272">
        <v>44540</v>
      </c>
      <c r="AG457" s="209" t="s">
        <v>2971</v>
      </c>
      <c r="AH457" s="272"/>
      <c r="AI457" s="272"/>
      <c r="AJ457" s="322"/>
      <c r="AK457" s="272">
        <f>IFERROR(IF(VLOOKUP(功能_33[[#This Row],[功能代號]],E:U,11,FALSE)=0,"",VLOOKUP(功能_33[[#This Row],[功能代號]],E:U,11,FALSE)),"")</f>
        <v>44517</v>
      </c>
      <c r="AL457" s="272"/>
      <c r="AM457" s="272"/>
      <c r="AN457" s="265"/>
      <c r="AP457" s="264" t="s">
        <v>2603</v>
      </c>
      <c r="AQ457" s="264" t="s">
        <v>163</v>
      </c>
      <c r="AR457" s="594" t="s">
        <v>3138</v>
      </c>
      <c r="AS457" s="483" t="str">
        <f>IF(COUNTA(AG457)=1,LEFT(D457,3),"")</f>
        <v>8-3</v>
      </c>
      <c r="AT457" s="485" t="str">
        <f>IF(AND(COUNTA(O457)=1,COUNTA(P457)=1,COUNTA(AC457)=1,COUNTA(AF457)=1,COUNTA(AG457)=0),LEFT(D457,3),"")</f>
        <v/>
      </c>
      <c r="AU457" s="487" t="str">
        <f>IF(AND(COUNTA(O457)=1,COUNTA(P457)=1,COUNTA(AC457)=1,COUNTA(AF457)=0,COUNTA(AG457)=0),LEFT(D457,3),"")</f>
        <v/>
      </c>
      <c r="AV457" s="489" t="str">
        <f>IF(AND(COUNTA(P457)=0,COUNTA(AC457)=1),LEFT(D457,3),"")</f>
        <v/>
      </c>
      <c r="AW457" s="491" t="str">
        <f>IF(AND(COUNTA(P457)=1,COUNTA(AC457)=0),LEFT(D457,3),"")</f>
        <v/>
      </c>
      <c r="AX457" s="493" t="str">
        <f>IF(AND(COUNTA(P457)=0,COUNTA(AC457)=0),LEFT(D457,3),"")</f>
        <v/>
      </c>
      <c r="AY457" s="514" t="str">
        <f>IFERROR(VLOOKUP(功能_33[[#This Row],[功能代號]],SIT_FT_2021tmp!D:D,1,FALSE),"")</f>
        <v/>
      </c>
      <c r="AZ457" s="587">
        <v>44613</v>
      </c>
      <c r="BB457" s="514" t="s">
        <v>2453</v>
      </c>
      <c r="BC457" s="265" t="s">
        <v>2453</v>
      </c>
      <c r="BD457" s="594"/>
      <c r="BE457" s="265" t="str">
        <f>IF(AND(COUNTIF(AY457,"&gt;&lt;0")=1,COUNTA(M457)=1),LEFT(D457,3),"")</f>
        <v/>
      </c>
      <c r="BF457" s="265" t="str">
        <f>IF(AND(COUNTIF(AY457,"&gt;&lt;")=1,COUNTA(M457)=0),LEFT(D457,3),"")</f>
        <v/>
      </c>
      <c r="BG457" s="265" t="str">
        <f>IF(AND(COUNTIF(AY457,"&gt;&lt;0")=0,COUNTA(M457)=1),LEFT(D457,3),"")</f>
        <v>8-3</v>
      </c>
      <c r="BH457" s="265" t="str">
        <f>IF(AND(COUNTIF(AY457,"&gt;&lt;0")=0,COUNTA(M457)=0),LEFT(D457,3),"")</f>
        <v/>
      </c>
    </row>
    <row r="458" spans="3:60" ht="27" x14ac:dyDescent="0.3">
      <c r="C458" s="265" t="s">
        <v>72</v>
      </c>
      <c r="D458" s="265" t="s">
        <v>2477</v>
      </c>
      <c r="E458" s="264" t="s">
        <v>1174</v>
      </c>
      <c r="F458" s="265" t="s">
        <v>1175</v>
      </c>
      <c r="G458" s="265" t="s">
        <v>1105</v>
      </c>
      <c r="H458" s="264" t="s">
        <v>110</v>
      </c>
      <c r="I458" s="264" t="s">
        <v>110</v>
      </c>
      <c r="J458" s="271" t="s">
        <v>3238</v>
      </c>
      <c r="K458" s="638" t="s">
        <v>3239</v>
      </c>
      <c r="L458" s="272">
        <v>44575</v>
      </c>
      <c r="M458" s="272">
        <v>44578</v>
      </c>
      <c r="N458" s="272">
        <v>44519</v>
      </c>
      <c r="O458" s="272">
        <v>44517</v>
      </c>
      <c r="P458" s="272">
        <v>44536</v>
      </c>
      <c r="Q458" s="264" t="s">
        <v>1</v>
      </c>
      <c r="R458" s="264" t="s">
        <v>16</v>
      </c>
      <c r="S458" s="264" t="s">
        <v>16</v>
      </c>
      <c r="X458" s="264"/>
      <c r="Z458" s="264"/>
      <c r="AA458" s="264"/>
      <c r="AB458" s="265" t="str">
        <f>VLOOKUP(功能_33[[#This Row],[User]],SKL放款!A:G,7,FALSE)</f>
        <v>放款管理課</v>
      </c>
      <c r="AC458" s="272">
        <v>44533</v>
      </c>
      <c r="AD458" s="272" t="s">
        <v>168</v>
      </c>
      <c r="AE458" s="272">
        <v>44540</v>
      </c>
      <c r="AF458" s="272">
        <v>44540</v>
      </c>
      <c r="AG458" s="209" t="s">
        <v>2971</v>
      </c>
      <c r="AH458" s="272"/>
      <c r="AI458" s="272"/>
      <c r="AJ458" s="322"/>
      <c r="AK458" s="272">
        <f>IFERROR(IF(VLOOKUP(功能_33[[#This Row],[功能代號]],E:U,11,FALSE)=0,"",VLOOKUP(功能_33[[#This Row],[功能代號]],E:U,11,FALSE)),"")</f>
        <v>44517</v>
      </c>
      <c r="AL458" s="272"/>
      <c r="AM458" s="272"/>
      <c r="AN458" s="265"/>
      <c r="AP458" s="264" t="s">
        <v>2603</v>
      </c>
      <c r="AQ458" s="264" t="s">
        <v>163</v>
      </c>
      <c r="AR458" s="594" t="s">
        <v>3138</v>
      </c>
      <c r="AS458" s="483" t="str">
        <f>IF(COUNTA(AG458)=1,LEFT(D458,3),"")</f>
        <v>8-3</v>
      </c>
      <c r="AT458" s="485" t="str">
        <f>IF(AND(COUNTA(O458)=1,COUNTA(P458)=1,COUNTA(AC458)=1,COUNTA(AF458)=1,COUNTA(AG458)=0),LEFT(D458,3),"")</f>
        <v/>
      </c>
      <c r="AU458" s="487" t="str">
        <f>IF(AND(COUNTA(O458)=1,COUNTA(P458)=1,COUNTA(AC458)=1,COUNTA(AF458)=0,COUNTA(AG458)=0),LEFT(D458,3),"")</f>
        <v/>
      </c>
      <c r="AV458" s="489" t="str">
        <f>IF(AND(COUNTA(P458)=0,COUNTA(AC458)=1),LEFT(D458,3),"")</f>
        <v/>
      </c>
      <c r="AW458" s="491" t="str">
        <f>IF(AND(COUNTA(P458)=1,COUNTA(AC458)=0),LEFT(D458,3),"")</f>
        <v/>
      </c>
      <c r="AX458" s="493" t="str">
        <f>IF(AND(COUNTA(P458)=0,COUNTA(AC458)=0),LEFT(D458,3),"")</f>
        <v/>
      </c>
      <c r="AY458" s="514" t="str">
        <f>IFERROR(VLOOKUP(功能_33[[#This Row],[功能代號]],SIT_FT_2021tmp!D:D,1,FALSE),"")</f>
        <v/>
      </c>
      <c r="AZ458" s="587">
        <v>44613</v>
      </c>
      <c r="BB458" s="514" t="s">
        <v>2453</v>
      </c>
      <c r="BC458" s="265" t="s">
        <v>2453</v>
      </c>
      <c r="BD458" s="594"/>
      <c r="BE458" s="265" t="str">
        <f>IF(AND(COUNTIF(AY458,"&gt;&lt;0")=1,COUNTA(M458)=1),LEFT(D458,3),"")</f>
        <v/>
      </c>
      <c r="BF458" s="265" t="str">
        <f>IF(AND(COUNTIF(AY458,"&gt;&lt;")=1,COUNTA(M458)=0),LEFT(D458,3),"")</f>
        <v/>
      </c>
      <c r="BG458" s="265" t="str">
        <f>IF(AND(COUNTIF(AY458,"&gt;&lt;0")=0,COUNTA(M458)=1),LEFT(D458,3),"")</f>
        <v>8-3</v>
      </c>
      <c r="BH458" s="265" t="str">
        <f>IF(AND(COUNTIF(AY458,"&gt;&lt;0")=0,COUNTA(M458)=0),LEFT(D458,3),"")</f>
        <v/>
      </c>
    </row>
    <row r="459" spans="3:60" ht="27" x14ac:dyDescent="0.3">
      <c r="C459" s="265" t="s">
        <v>72</v>
      </c>
      <c r="D459" s="265" t="s">
        <v>2477</v>
      </c>
      <c r="E459" s="264" t="s">
        <v>1176</v>
      </c>
      <c r="F459" s="265" t="s">
        <v>1177</v>
      </c>
      <c r="G459" s="265" t="s">
        <v>1105</v>
      </c>
      <c r="H459" s="264" t="s">
        <v>110</v>
      </c>
      <c r="I459" s="264" t="s">
        <v>110</v>
      </c>
      <c r="J459" s="271" t="s">
        <v>3238</v>
      </c>
      <c r="K459" s="638" t="s">
        <v>3239</v>
      </c>
      <c r="L459" s="272">
        <v>44575</v>
      </c>
      <c r="M459" s="272">
        <v>44578</v>
      </c>
      <c r="N459" s="272">
        <v>44519</v>
      </c>
      <c r="O459" s="272">
        <v>44517</v>
      </c>
      <c r="P459" s="272">
        <v>44536</v>
      </c>
      <c r="Q459" s="264" t="s">
        <v>1</v>
      </c>
      <c r="R459" s="264" t="s">
        <v>16</v>
      </c>
      <c r="S459" s="264" t="s">
        <v>16</v>
      </c>
      <c r="X459" s="264"/>
      <c r="Z459" s="264"/>
      <c r="AA459" s="264"/>
      <c r="AB459" s="265" t="str">
        <f>VLOOKUP(功能_33[[#This Row],[User]],SKL放款!A:G,7,FALSE)</f>
        <v>放款管理課</v>
      </c>
      <c r="AC459" s="272">
        <v>44533</v>
      </c>
      <c r="AD459" s="272" t="s">
        <v>168</v>
      </c>
      <c r="AE459" s="272">
        <v>44540</v>
      </c>
      <c r="AF459" s="272">
        <v>44540</v>
      </c>
      <c r="AG459" s="209" t="s">
        <v>2971</v>
      </c>
      <c r="AH459" s="272"/>
      <c r="AI459" s="272"/>
      <c r="AJ459" s="322"/>
      <c r="AK459" s="272">
        <f>IFERROR(IF(VLOOKUP(功能_33[[#This Row],[功能代號]],E:U,11,FALSE)=0,"",VLOOKUP(功能_33[[#This Row],[功能代號]],E:U,11,FALSE)),"")</f>
        <v>44517</v>
      </c>
      <c r="AL459" s="272"/>
      <c r="AM459" s="272"/>
      <c r="AN459" s="265"/>
      <c r="AP459" s="264" t="s">
        <v>2603</v>
      </c>
      <c r="AQ459" s="264" t="s">
        <v>163</v>
      </c>
      <c r="AR459" s="594" t="s">
        <v>3138</v>
      </c>
      <c r="AS459" s="483" t="str">
        <f>IF(COUNTA(AG459)=1,LEFT(D459,3),"")</f>
        <v>8-3</v>
      </c>
      <c r="AT459" s="485" t="str">
        <f>IF(AND(COUNTA(O459)=1,COUNTA(P459)=1,COUNTA(AC459)=1,COUNTA(AF459)=1,COUNTA(AG459)=0),LEFT(D459,3),"")</f>
        <v/>
      </c>
      <c r="AU459" s="487" t="str">
        <f>IF(AND(COUNTA(O459)=1,COUNTA(P459)=1,COUNTA(AC459)=1,COUNTA(AF459)=0,COUNTA(AG459)=0),LEFT(D459,3),"")</f>
        <v/>
      </c>
      <c r="AV459" s="489" t="str">
        <f>IF(AND(COUNTA(P459)=0,COUNTA(AC459)=1),LEFT(D459,3),"")</f>
        <v/>
      </c>
      <c r="AW459" s="491" t="str">
        <f>IF(AND(COUNTA(P459)=1,COUNTA(AC459)=0),LEFT(D459,3),"")</f>
        <v/>
      </c>
      <c r="AX459" s="493" t="str">
        <f>IF(AND(COUNTA(P459)=0,COUNTA(AC459)=0),LEFT(D459,3),"")</f>
        <v/>
      </c>
      <c r="AY459" s="514" t="str">
        <f>IFERROR(VLOOKUP(功能_33[[#This Row],[功能代號]],SIT_FT_2021tmp!D:D,1,FALSE),"")</f>
        <v/>
      </c>
      <c r="AZ459" s="587">
        <v>44613</v>
      </c>
      <c r="BB459" s="514" t="s">
        <v>2453</v>
      </c>
      <c r="BC459" s="265" t="s">
        <v>2453</v>
      </c>
      <c r="BD459" s="594"/>
      <c r="BE459" s="265" t="str">
        <f>IF(AND(COUNTIF(AY459,"&gt;&lt;0")=1,COUNTA(M459)=1),LEFT(D459,3),"")</f>
        <v/>
      </c>
      <c r="BF459" s="265" t="str">
        <f>IF(AND(COUNTIF(AY459,"&gt;&lt;")=1,COUNTA(M459)=0),LEFT(D459,3),"")</f>
        <v/>
      </c>
      <c r="BG459" s="265" t="str">
        <f>IF(AND(COUNTIF(AY459,"&gt;&lt;0")=0,COUNTA(M459)=1),LEFT(D459,3),"")</f>
        <v>8-3</v>
      </c>
      <c r="BH459" s="265" t="str">
        <f>IF(AND(COUNTIF(AY459,"&gt;&lt;0")=0,COUNTA(M459)=0),LEFT(D459,3),"")</f>
        <v/>
      </c>
    </row>
    <row r="460" spans="3:60" ht="27" x14ac:dyDescent="0.3">
      <c r="C460" s="265" t="s">
        <v>72</v>
      </c>
      <c r="D460" s="265" t="s">
        <v>2477</v>
      </c>
      <c r="E460" s="264" t="s">
        <v>1178</v>
      </c>
      <c r="F460" s="265" t="s">
        <v>1179</v>
      </c>
      <c r="G460" s="265" t="s">
        <v>1105</v>
      </c>
      <c r="H460" s="264" t="s">
        <v>110</v>
      </c>
      <c r="I460" s="264" t="s">
        <v>110</v>
      </c>
      <c r="J460" s="271" t="s">
        <v>3238</v>
      </c>
      <c r="K460" s="638" t="s">
        <v>3239</v>
      </c>
      <c r="L460" s="272">
        <v>44575</v>
      </c>
      <c r="M460" s="272">
        <v>44578</v>
      </c>
      <c r="N460" s="272">
        <v>44519</v>
      </c>
      <c r="O460" s="272">
        <v>44517</v>
      </c>
      <c r="P460" s="272">
        <v>44536</v>
      </c>
      <c r="Q460" s="264" t="s">
        <v>1</v>
      </c>
      <c r="R460" s="264" t="s">
        <v>16</v>
      </c>
      <c r="S460" s="264" t="s">
        <v>16</v>
      </c>
      <c r="X460" s="264"/>
      <c r="Z460" s="264"/>
      <c r="AA460" s="264"/>
      <c r="AB460" s="265" t="str">
        <f>VLOOKUP(功能_33[[#This Row],[User]],SKL放款!A:G,7,FALSE)</f>
        <v>放款管理課</v>
      </c>
      <c r="AC460" s="272">
        <v>44533</v>
      </c>
      <c r="AD460" s="272" t="s">
        <v>168</v>
      </c>
      <c r="AE460" s="272">
        <v>44540</v>
      </c>
      <c r="AF460" s="272">
        <v>44540</v>
      </c>
      <c r="AG460" s="209" t="s">
        <v>2971</v>
      </c>
      <c r="AH460" s="272"/>
      <c r="AI460" s="272"/>
      <c r="AJ460" s="322"/>
      <c r="AK460" s="272">
        <f>IFERROR(IF(VLOOKUP(功能_33[[#This Row],[功能代號]],E:U,11,FALSE)=0,"",VLOOKUP(功能_33[[#This Row],[功能代號]],E:U,11,FALSE)),"")</f>
        <v>44517</v>
      </c>
      <c r="AL460" s="272"/>
      <c r="AM460" s="272"/>
      <c r="AN460" s="265"/>
      <c r="AP460" s="264" t="s">
        <v>2603</v>
      </c>
      <c r="AQ460" s="264" t="s">
        <v>163</v>
      </c>
      <c r="AR460" s="594" t="s">
        <v>3138</v>
      </c>
      <c r="AS460" s="483" t="str">
        <f>IF(COUNTA(AG460)=1,LEFT(D460,3),"")</f>
        <v>8-3</v>
      </c>
      <c r="AT460" s="485" t="str">
        <f>IF(AND(COUNTA(O460)=1,COUNTA(P460)=1,COUNTA(AC460)=1,COUNTA(AF460)=1,COUNTA(AG460)=0),LEFT(D460,3),"")</f>
        <v/>
      </c>
      <c r="AU460" s="487" t="str">
        <f>IF(AND(COUNTA(O460)=1,COUNTA(P460)=1,COUNTA(AC460)=1,COUNTA(AF460)=0,COUNTA(AG460)=0),LEFT(D460,3),"")</f>
        <v/>
      </c>
      <c r="AV460" s="489" t="str">
        <f>IF(AND(COUNTA(P460)=0,COUNTA(AC460)=1),LEFT(D460,3),"")</f>
        <v/>
      </c>
      <c r="AW460" s="491" t="str">
        <f>IF(AND(COUNTA(P460)=1,COUNTA(AC460)=0),LEFT(D460,3),"")</f>
        <v/>
      </c>
      <c r="AX460" s="493" t="str">
        <f>IF(AND(COUNTA(P460)=0,COUNTA(AC460)=0),LEFT(D460,3),"")</f>
        <v/>
      </c>
      <c r="AY460" s="514" t="str">
        <f>IFERROR(VLOOKUP(功能_33[[#This Row],[功能代號]],SIT_FT_2021tmp!D:D,1,FALSE),"")</f>
        <v/>
      </c>
      <c r="AZ460" s="587">
        <v>44613</v>
      </c>
      <c r="BB460" s="514" t="s">
        <v>2453</v>
      </c>
      <c r="BC460" s="265" t="s">
        <v>2453</v>
      </c>
      <c r="BD460" s="594"/>
      <c r="BE460" s="265" t="str">
        <f>IF(AND(COUNTIF(AY460,"&gt;&lt;0")=1,COUNTA(M460)=1),LEFT(D460,3),"")</f>
        <v/>
      </c>
      <c r="BF460" s="265" t="str">
        <f>IF(AND(COUNTIF(AY460,"&gt;&lt;")=1,COUNTA(M460)=0),LEFT(D460,3),"")</f>
        <v/>
      </c>
      <c r="BG460" s="265" t="str">
        <f>IF(AND(COUNTIF(AY460,"&gt;&lt;0")=0,COUNTA(M460)=1),LEFT(D460,3),"")</f>
        <v>8-3</v>
      </c>
      <c r="BH460" s="265" t="str">
        <f>IF(AND(COUNTIF(AY460,"&gt;&lt;0")=0,COUNTA(M460)=0),LEFT(D460,3),"")</f>
        <v/>
      </c>
    </row>
    <row r="461" spans="3:60" ht="27" x14ac:dyDescent="0.3">
      <c r="C461" s="265" t="s">
        <v>72</v>
      </c>
      <c r="D461" s="265" t="s">
        <v>2477</v>
      </c>
      <c r="E461" s="264" t="s">
        <v>1180</v>
      </c>
      <c r="F461" s="265" t="s">
        <v>1181</v>
      </c>
      <c r="G461" s="265" t="s">
        <v>1105</v>
      </c>
      <c r="H461" s="264" t="s">
        <v>110</v>
      </c>
      <c r="I461" s="264" t="s">
        <v>110</v>
      </c>
      <c r="J461" s="271" t="s">
        <v>3238</v>
      </c>
      <c r="K461" s="638" t="s">
        <v>3239</v>
      </c>
      <c r="L461" s="272">
        <v>44610</v>
      </c>
      <c r="M461" s="264"/>
      <c r="N461" s="272">
        <v>44515</v>
      </c>
      <c r="O461" s="272">
        <v>44517</v>
      </c>
      <c r="P461" s="272">
        <v>44545</v>
      </c>
      <c r="Q461" s="264" t="s">
        <v>1</v>
      </c>
      <c r="R461" s="264" t="s">
        <v>16</v>
      </c>
      <c r="S461" s="264" t="s">
        <v>16</v>
      </c>
      <c r="X461" s="264"/>
      <c r="Z461" s="264"/>
      <c r="AA461" s="264"/>
      <c r="AB461" s="265" t="str">
        <f>VLOOKUP(功能_33[[#This Row],[User]],SKL放款!A:G,7,FALSE)</f>
        <v>放款管理課</v>
      </c>
      <c r="AC461" s="272">
        <v>44545</v>
      </c>
      <c r="AD461" s="272" t="s">
        <v>2394</v>
      </c>
      <c r="AE461" s="272">
        <v>44540</v>
      </c>
      <c r="AF461" s="272">
        <v>44540</v>
      </c>
      <c r="AG461" s="209" t="s">
        <v>2971</v>
      </c>
      <c r="AH461" s="272"/>
      <c r="AI461" s="272"/>
      <c r="AJ461" s="322"/>
      <c r="AK461" s="272">
        <f>IFERROR(IF(VLOOKUP(功能_33[[#This Row],[功能代號]],E:U,11,FALSE)=0,"",VLOOKUP(功能_33[[#This Row],[功能代號]],E:U,11,FALSE)),"")</f>
        <v>44517</v>
      </c>
      <c r="AL461" s="272"/>
      <c r="AM461" s="272"/>
      <c r="AN461" s="265"/>
      <c r="AP461" s="264" t="s">
        <v>2680</v>
      </c>
      <c r="AQ461" s="265" t="s">
        <v>2789</v>
      </c>
      <c r="AR461" s="594" t="s">
        <v>3138</v>
      </c>
      <c r="AS461" s="483" t="str">
        <f>IF(COUNTA(AG461)=1,LEFT(D461,3),"")</f>
        <v>8-3</v>
      </c>
      <c r="AT461" s="485" t="str">
        <f>IF(AND(COUNTA(O461)=1,COUNTA(P461)=1,COUNTA(AC461)=1,COUNTA(AF461)=1,COUNTA(AG461)=0),LEFT(D461,3),"")</f>
        <v/>
      </c>
      <c r="AU461" s="487" t="str">
        <f>IF(AND(COUNTA(O461)=1,COUNTA(P461)=1,COUNTA(AC461)=1,COUNTA(AF461)=0,COUNTA(AG461)=0),LEFT(D461,3),"")</f>
        <v/>
      </c>
      <c r="AV461" s="489" t="str">
        <f>IF(AND(COUNTA(P461)=0,COUNTA(AC461)=1),LEFT(D461,3),"")</f>
        <v/>
      </c>
      <c r="AW461" s="491" t="str">
        <f>IF(AND(COUNTA(P461)=1,COUNTA(AC461)=0),LEFT(D461,3),"")</f>
        <v/>
      </c>
      <c r="AX461" s="493" t="str">
        <f>IF(AND(COUNTA(P461)=0,COUNTA(AC461)=0),LEFT(D461,3),"")</f>
        <v/>
      </c>
      <c r="AY461" s="514" t="str">
        <f>IFERROR(VLOOKUP(功能_33[[#This Row],[功能代號]],SIT_FT_2021tmp!D:D,1,FALSE),"")</f>
        <v/>
      </c>
      <c r="AZ461" s="587">
        <v>44610</v>
      </c>
      <c r="BB461" s="514"/>
      <c r="BC461" s="265" t="s">
        <v>2453</v>
      </c>
      <c r="BD461" s="594"/>
      <c r="BE461" s="265" t="str">
        <f>IF(AND(COUNTIF(AY461,"&gt;&lt;0")=1,COUNTA(M461)=1),LEFT(D461,3),"")</f>
        <v/>
      </c>
      <c r="BF461" s="265" t="str">
        <f>IF(AND(COUNTIF(AY461,"&gt;&lt;")=1,COUNTA(M461)=0),LEFT(D461,3),"")</f>
        <v/>
      </c>
      <c r="BG461" s="265" t="str">
        <f>IF(AND(COUNTIF(AY461,"&gt;&lt;0")=0,COUNTA(M461)=1),LEFT(D461,3),"")</f>
        <v/>
      </c>
      <c r="BH461" s="265" t="str">
        <f>IF(AND(COUNTIF(AY461,"&gt;&lt;0")=0,COUNTA(M461)=0),LEFT(D461,3),"")</f>
        <v>8-3</v>
      </c>
    </row>
    <row r="462" spans="3:60" ht="27" x14ac:dyDescent="0.3">
      <c r="C462" s="265" t="s">
        <v>72</v>
      </c>
      <c r="D462" s="265" t="s">
        <v>2477</v>
      </c>
      <c r="E462" s="264" t="s">
        <v>1182</v>
      </c>
      <c r="F462" s="265" t="s">
        <v>1183</v>
      </c>
      <c r="G462" s="265" t="s">
        <v>1105</v>
      </c>
      <c r="H462" s="264" t="s">
        <v>110</v>
      </c>
      <c r="I462" s="264" t="s">
        <v>110</v>
      </c>
      <c r="J462" s="271" t="s">
        <v>3238</v>
      </c>
      <c r="K462" s="638" t="s">
        <v>3239</v>
      </c>
      <c r="L462" s="272">
        <v>44610</v>
      </c>
      <c r="M462" s="264"/>
      <c r="N462" s="272">
        <v>44515</v>
      </c>
      <c r="O462" s="272">
        <v>44517</v>
      </c>
      <c r="P462" s="272">
        <v>44545</v>
      </c>
      <c r="Q462" s="264" t="s">
        <v>1</v>
      </c>
      <c r="R462" s="264" t="s">
        <v>16</v>
      </c>
      <c r="S462" s="264" t="s">
        <v>16</v>
      </c>
      <c r="X462" s="264"/>
      <c r="Z462" s="264"/>
      <c r="AA462" s="264"/>
      <c r="AB462" s="265" t="str">
        <f>VLOOKUP(功能_33[[#This Row],[User]],SKL放款!A:G,7,FALSE)</f>
        <v>放款管理課</v>
      </c>
      <c r="AC462" s="272">
        <v>44545</v>
      </c>
      <c r="AD462" s="272" t="s">
        <v>2394</v>
      </c>
      <c r="AE462" s="272">
        <v>44540</v>
      </c>
      <c r="AF462" s="272">
        <v>44540</v>
      </c>
      <c r="AG462" s="209" t="s">
        <v>2971</v>
      </c>
      <c r="AH462" s="272"/>
      <c r="AI462" s="272"/>
      <c r="AJ462" s="322"/>
      <c r="AK462" s="272">
        <f>IFERROR(IF(VLOOKUP(功能_33[[#This Row],[功能代號]],E:U,11,FALSE)=0,"",VLOOKUP(功能_33[[#This Row],[功能代號]],E:U,11,FALSE)),"")</f>
        <v>44517</v>
      </c>
      <c r="AL462" s="272"/>
      <c r="AM462" s="272"/>
      <c r="AN462" s="265"/>
      <c r="AP462" s="264" t="s">
        <v>2680</v>
      </c>
      <c r="AQ462" s="265" t="s">
        <v>2789</v>
      </c>
      <c r="AR462" s="594" t="s">
        <v>3138</v>
      </c>
      <c r="AS462" s="483" t="str">
        <f>IF(COUNTA(AG462)=1,LEFT(D462,3),"")</f>
        <v>8-3</v>
      </c>
      <c r="AT462" s="485" t="str">
        <f>IF(AND(COUNTA(O462)=1,COUNTA(P462)=1,COUNTA(AC462)=1,COUNTA(AF462)=1,COUNTA(AG462)=0),LEFT(D462,3),"")</f>
        <v/>
      </c>
      <c r="AU462" s="487" t="str">
        <f>IF(AND(COUNTA(O462)=1,COUNTA(P462)=1,COUNTA(AC462)=1,COUNTA(AF462)=0,COUNTA(AG462)=0),LEFT(D462,3),"")</f>
        <v/>
      </c>
      <c r="AV462" s="489" t="str">
        <f>IF(AND(COUNTA(P462)=0,COUNTA(AC462)=1),LEFT(D462,3),"")</f>
        <v/>
      </c>
      <c r="AW462" s="491" t="str">
        <f>IF(AND(COUNTA(P462)=1,COUNTA(AC462)=0),LEFT(D462,3),"")</f>
        <v/>
      </c>
      <c r="AX462" s="493" t="str">
        <f>IF(AND(COUNTA(P462)=0,COUNTA(AC462)=0),LEFT(D462,3),"")</f>
        <v/>
      </c>
      <c r="AY462" s="514" t="str">
        <f>IFERROR(VLOOKUP(功能_33[[#This Row],[功能代號]],SIT_FT_2021tmp!D:D,1,FALSE),"")</f>
        <v/>
      </c>
      <c r="AZ462" s="587">
        <v>44610</v>
      </c>
      <c r="BB462" s="514"/>
      <c r="BC462" s="265" t="s">
        <v>2453</v>
      </c>
      <c r="BD462" s="594"/>
      <c r="BE462" s="265" t="str">
        <f>IF(AND(COUNTIF(AY462,"&gt;&lt;0")=1,COUNTA(M462)=1),LEFT(D462,3),"")</f>
        <v/>
      </c>
      <c r="BF462" s="265" t="str">
        <f>IF(AND(COUNTIF(AY462,"&gt;&lt;")=1,COUNTA(M462)=0),LEFT(D462,3),"")</f>
        <v/>
      </c>
      <c r="BG462" s="265" t="str">
        <f>IF(AND(COUNTIF(AY462,"&gt;&lt;0")=0,COUNTA(M462)=1),LEFT(D462,3),"")</f>
        <v/>
      </c>
      <c r="BH462" s="265" t="str">
        <f>IF(AND(COUNTIF(AY462,"&gt;&lt;0")=0,COUNTA(M462)=0),LEFT(D462,3),"")</f>
        <v>8-3</v>
      </c>
    </row>
    <row r="463" spans="3:60" ht="27" x14ac:dyDescent="0.3">
      <c r="C463" s="265" t="s">
        <v>72</v>
      </c>
      <c r="D463" s="265" t="s">
        <v>2477</v>
      </c>
      <c r="E463" s="264" t="s">
        <v>1184</v>
      </c>
      <c r="F463" s="265" t="s">
        <v>1185</v>
      </c>
      <c r="G463" s="265" t="s">
        <v>1105</v>
      </c>
      <c r="H463" s="264" t="s">
        <v>110</v>
      </c>
      <c r="I463" s="264" t="s">
        <v>110</v>
      </c>
      <c r="J463" s="271" t="s">
        <v>3238</v>
      </c>
      <c r="K463" s="638" t="s">
        <v>3239</v>
      </c>
      <c r="L463" s="272">
        <v>44610</v>
      </c>
      <c r="M463" s="264"/>
      <c r="N463" s="272">
        <v>44515</v>
      </c>
      <c r="O463" s="272">
        <v>44517</v>
      </c>
      <c r="P463" s="272">
        <v>44545</v>
      </c>
      <c r="Q463" s="264" t="s">
        <v>1</v>
      </c>
      <c r="R463" s="264" t="s">
        <v>16</v>
      </c>
      <c r="S463" s="264" t="s">
        <v>16</v>
      </c>
      <c r="X463" s="264"/>
      <c r="Z463" s="264"/>
      <c r="AA463" s="264"/>
      <c r="AB463" s="265" t="str">
        <f>VLOOKUP(功能_33[[#This Row],[User]],SKL放款!A:G,7,FALSE)</f>
        <v>放款管理課</v>
      </c>
      <c r="AC463" s="272">
        <v>44545</v>
      </c>
      <c r="AD463" s="272" t="s">
        <v>2394</v>
      </c>
      <c r="AE463" s="272">
        <v>44540</v>
      </c>
      <c r="AF463" s="272">
        <v>44540</v>
      </c>
      <c r="AG463" s="209" t="s">
        <v>2971</v>
      </c>
      <c r="AH463" s="272"/>
      <c r="AI463" s="272"/>
      <c r="AJ463" s="322"/>
      <c r="AK463" s="272">
        <f>IFERROR(IF(VLOOKUP(功能_33[[#This Row],[功能代號]],E:U,11,FALSE)=0,"",VLOOKUP(功能_33[[#This Row],[功能代號]],E:U,11,FALSE)),"")</f>
        <v>44517</v>
      </c>
      <c r="AL463" s="272"/>
      <c r="AM463" s="272"/>
      <c r="AN463" s="265"/>
      <c r="AP463" s="264" t="s">
        <v>2680</v>
      </c>
      <c r="AQ463" s="265" t="s">
        <v>2789</v>
      </c>
      <c r="AR463" s="594" t="s">
        <v>3138</v>
      </c>
      <c r="AS463" s="483" t="str">
        <f>IF(COUNTA(AG463)=1,LEFT(D463,3),"")</f>
        <v>8-3</v>
      </c>
      <c r="AT463" s="485" t="str">
        <f>IF(AND(COUNTA(O463)=1,COUNTA(P463)=1,COUNTA(AC463)=1,COUNTA(AF463)=1,COUNTA(AG463)=0),LEFT(D463,3),"")</f>
        <v/>
      </c>
      <c r="AU463" s="487" t="str">
        <f>IF(AND(COUNTA(O463)=1,COUNTA(P463)=1,COUNTA(AC463)=1,COUNTA(AF463)=0,COUNTA(AG463)=0),LEFT(D463,3),"")</f>
        <v/>
      </c>
      <c r="AV463" s="489" t="str">
        <f>IF(AND(COUNTA(P463)=0,COUNTA(AC463)=1),LEFT(D463,3),"")</f>
        <v/>
      </c>
      <c r="AW463" s="491" t="str">
        <f>IF(AND(COUNTA(P463)=1,COUNTA(AC463)=0),LEFT(D463,3),"")</f>
        <v/>
      </c>
      <c r="AX463" s="493" t="str">
        <f>IF(AND(COUNTA(P463)=0,COUNTA(AC463)=0),LEFT(D463,3),"")</f>
        <v/>
      </c>
      <c r="AY463" s="514" t="str">
        <f>IFERROR(VLOOKUP(功能_33[[#This Row],[功能代號]],SIT_FT_2021tmp!D:D,1,FALSE),"")</f>
        <v/>
      </c>
      <c r="AZ463" s="587">
        <v>44610</v>
      </c>
      <c r="BB463" s="514"/>
      <c r="BC463" s="265" t="s">
        <v>2453</v>
      </c>
      <c r="BD463" s="594"/>
      <c r="BE463" s="265" t="str">
        <f>IF(AND(COUNTIF(AY463,"&gt;&lt;0")=1,COUNTA(M463)=1),LEFT(D463,3),"")</f>
        <v/>
      </c>
      <c r="BF463" s="265" t="str">
        <f>IF(AND(COUNTIF(AY463,"&gt;&lt;")=1,COUNTA(M463)=0),LEFT(D463,3),"")</f>
        <v/>
      </c>
      <c r="BG463" s="265" t="str">
        <f>IF(AND(COUNTIF(AY463,"&gt;&lt;0")=0,COUNTA(M463)=1),LEFT(D463,3),"")</f>
        <v/>
      </c>
      <c r="BH463" s="265" t="str">
        <f>IF(AND(COUNTIF(AY463,"&gt;&lt;0")=0,COUNTA(M463)=0),LEFT(D463,3),"")</f>
        <v>8-3</v>
      </c>
    </row>
    <row r="464" spans="3:60" ht="27" x14ac:dyDescent="0.3">
      <c r="C464" s="265" t="s">
        <v>72</v>
      </c>
      <c r="D464" s="265" t="s">
        <v>2477</v>
      </c>
      <c r="E464" s="264" t="s">
        <v>1186</v>
      </c>
      <c r="F464" s="265" t="s">
        <v>1187</v>
      </c>
      <c r="G464" s="265" t="s">
        <v>1105</v>
      </c>
      <c r="H464" s="264" t="s">
        <v>110</v>
      </c>
      <c r="I464" s="264" t="s">
        <v>110</v>
      </c>
      <c r="J464" s="271" t="s">
        <v>3238</v>
      </c>
      <c r="K464" s="638" t="s">
        <v>3239</v>
      </c>
      <c r="L464" s="272">
        <v>44610</v>
      </c>
      <c r="M464" s="264"/>
      <c r="N464" s="272">
        <v>44515</v>
      </c>
      <c r="O464" s="272">
        <v>44517</v>
      </c>
      <c r="P464" s="272">
        <v>44545</v>
      </c>
      <c r="Q464" s="264" t="s">
        <v>1</v>
      </c>
      <c r="R464" s="264" t="s">
        <v>16</v>
      </c>
      <c r="S464" s="264" t="s">
        <v>16</v>
      </c>
      <c r="X464" s="264"/>
      <c r="Z464" s="264"/>
      <c r="AA464" s="264"/>
      <c r="AB464" s="265" t="str">
        <f>VLOOKUP(功能_33[[#This Row],[User]],SKL放款!A:G,7,FALSE)</f>
        <v>放款管理課</v>
      </c>
      <c r="AC464" s="272">
        <v>44545</v>
      </c>
      <c r="AD464" s="272" t="s">
        <v>2394</v>
      </c>
      <c r="AE464" s="272">
        <v>44540</v>
      </c>
      <c r="AF464" s="272">
        <v>44540</v>
      </c>
      <c r="AG464" s="209" t="s">
        <v>2971</v>
      </c>
      <c r="AH464" s="272"/>
      <c r="AI464" s="272"/>
      <c r="AJ464" s="322"/>
      <c r="AK464" s="272">
        <f>IFERROR(IF(VLOOKUP(功能_33[[#This Row],[功能代號]],E:U,11,FALSE)=0,"",VLOOKUP(功能_33[[#This Row],[功能代號]],E:U,11,FALSE)),"")</f>
        <v>44517</v>
      </c>
      <c r="AL464" s="272"/>
      <c r="AM464" s="272"/>
      <c r="AN464" s="265"/>
      <c r="AP464" s="264" t="s">
        <v>2680</v>
      </c>
      <c r="AQ464" s="265" t="s">
        <v>2789</v>
      </c>
      <c r="AR464" s="594" t="s">
        <v>3138</v>
      </c>
      <c r="AS464" s="483" t="str">
        <f>IF(COUNTA(AG464)=1,LEFT(D464,3),"")</f>
        <v>8-3</v>
      </c>
      <c r="AT464" s="485" t="str">
        <f>IF(AND(COUNTA(O464)=1,COUNTA(P464)=1,COUNTA(AC464)=1,COUNTA(AF464)=1,COUNTA(AG464)=0),LEFT(D464,3),"")</f>
        <v/>
      </c>
      <c r="AU464" s="487" t="str">
        <f>IF(AND(COUNTA(O464)=1,COUNTA(P464)=1,COUNTA(AC464)=1,COUNTA(AF464)=0,COUNTA(AG464)=0),LEFT(D464,3),"")</f>
        <v/>
      </c>
      <c r="AV464" s="489" t="str">
        <f>IF(AND(COUNTA(P464)=0,COUNTA(AC464)=1),LEFT(D464,3),"")</f>
        <v/>
      </c>
      <c r="AW464" s="491" t="str">
        <f>IF(AND(COUNTA(P464)=1,COUNTA(AC464)=0),LEFT(D464,3),"")</f>
        <v/>
      </c>
      <c r="AX464" s="493" t="str">
        <f>IF(AND(COUNTA(P464)=0,COUNTA(AC464)=0),LEFT(D464,3),"")</f>
        <v/>
      </c>
      <c r="AY464" s="514" t="str">
        <f>IFERROR(VLOOKUP(功能_33[[#This Row],[功能代號]],SIT_FT_2021tmp!D:D,1,FALSE),"")</f>
        <v/>
      </c>
      <c r="AZ464" s="587">
        <v>44610</v>
      </c>
      <c r="BB464" s="514"/>
      <c r="BC464" s="265" t="s">
        <v>2453</v>
      </c>
      <c r="BD464" s="594"/>
      <c r="BE464" s="265" t="str">
        <f>IF(AND(COUNTIF(AY464,"&gt;&lt;0")=1,COUNTA(M464)=1),LEFT(D464,3),"")</f>
        <v/>
      </c>
      <c r="BF464" s="265" t="str">
        <f>IF(AND(COUNTIF(AY464,"&gt;&lt;")=1,COUNTA(M464)=0),LEFT(D464,3),"")</f>
        <v/>
      </c>
      <c r="BG464" s="265" t="str">
        <f>IF(AND(COUNTIF(AY464,"&gt;&lt;0")=0,COUNTA(M464)=1),LEFT(D464,3),"")</f>
        <v/>
      </c>
      <c r="BH464" s="265" t="str">
        <f>IF(AND(COUNTIF(AY464,"&gt;&lt;0")=0,COUNTA(M464)=0),LEFT(D464,3),"")</f>
        <v>8-3</v>
      </c>
    </row>
    <row r="465" spans="3:60" ht="27" x14ac:dyDescent="0.3">
      <c r="C465" s="265" t="s">
        <v>72</v>
      </c>
      <c r="D465" s="265" t="s">
        <v>2477</v>
      </c>
      <c r="E465" s="264" t="s">
        <v>1188</v>
      </c>
      <c r="F465" s="265" t="s">
        <v>1189</v>
      </c>
      <c r="G465" s="265" t="s">
        <v>1105</v>
      </c>
      <c r="H465" s="264" t="s">
        <v>110</v>
      </c>
      <c r="I465" s="264" t="s">
        <v>110</v>
      </c>
      <c r="J465" s="271" t="s">
        <v>3238</v>
      </c>
      <c r="K465" s="638" t="s">
        <v>3239</v>
      </c>
      <c r="L465" s="272">
        <v>44610</v>
      </c>
      <c r="M465" s="264"/>
      <c r="N465" s="272">
        <v>44515</v>
      </c>
      <c r="O465" s="272">
        <v>44517</v>
      </c>
      <c r="P465" s="272">
        <v>44545</v>
      </c>
      <c r="Q465" s="264" t="s">
        <v>1</v>
      </c>
      <c r="R465" s="264" t="s">
        <v>16</v>
      </c>
      <c r="S465" s="264" t="s">
        <v>16</v>
      </c>
      <c r="X465" s="264"/>
      <c r="Z465" s="264"/>
      <c r="AA465" s="264"/>
      <c r="AB465" s="265" t="str">
        <f>VLOOKUP(功能_33[[#This Row],[User]],SKL放款!A:G,7,FALSE)</f>
        <v>放款管理課</v>
      </c>
      <c r="AC465" s="272">
        <v>44545</v>
      </c>
      <c r="AD465" s="272" t="s">
        <v>2394</v>
      </c>
      <c r="AE465" s="272">
        <v>44540</v>
      </c>
      <c r="AF465" s="272">
        <v>44540</v>
      </c>
      <c r="AG465" s="209" t="s">
        <v>2971</v>
      </c>
      <c r="AH465" s="272"/>
      <c r="AI465" s="272"/>
      <c r="AJ465" s="322"/>
      <c r="AK465" s="272">
        <f>IFERROR(IF(VLOOKUP(功能_33[[#This Row],[功能代號]],E:U,11,FALSE)=0,"",VLOOKUP(功能_33[[#This Row],[功能代號]],E:U,11,FALSE)),"")</f>
        <v>44517</v>
      </c>
      <c r="AL465" s="272"/>
      <c r="AM465" s="272"/>
      <c r="AN465" s="265"/>
      <c r="AP465" s="264" t="s">
        <v>2680</v>
      </c>
      <c r="AQ465" s="265" t="s">
        <v>2789</v>
      </c>
      <c r="AR465" s="594" t="s">
        <v>3138</v>
      </c>
      <c r="AS465" s="483" t="str">
        <f>IF(COUNTA(AG465)=1,LEFT(D465,3),"")</f>
        <v>8-3</v>
      </c>
      <c r="AT465" s="485" t="str">
        <f>IF(AND(COUNTA(O465)=1,COUNTA(P465)=1,COUNTA(AC465)=1,COUNTA(AF465)=1,COUNTA(AG465)=0),LEFT(D465,3),"")</f>
        <v/>
      </c>
      <c r="AU465" s="487" t="str">
        <f>IF(AND(COUNTA(O465)=1,COUNTA(P465)=1,COUNTA(AC465)=1,COUNTA(AF465)=0,COUNTA(AG465)=0),LEFT(D465,3),"")</f>
        <v/>
      </c>
      <c r="AV465" s="489" t="str">
        <f>IF(AND(COUNTA(P465)=0,COUNTA(AC465)=1),LEFT(D465,3),"")</f>
        <v/>
      </c>
      <c r="AW465" s="491" t="str">
        <f>IF(AND(COUNTA(P465)=1,COUNTA(AC465)=0),LEFT(D465,3),"")</f>
        <v/>
      </c>
      <c r="AX465" s="493" t="str">
        <f>IF(AND(COUNTA(P465)=0,COUNTA(AC465)=0),LEFT(D465,3),"")</f>
        <v/>
      </c>
      <c r="AY465" s="514" t="str">
        <f>IFERROR(VLOOKUP(功能_33[[#This Row],[功能代號]],SIT_FT_2021tmp!D:D,1,FALSE),"")</f>
        <v/>
      </c>
      <c r="AZ465" s="587">
        <v>44610</v>
      </c>
      <c r="BB465" s="514"/>
      <c r="BC465" s="265" t="s">
        <v>2453</v>
      </c>
      <c r="BD465" s="594"/>
      <c r="BE465" s="265" t="str">
        <f>IF(AND(COUNTIF(AY465,"&gt;&lt;0")=1,COUNTA(M465)=1),LEFT(D465,3),"")</f>
        <v/>
      </c>
      <c r="BF465" s="265" t="str">
        <f>IF(AND(COUNTIF(AY465,"&gt;&lt;")=1,COUNTA(M465)=0),LEFT(D465,3),"")</f>
        <v/>
      </c>
      <c r="BG465" s="265" t="str">
        <f>IF(AND(COUNTIF(AY465,"&gt;&lt;0")=0,COUNTA(M465)=1),LEFT(D465,3),"")</f>
        <v/>
      </c>
      <c r="BH465" s="265" t="str">
        <f>IF(AND(COUNTIF(AY465,"&gt;&lt;0")=0,COUNTA(M465)=0),LEFT(D465,3),"")</f>
        <v>8-3</v>
      </c>
    </row>
    <row r="466" spans="3:60" ht="27" x14ac:dyDescent="0.3">
      <c r="C466" s="265" t="s">
        <v>72</v>
      </c>
      <c r="D466" s="265" t="s">
        <v>2477</v>
      </c>
      <c r="E466" s="264" t="s">
        <v>1190</v>
      </c>
      <c r="F466" s="265" t="s">
        <v>1191</v>
      </c>
      <c r="G466" s="265" t="s">
        <v>1105</v>
      </c>
      <c r="H466" s="264" t="s">
        <v>110</v>
      </c>
      <c r="I466" s="264" t="s">
        <v>110</v>
      </c>
      <c r="J466" s="271" t="s">
        <v>3238</v>
      </c>
      <c r="K466" s="638" t="s">
        <v>3239</v>
      </c>
      <c r="L466" s="272">
        <v>44610</v>
      </c>
      <c r="M466" s="264"/>
      <c r="N466" s="272">
        <v>44515</v>
      </c>
      <c r="O466" s="272">
        <v>44517</v>
      </c>
      <c r="P466" s="272">
        <v>44545</v>
      </c>
      <c r="Q466" s="264" t="s">
        <v>1</v>
      </c>
      <c r="R466" s="264" t="s">
        <v>16</v>
      </c>
      <c r="S466" s="264" t="s">
        <v>16</v>
      </c>
      <c r="X466" s="264"/>
      <c r="Z466" s="264"/>
      <c r="AA466" s="264"/>
      <c r="AB466" s="265" t="str">
        <f>VLOOKUP(功能_33[[#This Row],[User]],SKL放款!A:G,7,FALSE)</f>
        <v>放款管理課</v>
      </c>
      <c r="AC466" s="272">
        <v>44545</v>
      </c>
      <c r="AD466" s="272" t="s">
        <v>2394</v>
      </c>
      <c r="AE466" s="272">
        <v>44540</v>
      </c>
      <c r="AF466" s="272">
        <v>44540</v>
      </c>
      <c r="AG466" s="209" t="s">
        <v>2971</v>
      </c>
      <c r="AH466" s="272"/>
      <c r="AI466" s="272"/>
      <c r="AJ466" s="322"/>
      <c r="AK466" s="272">
        <f>IFERROR(IF(VLOOKUP(功能_33[[#This Row],[功能代號]],E:U,11,FALSE)=0,"",VLOOKUP(功能_33[[#This Row],[功能代號]],E:U,11,FALSE)),"")</f>
        <v>44517</v>
      </c>
      <c r="AL466" s="272"/>
      <c r="AM466" s="272"/>
      <c r="AN466" s="265"/>
      <c r="AP466" s="264" t="s">
        <v>2680</v>
      </c>
      <c r="AQ466" s="265" t="s">
        <v>2789</v>
      </c>
      <c r="AR466" s="594" t="s">
        <v>3138</v>
      </c>
      <c r="AS466" s="483" t="str">
        <f>IF(COUNTA(AG466)=1,LEFT(D466,3),"")</f>
        <v>8-3</v>
      </c>
      <c r="AT466" s="485" t="str">
        <f>IF(AND(COUNTA(O466)=1,COUNTA(P466)=1,COUNTA(AC466)=1,COUNTA(AF466)=1,COUNTA(AG466)=0),LEFT(D466,3),"")</f>
        <v/>
      </c>
      <c r="AU466" s="487" t="str">
        <f>IF(AND(COUNTA(O466)=1,COUNTA(P466)=1,COUNTA(AC466)=1,COUNTA(AF466)=0,COUNTA(AG466)=0),LEFT(D466,3),"")</f>
        <v/>
      </c>
      <c r="AV466" s="489" t="str">
        <f>IF(AND(COUNTA(P466)=0,COUNTA(AC466)=1),LEFT(D466,3),"")</f>
        <v/>
      </c>
      <c r="AW466" s="491" t="str">
        <f>IF(AND(COUNTA(P466)=1,COUNTA(AC466)=0),LEFT(D466,3),"")</f>
        <v/>
      </c>
      <c r="AX466" s="493" t="str">
        <f>IF(AND(COUNTA(P466)=0,COUNTA(AC466)=0),LEFT(D466,3),"")</f>
        <v/>
      </c>
      <c r="AY466" s="514" t="str">
        <f>IFERROR(VLOOKUP(功能_33[[#This Row],[功能代號]],SIT_FT_2021tmp!D:D,1,FALSE),"")</f>
        <v/>
      </c>
      <c r="AZ466" s="587">
        <v>44610</v>
      </c>
      <c r="BB466" s="514"/>
      <c r="BC466" s="265" t="s">
        <v>2453</v>
      </c>
      <c r="BD466" s="594"/>
      <c r="BE466" s="265" t="str">
        <f>IF(AND(COUNTIF(AY466,"&gt;&lt;0")=1,COUNTA(M466)=1),LEFT(D466,3),"")</f>
        <v/>
      </c>
      <c r="BF466" s="265" t="str">
        <f>IF(AND(COUNTIF(AY466,"&gt;&lt;")=1,COUNTA(M466)=0),LEFT(D466,3),"")</f>
        <v/>
      </c>
      <c r="BG466" s="265" t="str">
        <f>IF(AND(COUNTIF(AY466,"&gt;&lt;0")=0,COUNTA(M466)=1),LEFT(D466,3),"")</f>
        <v/>
      </c>
      <c r="BH466" s="265" t="str">
        <f>IF(AND(COUNTIF(AY466,"&gt;&lt;0")=0,COUNTA(M466)=0),LEFT(D466,3),"")</f>
        <v>8-3</v>
      </c>
    </row>
    <row r="467" spans="3:60" ht="27" x14ac:dyDescent="0.3">
      <c r="C467" s="265" t="s">
        <v>72</v>
      </c>
      <c r="D467" s="265" t="s">
        <v>2477</v>
      </c>
      <c r="E467" s="264" t="s">
        <v>1192</v>
      </c>
      <c r="F467" s="265" t="s">
        <v>1193</v>
      </c>
      <c r="G467" s="265" t="s">
        <v>1105</v>
      </c>
      <c r="H467" s="264" t="s">
        <v>110</v>
      </c>
      <c r="I467" s="264" t="s">
        <v>110</v>
      </c>
      <c r="J467" s="271" t="s">
        <v>3238</v>
      </c>
      <c r="K467" s="638" t="s">
        <v>3239</v>
      </c>
      <c r="L467" s="272">
        <v>44610</v>
      </c>
      <c r="M467" s="264"/>
      <c r="N467" s="272">
        <v>44515</v>
      </c>
      <c r="O467" s="272">
        <v>44517</v>
      </c>
      <c r="P467" s="272">
        <v>44545</v>
      </c>
      <c r="Q467" s="264" t="s">
        <v>1</v>
      </c>
      <c r="R467" s="264" t="s">
        <v>16</v>
      </c>
      <c r="S467" s="264" t="s">
        <v>16</v>
      </c>
      <c r="X467" s="264"/>
      <c r="Z467" s="264"/>
      <c r="AA467" s="264"/>
      <c r="AB467" s="265" t="str">
        <f>VLOOKUP(功能_33[[#This Row],[User]],SKL放款!A:G,7,FALSE)</f>
        <v>放款管理課</v>
      </c>
      <c r="AC467" s="272">
        <v>44545</v>
      </c>
      <c r="AD467" s="272" t="s">
        <v>2394</v>
      </c>
      <c r="AE467" s="272">
        <v>44540</v>
      </c>
      <c r="AF467" s="272">
        <v>44540</v>
      </c>
      <c r="AG467" s="209" t="s">
        <v>2971</v>
      </c>
      <c r="AH467" s="272"/>
      <c r="AI467" s="272"/>
      <c r="AJ467" s="322"/>
      <c r="AK467" s="272">
        <f>IFERROR(IF(VLOOKUP(功能_33[[#This Row],[功能代號]],E:U,11,FALSE)=0,"",VLOOKUP(功能_33[[#This Row],[功能代號]],E:U,11,FALSE)),"")</f>
        <v>44517</v>
      </c>
      <c r="AL467" s="272"/>
      <c r="AM467" s="272"/>
      <c r="AN467" s="265"/>
      <c r="AP467" s="264" t="s">
        <v>2680</v>
      </c>
      <c r="AQ467" s="265" t="s">
        <v>2789</v>
      </c>
      <c r="AR467" s="594" t="s">
        <v>3138</v>
      </c>
      <c r="AS467" s="483" t="str">
        <f>IF(COUNTA(AG467)=1,LEFT(D467,3),"")</f>
        <v>8-3</v>
      </c>
      <c r="AT467" s="485" t="str">
        <f>IF(AND(COUNTA(O467)=1,COUNTA(P467)=1,COUNTA(AC467)=1,COUNTA(AF467)=1,COUNTA(AG467)=0),LEFT(D467,3),"")</f>
        <v/>
      </c>
      <c r="AU467" s="487" t="str">
        <f>IF(AND(COUNTA(O467)=1,COUNTA(P467)=1,COUNTA(AC467)=1,COUNTA(AF467)=0,COUNTA(AG467)=0),LEFT(D467,3),"")</f>
        <v/>
      </c>
      <c r="AV467" s="489" t="str">
        <f>IF(AND(COUNTA(P467)=0,COUNTA(AC467)=1),LEFT(D467,3),"")</f>
        <v/>
      </c>
      <c r="AW467" s="491" t="str">
        <f>IF(AND(COUNTA(P467)=1,COUNTA(AC467)=0),LEFT(D467,3),"")</f>
        <v/>
      </c>
      <c r="AX467" s="493" t="str">
        <f>IF(AND(COUNTA(P467)=0,COUNTA(AC467)=0),LEFT(D467,3),"")</f>
        <v/>
      </c>
      <c r="AY467" s="514" t="str">
        <f>IFERROR(VLOOKUP(功能_33[[#This Row],[功能代號]],SIT_FT_2021tmp!D:D,1,FALSE),"")</f>
        <v/>
      </c>
      <c r="AZ467" s="587">
        <v>44610</v>
      </c>
      <c r="BB467" s="514"/>
      <c r="BC467" s="265" t="s">
        <v>2453</v>
      </c>
      <c r="BD467" s="594"/>
      <c r="BE467" s="265" t="str">
        <f>IF(AND(COUNTIF(AY467,"&gt;&lt;0")=1,COUNTA(M467)=1),LEFT(D467,3),"")</f>
        <v/>
      </c>
      <c r="BF467" s="265" t="str">
        <f>IF(AND(COUNTIF(AY467,"&gt;&lt;")=1,COUNTA(M467)=0),LEFT(D467,3),"")</f>
        <v/>
      </c>
      <c r="BG467" s="265" t="str">
        <f>IF(AND(COUNTIF(AY467,"&gt;&lt;0")=0,COUNTA(M467)=1),LEFT(D467,3),"")</f>
        <v/>
      </c>
      <c r="BH467" s="265" t="str">
        <f>IF(AND(COUNTIF(AY467,"&gt;&lt;0")=0,COUNTA(M467)=0),LEFT(D467,3),"")</f>
        <v>8-3</v>
      </c>
    </row>
    <row r="468" spans="3:60" ht="27" x14ac:dyDescent="0.3">
      <c r="C468" s="265" t="s">
        <v>72</v>
      </c>
      <c r="D468" s="265" t="s">
        <v>2477</v>
      </c>
      <c r="E468" s="264" t="s">
        <v>1194</v>
      </c>
      <c r="F468" s="265" t="s">
        <v>1195</v>
      </c>
      <c r="G468" s="265" t="s">
        <v>1105</v>
      </c>
      <c r="H468" s="264" t="s">
        <v>110</v>
      </c>
      <c r="I468" s="264" t="s">
        <v>110</v>
      </c>
      <c r="J468" s="271" t="s">
        <v>3238</v>
      </c>
      <c r="K468" s="638" t="s">
        <v>3239</v>
      </c>
      <c r="L468" s="272">
        <v>44610</v>
      </c>
      <c r="M468" s="264"/>
      <c r="N468" s="272">
        <v>44515</v>
      </c>
      <c r="O468" s="272">
        <v>44517</v>
      </c>
      <c r="P468" s="272">
        <v>44545</v>
      </c>
      <c r="Q468" s="264" t="s">
        <v>1</v>
      </c>
      <c r="R468" s="264" t="s">
        <v>16</v>
      </c>
      <c r="S468" s="264" t="s">
        <v>16</v>
      </c>
      <c r="X468" s="264"/>
      <c r="Z468" s="264"/>
      <c r="AA468" s="264"/>
      <c r="AB468" s="265" t="str">
        <f>VLOOKUP(功能_33[[#This Row],[User]],SKL放款!A:G,7,FALSE)</f>
        <v>放款管理課</v>
      </c>
      <c r="AC468" s="272">
        <v>44545</v>
      </c>
      <c r="AD468" s="272" t="s">
        <v>2394</v>
      </c>
      <c r="AE468" s="272">
        <v>44540</v>
      </c>
      <c r="AF468" s="272">
        <v>44540</v>
      </c>
      <c r="AG468" s="209" t="s">
        <v>2971</v>
      </c>
      <c r="AH468" s="272"/>
      <c r="AI468" s="272"/>
      <c r="AJ468" s="322"/>
      <c r="AK468" s="272">
        <f>IFERROR(IF(VLOOKUP(功能_33[[#This Row],[功能代號]],E:U,11,FALSE)=0,"",VLOOKUP(功能_33[[#This Row],[功能代號]],E:U,11,FALSE)),"")</f>
        <v>44517</v>
      </c>
      <c r="AL468" s="272"/>
      <c r="AM468" s="272"/>
      <c r="AN468" s="265"/>
      <c r="AP468" s="264" t="s">
        <v>2680</v>
      </c>
      <c r="AQ468" s="265" t="s">
        <v>2789</v>
      </c>
      <c r="AR468" s="594" t="s">
        <v>3138</v>
      </c>
      <c r="AS468" s="483" t="str">
        <f>IF(COUNTA(AG468)=1,LEFT(D468,3),"")</f>
        <v>8-3</v>
      </c>
      <c r="AT468" s="485" t="str">
        <f>IF(AND(COUNTA(O468)=1,COUNTA(P468)=1,COUNTA(AC468)=1,COUNTA(AF468)=1,COUNTA(AG468)=0),LEFT(D468,3),"")</f>
        <v/>
      </c>
      <c r="AU468" s="487" t="str">
        <f>IF(AND(COUNTA(O468)=1,COUNTA(P468)=1,COUNTA(AC468)=1,COUNTA(AF468)=0,COUNTA(AG468)=0),LEFT(D468,3),"")</f>
        <v/>
      </c>
      <c r="AV468" s="489" t="str">
        <f>IF(AND(COUNTA(P468)=0,COUNTA(AC468)=1),LEFT(D468,3),"")</f>
        <v/>
      </c>
      <c r="AW468" s="491" t="str">
        <f>IF(AND(COUNTA(P468)=1,COUNTA(AC468)=0),LEFT(D468,3),"")</f>
        <v/>
      </c>
      <c r="AX468" s="493" t="str">
        <f>IF(AND(COUNTA(P468)=0,COUNTA(AC468)=0),LEFT(D468,3),"")</f>
        <v/>
      </c>
      <c r="AY468" s="514" t="str">
        <f>IFERROR(VLOOKUP(功能_33[[#This Row],[功能代號]],SIT_FT_2021tmp!D:D,1,FALSE),"")</f>
        <v/>
      </c>
      <c r="AZ468" s="587">
        <v>44610</v>
      </c>
      <c r="BB468" s="514"/>
      <c r="BC468" s="265" t="s">
        <v>2453</v>
      </c>
      <c r="BD468" s="594"/>
      <c r="BE468" s="265" t="str">
        <f>IF(AND(COUNTIF(AY468,"&gt;&lt;0")=1,COUNTA(M468)=1),LEFT(D468,3),"")</f>
        <v/>
      </c>
      <c r="BF468" s="265" t="str">
        <f>IF(AND(COUNTIF(AY468,"&gt;&lt;")=1,COUNTA(M468)=0),LEFT(D468,3),"")</f>
        <v/>
      </c>
      <c r="BG468" s="265" t="str">
        <f>IF(AND(COUNTIF(AY468,"&gt;&lt;0")=0,COUNTA(M468)=1),LEFT(D468,3),"")</f>
        <v/>
      </c>
      <c r="BH468" s="265" t="str">
        <f>IF(AND(COUNTIF(AY468,"&gt;&lt;0")=0,COUNTA(M468)=0),LEFT(D468,3),"")</f>
        <v>8-3</v>
      </c>
    </row>
    <row r="469" spans="3:60" ht="27" x14ac:dyDescent="0.3">
      <c r="C469" s="265" t="s">
        <v>72</v>
      </c>
      <c r="D469" s="265" t="s">
        <v>2477</v>
      </c>
      <c r="E469" s="264" t="s">
        <v>1196</v>
      </c>
      <c r="F469" s="265" t="s">
        <v>1197</v>
      </c>
      <c r="G469" s="265" t="s">
        <v>1105</v>
      </c>
      <c r="H469" s="264" t="s">
        <v>110</v>
      </c>
      <c r="I469" s="264" t="s">
        <v>110</v>
      </c>
      <c r="J469" s="271" t="s">
        <v>3238</v>
      </c>
      <c r="K469" s="638" t="s">
        <v>3239</v>
      </c>
      <c r="L469" s="272">
        <v>44610</v>
      </c>
      <c r="M469" s="264"/>
      <c r="N469" s="272">
        <v>44515</v>
      </c>
      <c r="O469" s="272">
        <v>44517</v>
      </c>
      <c r="P469" s="272">
        <v>44545</v>
      </c>
      <c r="Q469" s="264" t="s">
        <v>1</v>
      </c>
      <c r="R469" s="264" t="s">
        <v>16</v>
      </c>
      <c r="S469" s="264" t="s">
        <v>16</v>
      </c>
      <c r="X469" s="264"/>
      <c r="Z469" s="264"/>
      <c r="AA469" s="264"/>
      <c r="AB469" s="265" t="str">
        <f>VLOOKUP(功能_33[[#This Row],[User]],SKL放款!A:G,7,FALSE)</f>
        <v>放款管理課</v>
      </c>
      <c r="AC469" s="272">
        <v>44545</v>
      </c>
      <c r="AD469" s="272" t="s">
        <v>2394</v>
      </c>
      <c r="AE469" s="272">
        <v>44540</v>
      </c>
      <c r="AF469" s="272">
        <v>44540</v>
      </c>
      <c r="AG469" s="209" t="s">
        <v>2971</v>
      </c>
      <c r="AH469" s="272"/>
      <c r="AI469" s="272"/>
      <c r="AJ469" s="322"/>
      <c r="AK469" s="272">
        <f>IFERROR(IF(VLOOKUP(功能_33[[#This Row],[功能代號]],E:U,11,FALSE)=0,"",VLOOKUP(功能_33[[#This Row],[功能代號]],E:U,11,FALSE)),"")</f>
        <v>44517</v>
      </c>
      <c r="AL469" s="272"/>
      <c r="AM469" s="272"/>
      <c r="AN469" s="265"/>
      <c r="AP469" s="264" t="s">
        <v>2680</v>
      </c>
      <c r="AQ469" s="265" t="s">
        <v>2789</v>
      </c>
      <c r="AR469" s="594" t="s">
        <v>3138</v>
      </c>
      <c r="AS469" s="483" t="str">
        <f>IF(COUNTA(AG469)=1,LEFT(D469,3),"")</f>
        <v>8-3</v>
      </c>
      <c r="AT469" s="485" t="str">
        <f>IF(AND(COUNTA(O469)=1,COUNTA(P469)=1,COUNTA(AC469)=1,COUNTA(AF469)=1,COUNTA(AG469)=0),LEFT(D469,3),"")</f>
        <v/>
      </c>
      <c r="AU469" s="487" t="str">
        <f>IF(AND(COUNTA(O469)=1,COUNTA(P469)=1,COUNTA(AC469)=1,COUNTA(AF469)=0,COUNTA(AG469)=0),LEFT(D469,3),"")</f>
        <v/>
      </c>
      <c r="AV469" s="489" t="str">
        <f>IF(AND(COUNTA(P469)=0,COUNTA(AC469)=1),LEFT(D469,3),"")</f>
        <v/>
      </c>
      <c r="AW469" s="491" t="str">
        <f>IF(AND(COUNTA(P469)=1,COUNTA(AC469)=0),LEFT(D469,3),"")</f>
        <v/>
      </c>
      <c r="AX469" s="493" t="str">
        <f>IF(AND(COUNTA(P469)=0,COUNTA(AC469)=0),LEFT(D469,3),"")</f>
        <v/>
      </c>
      <c r="AY469" s="514" t="str">
        <f>IFERROR(VLOOKUP(功能_33[[#This Row],[功能代號]],SIT_FT_2021tmp!D:D,1,FALSE),"")</f>
        <v/>
      </c>
      <c r="AZ469" s="587">
        <v>44610</v>
      </c>
      <c r="BB469" s="514"/>
      <c r="BC469" s="265" t="s">
        <v>2453</v>
      </c>
      <c r="BD469" s="594"/>
      <c r="BE469" s="265" t="str">
        <f>IF(AND(COUNTIF(AY469,"&gt;&lt;0")=1,COUNTA(M469)=1),LEFT(D469,3),"")</f>
        <v/>
      </c>
      <c r="BF469" s="265" t="str">
        <f>IF(AND(COUNTIF(AY469,"&gt;&lt;")=1,COUNTA(M469)=0),LEFT(D469,3),"")</f>
        <v/>
      </c>
      <c r="BG469" s="265" t="str">
        <f>IF(AND(COUNTIF(AY469,"&gt;&lt;0")=0,COUNTA(M469)=1),LEFT(D469,3),"")</f>
        <v/>
      </c>
      <c r="BH469" s="265" t="str">
        <f>IF(AND(COUNTIF(AY469,"&gt;&lt;0")=0,COUNTA(M469)=0),LEFT(D469,3),"")</f>
        <v>8-3</v>
      </c>
    </row>
    <row r="470" spans="3:60" ht="27" x14ac:dyDescent="0.3">
      <c r="C470" s="265" t="s">
        <v>72</v>
      </c>
      <c r="D470" s="265" t="s">
        <v>2477</v>
      </c>
      <c r="E470" s="264" t="s">
        <v>1198</v>
      </c>
      <c r="F470" s="265" t="s">
        <v>1199</v>
      </c>
      <c r="G470" s="265" t="s">
        <v>1105</v>
      </c>
      <c r="H470" s="264" t="s">
        <v>110</v>
      </c>
      <c r="I470" s="264" t="s">
        <v>110</v>
      </c>
      <c r="J470" s="271" t="s">
        <v>3238</v>
      </c>
      <c r="K470" s="638" t="s">
        <v>3239</v>
      </c>
      <c r="L470" s="272">
        <v>44610</v>
      </c>
      <c r="M470" s="264"/>
      <c r="N470" s="272">
        <v>44515</v>
      </c>
      <c r="O470" s="272">
        <v>44517</v>
      </c>
      <c r="P470" s="272">
        <v>44545</v>
      </c>
      <c r="Q470" s="264" t="s">
        <v>1</v>
      </c>
      <c r="R470" s="264" t="s">
        <v>16</v>
      </c>
      <c r="S470" s="264" t="s">
        <v>16</v>
      </c>
      <c r="X470" s="264"/>
      <c r="Z470" s="264"/>
      <c r="AA470" s="264"/>
      <c r="AB470" s="265" t="str">
        <f>VLOOKUP(功能_33[[#This Row],[User]],SKL放款!A:G,7,FALSE)</f>
        <v>放款管理課</v>
      </c>
      <c r="AC470" s="272">
        <v>44545</v>
      </c>
      <c r="AD470" s="272" t="s">
        <v>2394</v>
      </c>
      <c r="AE470" s="272">
        <v>44540</v>
      </c>
      <c r="AF470" s="272">
        <v>44540</v>
      </c>
      <c r="AG470" s="209" t="s">
        <v>2971</v>
      </c>
      <c r="AH470" s="272"/>
      <c r="AI470" s="272"/>
      <c r="AJ470" s="322"/>
      <c r="AK470" s="272">
        <f>IFERROR(IF(VLOOKUP(功能_33[[#This Row],[功能代號]],E:U,11,FALSE)=0,"",VLOOKUP(功能_33[[#This Row],[功能代號]],E:U,11,FALSE)),"")</f>
        <v>44517</v>
      </c>
      <c r="AL470" s="272"/>
      <c r="AM470" s="272"/>
      <c r="AN470" s="265"/>
      <c r="AP470" s="264" t="s">
        <v>2680</v>
      </c>
      <c r="AQ470" s="265" t="s">
        <v>2789</v>
      </c>
      <c r="AR470" s="594" t="s">
        <v>3138</v>
      </c>
      <c r="AS470" s="483" t="str">
        <f>IF(COUNTA(AG470)=1,LEFT(D470,3),"")</f>
        <v>8-3</v>
      </c>
      <c r="AT470" s="485" t="str">
        <f>IF(AND(COUNTA(O470)=1,COUNTA(P470)=1,COUNTA(AC470)=1,COUNTA(AF470)=1,COUNTA(AG470)=0),LEFT(D470,3),"")</f>
        <v/>
      </c>
      <c r="AU470" s="487" t="str">
        <f>IF(AND(COUNTA(O470)=1,COUNTA(P470)=1,COUNTA(AC470)=1,COUNTA(AF470)=0,COUNTA(AG470)=0),LEFT(D470,3),"")</f>
        <v/>
      </c>
      <c r="AV470" s="489" t="str">
        <f>IF(AND(COUNTA(P470)=0,COUNTA(AC470)=1),LEFT(D470,3),"")</f>
        <v/>
      </c>
      <c r="AW470" s="491" t="str">
        <f>IF(AND(COUNTA(P470)=1,COUNTA(AC470)=0),LEFT(D470,3),"")</f>
        <v/>
      </c>
      <c r="AX470" s="493" t="str">
        <f>IF(AND(COUNTA(P470)=0,COUNTA(AC470)=0),LEFT(D470,3),"")</f>
        <v/>
      </c>
      <c r="AY470" s="514" t="str">
        <f>IFERROR(VLOOKUP(功能_33[[#This Row],[功能代號]],SIT_FT_2021tmp!D:D,1,FALSE),"")</f>
        <v/>
      </c>
      <c r="AZ470" s="587">
        <v>44610</v>
      </c>
      <c r="BB470" s="514"/>
      <c r="BC470" s="265" t="s">
        <v>2453</v>
      </c>
      <c r="BD470" s="594"/>
      <c r="BE470" s="265" t="str">
        <f>IF(AND(COUNTIF(AY470,"&gt;&lt;0")=1,COUNTA(M470)=1),LEFT(D470,3),"")</f>
        <v/>
      </c>
      <c r="BF470" s="265" t="str">
        <f>IF(AND(COUNTIF(AY470,"&gt;&lt;")=1,COUNTA(M470)=0),LEFT(D470,3),"")</f>
        <v/>
      </c>
      <c r="BG470" s="265" t="str">
        <f>IF(AND(COUNTIF(AY470,"&gt;&lt;0")=0,COUNTA(M470)=1),LEFT(D470,3),"")</f>
        <v/>
      </c>
      <c r="BH470" s="265" t="str">
        <f>IF(AND(COUNTIF(AY470,"&gt;&lt;0")=0,COUNTA(M470)=0),LEFT(D470,3),"")</f>
        <v>8-3</v>
      </c>
    </row>
    <row r="471" spans="3:60" ht="27" x14ac:dyDescent="0.3">
      <c r="C471" s="265" t="s">
        <v>72</v>
      </c>
      <c r="D471" s="265" t="s">
        <v>2477</v>
      </c>
      <c r="E471" s="264" t="s">
        <v>1200</v>
      </c>
      <c r="F471" s="265" t="s">
        <v>1201</v>
      </c>
      <c r="G471" s="265" t="s">
        <v>1105</v>
      </c>
      <c r="H471" s="264" t="s">
        <v>110</v>
      </c>
      <c r="I471" s="264" t="s">
        <v>110</v>
      </c>
      <c r="J471" s="271" t="s">
        <v>3238</v>
      </c>
      <c r="K471" s="638" t="s">
        <v>3239</v>
      </c>
      <c r="L471" s="272">
        <v>44610</v>
      </c>
      <c r="M471" s="264"/>
      <c r="N471" s="272">
        <v>44516</v>
      </c>
      <c r="O471" s="272">
        <v>44517</v>
      </c>
      <c r="P471" s="272">
        <v>44545</v>
      </c>
      <c r="Q471" s="264" t="s">
        <v>1</v>
      </c>
      <c r="R471" s="264" t="s">
        <v>16</v>
      </c>
      <c r="S471" s="264" t="s">
        <v>16</v>
      </c>
      <c r="X471" s="264"/>
      <c r="Z471" s="264"/>
      <c r="AA471" s="264"/>
      <c r="AB471" s="265" t="str">
        <f>VLOOKUP(功能_33[[#This Row],[User]],SKL放款!A:G,7,FALSE)</f>
        <v>放款管理課</v>
      </c>
      <c r="AC471" s="272">
        <v>44545</v>
      </c>
      <c r="AD471" s="272" t="s">
        <v>2394</v>
      </c>
      <c r="AE471" s="272">
        <v>44540</v>
      </c>
      <c r="AF471" s="272">
        <v>44540</v>
      </c>
      <c r="AG471" s="209" t="s">
        <v>2971</v>
      </c>
      <c r="AH471" s="272"/>
      <c r="AI471" s="272"/>
      <c r="AJ471" s="322"/>
      <c r="AK471" s="272">
        <f>IFERROR(IF(VLOOKUP(功能_33[[#This Row],[功能代號]],E:U,11,FALSE)=0,"",VLOOKUP(功能_33[[#This Row],[功能代號]],E:U,11,FALSE)),"")</f>
        <v>44517</v>
      </c>
      <c r="AL471" s="272"/>
      <c r="AM471" s="272"/>
      <c r="AN471" s="265"/>
      <c r="AP471" s="264" t="s">
        <v>2680</v>
      </c>
      <c r="AQ471" s="265" t="s">
        <v>2789</v>
      </c>
      <c r="AR471" s="594" t="s">
        <v>3138</v>
      </c>
      <c r="AS471" s="483" t="str">
        <f>IF(COUNTA(AG471)=1,LEFT(D471,3),"")</f>
        <v>8-3</v>
      </c>
      <c r="AT471" s="485" t="str">
        <f>IF(AND(COUNTA(O471)=1,COUNTA(P471)=1,COUNTA(AC471)=1,COUNTA(AF471)=1,COUNTA(AG471)=0),LEFT(D471,3),"")</f>
        <v/>
      </c>
      <c r="AU471" s="487" t="str">
        <f>IF(AND(COUNTA(O471)=1,COUNTA(P471)=1,COUNTA(AC471)=1,COUNTA(AF471)=0,COUNTA(AG471)=0),LEFT(D471,3),"")</f>
        <v/>
      </c>
      <c r="AV471" s="489" t="str">
        <f>IF(AND(COUNTA(P471)=0,COUNTA(AC471)=1),LEFT(D471,3),"")</f>
        <v/>
      </c>
      <c r="AW471" s="491" t="str">
        <f>IF(AND(COUNTA(P471)=1,COUNTA(AC471)=0),LEFT(D471,3),"")</f>
        <v/>
      </c>
      <c r="AX471" s="493" t="str">
        <f>IF(AND(COUNTA(P471)=0,COUNTA(AC471)=0),LEFT(D471,3),"")</f>
        <v/>
      </c>
      <c r="AY471" s="514" t="str">
        <f>IFERROR(VLOOKUP(功能_33[[#This Row],[功能代號]],SIT_FT_2021tmp!D:D,1,FALSE),"")</f>
        <v/>
      </c>
      <c r="AZ471" s="587">
        <v>44610</v>
      </c>
      <c r="BB471" s="514"/>
      <c r="BC471" s="265" t="s">
        <v>2453</v>
      </c>
      <c r="BD471" s="594"/>
      <c r="BE471" s="265" t="str">
        <f>IF(AND(COUNTIF(AY471,"&gt;&lt;0")=1,COUNTA(M471)=1),LEFT(D471,3),"")</f>
        <v/>
      </c>
      <c r="BF471" s="265" t="str">
        <f>IF(AND(COUNTIF(AY471,"&gt;&lt;")=1,COUNTA(M471)=0),LEFT(D471,3),"")</f>
        <v/>
      </c>
      <c r="BG471" s="265" t="str">
        <f>IF(AND(COUNTIF(AY471,"&gt;&lt;0")=0,COUNTA(M471)=1),LEFT(D471,3),"")</f>
        <v/>
      </c>
      <c r="BH471" s="265" t="str">
        <f>IF(AND(COUNTIF(AY471,"&gt;&lt;0")=0,COUNTA(M471)=0),LEFT(D471,3),"")</f>
        <v>8-3</v>
      </c>
    </row>
    <row r="472" spans="3:60" ht="27" x14ac:dyDescent="0.3">
      <c r="C472" s="265" t="s">
        <v>72</v>
      </c>
      <c r="D472" s="265" t="s">
        <v>2477</v>
      </c>
      <c r="E472" s="264" t="s">
        <v>1202</v>
      </c>
      <c r="F472" s="265" t="s">
        <v>1203</v>
      </c>
      <c r="G472" s="265" t="s">
        <v>1105</v>
      </c>
      <c r="H472" s="264" t="s">
        <v>110</v>
      </c>
      <c r="I472" s="264" t="s">
        <v>110</v>
      </c>
      <c r="J472" s="271" t="s">
        <v>3238</v>
      </c>
      <c r="K472" s="638" t="s">
        <v>3239</v>
      </c>
      <c r="L472" s="272">
        <v>44610</v>
      </c>
      <c r="M472" s="264"/>
      <c r="N472" s="272">
        <v>44516</v>
      </c>
      <c r="O472" s="272">
        <v>44517</v>
      </c>
      <c r="P472" s="272">
        <v>44545</v>
      </c>
      <c r="Q472" s="264" t="s">
        <v>1</v>
      </c>
      <c r="R472" s="264" t="s">
        <v>16</v>
      </c>
      <c r="S472" s="264" t="s">
        <v>16</v>
      </c>
      <c r="X472" s="264"/>
      <c r="Z472" s="264"/>
      <c r="AA472" s="264"/>
      <c r="AB472" s="265" t="str">
        <f>VLOOKUP(功能_33[[#This Row],[User]],SKL放款!A:G,7,FALSE)</f>
        <v>放款管理課</v>
      </c>
      <c r="AC472" s="272">
        <v>44545</v>
      </c>
      <c r="AD472" s="272" t="s">
        <v>2394</v>
      </c>
      <c r="AE472" s="272">
        <v>44540</v>
      </c>
      <c r="AF472" s="272">
        <v>44540</v>
      </c>
      <c r="AG472" s="209" t="s">
        <v>2971</v>
      </c>
      <c r="AH472" s="272"/>
      <c r="AI472" s="272"/>
      <c r="AJ472" s="322"/>
      <c r="AK472" s="272">
        <f>IFERROR(IF(VLOOKUP(功能_33[[#This Row],[功能代號]],E:U,11,FALSE)=0,"",VLOOKUP(功能_33[[#This Row],[功能代號]],E:U,11,FALSE)),"")</f>
        <v>44517</v>
      </c>
      <c r="AL472" s="272"/>
      <c r="AM472" s="272"/>
      <c r="AN472" s="265"/>
      <c r="AP472" s="264" t="s">
        <v>2680</v>
      </c>
      <c r="AQ472" s="265" t="s">
        <v>2789</v>
      </c>
      <c r="AR472" s="594" t="s">
        <v>3138</v>
      </c>
      <c r="AS472" s="483" t="str">
        <f>IF(COUNTA(AG472)=1,LEFT(D472,3),"")</f>
        <v>8-3</v>
      </c>
      <c r="AT472" s="485" t="str">
        <f>IF(AND(COUNTA(O472)=1,COUNTA(P472)=1,COUNTA(AC472)=1,COUNTA(AF472)=1,COUNTA(AG472)=0),LEFT(D472,3),"")</f>
        <v/>
      </c>
      <c r="AU472" s="487" t="str">
        <f>IF(AND(COUNTA(O472)=1,COUNTA(P472)=1,COUNTA(AC472)=1,COUNTA(AF472)=0,COUNTA(AG472)=0),LEFT(D472,3),"")</f>
        <v/>
      </c>
      <c r="AV472" s="489" t="str">
        <f>IF(AND(COUNTA(P472)=0,COUNTA(AC472)=1),LEFT(D472,3),"")</f>
        <v/>
      </c>
      <c r="AW472" s="491" t="str">
        <f>IF(AND(COUNTA(P472)=1,COUNTA(AC472)=0),LEFT(D472,3),"")</f>
        <v/>
      </c>
      <c r="AX472" s="493" t="str">
        <f>IF(AND(COUNTA(P472)=0,COUNTA(AC472)=0),LEFT(D472,3),"")</f>
        <v/>
      </c>
      <c r="AY472" s="514" t="str">
        <f>IFERROR(VLOOKUP(功能_33[[#This Row],[功能代號]],SIT_FT_2021tmp!D:D,1,FALSE),"")</f>
        <v/>
      </c>
      <c r="AZ472" s="587">
        <v>44610</v>
      </c>
      <c r="BB472" s="514"/>
      <c r="BC472" s="265" t="s">
        <v>2453</v>
      </c>
      <c r="BD472" s="594"/>
      <c r="BE472" s="265" t="str">
        <f>IF(AND(COUNTIF(AY472,"&gt;&lt;0")=1,COUNTA(M472)=1),LEFT(D472,3),"")</f>
        <v/>
      </c>
      <c r="BF472" s="265" t="str">
        <f>IF(AND(COUNTIF(AY472,"&gt;&lt;")=1,COUNTA(M472)=0),LEFT(D472,3),"")</f>
        <v/>
      </c>
      <c r="BG472" s="265" t="str">
        <f>IF(AND(COUNTIF(AY472,"&gt;&lt;0")=0,COUNTA(M472)=1),LEFT(D472,3),"")</f>
        <v/>
      </c>
      <c r="BH472" s="265" t="str">
        <f>IF(AND(COUNTIF(AY472,"&gt;&lt;0")=0,COUNTA(M472)=0),LEFT(D472,3),"")</f>
        <v>8-3</v>
      </c>
    </row>
    <row r="473" spans="3:60" ht="27" x14ac:dyDescent="0.3">
      <c r="C473" s="265" t="s">
        <v>72</v>
      </c>
      <c r="D473" s="265" t="s">
        <v>2477</v>
      </c>
      <c r="E473" s="264" t="s">
        <v>1204</v>
      </c>
      <c r="F473" s="265" t="s">
        <v>1205</v>
      </c>
      <c r="G473" s="265" t="s">
        <v>1105</v>
      </c>
      <c r="H473" s="264" t="s">
        <v>110</v>
      </c>
      <c r="I473" s="264" t="s">
        <v>110</v>
      </c>
      <c r="J473" s="271" t="s">
        <v>3238</v>
      </c>
      <c r="K473" s="638" t="s">
        <v>3239</v>
      </c>
      <c r="L473" s="272">
        <v>44610</v>
      </c>
      <c r="M473" s="264"/>
      <c r="N473" s="272">
        <v>44516</v>
      </c>
      <c r="O473" s="272">
        <v>44517</v>
      </c>
      <c r="P473" s="272">
        <v>44545</v>
      </c>
      <c r="Q473" s="264" t="s">
        <v>1</v>
      </c>
      <c r="R473" s="264" t="s">
        <v>16</v>
      </c>
      <c r="S473" s="264" t="s">
        <v>16</v>
      </c>
      <c r="X473" s="264"/>
      <c r="Z473" s="264"/>
      <c r="AA473" s="264"/>
      <c r="AB473" s="265" t="str">
        <f>VLOOKUP(功能_33[[#This Row],[User]],SKL放款!A:G,7,FALSE)</f>
        <v>放款管理課</v>
      </c>
      <c r="AC473" s="272">
        <v>44545</v>
      </c>
      <c r="AD473" s="272" t="s">
        <v>2394</v>
      </c>
      <c r="AE473" s="272">
        <v>44540</v>
      </c>
      <c r="AF473" s="272">
        <v>44540</v>
      </c>
      <c r="AG473" s="209" t="s">
        <v>2971</v>
      </c>
      <c r="AH473" s="272"/>
      <c r="AI473" s="272"/>
      <c r="AJ473" s="322"/>
      <c r="AK473" s="272">
        <f>IFERROR(IF(VLOOKUP(功能_33[[#This Row],[功能代號]],E:U,11,FALSE)=0,"",VLOOKUP(功能_33[[#This Row],[功能代號]],E:U,11,FALSE)),"")</f>
        <v>44517</v>
      </c>
      <c r="AL473" s="272"/>
      <c r="AM473" s="272"/>
      <c r="AN473" s="265"/>
      <c r="AP473" s="264" t="s">
        <v>2680</v>
      </c>
      <c r="AQ473" s="265" t="s">
        <v>2789</v>
      </c>
      <c r="AR473" s="594" t="s">
        <v>3138</v>
      </c>
      <c r="AS473" s="483" t="str">
        <f>IF(COUNTA(AG473)=1,LEFT(D473,3),"")</f>
        <v>8-3</v>
      </c>
      <c r="AT473" s="485" t="str">
        <f>IF(AND(COUNTA(O473)=1,COUNTA(P473)=1,COUNTA(AC473)=1,COUNTA(AF473)=1,COUNTA(AG473)=0),LEFT(D473,3),"")</f>
        <v/>
      </c>
      <c r="AU473" s="487" t="str">
        <f>IF(AND(COUNTA(O473)=1,COUNTA(P473)=1,COUNTA(AC473)=1,COUNTA(AF473)=0,COUNTA(AG473)=0),LEFT(D473,3),"")</f>
        <v/>
      </c>
      <c r="AV473" s="489" t="str">
        <f>IF(AND(COUNTA(P473)=0,COUNTA(AC473)=1),LEFT(D473,3),"")</f>
        <v/>
      </c>
      <c r="AW473" s="491" t="str">
        <f>IF(AND(COUNTA(P473)=1,COUNTA(AC473)=0),LEFT(D473,3),"")</f>
        <v/>
      </c>
      <c r="AX473" s="493" t="str">
        <f>IF(AND(COUNTA(P473)=0,COUNTA(AC473)=0),LEFT(D473,3),"")</f>
        <v/>
      </c>
      <c r="AY473" s="514" t="str">
        <f>IFERROR(VLOOKUP(功能_33[[#This Row],[功能代號]],SIT_FT_2021tmp!D:D,1,FALSE),"")</f>
        <v/>
      </c>
      <c r="AZ473" s="587">
        <v>44610</v>
      </c>
      <c r="BB473" s="514"/>
      <c r="BC473" s="265" t="s">
        <v>2453</v>
      </c>
      <c r="BD473" s="594"/>
      <c r="BE473" s="265" t="str">
        <f>IF(AND(COUNTIF(AY473,"&gt;&lt;0")=1,COUNTA(M473)=1),LEFT(D473,3),"")</f>
        <v/>
      </c>
      <c r="BF473" s="265" t="str">
        <f>IF(AND(COUNTIF(AY473,"&gt;&lt;")=1,COUNTA(M473)=0),LEFT(D473,3),"")</f>
        <v/>
      </c>
      <c r="BG473" s="265" t="str">
        <f>IF(AND(COUNTIF(AY473,"&gt;&lt;0")=0,COUNTA(M473)=1),LEFT(D473,3),"")</f>
        <v/>
      </c>
      <c r="BH473" s="265" t="str">
        <f>IF(AND(COUNTIF(AY473,"&gt;&lt;0")=0,COUNTA(M473)=0),LEFT(D473,3),"")</f>
        <v>8-3</v>
      </c>
    </row>
    <row r="474" spans="3:60" ht="27" x14ac:dyDescent="0.3">
      <c r="C474" s="265" t="s">
        <v>72</v>
      </c>
      <c r="D474" s="265" t="s">
        <v>2477</v>
      </c>
      <c r="E474" s="264" t="s">
        <v>1206</v>
      </c>
      <c r="F474" s="265" t="s">
        <v>1207</v>
      </c>
      <c r="G474" s="265" t="s">
        <v>1105</v>
      </c>
      <c r="H474" s="264" t="s">
        <v>110</v>
      </c>
      <c r="I474" s="264" t="s">
        <v>110</v>
      </c>
      <c r="J474" s="271" t="s">
        <v>3238</v>
      </c>
      <c r="K474" s="638" t="s">
        <v>3239</v>
      </c>
      <c r="L474" s="272">
        <v>44610</v>
      </c>
      <c r="M474" s="264"/>
      <c r="N474" s="272">
        <v>44516</v>
      </c>
      <c r="O474" s="272">
        <v>44517</v>
      </c>
      <c r="P474" s="272">
        <v>44545</v>
      </c>
      <c r="Q474" s="264" t="s">
        <v>1</v>
      </c>
      <c r="R474" s="264" t="s">
        <v>16</v>
      </c>
      <c r="S474" s="264" t="s">
        <v>16</v>
      </c>
      <c r="X474" s="264"/>
      <c r="Z474" s="264"/>
      <c r="AA474" s="264"/>
      <c r="AB474" s="265" t="str">
        <f>VLOOKUP(功能_33[[#This Row],[User]],SKL放款!A:G,7,FALSE)</f>
        <v>放款管理課</v>
      </c>
      <c r="AC474" s="272">
        <v>44545</v>
      </c>
      <c r="AD474" s="272" t="s">
        <v>2394</v>
      </c>
      <c r="AE474" s="272">
        <v>44540</v>
      </c>
      <c r="AF474" s="272">
        <v>44540</v>
      </c>
      <c r="AG474" s="209" t="s">
        <v>2971</v>
      </c>
      <c r="AH474" s="272"/>
      <c r="AI474" s="272"/>
      <c r="AJ474" s="322"/>
      <c r="AK474" s="272">
        <f>IFERROR(IF(VLOOKUP(功能_33[[#This Row],[功能代號]],E:U,11,FALSE)=0,"",VLOOKUP(功能_33[[#This Row],[功能代號]],E:U,11,FALSE)),"")</f>
        <v>44517</v>
      </c>
      <c r="AL474" s="272"/>
      <c r="AM474" s="272"/>
      <c r="AN474" s="265"/>
      <c r="AP474" s="264" t="s">
        <v>2680</v>
      </c>
      <c r="AQ474" s="265" t="s">
        <v>2789</v>
      </c>
      <c r="AR474" s="594" t="s">
        <v>3138</v>
      </c>
      <c r="AS474" s="483" t="str">
        <f>IF(COUNTA(AG474)=1,LEFT(D474,3),"")</f>
        <v>8-3</v>
      </c>
      <c r="AT474" s="485" t="str">
        <f>IF(AND(COUNTA(O474)=1,COUNTA(P474)=1,COUNTA(AC474)=1,COUNTA(AF474)=1,COUNTA(AG474)=0),LEFT(D474,3),"")</f>
        <v/>
      </c>
      <c r="AU474" s="487" t="str">
        <f>IF(AND(COUNTA(O474)=1,COUNTA(P474)=1,COUNTA(AC474)=1,COUNTA(AF474)=0,COUNTA(AG474)=0),LEFT(D474,3),"")</f>
        <v/>
      </c>
      <c r="AV474" s="489" t="str">
        <f>IF(AND(COUNTA(P474)=0,COUNTA(AC474)=1),LEFT(D474,3),"")</f>
        <v/>
      </c>
      <c r="AW474" s="491" t="str">
        <f>IF(AND(COUNTA(P474)=1,COUNTA(AC474)=0),LEFT(D474,3),"")</f>
        <v/>
      </c>
      <c r="AX474" s="493" t="str">
        <f>IF(AND(COUNTA(P474)=0,COUNTA(AC474)=0),LEFT(D474,3),"")</f>
        <v/>
      </c>
      <c r="AY474" s="514" t="str">
        <f>IFERROR(VLOOKUP(功能_33[[#This Row],[功能代號]],SIT_FT_2021tmp!D:D,1,FALSE),"")</f>
        <v/>
      </c>
      <c r="AZ474" s="587">
        <v>44610</v>
      </c>
      <c r="BB474" s="514"/>
      <c r="BC474" s="265" t="s">
        <v>2453</v>
      </c>
      <c r="BD474" s="594"/>
      <c r="BE474" s="265" t="str">
        <f>IF(AND(COUNTIF(AY474,"&gt;&lt;0")=1,COUNTA(M474)=1),LEFT(D474,3),"")</f>
        <v/>
      </c>
      <c r="BF474" s="265" t="str">
        <f>IF(AND(COUNTIF(AY474,"&gt;&lt;")=1,COUNTA(M474)=0),LEFT(D474,3),"")</f>
        <v/>
      </c>
      <c r="BG474" s="265" t="str">
        <f>IF(AND(COUNTIF(AY474,"&gt;&lt;0")=0,COUNTA(M474)=1),LEFT(D474,3),"")</f>
        <v/>
      </c>
      <c r="BH474" s="265" t="str">
        <f>IF(AND(COUNTIF(AY474,"&gt;&lt;0")=0,COUNTA(M474)=0),LEFT(D474,3),"")</f>
        <v>8-3</v>
      </c>
    </row>
    <row r="475" spans="3:60" ht="27" x14ac:dyDescent="0.3">
      <c r="C475" s="265" t="s">
        <v>72</v>
      </c>
      <c r="D475" s="265" t="s">
        <v>2477</v>
      </c>
      <c r="E475" s="264" t="s">
        <v>1208</v>
      </c>
      <c r="F475" s="265" t="s">
        <v>1209</v>
      </c>
      <c r="G475" s="265" t="s">
        <v>1105</v>
      </c>
      <c r="H475" s="264" t="s">
        <v>110</v>
      </c>
      <c r="I475" s="264" t="s">
        <v>110</v>
      </c>
      <c r="J475" s="271" t="s">
        <v>3238</v>
      </c>
      <c r="K475" s="638" t="s">
        <v>3239</v>
      </c>
      <c r="L475" s="272">
        <v>44610</v>
      </c>
      <c r="M475" s="264"/>
      <c r="N475" s="272">
        <v>44516</v>
      </c>
      <c r="O475" s="272">
        <v>44517</v>
      </c>
      <c r="P475" s="272">
        <v>44545</v>
      </c>
      <c r="Q475" s="264" t="s">
        <v>1</v>
      </c>
      <c r="R475" s="264" t="s">
        <v>16</v>
      </c>
      <c r="S475" s="264" t="s">
        <v>16</v>
      </c>
      <c r="X475" s="264"/>
      <c r="Z475" s="264"/>
      <c r="AA475" s="264"/>
      <c r="AB475" s="265" t="str">
        <f>VLOOKUP(功能_33[[#This Row],[User]],SKL放款!A:G,7,FALSE)</f>
        <v>放款管理課</v>
      </c>
      <c r="AC475" s="272">
        <v>44545</v>
      </c>
      <c r="AD475" s="272" t="s">
        <v>2394</v>
      </c>
      <c r="AE475" s="272">
        <v>44540</v>
      </c>
      <c r="AF475" s="272">
        <v>44540</v>
      </c>
      <c r="AG475" s="209" t="s">
        <v>2971</v>
      </c>
      <c r="AH475" s="272"/>
      <c r="AI475" s="272"/>
      <c r="AJ475" s="322"/>
      <c r="AK475" s="272">
        <f>IFERROR(IF(VLOOKUP(功能_33[[#This Row],[功能代號]],E:U,11,FALSE)=0,"",VLOOKUP(功能_33[[#This Row],[功能代號]],E:U,11,FALSE)),"")</f>
        <v>44517</v>
      </c>
      <c r="AL475" s="272"/>
      <c r="AM475" s="272"/>
      <c r="AN475" s="265"/>
      <c r="AP475" s="264" t="s">
        <v>2680</v>
      </c>
      <c r="AQ475" s="265" t="s">
        <v>2789</v>
      </c>
      <c r="AR475" s="594" t="s">
        <v>3138</v>
      </c>
      <c r="AS475" s="483" t="str">
        <f>IF(COUNTA(AG475)=1,LEFT(D475,3),"")</f>
        <v>8-3</v>
      </c>
      <c r="AT475" s="485" t="str">
        <f>IF(AND(COUNTA(O475)=1,COUNTA(P475)=1,COUNTA(AC475)=1,COUNTA(AF475)=1,COUNTA(AG475)=0),LEFT(D475,3),"")</f>
        <v/>
      </c>
      <c r="AU475" s="487" t="str">
        <f>IF(AND(COUNTA(O475)=1,COUNTA(P475)=1,COUNTA(AC475)=1,COUNTA(AF475)=0,COUNTA(AG475)=0),LEFT(D475,3),"")</f>
        <v/>
      </c>
      <c r="AV475" s="489" t="str">
        <f>IF(AND(COUNTA(P475)=0,COUNTA(AC475)=1),LEFT(D475,3),"")</f>
        <v/>
      </c>
      <c r="AW475" s="491" t="str">
        <f>IF(AND(COUNTA(P475)=1,COUNTA(AC475)=0),LEFT(D475,3),"")</f>
        <v/>
      </c>
      <c r="AX475" s="493" t="str">
        <f>IF(AND(COUNTA(P475)=0,COUNTA(AC475)=0),LEFT(D475,3),"")</f>
        <v/>
      </c>
      <c r="AY475" s="514" t="str">
        <f>IFERROR(VLOOKUP(功能_33[[#This Row],[功能代號]],SIT_FT_2021tmp!D:D,1,FALSE),"")</f>
        <v/>
      </c>
      <c r="AZ475" s="587">
        <v>44610</v>
      </c>
      <c r="BB475" s="514"/>
      <c r="BC475" s="265" t="s">
        <v>2453</v>
      </c>
      <c r="BD475" s="594"/>
      <c r="BE475" s="265" t="str">
        <f>IF(AND(COUNTIF(AY475,"&gt;&lt;0")=1,COUNTA(M475)=1),LEFT(D475,3),"")</f>
        <v/>
      </c>
      <c r="BF475" s="265" t="str">
        <f>IF(AND(COUNTIF(AY475,"&gt;&lt;")=1,COUNTA(M475)=0),LEFT(D475,3),"")</f>
        <v/>
      </c>
      <c r="BG475" s="265" t="str">
        <f>IF(AND(COUNTIF(AY475,"&gt;&lt;0")=0,COUNTA(M475)=1),LEFT(D475,3),"")</f>
        <v/>
      </c>
      <c r="BH475" s="265" t="str">
        <f>IF(AND(COUNTIF(AY475,"&gt;&lt;0")=0,COUNTA(M475)=0),LEFT(D475,3),"")</f>
        <v>8-3</v>
      </c>
    </row>
    <row r="476" spans="3:60" ht="27" x14ac:dyDescent="0.3">
      <c r="C476" s="265" t="s">
        <v>72</v>
      </c>
      <c r="D476" s="265" t="s">
        <v>2477</v>
      </c>
      <c r="E476" s="264" t="s">
        <v>1210</v>
      </c>
      <c r="F476" s="265" t="s">
        <v>1211</v>
      </c>
      <c r="G476" s="265" t="s">
        <v>1105</v>
      </c>
      <c r="H476" s="264" t="s">
        <v>110</v>
      </c>
      <c r="I476" s="264" t="s">
        <v>110</v>
      </c>
      <c r="J476" s="271" t="s">
        <v>3238</v>
      </c>
      <c r="K476" s="638" t="s">
        <v>3239</v>
      </c>
      <c r="L476" s="272">
        <v>44617</v>
      </c>
      <c r="M476" s="264"/>
      <c r="N476" s="272">
        <v>44516</v>
      </c>
      <c r="O476" s="272">
        <v>44517</v>
      </c>
      <c r="P476" s="272">
        <v>44545</v>
      </c>
      <c r="Q476" s="264" t="s">
        <v>1</v>
      </c>
      <c r="R476" s="264" t="s">
        <v>16</v>
      </c>
      <c r="S476" s="264" t="s">
        <v>16</v>
      </c>
      <c r="X476" s="264"/>
      <c r="Z476" s="264"/>
      <c r="AA476" s="264"/>
      <c r="AB476" s="265" t="str">
        <f>VLOOKUP(功能_33[[#This Row],[User]],SKL放款!A:G,7,FALSE)</f>
        <v>放款管理課</v>
      </c>
      <c r="AC476" s="272">
        <v>44545</v>
      </c>
      <c r="AD476" s="272" t="s">
        <v>2394</v>
      </c>
      <c r="AE476" s="272">
        <v>44540</v>
      </c>
      <c r="AF476" s="272">
        <v>44540</v>
      </c>
      <c r="AG476" s="209" t="s">
        <v>2971</v>
      </c>
      <c r="AH476" s="272"/>
      <c r="AI476" s="272"/>
      <c r="AJ476" s="322"/>
      <c r="AK476" s="272">
        <f>IFERROR(IF(VLOOKUP(功能_33[[#This Row],[功能代號]],E:U,11,FALSE)=0,"",VLOOKUP(功能_33[[#This Row],[功能代號]],E:U,11,FALSE)),"")</f>
        <v>44517</v>
      </c>
      <c r="AL476" s="272"/>
      <c r="AM476" s="272"/>
      <c r="AN476" s="265"/>
      <c r="AP476" s="264" t="s">
        <v>2680</v>
      </c>
      <c r="AQ476" s="265" t="s">
        <v>2789</v>
      </c>
      <c r="AR476" s="594" t="s">
        <v>3138</v>
      </c>
      <c r="AS476" s="483" t="str">
        <f>IF(COUNTA(AG476)=1,LEFT(D476,3),"")</f>
        <v>8-3</v>
      </c>
      <c r="AT476" s="485" t="str">
        <f>IF(AND(COUNTA(O476)=1,COUNTA(P476)=1,COUNTA(AC476)=1,COUNTA(AF476)=1,COUNTA(AG476)=0),LEFT(D476,3),"")</f>
        <v/>
      </c>
      <c r="AU476" s="487" t="str">
        <f>IF(AND(COUNTA(O476)=1,COUNTA(P476)=1,COUNTA(AC476)=1,COUNTA(AF476)=0,COUNTA(AG476)=0),LEFT(D476,3),"")</f>
        <v/>
      </c>
      <c r="AV476" s="489" t="str">
        <f>IF(AND(COUNTA(P476)=0,COUNTA(AC476)=1),LEFT(D476,3),"")</f>
        <v/>
      </c>
      <c r="AW476" s="491" t="str">
        <f>IF(AND(COUNTA(P476)=1,COUNTA(AC476)=0),LEFT(D476,3),"")</f>
        <v/>
      </c>
      <c r="AX476" s="493" t="str">
        <f>IF(AND(COUNTA(P476)=0,COUNTA(AC476)=0),LEFT(D476,3),"")</f>
        <v/>
      </c>
      <c r="AY476" s="514" t="str">
        <f>IFERROR(VLOOKUP(功能_33[[#This Row],[功能代號]],SIT_FT_2021tmp!D:D,1,FALSE),"")</f>
        <v/>
      </c>
      <c r="AZ476" s="587">
        <v>44617</v>
      </c>
      <c r="BB476" s="514"/>
      <c r="BC476" s="265" t="s">
        <v>2453</v>
      </c>
      <c r="BD476" s="594"/>
      <c r="BE476" s="265" t="str">
        <f>IF(AND(COUNTIF(AY476,"&gt;&lt;0")=1,COUNTA(M476)=1),LEFT(D476,3),"")</f>
        <v/>
      </c>
      <c r="BF476" s="265" t="str">
        <f>IF(AND(COUNTIF(AY476,"&gt;&lt;")=1,COUNTA(M476)=0),LEFT(D476,3),"")</f>
        <v/>
      </c>
      <c r="BG476" s="265" t="str">
        <f>IF(AND(COUNTIF(AY476,"&gt;&lt;0")=0,COUNTA(M476)=1),LEFT(D476,3),"")</f>
        <v/>
      </c>
      <c r="BH476" s="265" t="str">
        <f>IF(AND(COUNTIF(AY476,"&gt;&lt;0")=0,COUNTA(M476)=0),LEFT(D476,3),"")</f>
        <v>8-3</v>
      </c>
    </row>
    <row r="477" spans="3:60" ht="27" x14ac:dyDescent="0.3">
      <c r="C477" s="265" t="s">
        <v>72</v>
      </c>
      <c r="D477" s="265" t="s">
        <v>2477</v>
      </c>
      <c r="E477" s="264" t="s">
        <v>1212</v>
      </c>
      <c r="F477" s="265" t="s">
        <v>1213</v>
      </c>
      <c r="G477" s="265" t="s">
        <v>1105</v>
      </c>
      <c r="H477" s="264" t="s">
        <v>110</v>
      </c>
      <c r="I477" s="264" t="s">
        <v>110</v>
      </c>
      <c r="J477" s="271" t="s">
        <v>3238</v>
      </c>
      <c r="K477" s="638" t="s">
        <v>3239</v>
      </c>
      <c r="L477" s="272">
        <v>44617</v>
      </c>
      <c r="M477" s="264"/>
      <c r="N477" s="272">
        <v>44516</v>
      </c>
      <c r="O477" s="272">
        <v>44517</v>
      </c>
      <c r="P477" s="272">
        <v>44545</v>
      </c>
      <c r="Q477" s="264" t="s">
        <v>1</v>
      </c>
      <c r="R477" s="264" t="s">
        <v>16</v>
      </c>
      <c r="S477" s="264" t="s">
        <v>16</v>
      </c>
      <c r="X477" s="264"/>
      <c r="Z477" s="264"/>
      <c r="AA477" s="264"/>
      <c r="AB477" s="265" t="str">
        <f>VLOOKUP(功能_33[[#This Row],[User]],SKL放款!A:G,7,FALSE)</f>
        <v>放款管理課</v>
      </c>
      <c r="AC477" s="272">
        <v>44545</v>
      </c>
      <c r="AD477" s="272" t="s">
        <v>2394</v>
      </c>
      <c r="AE477" s="272">
        <v>44540</v>
      </c>
      <c r="AF477" s="272">
        <v>44540</v>
      </c>
      <c r="AG477" s="209" t="s">
        <v>2971</v>
      </c>
      <c r="AH477" s="272"/>
      <c r="AI477" s="272"/>
      <c r="AJ477" s="322"/>
      <c r="AK477" s="272">
        <f>IFERROR(IF(VLOOKUP(功能_33[[#This Row],[功能代號]],E:U,11,FALSE)=0,"",VLOOKUP(功能_33[[#This Row],[功能代號]],E:U,11,FALSE)),"")</f>
        <v>44517</v>
      </c>
      <c r="AL477" s="272"/>
      <c r="AM477" s="272"/>
      <c r="AN477" s="265"/>
      <c r="AP477" s="264" t="s">
        <v>2680</v>
      </c>
      <c r="AQ477" s="265" t="s">
        <v>2789</v>
      </c>
      <c r="AR477" s="594" t="s">
        <v>3138</v>
      </c>
      <c r="AS477" s="483" t="str">
        <f>IF(COUNTA(AG477)=1,LEFT(D477,3),"")</f>
        <v>8-3</v>
      </c>
      <c r="AT477" s="485" t="str">
        <f>IF(AND(COUNTA(O477)=1,COUNTA(P477)=1,COUNTA(AC477)=1,COUNTA(AF477)=1,COUNTA(AG477)=0),LEFT(D477,3),"")</f>
        <v/>
      </c>
      <c r="AU477" s="487" t="str">
        <f>IF(AND(COUNTA(O477)=1,COUNTA(P477)=1,COUNTA(AC477)=1,COUNTA(AF477)=0,COUNTA(AG477)=0),LEFT(D477,3),"")</f>
        <v/>
      </c>
      <c r="AV477" s="489" t="str">
        <f>IF(AND(COUNTA(P477)=0,COUNTA(AC477)=1),LEFT(D477,3),"")</f>
        <v/>
      </c>
      <c r="AW477" s="491" t="str">
        <f>IF(AND(COUNTA(P477)=1,COUNTA(AC477)=0),LEFT(D477,3),"")</f>
        <v/>
      </c>
      <c r="AX477" s="493" t="str">
        <f>IF(AND(COUNTA(P477)=0,COUNTA(AC477)=0),LEFT(D477,3),"")</f>
        <v/>
      </c>
      <c r="AY477" s="514" t="str">
        <f>IFERROR(VLOOKUP(功能_33[[#This Row],[功能代號]],SIT_FT_2021tmp!D:D,1,FALSE),"")</f>
        <v/>
      </c>
      <c r="AZ477" s="587">
        <v>44617</v>
      </c>
      <c r="BB477" s="514"/>
      <c r="BC477" s="265" t="s">
        <v>2453</v>
      </c>
      <c r="BD477" s="594"/>
      <c r="BE477" s="265" t="str">
        <f>IF(AND(COUNTIF(AY477,"&gt;&lt;0")=1,COUNTA(M477)=1),LEFT(D477,3),"")</f>
        <v/>
      </c>
      <c r="BF477" s="265" t="str">
        <f>IF(AND(COUNTIF(AY477,"&gt;&lt;")=1,COUNTA(M477)=0),LEFT(D477,3),"")</f>
        <v/>
      </c>
      <c r="BG477" s="265" t="str">
        <f>IF(AND(COUNTIF(AY477,"&gt;&lt;0")=0,COUNTA(M477)=1),LEFT(D477,3),"")</f>
        <v/>
      </c>
      <c r="BH477" s="265" t="str">
        <f>IF(AND(COUNTIF(AY477,"&gt;&lt;0")=0,COUNTA(M477)=0),LEFT(D477,3),"")</f>
        <v>8-3</v>
      </c>
    </row>
    <row r="478" spans="3:60" ht="27" x14ac:dyDescent="0.3">
      <c r="C478" s="265" t="s">
        <v>72</v>
      </c>
      <c r="D478" s="265" t="s">
        <v>2477</v>
      </c>
      <c r="E478" s="264" t="s">
        <v>1214</v>
      </c>
      <c r="F478" s="265" t="s">
        <v>1215</v>
      </c>
      <c r="G478" s="265" t="s">
        <v>1105</v>
      </c>
      <c r="H478" s="264" t="s">
        <v>110</v>
      </c>
      <c r="I478" s="264" t="s">
        <v>110</v>
      </c>
      <c r="J478" s="271" t="s">
        <v>3238</v>
      </c>
      <c r="K478" s="638" t="s">
        <v>3239</v>
      </c>
      <c r="L478" s="272">
        <v>44610</v>
      </c>
      <c r="M478" s="264"/>
      <c r="N478" s="272">
        <v>44517</v>
      </c>
      <c r="O478" s="272">
        <v>44517</v>
      </c>
      <c r="P478" s="272">
        <v>44545</v>
      </c>
      <c r="Q478" s="264" t="s">
        <v>1</v>
      </c>
      <c r="R478" s="264" t="s">
        <v>16</v>
      </c>
      <c r="S478" s="264" t="s">
        <v>16</v>
      </c>
      <c r="X478" s="264"/>
      <c r="Z478" s="264"/>
      <c r="AA478" s="264"/>
      <c r="AB478" s="265" t="str">
        <f>VLOOKUP(功能_33[[#This Row],[User]],SKL放款!A:G,7,FALSE)</f>
        <v>放款管理課</v>
      </c>
      <c r="AC478" s="272">
        <v>44545</v>
      </c>
      <c r="AD478" s="272" t="s">
        <v>2394</v>
      </c>
      <c r="AE478" s="272">
        <v>44540</v>
      </c>
      <c r="AF478" s="272">
        <v>44540</v>
      </c>
      <c r="AG478" s="209" t="s">
        <v>2971</v>
      </c>
      <c r="AH478" s="272"/>
      <c r="AI478" s="272"/>
      <c r="AJ478" s="322"/>
      <c r="AK478" s="272">
        <f>IFERROR(IF(VLOOKUP(功能_33[[#This Row],[功能代號]],E:U,11,FALSE)=0,"",VLOOKUP(功能_33[[#This Row],[功能代號]],E:U,11,FALSE)),"")</f>
        <v>44517</v>
      </c>
      <c r="AL478" s="272"/>
      <c r="AM478" s="272"/>
      <c r="AN478" s="265"/>
      <c r="AP478" s="264" t="s">
        <v>2680</v>
      </c>
      <c r="AQ478" s="265" t="s">
        <v>2789</v>
      </c>
      <c r="AR478" s="594" t="s">
        <v>3138</v>
      </c>
      <c r="AS478" s="483" t="str">
        <f>IF(COUNTA(AG478)=1,LEFT(D478,3),"")</f>
        <v>8-3</v>
      </c>
      <c r="AT478" s="485" t="str">
        <f>IF(AND(COUNTA(O478)=1,COUNTA(P478)=1,COUNTA(AC478)=1,COUNTA(AF478)=1,COUNTA(AG478)=0),LEFT(D478,3),"")</f>
        <v/>
      </c>
      <c r="AU478" s="487" t="str">
        <f>IF(AND(COUNTA(O478)=1,COUNTA(P478)=1,COUNTA(AC478)=1,COUNTA(AF478)=0,COUNTA(AG478)=0),LEFT(D478,3),"")</f>
        <v/>
      </c>
      <c r="AV478" s="489" t="str">
        <f>IF(AND(COUNTA(P478)=0,COUNTA(AC478)=1),LEFT(D478,3),"")</f>
        <v/>
      </c>
      <c r="AW478" s="491" t="str">
        <f>IF(AND(COUNTA(P478)=1,COUNTA(AC478)=0),LEFT(D478,3),"")</f>
        <v/>
      </c>
      <c r="AX478" s="493" t="str">
        <f>IF(AND(COUNTA(P478)=0,COUNTA(AC478)=0),LEFT(D478,3),"")</f>
        <v/>
      </c>
      <c r="AY478" s="514" t="str">
        <f>IFERROR(VLOOKUP(功能_33[[#This Row],[功能代號]],SIT_FT_2021tmp!D:D,1,FALSE),"")</f>
        <v/>
      </c>
      <c r="AZ478" s="587">
        <v>44610</v>
      </c>
      <c r="BB478" s="514" t="s">
        <v>2453</v>
      </c>
      <c r="BC478" s="265" t="s">
        <v>2453</v>
      </c>
      <c r="BD478" s="594"/>
      <c r="BE478" s="265" t="str">
        <f>IF(AND(COUNTIF(AY478,"&gt;&lt;0")=1,COUNTA(M478)=1),LEFT(D478,3),"")</f>
        <v/>
      </c>
      <c r="BF478" s="265" t="str">
        <f>IF(AND(COUNTIF(AY478,"&gt;&lt;")=1,COUNTA(M478)=0),LEFT(D478,3),"")</f>
        <v/>
      </c>
      <c r="BG478" s="265" t="str">
        <f>IF(AND(COUNTIF(AY478,"&gt;&lt;0")=0,COUNTA(M478)=1),LEFT(D478,3),"")</f>
        <v/>
      </c>
      <c r="BH478" s="265" t="str">
        <f>IF(AND(COUNTIF(AY478,"&gt;&lt;0")=0,COUNTA(M478)=0),LEFT(D478,3),"")</f>
        <v>8-3</v>
      </c>
    </row>
    <row r="479" spans="3:60" ht="27" x14ac:dyDescent="0.3">
      <c r="C479" s="265" t="s">
        <v>72</v>
      </c>
      <c r="D479" s="265" t="s">
        <v>2477</v>
      </c>
      <c r="E479" s="264" t="s">
        <v>1216</v>
      </c>
      <c r="F479" s="265" t="s">
        <v>1217</v>
      </c>
      <c r="G479" s="265" t="s">
        <v>1105</v>
      </c>
      <c r="H479" s="264" t="s">
        <v>110</v>
      </c>
      <c r="I479" s="264" t="s">
        <v>110</v>
      </c>
      <c r="J479" s="271" t="s">
        <v>3238</v>
      </c>
      <c r="K479" s="638" t="s">
        <v>3239</v>
      </c>
      <c r="L479" s="272">
        <v>44610</v>
      </c>
      <c r="M479" s="264"/>
      <c r="N479" s="272">
        <v>44517</v>
      </c>
      <c r="O479" s="272">
        <v>44517</v>
      </c>
      <c r="P479" s="272">
        <v>44545</v>
      </c>
      <c r="Q479" s="264" t="s">
        <v>1</v>
      </c>
      <c r="R479" s="264" t="s">
        <v>16</v>
      </c>
      <c r="S479" s="264" t="s">
        <v>16</v>
      </c>
      <c r="X479" s="264"/>
      <c r="Z479" s="264"/>
      <c r="AA479" s="264"/>
      <c r="AB479" s="265" t="str">
        <f>VLOOKUP(功能_33[[#This Row],[User]],SKL放款!A:G,7,FALSE)</f>
        <v>放款管理課</v>
      </c>
      <c r="AC479" s="272">
        <v>44545</v>
      </c>
      <c r="AD479" s="272" t="s">
        <v>2394</v>
      </c>
      <c r="AE479" s="272">
        <v>44540</v>
      </c>
      <c r="AF479" s="272">
        <v>44540</v>
      </c>
      <c r="AG479" s="209" t="s">
        <v>2971</v>
      </c>
      <c r="AH479" s="272"/>
      <c r="AI479" s="272"/>
      <c r="AJ479" s="322"/>
      <c r="AK479" s="272">
        <f>IFERROR(IF(VLOOKUP(功能_33[[#This Row],[功能代號]],E:U,11,FALSE)=0,"",VLOOKUP(功能_33[[#This Row],[功能代號]],E:U,11,FALSE)),"")</f>
        <v>44517</v>
      </c>
      <c r="AL479" s="272"/>
      <c r="AM479" s="272"/>
      <c r="AN479" s="265"/>
      <c r="AP479" s="264" t="s">
        <v>2680</v>
      </c>
      <c r="AQ479" s="265" t="s">
        <v>2789</v>
      </c>
      <c r="AR479" s="594" t="s">
        <v>3138</v>
      </c>
      <c r="AS479" s="483" t="str">
        <f>IF(COUNTA(AG479)=1,LEFT(D479,3),"")</f>
        <v>8-3</v>
      </c>
      <c r="AT479" s="485" t="str">
        <f>IF(AND(COUNTA(O479)=1,COUNTA(P479)=1,COUNTA(AC479)=1,COUNTA(AF479)=1,COUNTA(AG479)=0),LEFT(D479,3),"")</f>
        <v/>
      </c>
      <c r="AU479" s="487" t="str">
        <f>IF(AND(COUNTA(O479)=1,COUNTA(P479)=1,COUNTA(AC479)=1,COUNTA(AF479)=0,COUNTA(AG479)=0),LEFT(D479,3),"")</f>
        <v/>
      </c>
      <c r="AV479" s="489" t="str">
        <f>IF(AND(COUNTA(P479)=0,COUNTA(AC479)=1),LEFT(D479,3),"")</f>
        <v/>
      </c>
      <c r="AW479" s="491" t="str">
        <f>IF(AND(COUNTA(P479)=1,COUNTA(AC479)=0),LEFT(D479,3),"")</f>
        <v/>
      </c>
      <c r="AX479" s="493" t="str">
        <f>IF(AND(COUNTA(P479)=0,COUNTA(AC479)=0),LEFT(D479,3),"")</f>
        <v/>
      </c>
      <c r="AY479" s="514" t="str">
        <f>IFERROR(VLOOKUP(功能_33[[#This Row],[功能代號]],SIT_FT_2021tmp!D:D,1,FALSE),"")</f>
        <v/>
      </c>
      <c r="AZ479" s="587">
        <v>44610</v>
      </c>
      <c r="BB479" s="514" t="s">
        <v>2453</v>
      </c>
      <c r="BC479" s="265" t="s">
        <v>2453</v>
      </c>
      <c r="BD479" s="594"/>
      <c r="BE479" s="265" t="str">
        <f>IF(AND(COUNTIF(AY479,"&gt;&lt;0")=1,COUNTA(M479)=1),LEFT(D479,3),"")</f>
        <v/>
      </c>
      <c r="BF479" s="265" t="str">
        <f>IF(AND(COUNTIF(AY479,"&gt;&lt;")=1,COUNTA(M479)=0),LEFT(D479,3),"")</f>
        <v/>
      </c>
      <c r="BG479" s="265" t="str">
        <f>IF(AND(COUNTIF(AY479,"&gt;&lt;0")=0,COUNTA(M479)=1),LEFT(D479,3),"")</f>
        <v/>
      </c>
      <c r="BH479" s="265" t="str">
        <f>IF(AND(COUNTIF(AY479,"&gt;&lt;0")=0,COUNTA(M479)=0),LEFT(D479,3),"")</f>
        <v>8-3</v>
      </c>
    </row>
    <row r="480" spans="3:60" ht="27" x14ac:dyDescent="0.3">
      <c r="C480" s="265" t="s">
        <v>72</v>
      </c>
      <c r="D480" s="265" t="s">
        <v>2477</v>
      </c>
      <c r="E480" s="264" t="s">
        <v>1218</v>
      </c>
      <c r="F480" s="265" t="s">
        <v>1219</v>
      </c>
      <c r="G480" s="265" t="s">
        <v>1105</v>
      </c>
      <c r="H480" s="264" t="s">
        <v>110</v>
      </c>
      <c r="I480" s="264" t="s">
        <v>110</v>
      </c>
      <c r="J480" s="271" t="s">
        <v>3238</v>
      </c>
      <c r="K480" s="638" t="s">
        <v>3239</v>
      </c>
      <c r="L480" s="272">
        <v>44610</v>
      </c>
      <c r="M480" s="264"/>
      <c r="N480" s="272">
        <v>44517</v>
      </c>
      <c r="O480" s="272">
        <v>44517</v>
      </c>
      <c r="P480" s="272">
        <v>44545</v>
      </c>
      <c r="Q480" s="264" t="s">
        <v>1</v>
      </c>
      <c r="R480" s="264" t="s">
        <v>16</v>
      </c>
      <c r="S480" s="264" t="s">
        <v>16</v>
      </c>
      <c r="X480" s="264"/>
      <c r="Z480" s="264"/>
      <c r="AA480" s="264"/>
      <c r="AB480" s="265" t="str">
        <f>VLOOKUP(功能_33[[#This Row],[User]],SKL放款!A:G,7,FALSE)</f>
        <v>放款管理課</v>
      </c>
      <c r="AC480" s="272">
        <v>44545</v>
      </c>
      <c r="AD480" s="272" t="s">
        <v>2394</v>
      </c>
      <c r="AE480" s="272">
        <v>44540</v>
      </c>
      <c r="AF480" s="272">
        <v>44540</v>
      </c>
      <c r="AG480" s="209" t="s">
        <v>2971</v>
      </c>
      <c r="AH480" s="272"/>
      <c r="AI480" s="272"/>
      <c r="AJ480" s="322"/>
      <c r="AK480" s="272">
        <f>IFERROR(IF(VLOOKUP(功能_33[[#This Row],[功能代號]],E:U,11,FALSE)=0,"",VLOOKUP(功能_33[[#This Row],[功能代號]],E:U,11,FALSE)),"")</f>
        <v>44517</v>
      </c>
      <c r="AL480" s="272"/>
      <c r="AM480" s="272"/>
      <c r="AN480" s="265"/>
      <c r="AP480" s="264" t="s">
        <v>2680</v>
      </c>
      <c r="AQ480" s="265" t="s">
        <v>2789</v>
      </c>
      <c r="AR480" s="594" t="s">
        <v>3138</v>
      </c>
      <c r="AS480" s="483" t="str">
        <f>IF(COUNTA(AG480)=1,LEFT(D480,3),"")</f>
        <v>8-3</v>
      </c>
      <c r="AT480" s="485" t="str">
        <f>IF(AND(COUNTA(O480)=1,COUNTA(P480)=1,COUNTA(AC480)=1,COUNTA(AF480)=1,COUNTA(AG480)=0),LEFT(D480,3),"")</f>
        <v/>
      </c>
      <c r="AU480" s="487" t="str">
        <f>IF(AND(COUNTA(O480)=1,COUNTA(P480)=1,COUNTA(AC480)=1,COUNTA(AF480)=0,COUNTA(AG480)=0),LEFT(D480,3),"")</f>
        <v/>
      </c>
      <c r="AV480" s="489" t="str">
        <f>IF(AND(COUNTA(P480)=0,COUNTA(AC480)=1),LEFT(D480,3),"")</f>
        <v/>
      </c>
      <c r="AW480" s="491" t="str">
        <f>IF(AND(COUNTA(P480)=1,COUNTA(AC480)=0),LEFT(D480,3),"")</f>
        <v/>
      </c>
      <c r="AX480" s="493" t="str">
        <f>IF(AND(COUNTA(P480)=0,COUNTA(AC480)=0),LEFT(D480,3),"")</f>
        <v/>
      </c>
      <c r="AY480" s="514" t="str">
        <f>IFERROR(VLOOKUP(功能_33[[#This Row],[功能代號]],SIT_FT_2021tmp!D:D,1,FALSE),"")</f>
        <v/>
      </c>
      <c r="AZ480" s="587">
        <v>44610</v>
      </c>
      <c r="BB480" s="514" t="s">
        <v>2453</v>
      </c>
      <c r="BC480" s="265" t="s">
        <v>2453</v>
      </c>
      <c r="BD480" s="594"/>
      <c r="BE480" s="265" t="str">
        <f>IF(AND(COUNTIF(AY480,"&gt;&lt;0")=1,COUNTA(M480)=1),LEFT(D480,3),"")</f>
        <v/>
      </c>
      <c r="BF480" s="265" t="str">
        <f>IF(AND(COUNTIF(AY480,"&gt;&lt;")=1,COUNTA(M480)=0),LEFT(D480,3),"")</f>
        <v/>
      </c>
      <c r="BG480" s="265" t="str">
        <f>IF(AND(COUNTIF(AY480,"&gt;&lt;0")=0,COUNTA(M480)=1),LEFT(D480,3),"")</f>
        <v/>
      </c>
      <c r="BH480" s="265" t="str">
        <f>IF(AND(COUNTIF(AY480,"&gt;&lt;0")=0,COUNTA(M480)=0),LEFT(D480,3),"")</f>
        <v>8-3</v>
      </c>
    </row>
    <row r="481" spans="3:60" ht="27" x14ac:dyDescent="0.3">
      <c r="C481" s="265" t="s">
        <v>72</v>
      </c>
      <c r="D481" s="265" t="s">
        <v>2477</v>
      </c>
      <c r="E481" s="264" t="s">
        <v>1220</v>
      </c>
      <c r="F481" s="265" t="s">
        <v>1221</v>
      </c>
      <c r="G481" s="265" t="s">
        <v>1105</v>
      </c>
      <c r="H481" s="264" t="s">
        <v>110</v>
      </c>
      <c r="I481" s="264" t="s">
        <v>110</v>
      </c>
      <c r="J481" s="271" t="s">
        <v>3238</v>
      </c>
      <c r="K481" s="638" t="s">
        <v>3239</v>
      </c>
      <c r="L481" s="272">
        <v>44610</v>
      </c>
      <c r="M481" s="264"/>
      <c r="N481" s="272">
        <v>44517</v>
      </c>
      <c r="O481" s="272">
        <v>44517</v>
      </c>
      <c r="P481" s="272">
        <v>44545</v>
      </c>
      <c r="Q481" s="264" t="s">
        <v>1</v>
      </c>
      <c r="R481" s="264" t="s">
        <v>16</v>
      </c>
      <c r="S481" s="264" t="s">
        <v>16</v>
      </c>
      <c r="X481" s="264"/>
      <c r="Z481" s="264"/>
      <c r="AA481" s="264"/>
      <c r="AB481" s="265" t="str">
        <f>VLOOKUP(功能_33[[#This Row],[User]],SKL放款!A:G,7,FALSE)</f>
        <v>放款管理課</v>
      </c>
      <c r="AC481" s="272">
        <v>44545</v>
      </c>
      <c r="AD481" s="272" t="s">
        <v>2394</v>
      </c>
      <c r="AE481" s="272">
        <v>44540</v>
      </c>
      <c r="AF481" s="272">
        <v>44540</v>
      </c>
      <c r="AG481" s="209" t="s">
        <v>2971</v>
      </c>
      <c r="AH481" s="272"/>
      <c r="AI481" s="272"/>
      <c r="AJ481" s="322"/>
      <c r="AK481" s="272">
        <f>IFERROR(IF(VLOOKUP(功能_33[[#This Row],[功能代號]],E:U,11,FALSE)=0,"",VLOOKUP(功能_33[[#This Row],[功能代號]],E:U,11,FALSE)),"")</f>
        <v>44517</v>
      </c>
      <c r="AL481" s="272"/>
      <c r="AM481" s="272"/>
      <c r="AN481" s="265"/>
      <c r="AP481" s="264" t="s">
        <v>2680</v>
      </c>
      <c r="AQ481" s="265" t="s">
        <v>2789</v>
      </c>
      <c r="AR481" s="594" t="s">
        <v>3138</v>
      </c>
      <c r="AS481" s="483" t="str">
        <f>IF(COUNTA(AG481)=1,LEFT(D481,3),"")</f>
        <v>8-3</v>
      </c>
      <c r="AT481" s="485" t="str">
        <f>IF(AND(COUNTA(O481)=1,COUNTA(P481)=1,COUNTA(AC481)=1,COUNTA(AF481)=1,COUNTA(AG481)=0),LEFT(D481,3),"")</f>
        <v/>
      </c>
      <c r="AU481" s="487" t="str">
        <f>IF(AND(COUNTA(O481)=1,COUNTA(P481)=1,COUNTA(AC481)=1,COUNTA(AF481)=0,COUNTA(AG481)=0),LEFT(D481,3),"")</f>
        <v/>
      </c>
      <c r="AV481" s="489" t="str">
        <f>IF(AND(COUNTA(P481)=0,COUNTA(AC481)=1),LEFT(D481,3),"")</f>
        <v/>
      </c>
      <c r="AW481" s="491" t="str">
        <f>IF(AND(COUNTA(P481)=1,COUNTA(AC481)=0),LEFT(D481,3),"")</f>
        <v/>
      </c>
      <c r="AX481" s="493" t="str">
        <f>IF(AND(COUNTA(P481)=0,COUNTA(AC481)=0),LEFT(D481,3),"")</f>
        <v/>
      </c>
      <c r="AY481" s="514" t="str">
        <f>IFERROR(VLOOKUP(功能_33[[#This Row],[功能代號]],SIT_FT_2021tmp!D:D,1,FALSE),"")</f>
        <v/>
      </c>
      <c r="AZ481" s="587">
        <v>44610</v>
      </c>
      <c r="BB481" s="514" t="s">
        <v>2453</v>
      </c>
      <c r="BC481" s="265" t="s">
        <v>2453</v>
      </c>
      <c r="BD481" s="594"/>
      <c r="BE481" s="265" t="str">
        <f>IF(AND(COUNTIF(AY481,"&gt;&lt;0")=1,COUNTA(M481)=1),LEFT(D481,3),"")</f>
        <v/>
      </c>
      <c r="BF481" s="265" t="str">
        <f>IF(AND(COUNTIF(AY481,"&gt;&lt;")=1,COUNTA(M481)=0),LEFT(D481,3),"")</f>
        <v/>
      </c>
      <c r="BG481" s="265" t="str">
        <f>IF(AND(COUNTIF(AY481,"&gt;&lt;0")=0,COUNTA(M481)=1),LEFT(D481,3),"")</f>
        <v/>
      </c>
      <c r="BH481" s="265" t="str">
        <f>IF(AND(COUNTIF(AY481,"&gt;&lt;0")=0,COUNTA(M481)=0),LEFT(D481,3),"")</f>
        <v>8-3</v>
      </c>
    </row>
    <row r="482" spans="3:60" ht="27" x14ac:dyDescent="0.3">
      <c r="C482" s="265" t="s">
        <v>72</v>
      </c>
      <c r="D482" s="265" t="s">
        <v>2477</v>
      </c>
      <c r="E482" s="264" t="s">
        <v>1222</v>
      </c>
      <c r="F482" s="265" t="s">
        <v>1223</v>
      </c>
      <c r="G482" s="265" t="s">
        <v>1105</v>
      </c>
      <c r="H482" s="264" t="s">
        <v>110</v>
      </c>
      <c r="I482" s="264" t="s">
        <v>110</v>
      </c>
      <c r="J482" s="271" t="s">
        <v>3238</v>
      </c>
      <c r="K482" s="638" t="s">
        <v>3239</v>
      </c>
      <c r="L482" s="272">
        <v>44617</v>
      </c>
      <c r="M482" s="264"/>
      <c r="N482" s="272">
        <v>44518</v>
      </c>
      <c r="O482" s="272">
        <v>44517</v>
      </c>
      <c r="P482" s="272">
        <v>44545</v>
      </c>
      <c r="Q482" s="264" t="s">
        <v>1</v>
      </c>
      <c r="R482" s="264" t="s">
        <v>16</v>
      </c>
      <c r="S482" s="264" t="s">
        <v>16</v>
      </c>
      <c r="X482" s="264"/>
      <c r="Z482" s="264"/>
      <c r="AA482" s="264"/>
      <c r="AB482" s="265" t="str">
        <f>VLOOKUP(功能_33[[#This Row],[User]],SKL放款!A:G,7,FALSE)</f>
        <v>放款管理課</v>
      </c>
      <c r="AC482" s="272">
        <v>44545</v>
      </c>
      <c r="AD482" s="272" t="s">
        <v>2394</v>
      </c>
      <c r="AE482" s="272">
        <v>44540</v>
      </c>
      <c r="AF482" s="272">
        <v>44540</v>
      </c>
      <c r="AG482" s="209" t="s">
        <v>2971</v>
      </c>
      <c r="AH482" s="272"/>
      <c r="AI482" s="272"/>
      <c r="AJ482" s="322"/>
      <c r="AK482" s="272">
        <f>IFERROR(IF(VLOOKUP(功能_33[[#This Row],[功能代號]],E:U,11,FALSE)=0,"",VLOOKUP(功能_33[[#This Row],[功能代號]],E:U,11,FALSE)),"")</f>
        <v>44517</v>
      </c>
      <c r="AL482" s="272"/>
      <c r="AM482" s="272"/>
      <c r="AN482" s="265"/>
      <c r="AP482" s="264" t="s">
        <v>2680</v>
      </c>
      <c r="AQ482" s="265" t="s">
        <v>2789</v>
      </c>
      <c r="AR482" s="594" t="s">
        <v>3138</v>
      </c>
      <c r="AS482" s="483" t="str">
        <f>IF(COUNTA(AG482)=1,LEFT(D482,3),"")</f>
        <v>8-3</v>
      </c>
      <c r="AT482" s="485" t="str">
        <f>IF(AND(COUNTA(O482)=1,COUNTA(P482)=1,COUNTA(AC482)=1,COUNTA(AF482)=1,COUNTA(AG482)=0),LEFT(D482,3),"")</f>
        <v/>
      </c>
      <c r="AU482" s="487" t="str">
        <f>IF(AND(COUNTA(O482)=1,COUNTA(P482)=1,COUNTA(AC482)=1,COUNTA(AF482)=0,COUNTA(AG482)=0),LEFT(D482,3),"")</f>
        <v/>
      </c>
      <c r="AV482" s="489" t="str">
        <f>IF(AND(COUNTA(P482)=0,COUNTA(AC482)=1),LEFT(D482,3),"")</f>
        <v/>
      </c>
      <c r="AW482" s="491" t="str">
        <f>IF(AND(COUNTA(P482)=1,COUNTA(AC482)=0),LEFT(D482,3),"")</f>
        <v/>
      </c>
      <c r="AX482" s="493" t="str">
        <f>IF(AND(COUNTA(P482)=0,COUNTA(AC482)=0),LEFT(D482,3),"")</f>
        <v/>
      </c>
      <c r="AY482" s="514" t="str">
        <f>IFERROR(VLOOKUP(功能_33[[#This Row],[功能代號]],SIT_FT_2021tmp!D:D,1,FALSE),"")</f>
        <v/>
      </c>
      <c r="AZ482" s="587">
        <v>44617</v>
      </c>
      <c r="BB482" s="514" t="s">
        <v>2453</v>
      </c>
      <c r="BC482" s="265" t="s">
        <v>2453</v>
      </c>
      <c r="BD482" s="594"/>
      <c r="BE482" s="265" t="str">
        <f>IF(AND(COUNTIF(AY482,"&gt;&lt;0")=1,COUNTA(M482)=1),LEFT(D482,3),"")</f>
        <v/>
      </c>
      <c r="BF482" s="265" t="str">
        <f>IF(AND(COUNTIF(AY482,"&gt;&lt;")=1,COUNTA(M482)=0),LEFT(D482,3),"")</f>
        <v/>
      </c>
      <c r="BG482" s="265" t="str">
        <f>IF(AND(COUNTIF(AY482,"&gt;&lt;0")=0,COUNTA(M482)=1),LEFT(D482,3),"")</f>
        <v/>
      </c>
      <c r="BH482" s="265" t="str">
        <f>IF(AND(COUNTIF(AY482,"&gt;&lt;0")=0,COUNTA(M482)=0),LEFT(D482,3),"")</f>
        <v>8-3</v>
      </c>
    </row>
    <row r="483" spans="3:60" ht="27" x14ac:dyDescent="0.3">
      <c r="C483" s="265" t="s">
        <v>72</v>
      </c>
      <c r="D483" s="265" t="s">
        <v>2477</v>
      </c>
      <c r="E483" s="264" t="s">
        <v>1224</v>
      </c>
      <c r="F483" s="265" t="s">
        <v>1225</v>
      </c>
      <c r="G483" s="265" t="s">
        <v>1105</v>
      </c>
      <c r="H483" s="264" t="s">
        <v>110</v>
      </c>
      <c r="I483" s="264" t="s">
        <v>110</v>
      </c>
      <c r="J483" s="271" t="s">
        <v>3238</v>
      </c>
      <c r="K483" s="638" t="s">
        <v>3239</v>
      </c>
      <c r="L483" s="272">
        <v>44617</v>
      </c>
      <c r="M483" s="264"/>
      <c r="N483" s="272">
        <v>44518</v>
      </c>
      <c r="O483" s="272">
        <v>44517</v>
      </c>
      <c r="P483" s="272">
        <v>44545</v>
      </c>
      <c r="Q483" s="264" t="s">
        <v>1</v>
      </c>
      <c r="R483" s="264" t="s">
        <v>16</v>
      </c>
      <c r="S483" s="264" t="s">
        <v>16</v>
      </c>
      <c r="X483" s="264"/>
      <c r="Z483" s="264"/>
      <c r="AA483" s="264"/>
      <c r="AB483" s="265" t="str">
        <f>VLOOKUP(功能_33[[#This Row],[User]],SKL放款!A:G,7,FALSE)</f>
        <v>放款管理課</v>
      </c>
      <c r="AC483" s="272">
        <v>44545</v>
      </c>
      <c r="AD483" s="272" t="s">
        <v>2394</v>
      </c>
      <c r="AE483" s="272">
        <v>44540</v>
      </c>
      <c r="AF483" s="272">
        <v>44540</v>
      </c>
      <c r="AG483" s="209" t="s">
        <v>2971</v>
      </c>
      <c r="AH483" s="272"/>
      <c r="AI483" s="272"/>
      <c r="AJ483" s="322"/>
      <c r="AK483" s="272">
        <f>IFERROR(IF(VLOOKUP(功能_33[[#This Row],[功能代號]],E:U,11,FALSE)=0,"",VLOOKUP(功能_33[[#This Row],[功能代號]],E:U,11,FALSE)),"")</f>
        <v>44517</v>
      </c>
      <c r="AL483" s="272"/>
      <c r="AM483" s="272"/>
      <c r="AN483" s="265"/>
      <c r="AP483" s="264" t="s">
        <v>2680</v>
      </c>
      <c r="AQ483" s="265" t="s">
        <v>2789</v>
      </c>
      <c r="AR483" s="594" t="s">
        <v>3138</v>
      </c>
      <c r="AS483" s="483" t="str">
        <f>IF(COUNTA(AG483)=1,LEFT(D483,3),"")</f>
        <v>8-3</v>
      </c>
      <c r="AT483" s="485" t="str">
        <f>IF(AND(COUNTA(O483)=1,COUNTA(P483)=1,COUNTA(AC483)=1,COUNTA(AF483)=1,COUNTA(AG483)=0),LEFT(D483,3),"")</f>
        <v/>
      </c>
      <c r="AU483" s="487" t="str">
        <f>IF(AND(COUNTA(O483)=1,COUNTA(P483)=1,COUNTA(AC483)=1,COUNTA(AF483)=0,COUNTA(AG483)=0),LEFT(D483,3),"")</f>
        <v/>
      </c>
      <c r="AV483" s="489" t="str">
        <f>IF(AND(COUNTA(P483)=0,COUNTA(AC483)=1),LEFT(D483,3),"")</f>
        <v/>
      </c>
      <c r="AW483" s="491" t="str">
        <f>IF(AND(COUNTA(P483)=1,COUNTA(AC483)=0),LEFT(D483,3),"")</f>
        <v/>
      </c>
      <c r="AX483" s="493" t="str">
        <f>IF(AND(COUNTA(P483)=0,COUNTA(AC483)=0),LEFT(D483,3),"")</f>
        <v/>
      </c>
      <c r="AY483" s="514" t="str">
        <f>IFERROR(VLOOKUP(功能_33[[#This Row],[功能代號]],SIT_FT_2021tmp!D:D,1,FALSE),"")</f>
        <v/>
      </c>
      <c r="AZ483" s="587">
        <v>44617</v>
      </c>
      <c r="BB483" s="514" t="s">
        <v>2453</v>
      </c>
      <c r="BC483" s="265" t="s">
        <v>2453</v>
      </c>
      <c r="BD483" s="594"/>
      <c r="BE483" s="265" t="str">
        <f>IF(AND(COUNTIF(AY483,"&gt;&lt;0")=1,COUNTA(M483)=1),LEFT(D483,3),"")</f>
        <v/>
      </c>
      <c r="BF483" s="265" t="str">
        <f>IF(AND(COUNTIF(AY483,"&gt;&lt;")=1,COUNTA(M483)=0),LEFT(D483,3),"")</f>
        <v/>
      </c>
      <c r="BG483" s="265" t="str">
        <f>IF(AND(COUNTIF(AY483,"&gt;&lt;0")=0,COUNTA(M483)=1),LEFT(D483,3),"")</f>
        <v/>
      </c>
      <c r="BH483" s="265" t="str">
        <f>IF(AND(COUNTIF(AY483,"&gt;&lt;0")=0,COUNTA(M483)=0),LEFT(D483,3),"")</f>
        <v>8-3</v>
      </c>
    </row>
    <row r="484" spans="3:60" ht="27" x14ac:dyDescent="0.3">
      <c r="C484" s="265" t="s">
        <v>72</v>
      </c>
      <c r="D484" s="265" t="s">
        <v>2477</v>
      </c>
      <c r="E484" s="264" t="s">
        <v>1226</v>
      </c>
      <c r="F484" s="265" t="s">
        <v>1227</v>
      </c>
      <c r="G484" s="265" t="s">
        <v>1105</v>
      </c>
      <c r="H484" s="264" t="s">
        <v>110</v>
      </c>
      <c r="I484" s="264" t="s">
        <v>110</v>
      </c>
      <c r="J484" s="271" t="s">
        <v>3238</v>
      </c>
      <c r="K484" s="638" t="s">
        <v>3239</v>
      </c>
      <c r="L484" s="272">
        <v>44617</v>
      </c>
      <c r="M484" s="264"/>
      <c r="N484" s="272">
        <v>44518</v>
      </c>
      <c r="O484" s="272">
        <v>44517</v>
      </c>
      <c r="P484" s="272">
        <v>44545</v>
      </c>
      <c r="Q484" s="264" t="s">
        <v>1</v>
      </c>
      <c r="R484" s="264" t="s">
        <v>16</v>
      </c>
      <c r="S484" s="264" t="s">
        <v>16</v>
      </c>
      <c r="X484" s="264"/>
      <c r="Z484" s="264"/>
      <c r="AA484" s="264"/>
      <c r="AB484" s="265" t="str">
        <f>VLOOKUP(功能_33[[#This Row],[User]],SKL放款!A:G,7,FALSE)</f>
        <v>放款管理課</v>
      </c>
      <c r="AC484" s="272">
        <v>44545</v>
      </c>
      <c r="AD484" s="272" t="s">
        <v>2394</v>
      </c>
      <c r="AE484" s="272">
        <v>44540</v>
      </c>
      <c r="AF484" s="272">
        <v>44540</v>
      </c>
      <c r="AG484" s="209" t="s">
        <v>2971</v>
      </c>
      <c r="AH484" s="272"/>
      <c r="AI484" s="272"/>
      <c r="AJ484" s="322"/>
      <c r="AK484" s="272">
        <f>IFERROR(IF(VLOOKUP(功能_33[[#This Row],[功能代號]],E:U,11,FALSE)=0,"",VLOOKUP(功能_33[[#This Row],[功能代號]],E:U,11,FALSE)),"")</f>
        <v>44517</v>
      </c>
      <c r="AL484" s="272"/>
      <c r="AM484" s="272"/>
      <c r="AN484" s="265"/>
      <c r="AP484" s="264" t="s">
        <v>2680</v>
      </c>
      <c r="AQ484" s="265" t="s">
        <v>2789</v>
      </c>
      <c r="AR484" s="594" t="s">
        <v>3138</v>
      </c>
      <c r="AS484" s="483" t="str">
        <f>IF(COUNTA(AG484)=1,LEFT(D484,3),"")</f>
        <v>8-3</v>
      </c>
      <c r="AT484" s="485" t="str">
        <f>IF(AND(COUNTA(O484)=1,COUNTA(P484)=1,COUNTA(AC484)=1,COUNTA(AF484)=1,COUNTA(AG484)=0),LEFT(D484,3),"")</f>
        <v/>
      </c>
      <c r="AU484" s="487" t="str">
        <f>IF(AND(COUNTA(O484)=1,COUNTA(P484)=1,COUNTA(AC484)=1,COUNTA(AF484)=0,COUNTA(AG484)=0),LEFT(D484,3),"")</f>
        <v/>
      </c>
      <c r="AV484" s="489" t="str">
        <f>IF(AND(COUNTA(P484)=0,COUNTA(AC484)=1),LEFT(D484,3),"")</f>
        <v/>
      </c>
      <c r="AW484" s="491" t="str">
        <f>IF(AND(COUNTA(P484)=1,COUNTA(AC484)=0),LEFT(D484,3),"")</f>
        <v/>
      </c>
      <c r="AX484" s="493" t="str">
        <f>IF(AND(COUNTA(P484)=0,COUNTA(AC484)=0),LEFT(D484,3),"")</f>
        <v/>
      </c>
      <c r="AY484" s="514" t="str">
        <f>IFERROR(VLOOKUP(功能_33[[#This Row],[功能代號]],SIT_FT_2021tmp!D:D,1,FALSE),"")</f>
        <v/>
      </c>
      <c r="AZ484" s="587">
        <v>44617</v>
      </c>
      <c r="BB484" s="514" t="s">
        <v>2453</v>
      </c>
      <c r="BC484" s="265" t="s">
        <v>2453</v>
      </c>
      <c r="BD484" s="594"/>
      <c r="BE484" s="265" t="str">
        <f>IF(AND(COUNTIF(AY484,"&gt;&lt;0")=1,COUNTA(M484)=1),LEFT(D484,3),"")</f>
        <v/>
      </c>
      <c r="BF484" s="265" t="str">
        <f>IF(AND(COUNTIF(AY484,"&gt;&lt;")=1,COUNTA(M484)=0),LEFT(D484,3),"")</f>
        <v/>
      </c>
      <c r="BG484" s="265" t="str">
        <f>IF(AND(COUNTIF(AY484,"&gt;&lt;0")=0,COUNTA(M484)=1),LEFT(D484,3),"")</f>
        <v/>
      </c>
      <c r="BH484" s="265" t="str">
        <f>IF(AND(COUNTIF(AY484,"&gt;&lt;0")=0,COUNTA(M484)=0),LEFT(D484,3),"")</f>
        <v>8-3</v>
      </c>
    </row>
    <row r="485" spans="3:60" ht="27" x14ac:dyDescent="0.3">
      <c r="C485" s="265" t="s">
        <v>72</v>
      </c>
      <c r="D485" s="265" t="s">
        <v>2477</v>
      </c>
      <c r="E485" s="264" t="s">
        <v>1228</v>
      </c>
      <c r="F485" s="265" t="s">
        <v>1229</v>
      </c>
      <c r="G485" s="265" t="s">
        <v>1105</v>
      </c>
      <c r="H485" s="264" t="s">
        <v>110</v>
      </c>
      <c r="I485" s="264" t="s">
        <v>110</v>
      </c>
      <c r="J485" s="271" t="s">
        <v>3238</v>
      </c>
      <c r="K485" s="638" t="s">
        <v>3239</v>
      </c>
      <c r="L485" s="272">
        <v>44617</v>
      </c>
      <c r="M485" s="264"/>
      <c r="N485" s="272">
        <v>44518</v>
      </c>
      <c r="O485" s="272">
        <v>44517</v>
      </c>
      <c r="P485" s="272">
        <v>44545</v>
      </c>
      <c r="Q485" s="264" t="s">
        <v>1</v>
      </c>
      <c r="R485" s="264" t="s">
        <v>16</v>
      </c>
      <c r="S485" s="264" t="s">
        <v>16</v>
      </c>
      <c r="X485" s="264"/>
      <c r="Z485" s="264"/>
      <c r="AA485" s="264"/>
      <c r="AB485" s="265" t="str">
        <f>VLOOKUP(功能_33[[#This Row],[User]],SKL放款!A:G,7,FALSE)</f>
        <v>放款管理課</v>
      </c>
      <c r="AC485" s="272">
        <v>44545</v>
      </c>
      <c r="AD485" s="272" t="s">
        <v>2394</v>
      </c>
      <c r="AE485" s="272">
        <v>44540</v>
      </c>
      <c r="AF485" s="272">
        <v>44540</v>
      </c>
      <c r="AG485" s="209" t="s">
        <v>2971</v>
      </c>
      <c r="AH485" s="272"/>
      <c r="AI485" s="272"/>
      <c r="AJ485" s="322"/>
      <c r="AK485" s="272">
        <f>IFERROR(IF(VLOOKUP(功能_33[[#This Row],[功能代號]],E:U,11,FALSE)=0,"",VLOOKUP(功能_33[[#This Row],[功能代號]],E:U,11,FALSE)),"")</f>
        <v>44517</v>
      </c>
      <c r="AL485" s="272"/>
      <c r="AM485" s="272"/>
      <c r="AN485" s="265"/>
      <c r="AP485" s="264" t="s">
        <v>2680</v>
      </c>
      <c r="AQ485" s="265" t="s">
        <v>2789</v>
      </c>
      <c r="AR485" s="594" t="s">
        <v>3138</v>
      </c>
      <c r="AS485" s="483" t="str">
        <f>IF(COUNTA(AG485)=1,LEFT(D485,3),"")</f>
        <v>8-3</v>
      </c>
      <c r="AT485" s="485" t="str">
        <f>IF(AND(COUNTA(O485)=1,COUNTA(P485)=1,COUNTA(AC485)=1,COUNTA(AF485)=1,COUNTA(AG485)=0),LEFT(D485,3),"")</f>
        <v/>
      </c>
      <c r="AU485" s="487" t="str">
        <f>IF(AND(COUNTA(O485)=1,COUNTA(P485)=1,COUNTA(AC485)=1,COUNTA(AF485)=0,COUNTA(AG485)=0),LEFT(D485,3),"")</f>
        <v/>
      </c>
      <c r="AV485" s="489" t="str">
        <f>IF(AND(COUNTA(P485)=0,COUNTA(AC485)=1),LEFT(D485,3),"")</f>
        <v/>
      </c>
      <c r="AW485" s="491" t="str">
        <f>IF(AND(COUNTA(P485)=1,COUNTA(AC485)=0),LEFT(D485,3),"")</f>
        <v/>
      </c>
      <c r="AX485" s="493" t="str">
        <f>IF(AND(COUNTA(P485)=0,COUNTA(AC485)=0),LEFT(D485,3),"")</f>
        <v/>
      </c>
      <c r="AY485" s="514" t="str">
        <f>IFERROR(VLOOKUP(功能_33[[#This Row],[功能代號]],SIT_FT_2021tmp!D:D,1,FALSE),"")</f>
        <v/>
      </c>
      <c r="AZ485" s="587">
        <v>44617</v>
      </c>
      <c r="BB485" s="514" t="s">
        <v>2453</v>
      </c>
      <c r="BC485" s="265" t="s">
        <v>2453</v>
      </c>
      <c r="BD485" s="594"/>
      <c r="BE485" s="265" t="str">
        <f>IF(AND(COUNTIF(AY485,"&gt;&lt;0")=1,COUNTA(M485)=1),LEFT(D485,3),"")</f>
        <v/>
      </c>
      <c r="BF485" s="265" t="str">
        <f>IF(AND(COUNTIF(AY485,"&gt;&lt;")=1,COUNTA(M485)=0),LEFT(D485,3),"")</f>
        <v/>
      </c>
      <c r="BG485" s="265" t="str">
        <f>IF(AND(COUNTIF(AY485,"&gt;&lt;0")=0,COUNTA(M485)=1),LEFT(D485,3),"")</f>
        <v/>
      </c>
      <c r="BH485" s="265" t="str">
        <f>IF(AND(COUNTIF(AY485,"&gt;&lt;0")=0,COUNTA(M485)=0),LEFT(D485,3),"")</f>
        <v>8-3</v>
      </c>
    </row>
    <row r="486" spans="3:60" ht="27" x14ac:dyDescent="0.3">
      <c r="C486" s="265" t="s">
        <v>72</v>
      </c>
      <c r="D486" s="265" t="s">
        <v>2477</v>
      </c>
      <c r="E486" s="264" t="s">
        <v>1230</v>
      </c>
      <c r="F486" s="265" t="s">
        <v>1231</v>
      </c>
      <c r="G486" s="265" t="s">
        <v>1105</v>
      </c>
      <c r="H486" s="264" t="s">
        <v>110</v>
      </c>
      <c r="I486" s="264" t="s">
        <v>110</v>
      </c>
      <c r="J486" s="271" t="s">
        <v>3238</v>
      </c>
      <c r="K486" s="638" t="s">
        <v>3239</v>
      </c>
      <c r="L486" s="272">
        <v>44617</v>
      </c>
      <c r="M486" s="264"/>
      <c r="N486" s="272">
        <v>44518</v>
      </c>
      <c r="O486" s="272">
        <v>44517</v>
      </c>
      <c r="P486" s="272">
        <v>44545</v>
      </c>
      <c r="Q486" s="264" t="s">
        <v>1</v>
      </c>
      <c r="R486" s="264" t="s">
        <v>16</v>
      </c>
      <c r="S486" s="264" t="s">
        <v>16</v>
      </c>
      <c r="X486" s="264"/>
      <c r="Z486" s="264"/>
      <c r="AA486" s="264"/>
      <c r="AB486" s="265" t="str">
        <f>VLOOKUP(功能_33[[#This Row],[User]],SKL放款!A:G,7,FALSE)</f>
        <v>放款管理課</v>
      </c>
      <c r="AC486" s="272">
        <v>44545</v>
      </c>
      <c r="AD486" s="272" t="s">
        <v>2394</v>
      </c>
      <c r="AE486" s="272">
        <v>44540</v>
      </c>
      <c r="AF486" s="272">
        <v>44540</v>
      </c>
      <c r="AG486" s="209" t="s">
        <v>2971</v>
      </c>
      <c r="AH486" s="272"/>
      <c r="AI486" s="272"/>
      <c r="AJ486" s="322"/>
      <c r="AK486" s="272">
        <f>IFERROR(IF(VLOOKUP(功能_33[[#This Row],[功能代號]],E:U,11,FALSE)=0,"",VLOOKUP(功能_33[[#This Row],[功能代號]],E:U,11,FALSE)),"")</f>
        <v>44517</v>
      </c>
      <c r="AL486" s="272"/>
      <c r="AM486" s="272"/>
      <c r="AN486" s="265"/>
      <c r="AP486" s="264" t="s">
        <v>2680</v>
      </c>
      <c r="AQ486" s="265" t="s">
        <v>2789</v>
      </c>
      <c r="AR486" s="594" t="s">
        <v>3138</v>
      </c>
      <c r="AS486" s="483" t="str">
        <f>IF(COUNTA(AG486)=1,LEFT(D486,3),"")</f>
        <v>8-3</v>
      </c>
      <c r="AT486" s="485" t="str">
        <f>IF(AND(COUNTA(O486)=1,COUNTA(P486)=1,COUNTA(AC486)=1,COUNTA(AF486)=1,COUNTA(AG486)=0),LEFT(D486,3),"")</f>
        <v/>
      </c>
      <c r="AU486" s="487" t="str">
        <f>IF(AND(COUNTA(O486)=1,COUNTA(P486)=1,COUNTA(AC486)=1,COUNTA(AF486)=0,COUNTA(AG486)=0),LEFT(D486,3),"")</f>
        <v/>
      </c>
      <c r="AV486" s="489" t="str">
        <f>IF(AND(COUNTA(P486)=0,COUNTA(AC486)=1),LEFT(D486,3),"")</f>
        <v/>
      </c>
      <c r="AW486" s="491" t="str">
        <f>IF(AND(COUNTA(P486)=1,COUNTA(AC486)=0),LEFT(D486,3),"")</f>
        <v/>
      </c>
      <c r="AX486" s="493" t="str">
        <f>IF(AND(COUNTA(P486)=0,COUNTA(AC486)=0),LEFT(D486,3),"")</f>
        <v/>
      </c>
      <c r="AY486" s="514" t="str">
        <f>IFERROR(VLOOKUP(功能_33[[#This Row],[功能代號]],SIT_FT_2021tmp!D:D,1,FALSE),"")</f>
        <v/>
      </c>
      <c r="AZ486" s="587">
        <v>44617</v>
      </c>
      <c r="BB486" s="514" t="s">
        <v>2453</v>
      </c>
      <c r="BC486" s="265" t="s">
        <v>2453</v>
      </c>
      <c r="BD486" s="594"/>
      <c r="BE486" s="265" t="str">
        <f>IF(AND(COUNTIF(AY486,"&gt;&lt;0")=1,COUNTA(M486)=1),LEFT(D486,3),"")</f>
        <v/>
      </c>
      <c r="BF486" s="265" t="str">
        <f>IF(AND(COUNTIF(AY486,"&gt;&lt;")=1,COUNTA(M486)=0),LEFT(D486,3),"")</f>
        <v/>
      </c>
      <c r="BG486" s="265" t="str">
        <f>IF(AND(COUNTIF(AY486,"&gt;&lt;0")=0,COUNTA(M486)=1),LEFT(D486,3),"")</f>
        <v/>
      </c>
      <c r="BH486" s="265" t="str">
        <f>IF(AND(COUNTIF(AY486,"&gt;&lt;0")=0,COUNTA(M486)=0),LEFT(D486,3),"")</f>
        <v>8-3</v>
      </c>
    </row>
    <row r="487" spans="3:60" ht="27" x14ac:dyDescent="0.3">
      <c r="C487" s="265" t="s">
        <v>72</v>
      </c>
      <c r="D487" s="265" t="s">
        <v>2477</v>
      </c>
      <c r="E487" s="264" t="s">
        <v>1232</v>
      </c>
      <c r="F487" s="265" t="s">
        <v>1233</v>
      </c>
      <c r="G487" s="265" t="s">
        <v>1105</v>
      </c>
      <c r="H487" s="264" t="s">
        <v>110</v>
      </c>
      <c r="I487" s="264" t="s">
        <v>110</v>
      </c>
      <c r="J487" s="271" t="s">
        <v>3238</v>
      </c>
      <c r="K487" s="638" t="s">
        <v>3239</v>
      </c>
      <c r="L487" s="272">
        <v>44617</v>
      </c>
      <c r="M487" s="264"/>
      <c r="N487" s="272">
        <v>44518</v>
      </c>
      <c r="O487" s="272">
        <v>44517</v>
      </c>
      <c r="P487" s="272">
        <v>44545</v>
      </c>
      <c r="Q487" s="264" t="s">
        <v>1</v>
      </c>
      <c r="R487" s="264" t="s">
        <v>16</v>
      </c>
      <c r="S487" s="264" t="s">
        <v>16</v>
      </c>
      <c r="X487" s="264"/>
      <c r="Z487" s="264"/>
      <c r="AA487" s="264"/>
      <c r="AB487" s="265" t="str">
        <f>VLOOKUP(功能_33[[#This Row],[User]],SKL放款!A:G,7,FALSE)</f>
        <v>放款管理課</v>
      </c>
      <c r="AC487" s="272">
        <v>44545</v>
      </c>
      <c r="AD487" s="272" t="s">
        <v>2394</v>
      </c>
      <c r="AE487" s="272">
        <v>44540</v>
      </c>
      <c r="AF487" s="272">
        <v>44540</v>
      </c>
      <c r="AG487" s="209" t="s">
        <v>2971</v>
      </c>
      <c r="AH487" s="272"/>
      <c r="AI487" s="272"/>
      <c r="AJ487" s="322"/>
      <c r="AK487" s="272">
        <f>IFERROR(IF(VLOOKUP(功能_33[[#This Row],[功能代號]],E:U,11,FALSE)=0,"",VLOOKUP(功能_33[[#This Row],[功能代號]],E:U,11,FALSE)),"")</f>
        <v>44517</v>
      </c>
      <c r="AL487" s="272"/>
      <c r="AM487" s="272"/>
      <c r="AN487" s="265"/>
      <c r="AP487" s="264" t="s">
        <v>2680</v>
      </c>
      <c r="AQ487" s="265" t="s">
        <v>2789</v>
      </c>
      <c r="AR487" s="594" t="s">
        <v>3138</v>
      </c>
      <c r="AS487" s="483" t="str">
        <f>IF(COUNTA(AG487)=1,LEFT(D487,3),"")</f>
        <v>8-3</v>
      </c>
      <c r="AT487" s="485" t="str">
        <f>IF(AND(COUNTA(O487)=1,COUNTA(P487)=1,COUNTA(AC487)=1,COUNTA(AF487)=1,COUNTA(AG487)=0),LEFT(D487,3),"")</f>
        <v/>
      </c>
      <c r="AU487" s="487" t="str">
        <f>IF(AND(COUNTA(O487)=1,COUNTA(P487)=1,COUNTA(AC487)=1,COUNTA(AF487)=0,COUNTA(AG487)=0),LEFT(D487,3),"")</f>
        <v/>
      </c>
      <c r="AV487" s="489" t="str">
        <f>IF(AND(COUNTA(P487)=0,COUNTA(AC487)=1),LEFT(D487,3),"")</f>
        <v/>
      </c>
      <c r="AW487" s="491" t="str">
        <f>IF(AND(COUNTA(P487)=1,COUNTA(AC487)=0),LEFT(D487,3),"")</f>
        <v/>
      </c>
      <c r="AX487" s="493" t="str">
        <f>IF(AND(COUNTA(P487)=0,COUNTA(AC487)=0),LEFT(D487,3),"")</f>
        <v/>
      </c>
      <c r="AY487" s="514" t="str">
        <f>IFERROR(VLOOKUP(功能_33[[#This Row],[功能代號]],SIT_FT_2021tmp!D:D,1,FALSE),"")</f>
        <v/>
      </c>
      <c r="AZ487" s="587">
        <v>44617</v>
      </c>
      <c r="BB487" s="514" t="s">
        <v>2453</v>
      </c>
      <c r="BC487" s="265" t="s">
        <v>2453</v>
      </c>
      <c r="BD487" s="594"/>
      <c r="BE487" s="265" t="str">
        <f>IF(AND(COUNTIF(AY487,"&gt;&lt;0")=1,COUNTA(M487)=1),LEFT(D487,3),"")</f>
        <v/>
      </c>
      <c r="BF487" s="265" t="str">
        <f>IF(AND(COUNTIF(AY487,"&gt;&lt;")=1,COUNTA(M487)=0),LEFT(D487,3),"")</f>
        <v/>
      </c>
      <c r="BG487" s="265" t="str">
        <f>IF(AND(COUNTIF(AY487,"&gt;&lt;0")=0,COUNTA(M487)=1),LEFT(D487,3),"")</f>
        <v/>
      </c>
      <c r="BH487" s="265" t="str">
        <f>IF(AND(COUNTIF(AY487,"&gt;&lt;0")=0,COUNTA(M487)=0),LEFT(D487,3),"")</f>
        <v>8-3</v>
      </c>
    </row>
    <row r="488" spans="3:60" ht="27" x14ac:dyDescent="0.3">
      <c r="C488" s="265" t="s">
        <v>72</v>
      </c>
      <c r="D488" s="265" t="s">
        <v>2477</v>
      </c>
      <c r="E488" s="264" t="s">
        <v>1234</v>
      </c>
      <c r="F488" s="265" t="s">
        <v>1235</v>
      </c>
      <c r="G488" s="265" t="s">
        <v>1105</v>
      </c>
      <c r="H488" s="264" t="s">
        <v>110</v>
      </c>
      <c r="I488" s="264" t="s">
        <v>110</v>
      </c>
      <c r="J488" s="271" t="s">
        <v>3238</v>
      </c>
      <c r="K488" s="638" t="s">
        <v>3239</v>
      </c>
      <c r="L488" s="272">
        <v>44617</v>
      </c>
      <c r="M488" s="264"/>
      <c r="N488" s="272">
        <v>44518</v>
      </c>
      <c r="O488" s="272">
        <v>44517</v>
      </c>
      <c r="P488" s="272">
        <v>44545</v>
      </c>
      <c r="Q488" s="264" t="s">
        <v>1</v>
      </c>
      <c r="R488" s="264" t="s">
        <v>16</v>
      </c>
      <c r="S488" s="264" t="s">
        <v>16</v>
      </c>
      <c r="X488" s="264"/>
      <c r="Z488" s="264"/>
      <c r="AA488" s="264"/>
      <c r="AB488" s="265" t="str">
        <f>VLOOKUP(功能_33[[#This Row],[User]],SKL放款!A:G,7,FALSE)</f>
        <v>放款管理課</v>
      </c>
      <c r="AC488" s="272">
        <v>44545</v>
      </c>
      <c r="AD488" s="272" t="s">
        <v>2394</v>
      </c>
      <c r="AE488" s="272">
        <v>44540</v>
      </c>
      <c r="AF488" s="272">
        <v>44540</v>
      </c>
      <c r="AG488" s="209" t="s">
        <v>2971</v>
      </c>
      <c r="AH488" s="272"/>
      <c r="AI488" s="272"/>
      <c r="AJ488" s="322"/>
      <c r="AK488" s="272">
        <f>IFERROR(IF(VLOOKUP(功能_33[[#This Row],[功能代號]],E:U,11,FALSE)=0,"",VLOOKUP(功能_33[[#This Row],[功能代號]],E:U,11,FALSE)),"")</f>
        <v>44517</v>
      </c>
      <c r="AL488" s="272"/>
      <c r="AM488" s="272"/>
      <c r="AN488" s="265"/>
      <c r="AP488" s="264" t="s">
        <v>2680</v>
      </c>
      <c r="AQ488" s="265" t="s">
        <v>2789</v>
      </c>
      <c r="AR488" s="594" t="s">
        <v>3138</v>
      </c>
      <c r="AS488" s="483" t="str">
        <f>IF(COUNTA(AG488)=1,LEFT(D488,3),"")</f>
        <v>8-3</v>
      </c>
      <c r="AT488" s="485" t="str">
        <f>IF(AND(COUNTA(O488)=1,COUNTA(P488)=1,COUNTA(AC488)=1,COUNTA(AF488)=1,COUNTA(AG488)=0),LEFT(D488,3),"")</f>
        <v/>
      </c>
      <c r="AU488" s="487" t="str">
        <f>IF(AND(COUNTA(O488)=1,COUNTA(P488)=1,COUNTA(AC488)=1,COUNTA(AF488)=0,COUNTA(AG488)=0),LEFT(D488,3),"")</f>
        <v/>
      </c>
      <c r="AV488" s="489" t="str">
        <f>IF(AND(COUNTA(P488)=0,COUNTA(AC488)=1),LEFT(D488,3),"")</f>
        <v/>
      </c>
      <c r="AW488" s="491" t="str">
        <f>IF(AND(COUNTA(P488)=1,COUNTA(AC488)=0),LEFT(D488,3),"")</f>
        <v/>
      </c>
      <c r="AX488" s="493" t="str">
        <f>IF(AND(COUNTA(P488)=0,COUNTA(AC488)=0),LEFT(D488,3),"")</f>
        <v/>
      </c>
      <c r="AY488" s="514" t="str">
        <f>IFERROR(VLOOKUP(功能_33[[#This Row],[功能代號]],SIT_FT_2021tmp!D:D,1,FALSE),"")</f>
        <v/>
      </c>
      <c r="AZ488" s="587">
        <v>44617</v>
      </c>
      <c r="BB488" s="514" t="s">
        <v>2453</v>
      </c>
      <c r="BC488" s="265" t="s">
        <v>2453</v>
      </c>
      <c r="BD488" s="594"/>
      <c r="BE488" s="265" t="str">
        <f>IF(AND(COUNTIF(AY488,"&gt;&lt;0")=1,COUNTA(M488)=1),LEFT(D488,3),"")</f>
        <v/>
      </c>
      <c r="BF488" s="265" t="str">
        <f>IF(AND(COUNTIF(AY488,"&gt;&lt;")=1,COUNTA(M488)=0),LEFT(D488,3),"")</f>
        <v/>
      </c>
      <c r="BG488" s="265" t="str">
        <f>IF(AND(COUNTIF(AY488,"&gt;&lt;0")=0,COUNTA(M488)=1),LEFT(D488,3),"")</f>
        <v/>
      </c>
      <c r="BH488" s="265" t="str">
        <f>IF(AND(COUNTIF(AY488,"&gt;&lt;0")=0,COUNTA(M488)=0),LEFT(D488,3),"")</f>
        <v>8-3</v>
      </c>
    </row>
    <row r="489" spans="3:60" ht="27" x14ac:dyDescent="0.3">
      <c r="C489" s="265" t="s">
        <v>72</v>
      </c>
      <c r="D489" s="265" t="s">
        <v>2477</v>
      </c>
      <c r="E489" s="264" t="s">
        <v>1236</v>
      </c>
      <c r="F489" s="265" t="s">
        <v>1237</v>
      </c>
      <c r="G489" s="265" t="s">
        <v>1105</v>
      </c>
      <c r="H489" s="264" t="s">
        <v>110</v>
      </c>
      <c r="I489" s="264" t="s">
        <v>110</v>
      </c>
      <c r="J489" s="271" t="s">
        <v>3238</v>
      </c>
      <c r="K489" s="638" t="s">
        <v>3239</v>
      </c>
      <c r="L489" s="272">
        <v>44617</v>
      </c>
      <c r="M489" s="264"/>
      <c r="N489" s="272">
        <v>44518</v>
      </c>
      <c r="O489" s="272">
        <v>44517</v>
      </c>
      <c r="P489" s="272">
        <v>44545</v>
      </c>
      <c r="Q489" s="264" t="s">
        <v>1</v>
      </c>
      <c r="R489" s="264" t="s">
        <v>16</v>
      </c>
      <c r="S489" s="264" t="s">
        <v>16</v>
      </c>
      <c r="X489" s="264"/>
      <c r="Z489" s="264"/>
      <c r="AA489" s="264"/>
      <c r="AB489" s="265" t="str">
        <f>VLOOKUP(功能_33[[#This Row],[User]],SKL放款!A:G,7,FALSE)</f>
        <v>放款管理課</v>
      </c>
      <c r="AC489" s="272">
        <v>44545</v>
      </c>
      <c r="AD489" s="272" t="s">
        <v>2394</v>
      </c>
      <c r="AE489" s="272">
        <v>44540</v>
      </c>
      <c r="AF489" s="272">
        <v>44540</v>
      </c>
      <c r="AG489" s="209" t="s">
        <v>2971</v>
      </c>
      <c r="AH489" s="272"/>
      <c r="AI489" s="272"/>
      <c r="AJ489" s="322"/>
      <c r="AK489" s="272">
        <f>IFERROR(IF(VLOOKUP(功能_33[[#This Row],[功能代號]],E:U,11,FALSE)=0,"",VLOOKUP(功能_33[[#This Row],[功能代號]],E:U,11,FALSE)),"")</f>
        <v>44517</v>
      </c>
      <c r="AL489" s="272"/>
      <c r="AM489" s="272"/>
      <c r="AN489" s="265"/>
      <c r="AP489" s="264" t="s">
        <v>2680</v>
      </c>
      <c r="AQ489" s="265" t="s">
        <v>2789</v>
      </c>
      <c r="AR489" s="594" t="s">
        <v>3138</v>
      </c>
      <c r="AS489" s="483" t="str">
        <f>IF(COUNTA(AG489)=1,LEFT(D489,3),"")</f>
        <v>8-3</v>
      </c>
      <c r="AT489" s="485" t="str">
        <f>IF(AND(COUNTA(O489)=1,COUNTA(P489)=1,COUNTA(AC489)=1,COUNTA(AF489)=1,COUNTA(AG489)=0),LEFT(D489,3),"")</f>
        <v/>
      </c>
      <c r="AU489" s="487" t="str">
        <f>IF(AND(COUNTA(O489)=1,COUNTA(P489)=1,COUNTA(AC489)=1,COUNTA(AF489)=0,COUNTA(AG489)=0),LEFT(D489,3),"")</f>
        <v/>
      </c>
      <c r="AV489" s="489" t="str">
        <f>IF(AND(COUNTA(P489)=0,COUNTA(AC489)=1),LEFT(D489,3),"")</f>
        <v/>
      </c>
      <c r="AW489" s="491" t="str">
        <f>IF(AND(COUNTA(P489)=1,COUNTA(AC489)=0),LEFT(D489,3),"")</f>
        <v/>
      </c>
      <c r="AX489" s="493" t="str">
        <f>IF(AND(COUNTA(P489)=0,COUNTA(AC489)=0),LEFT(D489,3),"")</f>
        <v/>
      </c>
      <c r="AY489" s="514" t="str">
        <f>IFERROR(VLOOKUP(功能_33[[#This Row],[功能代號]],SIT_FT_2021tmp!D:D,1,FALSE),"")</f>
        <v/>
      </c>
      <c r="AZ489" s="587">
        <v>44617</v>
      </c>
      <c r="BB489" s="514" t="s">
        <v>2453</v>
      </c>
      <c r="BC489" s="265" t="s">
        <v>2453</v>
      </c>
      <c r="BD489" s="594"/>
      <c r="BE489" s="265" t="str">
        <f>IF(AND(COUNTIF(AY489,"&gt;&lt;0")=1,COUNTA(M489)=1),LEFT(D489,3),"")</f>
        <v/>
      </c>
      <c r="BF489" s="265" t="str">
        <f>IF(AND(COUNTIF(AY489,"&gt;&lt;")=1,COUNTA(M489)=0),LEFT(D489,3),"")</f>
        <v/>
      </c>
      <c r="BG489" s="265" t="str">
        <f>IF(AND(COUNTIF(AY489,"&gt;&lt;0")=0,COUNTA(M489)=1),LEFT(D489,3),"")</f>
        <v/>
      </c>
      <c r="BH489" s="265" t="str">
        <f>IF(AND(COUNTIF(AY489,"&gt;&lt;0")=0,COUNTA(M489)=0),LEFT(D489,3),"")</f>
        <v>8-3</v>
      </c>
    </row>
    <row r="490" spans="3:60" ht="27" x14ac:dyDescent="0.3">
      <c r="C490" s="265" t="s">
        <v>72</v>
      </c>
      <c r="D490" s="265" t="s">
        <v>2477</v>
      </c>
      <c r="E490" s="264" t="s">
        <v>1238</v>
      </c>
      <c r="F490" s="265" t="s">
        <v>1239</v>
      </c>
      <c r="G490" s="265" t="s">
        <v>1105</v>
      </c>
      <c r="H490" s="264" t="s">
        <v>110</v>
      </c>
      <c r="I490" s="264" t="s">
        <v>110</v>
      </c>
      <c r="J490" s="271" t="s">
        <v>3238</v>
      </c>
      <c r="K490" s="638" t="s">
        <v>3239</v>
      </c>
      <c r="L490" s="272">
        <v>44617</v>
      </c>
      <c r="M490" s="264"/>
      <c r="N490" s="272">
        <v>44518</v>
      </c>
      <c r="O490" s="272">
        <v>44517</v>
      </c>
      <c r="P490" s="272">
        <v>44545</v>
      </c>
      <c r="Q490" s="264" t="s">
        <v>1</v>
      </c>
      <c r="R490" s="264" t="s">
        <v>16</v>
      </c>
      <c r="S490" s="264" t="s">
        <v>16</v>
      </c>
      <c r="X490" s="264"/>
      <c r="Z490" s="264"/>
      <c r="AA490" s="264"/>
      <c r="AB490" s="265" t="str">
        <f>VLOOKUP(功能_33[[#This Row],[User]],SKL放款!A:G,7,FALSE)</f>
        <v>放款管理課</v>
      </c>
      <c r="AC490" s="272">
        <v>44545</v>
      </c>
      <c r="AD490" s="272" t="s">
        <v>2394</v>
      </c>
      <c r="AE490" s="272">
        <v>44540</v>
      </c>
      <c r="AF490" s="272">
        <v>44540</v>
      </c>
      <c r="AG490" s="209" t="s">
        <v>2971</v>
      </c>
      <c r="AH490" s="272"/>
      <c r="AI490" s="272"/>
      <c r="AJ490" s="322"/>
      <c r="AK490" s="272">
        <f>IFERROR(IF(VLOOKUP(功能_33[[#This Row],[功能代號]],E:U,11,FALSE)=0,"",VLOOKUP(功能_33[[#This Row],[功能代號]],E:U,11,FALSE)),"")</f>
        <v>44517</v>
      </c>
      <c r="AL490" s="272"/>
      <c r="AM490" s="272"/>
      <c r="AN490" s="265"/>
      <c r="AP490" s="264" t="s">
        <v>2680</v>
      </c>
      <c r="AQ490" s="265" t="s">
        <v>2789</v>
      </c>
      <c r="AR490" s="594" t="s">
        <v>3138</v>
      </c>
      <c r="AS490" s="483" t="str">
        <f>IF(COUNTA(AG490)=1,LEFT(D490,3),"")</f>
        <v>8-3</v>
      </c>
      <c r="AT490" s="485" t="str">
        <f>IF(AND(COUNTA(O490)=1,COUNTA(P490)=1,COUNTA(AC490)=1,COUNTA(AF490)=1,COUNTA(AG490)=0),LEFT(D490,3),"")</f>
        <v/>
      </c>
      <c r="AU490" s="487" t="str">
        <f>IF(AND(COUNTA(O490)=1,COUNTA(P490)=1,COUNTA(AC490)=1,COUNTA(AF490)=0,COUNTA(AG490)=0),LEFT(D490,3),"")</f>
        <v/>
      </c>
      <c r="AV490" s="489" t="str">
        <f>IF(AND(COUNTA(P490)=0,COUNTA(AC490)=1),LEFT(D490,3),"")</f>
        <v/>
      </c>
      <c r="AW490" s="491" t="str">
        <f>IF(AND(COUNTA(P490)=1,COUNTA(AC490)=0),LEFT(D490,3),"")</f>
        <v/>
      </c>
      <c r="AX490" s="493" t="str">
        <f>IF(AND(COUNTA(P490)=0,COUNTA(AC490)=0),LEFT(D490,3),"")</f>
        <v/>
      </c>
      <c r="AY490" s="514" t="str">
        <f>IFERROR(VLOOKUP(功能_33[[#This Row],[功能代號]],SIT_FT_2021tmp!D:D,1,FALSE),"")</f>
        <v/>
      </c>
      <c r="AZ490" s="587">
        <v>44617</v>
      </c>
      <c r="BB490" s="514" t="s">
        <v>2453</v>
      </c>
      <c r="BC490" s="265" t="s">
        <v>2453</v>
      </c>
      <c r="BD490" s="594"/>
      <c r="BE490" s="265" t="str">
        <f>IF(AND(COUNTIF(AY490,"&gt;&lt;0")=1,COUNTA(M490)=1),LEFT(D490,3),"")</f>
        <v/>
      </c>
      <c r="BF490" s="265" t="str">
        <f>IF(AND(COUNTIF(AY490,"&gt;&lt;")=1,COUNTA(M490)=0),LEFT(D490,3),"")</f>
        <v/>
      </c>
      <c r="BG490" s="265" t="str">
        <f>IF(AND(COUNTIF(AY490,"&gt;&lt;0")=0,COUNTA(M490)=1),LEFT(D490,3),"")</f>
        <v/>
      </c>
      <c r="BH490" s="265" t="str">
        <f>IF(AND(COUNTIF(AY490,"&gt;&lt;0")=0,COUNTA(M490)=0),LEFT(D490,3),"")</f>
        <v>8-3</v>
      </c>
    </row>
    <row r="491" spans="3:60" ht="27" x14ac:dyDescent="0.3">
      <c r="C491" s="265" t="s">
        <v>72</v>
      </c>
      <c r="D491" s="265" t="s">
        <v>2477</v>
      </c>
      <c r="E491" s="264" t="s">
        <v>1240</v>
      </c>
      <c r="F491" s="265" t="s">
        <v>1241</v>
      </c>
      <c r="G491" s="265" t="s">
        <v>1105</v>
      </c>
      <c r="H491" s="264" t="s">
        <v>110</v>
      </c>
      <c r="I491" s="264" t="s">
        <v>110</v>
      </c>
      <c r="J491" s="271" t="s">
        <v>3238</v>
      </c>
      <c r="K491" s="638" t="s">
        <v>3239</v>
      </c>
      <c r="L491" s="272">
        <v>44617</v>
      </c>
      <c r="M491" s="264"/>
      <c r="N491" s="272">
        <v>44518</v>
      </c>
      <c r="O491" s="272">
        <v>44517</v>
      </c>
      <c r="P491" s="272">
        <v>44545</v>
      </c>
      <c r="Q491" s="264" t="s">
        <v>1</v>
      </c>
      <c r="R491" s="264" t="s">
        <v>16</v>
      </c>
      <c r="S491" s="264" t="s">
        <v>16</v>
      </c>
      <c r="X491" s="264"/>
      <c r="Z491" s="264"/>
      <c r="AA491" s="264"/>
      <c r="AB491" s="265" t="str">
        <f>VLOOKUP(功能_33[[#This Row],[User]],SKL放款!A:G,7,FALSE)</f>
        <v>放款管理課</v>
      </c>
      <c r="AC491" s="272">
        <v>44545</v>
      </c>
      <c r="AD491" s="272" t="s">
        <v>2394</v>
      </c>
      <c r="AE491" s="272">
        <v>44540</v>
      </c>
      <c r="AF491" s="272">
        <v>44540</v>
      </c>
      <c r="AG491" s="209" t="s">
        <v>2971</v>
      </c>
      <c r="AH491" s="272"/>
      <c r="AI491" s="272"/>
      <c r="AJ491" s="322"/>
      <c r="AK491" s="272">
        <f>IFERROR(IF(VLOOKUP(功能_33[[#This Row],[功能代號]],E:U,11,FALSE)=0,"",VLOOKUP(功能_33[[#This Row],[功能代號]],E:U,11,FALSE)),"")</f>
        <v>44517</v>
      </c>
      <c r="AL491" s="272"/>
      <c r="AM491" s="272"/>
      <c r="AN491" s="265"/>
      <c r="AP491" s="264" t="s">
        <v>2680</v>
      </c>
      <c r="AQ491" s="265" t="s">
        <v>2789</v>
      </c>
      <c r="AR491" s="594" t="s">
        <v>3138</v>
      </c>
      <c r="AS491" s="483" t="str">
        <f>IF(COUNTA(AG491)=1,LEFT(D491,3),"")</f>
        <v>8-3</v>
      </c>
      <c r="AT491" s="485" t="str">
        <f>IF(AND(COUNTA(O491)=1,COUNTA(P491)=1,COUNTA(AC491)=1,COUNTA(AF491)=1,COUNTA(AG491)=0),LEFT(D491,3),"")</f>
        <v/>
      </c>
      <c r="AU491" s="487" t="str">
        <f>IF(AND(COUNTA(O491)=1,COUNTA(P491)=1,COUNTA(AC491)=1,COUNTA(AF491)=0,COUNTA(AG491)=0),LEFT(D491,3),"")</f>
        <v/>
      </c>
      <c r="AV491" s="489" t="str">
        <f>IF(AND(COUNTA(P491)=0,COUNTA(AC491)=1),LEFT(D491,3),"")</f>
        <v/>
      </c>
      <c r="AW491" s="491" t="str">
        <f>IF(AND(COUNTA(P491)=1,COUNTA(AC491)=0),LEFT(D491,3),"")</f>
        <v/>
      </c>
      <c r="AX491" s="493" t="str">
        <f>IF(AND(COUNTA(P491)=0,COUNTA(AC491)=0),LEFT(D491,3),"")</f>
        <v/>
      </c>
      <c r="AY491" s="514" t="str">
        <f>IFERROR(VLOOKUP(功能_33[[#This Row],[功能代號]],SIT_FT_2021tmp!D:D,1,FALSE),"")</f>
        <v/>
      </c>
      <c r="AZ491" s="587">
        <v>44617</v>
      </c>
      <c r="BB491" s="514" t="s">
        <v>2453</v>
      </c>
      <c r="BC491" s="265" t="s">
        <v>2453</v>
      </c>
      <c r="BD491" s="594"/>
      <c r="BE491" s="265" t="str">
        <f>IF(AND(COUNTIF(AY491,"&gt;&lt;0")=1,COUNTA(M491)=1),LEFT(D491,3),"")</f>
        <v/>
      </c>
      <c r="BF491" s="265" t="str">
        <f>IF(AND(COUNTIF(AY491,"&gt;&lt;")=1,COUNTA(M491)=0),LEFT(D491,3),"")</f>
        <v/>
      </c>
      <c r="BG491" s="265" t="str">
        <f>IF(AND(COUNTIF(AY491,"&gt;&lt;0")=0,COUNTA(M491)=1),LEFT(D491,3),"")</f>
        <v/>
      </c>
      <c r="BH491" s="265" t="str">
        <f>IF(AND(COUNTIF(AY491,"&gt;&lt;0")=0,COUNTA(M491)=0),LEFT(D491,3),"")</f>
        <v>8-3</v>
      </c>
    </row>
    <row r="492" spans="3:60" ht="27" x14ac:dyDescent="0.3">
      <c r="C492" s="265" t="s">
        <v>72</v>
      </c>
      <c r="D492" s="265" t="s">
        <v>2477</v>
      </c>
      <c r="E492" s="264" t="s">
        <v>1242</v>
      </c>
      <c r="F492" s="265" t="s">
        <v>1243</v>
      </c>
      <c r="G492" s="265" t="s">
        <v>1105</v>
      </c>
      <c r="H492" s="264" t="s">
        <v>110</v>
      </c>
      <c r="I492" s="264" t="s">
        <v>110</v>
      </c>
      <c r="J492" s="271" t="s">
        <v>3238</v>
      </c>
      <c r="K492" s="638" t="s">
        <v>3239</v>
      </c>
      <c r="L492" s="272">
        <v>44617</v>
      </c>
      <c r="M492" s="264"/>
      <c r="N492" s="272">
        <v>44519</v>
      </c>
      <c r="O492" s="272">
        <v>44517</v>
      </c>
      <c r="P492" s="272">
        <v>44545</v>
      </c>
      <c r="Q492" s="264" t="s">
        <v>1</v>
      </c>
      <c r="R492" s="264" t="s">
        <v>16</v>
      </c>
      <c r="S492" s="264" t="s">
        <v>16</v>
      </c>
      <c r="X492" s="264"/>
      <c r="Z492" s="264"/>
      <c r="AA492" s="264"/>
      <c r="AB492" s="265" t="str">
        <f>VLOOKUP(功能_33[[#This Row],[User]],SKL放款!A:G,7,FALSE)</f>
        <v>放款管理課</v>
      </c>
      <c r="AC492" s="272">
        <v>44545</v>
      </c>
      <c r="AD492" s="272" t="s">
        <v>2394</v>
      </c>
      <c r="AE492" s="272">
        <v>44540</v>
      </c>
      <c r="AF492" s="272">
        <v>44540</v>
      </c>
      <c r="AG492" s="209" t="s">
        <v>2971</v>
      </c>
      <c r="AH492" s="272"/>
      <c r="AI492" s="272"/>
      <c r="AJ492" s="322"/>
      <c r="AK492" s="272">
        <f>IFERROR(IF(VLOOKUP(功能_33[[#This Row],[功能代號]],E:U,11,FALSE)=0,"",VLOOKUP(功能_33[[#This Row],[功能代號]],E:U,11,FALSE)),"")</f>
        <v>44517</v>
      </c>
      <c r="AL492" s="272"/>
      <c r="AM492" s="272"/>
      <c r="AN492" s="265"/>
      <c r="AP492" s="264" t="s">
        <v>2680</v>
      </c>
      <c r="AQ492" s="265" t="s">
        <v>2789</v>
      </c>
      <c r="AR492" s="594" t="s">
        <v>3138</v>
      </c>
      <c r="AS492" s="483" t="str">
        <f>IF(COUNTA(AG492)=1,LEFT(D492,3),"")</f>
        <v>8-3</v>
      </c>
      <c r="AT492" s="485" t="str">
        <f>IF(AND(COUNTA(O492)=1,COUNTA(P492)=1,COUNTA(AC492)=1,COUNTA(AF492)=1,COUNTA(AG492)=0),LEFT(D492,3),"")</f>
        <v/>
      </c>
      <c r="AU492" s="487" t="str">
        <f>IF(AND(COUNTA(O492)=1,COUNTA(P492)=1,COUNTA(AC492)=1,COUNTA(AF492)=0,COUNTA(AG492)=0),LEFT(D492,3),"")</f>
        <v/>
      </c>
      <c r="AV492" s="489" t="str">
        <f>IF(AND(COUNTA(P492)=0,COUNTA(AC492)=1),LEFT(D492,3),"")</f>
        <v/>
      </c>
      <c r="AW492" s="491" t="str">
        <f>IF(AND(COUNTA(P492)=1,COUNTA(AC492)=0),LEFT(D492,3),"")</f>
        <v/>
      </c>
      <c r="AX492" s="493" t="str">
        <f>IF(AND(COUNTA(P492)=0,COUNTA(AC492)=0),LEFT(D492,3),"")</f>
        <v/>
      </c>
      <c r="AY492" s="514" t="str">
        <f>IFERROR(VLOOKUP(功能_33[[#This Row],[功能代號]],SIT_FT_2021tmp!D:D,1,FALSE),"")</f>
        <v/>
      </c>
      <c r="AZ492" s="587">
        <v>44617</v>
      </c>
      <c r="BB492" s="514" t="s">
        <v>2453</v>
      </c>
      <c r="BC492" s="265" t="s">
        <v>2453</v>
      </c>
      <c r="BD492" s="594"/>
      <c r="BE492" s="265" t="str">
        <f>IF(AND(COUNTIF(AY492,"&gt;&lt;0")=1,COUNTA(M492)=1),LEFT(D492,3),"")</f>
        <v/>
      </c>
      <c r="BF492" s="265" t="str">
        <f>IF(AND(COUNTIF(AY492,"&gt;&lt;")=1,COUNTA(M492)=0),LEFT(D492,3),"")</f>
        <v/>
      </c>
      <c r="BG492" s="265" t="str">
        <f>IF(AND(COUNTIF(AY492,"&gt;&lt;0")=0,COUNTA(M492)=1),LEFT(D492,3),"")</f>
        <v/>
      </c>
      <c r="BH492" s="265" t="str">
        <f>IF(AND(COUNTIF(AY492,"&gt;&lt;0")=0,COUNTA(M492)=0),LEFT(D492,3),"")</f>
        <v>8-3</v>
      </c>
    </row>
    <row r="493" spans="3:60" ht="27" x14ac:dyDescent="0.3">
      <c r="C493" s="265" t="s">
        <v>72</v>
      </c>
      <c r="D493" s="265" t="s">
        <v>2477</v>
      </c>
      <c r="E493" s="264" t="s">
        <v>1244</v>
      </c>
      <c r="F493" s="265" t="s">
        <v>1245</v>
      </c>
      <c r="G493" s="265" t="s">
        <v>1105</v>
      </c>
      <c r="H493" s="264" t="s">
        <v>110</v>
      </c>
      <c r="I493" s="264" t="s">
        <v>110</v>
      </c>
      <c r="J493" s="271" t="s">
        <v>3238</v>
      </c>
      <c r="K493" s="638" t="s">
        <v>3239</v>
      </c>
      <c r="L493" s="272">
        <v>44617</v>
      </c>
      <c r="M493" s="264"/>
      <c r="N493" s="272">
        <v>44519</v>
      </c>
      <c r="O493" s="272">
        <v>44517</v>
      </c>
      <c r="P493" s="272">
        <v>44545</v>
      </c>
      <c r="Q493" s="264" t="s">
        <v>1</v>
      </c>
      <c r="R493" s="264" t="s">
        <v>16</v>
      </c>
      <c r="S493" s="264" t="s">
        <v>16</v>
      </c>
      <c r="X493" s="264"/>
      <c r="Z493" s="264"/>
      <c r="AA493" s="264"/>
      <c r="AB493" s="265" t="str">
        <f>VLOOKUP(功能_33[[#This Row],[User]],SKL放款!A:G,7,FALSE)</f>
        <v>放款管理課</v>
      </c>
      <c r="AC493" s="272">
        <v>44545</v>
      </c>
      <c r="AD493" s="272" t="s">
        <v>2394</v>
      </c>
      <c r="AE493" s="272">
        <v>44540</v>
      </c>
      <c r="AF493" s="272">
        <v>44540</v>
      </c>
      <c r="AG493" s="209" t="s">
        <v>2971</v>
      </c>
      <c r="AH493" s="272"/>
      <c r="AI493" s="272"/>
      <c r="AJ493" s="322"/>
      <c r="AK493" s="272">
        <f>IFERROR(IF(VLOOKUP(功能_33[[#This Row],[功能代號]],E:U,11,FALSE)=0,"",VLOOKUP(功能_33[[#This Row],[功能代號]],E:U,11,FALSE)),"")</f>
        <v>44517</v>
      </c>
      <c r="AL493" s="272"/>
      <c r="AM493" s="272"/>
      <c r="AN493" s="265"/>
      <c r="AP493" s="264" t="s">
        <v>2680</v>
      </c>
      <c r="AQ493" s="265" t="s">
        <v>2789</v>
      </c>
      <c r="AR493" s="594" t="s">
        <v>3138</v>
      </c>
      <c r="AS493" s="483" t="str">
        <f>IF(COUNTA(AG493)=1,LEFT(D493,3),"")</f>
        <v>8-3</v>
      </c>
      <c r="AT493" s="485" t="str">
        <f>IF(AND(COUNTA(O493)=1,COUNTA(P493)=1,COUNTA(AC493)=1,COUNTA(AF493)=1,COUNTA(AG493)=0),LEFT(D493,3),"")</f>
        <v/>
      </c>
      <c r="AU493" s="487" t="str">
        <f>IF(AND(COUNTA(O493)=1,COUNTA(P493)=1,COUNTA(AC493)=1,COUNTA(AF493)=0,COUNTA(AG493)=0),LEFT(D493,3),"")</f>
        <v/>
      </c>
      <c r="AV493" s="489" t="str">
        <f>IF(AND(COUNTA(P493)=0,COUNTA(AC493)=1),LEFT(D493,3),"")</f>
        <v/>
      </c>
      <c r="AW493" s="491" t="str">
        <f>IF(AND(COUNTA(P493)=1,COUNTA(AC493)=0),LEFT(D493,3),"")</f>
        <v/>
      </c>
      <c r="AX493" s="493" t="str">
        <f>IF(AND(COUNTA(P493)=0,COUNTA(AC493)=0),LEFT(D493,3),"")</f>
        <v/>
      </c>
      <c r="AY493" s="514" t="str">
        <f>IFERROR(VLOOKUP(功能_33[[#This Row],[功能代號]],SIT_FT_2021tmp!D:D,1,FALSE),"")</f>
        <v/>
      </c>
      <c r="AZ493" s="587">
        <v>44617</v>
      </c>
      <c r="BB493" s="514" t="s">
        <v>2453</v>
      </c>
      <c r="BC493" s="265" t="s">
        <v>2453</v>
      </c>
      <c r="BD493" s="594"/>
      <c r="BE493" s="265" t="str">
        <f>IF(AND(COUNTIF(AY493,"&gt;&lt;0")=1,COUNTA(M493)=1),LEFT(D493,3),"")</f>
        <v/>
      </c>
      <c r="BF493" s="265" t="str">
        <f>IF(AND(COUNTIF(AY493,"&gt;&lt;")=1,COUNTA(M493)=0),LEFT(D493,3),"")</f>
        <v/>
      </c>
      <c r="BG493" s="265" t="str">
        <f>IF(AND(COUNTIF(AY493,"&gt;&lt;0")=0,COUNTA(M493)=1),LEFT(D493,3),"")</f>
        <v/>
      </c>
      <c r="BH493" s="265" t="str">
        <f>IF(AND(COUNTIF(AY493,"&gt;&lt;0")=0,COUNTA(M493)=0),LEFT(D493,3),"")</f>
        <v>8-3</v>
      </c>
    </row>
    <row r="494" spans="3:60" ht="27" x14ac:dyDescent="0.3">
      <c r="C494" s="265" t="s">
        <v>72</v>
      </c>
      <c r="D494" s="265" t="s">
        <v>2477</v>
      </c>
      <c r="E494" s="264" t="s">
        <v>1246</v>
      </c>
      <c r="F494" s="265" t="s">
        <v>1247</v>
      </c>
      <c r="G494" s="265" t="s">
        <v>1105</v>
      </c>
      <c r="H494" s="264" t="s">
        <v>110</v>
      </c>
      <c r="I494" s="264" t="s">
        <v>110</v>
      </c>
      <c r="J494" s="271" t="s">
        <v>3238</v>
      </c>
      <c r="K494" s="638" t="s">
        <v>3239</v>
      </c>
      <c r="L494" s="272">
        <v>44617</v>
      </c>
      <c r="M494" s="264"/>
      <c r="N494" s="272">
        <v>44519</v>
      </c>
      <c r="O494" s="272">
        <v>44517</v>
      </c>
      <c r="P494" s="272">
        <v>44545</v>
      </c>
      <c r="Q494" s="264" t="s">
        <v>1</v>
      </c>
      <c r="R494" s="264" t="s">
        <v>16</v>
      </c>
      <c r="S494" s="264" t="s">
        <v>16</v>
      </c>
      <c r="X494" s="264"/>
      <c r="Z494" s="264"/>
      <c r="AA494" s="264"/>
      <c r="AB494" s="265" t="str">
        <f>VLOOKUP(功能_33[[#This Row],[User]],SKL放款!A:G,7,FALSE)</f>
        <v>放款管理課</v>
      </c>
      <c r="AC494" s="272">
        <v>44545</v>
      </c>
      <c r="AD494" s="272" t="s">
        <v>2394</v>
      </c>
      <c r="AE494" s="272">
        <v>44540</v>
      </c>
      <c r="AF494" s="272">
        <v>44540</v>
      </c>
      <c r="AG494" s="209" t="s">
        <v>2971</v>
      </c>
      <c r="AH494" s="272"/>
      <c r="AI494" s="272"/>
      <c r="AJ494" s="322"/>
      <c r="AK494" s="272">
        <f>IFERROR(IF(VLOOKUP(功能_33[[#This Row],[功能代號]],E:U,11,FALSE)=0,"",VLOOKUP(功能_33[[#This Row],[功能代號]],E:U,11,FALSE)),"")</f>
        <v>44517</v>
      </c>
      <c r="AL494" s="272"/>
      <c r="AM494" s="272"/>
      <c r="AN494" s="265"/>
      <c r="AP494" s="264" t="s">
        <v>2680</v>
      </c>
      <c r="AQ494" s="265" t="s">
        <v>2789</v>
      </c>
      <c r="AR494" s="594" t="s">
        <v>3138</v>
      </c>
      <c r="AS494" s="483" t="str">
        <f>IF(COUNTA(AG494)=1,LEFT(D494,3),"")</f>
        <v>8-3</v>
      </c>
      <c r="AT494" s="485" t="str">
        <f>IF(AND(COUNTA(O494)=1,COUNTA(P494)=1,COUNTA(AC494)=1,COUNTA(AF494)=1,COUNTA(AG494)=0),LEFT(D494,3),"")</f>
        <v/>
      </c>
      <c r="AU494" s="487" t="str">
        <f>IF(AND(COUNTA(O494)=1,COUNTA(P494)=1,COUNTA(AC494)=1,COUNTA(AF494)=0,COUNTA(AG494)=0),LEFT(D494,3),"")</f>
        <v/>
      </c>
      <c r="AV494" s="489" t="str">
        <f>IF(AND(COUNTA(P494)=0,COUNTA(AC494)=1),LEFT(D494,3),"")</f>
        <v/>
      </c>
      <c r="AW494" s="491" t="str">
        <f>IF(AND(COUNTA(P494)=1,COUNTA(AC494)=0),LEFT(D494,3),"")</f>
        <v/>
      </c>
      <c r="AX494" s="493" t="str">
        <f>IF(AND(COUNTA(P494)=0,COUNTA(AC494)=0),LEFT(D494,3),"")</f>
        <v/>
      </c>
      <c r="AY494" s="514" t="str">
        <f>IFERROR(VLOOKUP(功能_33[[#This Row],[功能代號]],SIT_FT_2021tmp!D:D,1,FALSE),"")</f>
        <v/>
      </c>
      <c r="AZ494" s="587">
        <v>44617</v>
      </c>
      <c r="BB494" s="514" t="s">
        <v>2453</v>
      </c>
      <c r="BC494" s="265" t="s">
        <v>2453</v>
      </c>
      <c r="BD494" s="594"/>
      <c r="BE494" s="265" t="str">
        <f>IF(AND(COUNTIF(AY494,"&gt;&lt;0")=1,COUNTA(M494)=1),LEFT(D494,3),"")</f>
        <v/>
      </c>
      <c r="BF494" s="265" t="str">
        <f>IF(AND(COUNTIF(AY494,"&gt;&lt;")=1,COUNTA(M494)=0),LEFT(D494,3),"")</f>
        <v/>
      </c>
      <c r="BG494" s="265" t="str">
        <f>IF(AND(COUNTIF(AY494,"&gt;&lt;0")=0,COUNTA(M494)=1),LEFT(D494,3),"")</f>
        <v/>
      </c>
      <c r="BH494" s="265" t="str">
        <f>IF(AND(COUNTIF(AY494,"&gt;&lt;0")=0,COUNTA(M494)=0),LEFT(D494,3),"")</f>
        <v>8-3</v>
      </c>
    </row>
    <row r="495" spans="3:60" ht="27" x14ac:dyDescent="0.3">
      <c r="C495" s="265" t="s">
        <v>72</v>
      </c>
      <c r="D495" s="265" t="s">
        <v>2477</v>
      </c>
      <c r="E495" s="264" t="s">
        <v>1248</v>
      </c>
      <c r="F495" s="265" t="s">
        <v>1249</v>
      </c>
      <c r="G495" s="265" t="s">
        <v>1105</v>
      </c>
      <c r="H495" s="264" t="s">
        <v>110</v>
      </c>
      <c r="I495" s="264" t="s">
        <v>110</v>
      </c>
      <c r="J495" s="271" t="s">
        <v>3238</v>
      </c>
      <c r="K495" s="638" t="s">
        <v>3239</v>
      </c>
      <c r="L495" s="272">
        <v>44617</v>
      </c>
      <c r="M495" s="264"/>
      <c r="N495" s="272">
        <v>44519</v>
      </c>
      <c r="O495" s="272">
        <v>44517</v>
      </c>
      <c r="P495" s="272">
        <v>44545</v>
      </c>
      <c r="Q495" s="264" t="s">
        <v>1</v>
      </c>
      <c r="R495" s="264" t="s">
        <v>16</v>
      </c>
      <c r="S495" s="264" t="s">
        <v>16</v>
      </c>
      <c r="X495" s="264"/>
      <c r="Z495" s="264"/>
      <c r="AA495" s="264"/>
      <c r="AB495" s="265" t="str">
        <f>VLOOKUP(功能_33[[#This Row],[User]],SKL放款!A:G,7,FALSE)</f>
        <v>放款管理課</v>
      </c>
      <c r="AC495" s="272">
        <v>44545</v>
      </c>
      <c r="AD495" s="272" t="s">
        <v>2394</v>
      </c>
      <c r="AE495" s="272">
        <v>44540</v>
      </c>
      <c r="AF495" s="272">
        <v>44540</v>
      </c>
      <c r="AG495" s="209" t="s">
        <v>2971</v>
      </c>
      <c r="AH495" s="272"/>
      <c r="AI495" s="272"/>
      <c r="AJ495" s="322"/>
      <c r="AK495" s="272">
        <f>IFERROR(IF(VLOOKUP(功能_33[[#This Row],[功能代號]],E:U,11,FALSE)=0,"",VLOOKUP(功能_33[[#This Row],[功能代號]],E:U,11,FALSE)),"")</f>
        <v>44517</v>
      </c>
      <c r="AL495" s="272"/>
      <c r="AM495" s="272"/>
      <c r="AN495" s="265"/>
      <c r="AP495" s="264" t="s">
        <v>2680</v>
      </c>
      <c r="AQ495" s="265" t="s">
        <v>2789</v>
      </c>
      <c r="AR495" s="594" t="s">
        <v>3138</v>
      </c>
      <c r="AS495" s="483" t="str">
        <f>IF(COUNTA(AG495)=1,LEFT(D495,3),"")</f>
        <v>8-3</v>
      </c>
      <c r="AT495" s="485" t="str">
        <f>IF(AND(COUNTA(O495)=1,COUNTA(P495)=1,COUNTA(AC495)=1,COUNTA(AF495)=1,COUNTA(AG495)=0),LEFT(D495,3),"")</f>
        <v/>
      </c>
      <c r="AU495" s="487" t="str">
        <f>IF(AND(COUNTA(O495)=1,COUNTA(P495)=1,COUNTA(AC495)=1,COUNTA(AF495)=0,COUNTA(AG495)=0),LEFT(D495,3),"")</f>
        <v/>
      </c>
      <c r="AV495" s="489" t="str">
        <f>IF(AND(COUNTA(P495)=0,COUNTA(AC495)=1),LEFT(D495,3),"")</f>
        <v/>
      </c>
      <c r="AW495" s="491" t="str">
        <f>IF(AND(COUNTA(P495)=1,COUNTA(AC495)=0),LEFT(D495,3),"")</f>
        <v/>
      </c>
      <c r="AX495" s="493" t="str">
        <f>IF(AND(COUNTA(P495)=0,COUNTA(AC495)=0),LEFT(D495,3),"")</f>
        <v/>
      </c>
      <c r="AY495" s="514" t="str">
        <f>IFERROR(VLOOKUP(功能_33[[#This Row],[功能代號]],SIT_FT_2021tmp!D:D,1,FALSE),"")</f>
        <v/>
      </c>
      <c r="AZ495" s="587">
        <v>44617</v>
      </c>
      <c r="BB495" s="514" t="s">
        <v>2453</v>
      </c>
      <c r="BC495" s="265" t="s">
        <v>2453</v>
      </c>
      <c r="BD495" s="594"/>
      <c r="BE495" s="265" t="str">
        <f>IF(AND(COUNTIF(AY495,"&gt;&lt;0")=1,COUNTA(M495)=1),LEFT(D495,3),"")</f>
        <v/>
      </c>
      <c r="BF495" s="265" t="str">
        <f>IF(AND(COUNTIF(AY495,"&gt;&lt;")=1,COUNTA(M495)=0),LEFT(D495,3),"")</f>
        <v/>
      </c>
      <c r="BG495" s="265" t="str">
        <f>IF(AND(COUNTIF(AY495,"&gt;&lt;0")=0,COUNTA(M495)=1),LEFT(D495,3),"")</f>
        <v/>
      </c>
      <c r="BH495" s="265" t="str">
        <f>IF(AND(COUNTIF(AY495,"&gt;&lt;0")=0,COUNTA(M495)=0),LEFT(D495,3),"")</f>
        <v>8-3</v>
      </c>
    </row>
    <row r="496" spans="3:60" ht="27" x14ac:dyDescent="0.3">
      <c r="C496" s="265" t="s">
        <v>72</v>
      </c>
      <c r="D496" s="265" t="s">
        <v>2477</v>
      </c>
      <c r="E496" s="264" t="s">
        <v>1250</v>
      </c>
      <c r="F496" s="265" t="s">
        <v>1251</v>
      </c>
      <c r="G496" s="265" t="s">
        <v>1105</v>
      </c>
      <c r="H496" s="264" t="s">
        <v>110</v>
      </c>
      <c r="I496" s="264" t="s">
        <v>110</v>
      </c>
      <c r="J496" s="271" t="s">
        <v>3238</v>
      </c>
      <c r="K496" s="638" t="s">
        <v>3239</v>
      </c>
      <c r="L496" s="272">
        <v>44617</v>
      </c>
      <c r="M496" s="264"/>
      <c r="N496" s="272">
        <v>44519</v>
      </c>
      <c r="O496" s="272">
        <v>44517</v>
      </c>
      <c r="P496" s="272">
        <v>44545</v>
      </c>
      <c r="Q496" s="264" t="s">
        <v>1</v>
      </c>
      <c r="R496" s="264" t="s">
        <v>16</v>
      </c>
      <c r="S496" s="264" t="s">
        <v>16</v>
      </c>
      <c r="X496" s="264"/>
      <c r="Z496" s="264"/>
      <c r="AA496" s="264"/>
      <c r="AB496" s="265" t="str">
        <f>VLOOKUP(功能_33[[#This Row],[User]],SKL放款!A:G,7,FALSE)</f>
        <v>放款管理課</v>
      </c>
      <c r="AC496" s="272">
        <v>44545</v>
      </c>
      <c r="AD496" s="272" t="s">
        <v>2394</v>
      </c>
      <c r="AE496" s="272">
        <v>44540</v>
      </c>
      <c r="AF496" s="272">
        <v>44540</v>
      </c>
      <c r="AG496" s="209" t="s">
        <v>2971</v>
      </c>
      <c r="AH496" s="272"/>
      <c r="AI496" s="272"/>
      <c r="AJ496" s="322"/>
      <c r="AK496" s="272">
        <f>IFERROR(IF(VLOOKUP(功能_33[[#This Row],[功能代號]],E:U,11,FALSE)=0,"",VLOOKUP(功能_33[[#This Row],[功能代號]],E:U,11,FALSE)),"")</f>
        <v>44517</v>
      </c>
      <c r="AL496" s="272"/>
      <c r="AM496" s="272"/>
      <c r="AN496" s="265"/>
      <c r="AP496" s="264" t="s">
        <v>2680</v>
      </c>
      <c r="AQ496" s="265" t="s">
        <v>2789</v>
      </c>
      <c r="AR496" s="594" t="s">
        <v>3138</v>
      </c>
      <c r="AS496" s="483" t="str">
        <f>IF(COUNTA(AG496)=1,LEFT(D496,3),"")</f>
        <v>8-3</v>
      </c>
      <c r="AT496" s="485" t="str">
        <f>IF(AND(COUNTA(O496)=1,COUNTA(P496)=1,COUNTA(AC496)=1,COUNTA(AF496)=1,COUNTA(AG496)=0),LEFT(D496,3),"")</f>
        <v/>
      </c>
      <c r="AU496" s="487" t="str">
        <f>IF(AND(COUNTA(O496)=1,COUNTA(P496)=1,COUNTA(AC496)=1,COUNTA(AF496)=0,COUNTA(AG496)=0),LEFT(D496,3),"")</f>
        <v/>
      </c>
      <c r="AV496" s="489" t="str">
        <f>IF(AND(COUNTA(P496)=0,COUNTA(AC496)=1),LEFT(D496,3),"")</f>
        <v/>
      </c>
      <c r="AW496" s="491" t="str">
        <f>IF(AND(COUNTA(P496)=1,COUNTA(AC496)=0),LEFT(D496,3),"")</f>
        <v/>
      </c>
      <c r="AX496" s="493" t="str">
        <f>IF(AND(COUNTA(P496)=0,COUNTA(AC496)=0),LEFT(D496,3),"")</f>
        <v/>
      </c>
      <c r="AY496" s="514" t="str">
        <f>IFERROR(VLOOKUP(功能_33[[#This Row],[功能代號]],SIT_FT_2021tmp!D:D,1,FALSE),"")</f>
        <v/>
      </c>
      <c r="AZ496" s="587">
        <v>44617</v>
      </c>
      <c r="BB496" s="514" t="s">
        <v>2453</v>
      </c>
      <c r="BC496" s="265" t="s">
        <v>2453</v>
      </c>
      <c r="BD496" s="594"/>
      <c r="BE496" s="265" t="str">
        <f>IF(AND(COUNTIF(AY496,"&gt;&lt;0")=1,COUNTA(M496)=1),LEFT(D496,3),"")</f>
        <v/>
      </c>
      <c r="BF496" s="265" t="str">
        <f>IF(AND(COUNTIF(AY496,"&gt;&lt;")=1,COUNTA(M496)=0),LEFT(D496,3),"")</f>
        <v/>
      </c>
      <c r="BG496" s="265" t="str">
        <f>IF(AND(COUNTIF(AY496,"&gt;&lt;0")=0,COUNTA(M496)=1),LEFT(D496,3),"")</f>
        <v/>
      </c>
      <c r="BH496" s="265" t="str">
        <f>IF(AND(COUNTIF(AY496,"&gt;&lt;0")=0,COUNTA(M496)=0),LEFT(D496,3),"")</f>
        <v>8-3</v>
      </c>
    </row>
    <row r="497" spans="3:60" ht="27" x14ac:dyDescent="0.3">
      <c r="C497" s="265" t="s">
        <v>72</v>
      </c>
      <c r="D497" s="265" t="s">
        <v>2477</v>
      </c>
      <c r="E497" s="264" t="s">
        <v>1252</v>
      </c>
      <c r="F497" s="265" t="s">
        <v>1253</v>
      </c>
      <c r="G497" s="265" t="s">
        <v>1105</v>
      </c>
      <c r="H497" s="264" t="s">
        <v>110</v>
      </c>
      <c r="I497" s="264" t="s">
        <v>110</v>
      </c>
      <c r="J497" s="271" t="s">
        <v>3238</v>
      </c>
      <c r="K497" s="638" t="s">
        <v>3239</v>
      </c>
      <c r="L497" s="272">
        <v>44617</v>
      </c>
      <c r="M497" s="264"/>
      <c r="N497" s="272">
        <v>44519</v>
      </c>
      <c r="O497" s="272">
        <v>44517</v>
      </c>
      <c r="P497" s="272">
        <v>44545</v>
      </c>
      <c r="Q497" s="264" t="s">
        <v>1</v>
      </c>
      <c r="R497" s="264" t="s">
        <v>16</v>
      </c>
      <c r="S497" s="264" t="s">
        <v>16</v>
      </c>
      <c r="X497" s="264"/>
      <c r="Z497" s="264"/>
      <c r="AA497" s="264"/>
      <c r="AB497" s="265" t="str">
        <f>VLOOKUP(功能_33[[#This Row],[User]],SKL放款!A:G,7,FALSE)</f>
        <v>放款管理課</v>
      </c>
      <c r="AC497" s="272">
        <v>44545</v>
      </c>
      <c r="AD497" s="272" t="s">
        <v>2394</v>
      </c>
      <c r="AE497" s="272">
        <v>44540</v>
      </c>
      <c r="AF497" s="272">
        <v>44540</v>
      </c>
      <c r="AG497" s="209" t="s">
        <v>2971</v>
      </c>
      <c r="AH497" s="272"/>
      <c r="AI497" s="272"/>
      <c r="AJ497" s="322"/>
      <c r="AK497" s="272">
        <f>IFERROR(IF(VLOOKUP(功能_33[[#This Row],[功能代號]],E:U,11,FALSE)=0,"",VLOOKUP(功能_33[[#This Row],[功能代號]],E:U,11,FALSE)),"")</f>
        <v>44517</v>
      </c>
      <c r="AL497" s="272"/>
      <c r="AM497" s="272"/>
      <c r="AN497" s="265"/>
      <c r="AP497" s="264" t="s">
        <v>2680</v>
      </c>
      <c r="AQ497" s="265" t="s">
        <v>2789</v>
      </c>
      <c r="AR497" s="594" t="s">
        <v>3138</v>
      </c>
      <c r="AS497" s="483" t="str">
        <f>IF(COUNTA(AG497)=1,LEFT(D497,3),"")</f>
        <v>8-3</v>
      </c>
      <c r="AT497" s="485" t="str">
        <f>IF(AND(COUNTA(O497)=1,COUNTA(P497)=1,COUNTA(AC497)=1,COUNTA(AF497)=1,COUNTA(AG497)=0),LEFT(D497,3),"")</f>
        <v/>
      </c>
      <c r="AU497" s="487" t="str">
        <f>IF(AND(COUNTA(O497)=1,COUNTA(P497)=1,COUNTA(AC497)=1,COUNTA(AF497)=0,COUNTA(AG497)=0),LEFT(D497,3),"")</f>
        <v/>
      </c>
      <c r="AV497" s="489" t="str">
        <f>IF(AND(COUNTA(P497)=0,COUNTA(AC497)=1),LEFT(D497,3),"")</f>
        <v/>
      </c>
      <c r="AW497" s="491" t="str">
        <f>IF(AND(COUNTA(P497)=1,COUNTA(AC497)=0),LEFT(D497,3),"")</f>
        <v/>
      </c>
      <c r="AX497" s="493" t="str">
        <f>IF(AND(COUNTA(P497)=0,COUNTA(AC497)=0),LEFT(D497,3),"")</f>
        <v/>
      </c>
      <c r="AY497" s="514" t="str">
        <f>IFERROR(VLOOKUP(功能_33[[#This Row],[功能代號]],SIT_FT_2021tmp!D:D,1,FALSE),"")</f>
        <v/>
      </c>
      <c r="AZ497" s="587">
        <v>44617</v>
      </c>
      <c r="BB497" s="514" t="s">
        <v>2453</v>
      </c>
      <c r="BC497" s="265" t="s">
        <v>2453</v>
      </c>
      <c r="BD497" s="594"/>
      <c r="BE497" s="265" t="str">
        <f>IF(AND(COUNTIF(AY497,"&gt;&lt;0")=1,COUNTA(M497)=1),LEFT(D497,3),"")</f>
        <v/>
      </c>
      <c r="BF497" s="265" t="str">
        <f>IF(AND(COUNTIF(AY497,"&gt;&lt;")=1,COUNTA(M497)=0),LEFT(D497,3),"")</f>
        <v/>
      </c>
      <c r="BG497" s="265" t="str">
        <f>IF(AND(COUNTIF(AY497,"&gt;&lt;0")=0,COUNTA(M497)=1),LEFT(D497,3),"")</f>
        <v/>
      </c>
      <c r="BH497" s="265" t="str">
        <f>IF(AND(COUNTIF(AY497,"&gt;&lt;0")=0,COUNTA(M497)=0),LEFT(D497,3),"")</f>
        <v>8-3</v>
      </c>
    </row>
    <row r="498" spans="3:60" ht="27" x14ac:dyDescent="0.3">
      <c r="C498" s="265" t="s">
        <v>72</v>
      </c>
      <c r="D498" s="265" t="s">
        <v>2477</v>
      </c>
      <c r="E498" s="264" t="s">
        <v>1254</v>
      </c>
      <c r="F498" s="265" t="s">
        <v>1255</v>
      </c>
      <c r="G498" s="265" t="s">
        <v>1105</v>
      </c>
      <c r="H498" s="264" t="s">
        <v>110</v>
      </c>
      <c r="I498" s="264" t="s">
        <v>110</v>
      </c>
      <c r="J498" s="271" t="s">
        <v>3238</v>
      </c>
      <c r="K498" s="638" t="s">
        <v>3239</v>
      </c>
      <c r="L498" s="272">
        <v>44575</v>
      </c>
      <c r="M498" s="272">
        <v>44580</v>
      </c>
      <c r="N498" s="272">
        <v>44515</v>
      </c>
      <c r="O498" s="272">
        <v>44517</v>
      </c>
      <c r="P498" s="272">
        <v>44536</v>
      </c>
      <c r="Q498" s="264" t="s">
        <v>1</v>
      </c>
      <c r="R498" s="264" t="s">
        <v>16</v>
      </c>
      <c r="S498" s="264" t="s">
        <v>16</v>
      </c>
      <c r="X498" s="264"/>
      <c r="Z498" s="264"/>
      <c r="AA498" s="264"/>
      <c r="AB498" s="265" t="str">
        <f>VLOOKUP(功能_33[[#This Row],[User]],SKL放款!A:G,7,FALSE)</f>
        <v>放款管理課</v>
      </c>
      <c r="AC498" s="272">
        <v>44533</v>
      </c>
      <c r="AD498" s="272" t="s">
        <v>168</v>
      </c>
      <c r="AE498" s="272">
        <v>44540</v>
      </c>
      <c r="AF498" s="272">
        <v>44540</v>
      </c>
      <c r="AG498" s="209" t="s">
        <v>2971</v>
      </c>
      <c r="AH498" s="272"/>
      <c r="AI498" s="272"/>
      <c r="AJ498" s="322"/>
      <c r="AK498" s="272">
        <f>IFERROR(IF(VLOOKUP(功能_33[[#This Row],[功能代號]],E:U,11,FALSE)=0,"",VLOOKUP(功能_33[[#This Row],[功能代號]],E:U,11,FALSE)),"")</f>
        <v>44517</v>
      </c>
      <c r="AL498" s="272"/>
      <c r="AM498" s="272"/>
      <c r="AN498" s="265"/>
      <c r="AP498" s="264" t="s">
        <v>2680</v>
      </c>
      <c r="AQ498" s="265" t="s">
        <v>2790</v>
      </c>
      <c r="AR498" s="594" t="s">
        <v>3138</v>
      </c>
      <c r="AS498" s="483" t="str">
        <f>IF(COUNTA(AG498)=1,LEFT(D498,3),"")</f>
        <v>8-3</v>
      </c>
      <c r="AT498" s="485" t="str">
        <f>IF(AND(COUNTA(O498)=1,COUNTA(P498)=1,COUNTA(AC498)=1,COUNTA(AF498)=1,COUNTA(AG498)=0),LEFT(D498,3),"")</f>
        <v/>
      </c>
      <c r="AU498" s="487" t="str">
        <f>IF(AND(COUNTA(O498)=1,COUNTA(P498)=1,COUNTA(AC498)=1,COUNTA(AF498)=0,COUNTA(AG498)=0),LEFT(D498,3),"")</f>
        <v/>
      </c>
      <c r="AV498" s="489" t="str">
        <f>IF(AND(COUNTA(P498)=0,COUNTA(AC498)=1),LEFT(D498,3),"")</f>
        <v/>
      </c>
      <c r="AW498" s="491" t="str">
        <f>IF(AND(COUNTA(P498)=1,COUNTA(AC498)=0),LEFT(D498,3),"")</f>
        <v/>
      </c>
      <c r="AX498" s="493" t="str">
        <f>IF(AND(COUNTA(P498)=0,COUNTA(AC498)=0),LEFT(D498,3),"")</f>
        <v/>
      </c>
      <c r="AY498" s="514" t="str">
        <f>IFERROR(VLOOKUP(功能_33[[#This Row],[功能代號]],SIT_FT_2021tmp!D:D,1,FALSE),"")</f>
        <v/>
      </c>
      <c r="AZ498" s="587">
        <v>44603</v>
      </c>
      <c r="BB498" s="514"/>
      <c r="BC498" s="265" t="s">
        <v>2453</v>
      </c>
      <c r="BD498" s="594"/>
      <c r="BE498" s="265" t="str">
        <f>IF(AND(COUNTIF(AY498,"&gt;&lt;0")=1,COUNTA(M498)=1),LEFT(D498,3),"")</f>
        <v/>
      </c>
      <c r="BF498" s="265" t="str">
        <f>IF(AND(COUNTIF(AY498,"&gt;&lt;")=1,COUNTA(M498)=0),LEFT(D498,3),"")</f>
        <v/>
      </c>
      <c r="BG498" s="265" t="str">
        <f>IF(AND(COUNTIF(AY498,"&gt;&lt;0")=0,COUNTA(M498)=1),LEFT(D498,3),"")</f>
        <v>8-3</v>
      </c>
      <c r="BH498" s="265" t="str">
        <f>IF(AND(COUNTIF(AY498,"&gt;&lt;0")=0,COUNTA(M498)=0),LEFT(D498,3),"")</f>
        <v/>
      </c>
    </row>
    <row r="499" spans="3:60" ht="27" x14ac:dyDescent="0.3">
      <c r="C499" s="265" t="s">
        <v>72</v>
      </c>
      <c r="D499" s="265" t="s">
        <v>2477</v>
      </c>
      <c r="E499" s="264" t="s">
        <v>1256</v>
      </c>
      <c r="F499" s="265" t="s">
        <v>1257</v>
      </c>
      <c r="G499" s="265" t="s">
        <v>1105</v>
      </c>
      <c r="H499" s="264" t="s">
        <v>110</v>
      </c>
      <c r="I499" s="264" t="s">
        <v>110</v>
      </c>
      <c r="J499" s="271" t="s">
        <v>3238</v>
      </c>
      <c r="K499" s="638" t="s">
        <v>3239</v>
      </c>
      <c r="L499" s="272">
        <v>44575</v>
      </c>
      <c r="M499" s="272">
        <v>44580</v>
      </c>
      <c r="N499" s="272">
        <v>44515</v>
      </c>
      <c r="O499" s="272">
        <v>44517</v>
      </c>
      <c r="P499" s="272">
        <v>44536</v>
      </c>
      <c r="Q499" s="264" t="s">
        <v>1</v>
      </c>
      <c r="R499" s="264" t="s">
        <v>16</v>
      </c>
      <c r="S499" s="264" t="s">
        <v>16</v>
      </c>
      <c r="X499" s="264"/>
      <c r="Z499" s="264"/>
      <c r="AA499" s="264"/>
      <c r="AB499" s="265" t="str">
        <f>VLOOKUP(功能_33[[#This Row],[User]],SKL放款!A:G,7,FALSE)</f>
        <v>放款管理課</v>
      </c>
      <c r="AC499" s="272">
        <v>44533</v>
      </c>
      <c r="AD499" s="272" t="s">
        <v>168</v>
      </c>
      <c r="AE499" s="272">
        <v>44540</v>
      </c>
      <c r="AF499" s="272">
        <v>44540</v>
      </c>
      <c r="AG499" s="209" t="s">
        <v>2971</v>
      </c>
      <c r="AH499" s="272"/>
      <c r="AI499" s="272"/>
      <c r="AJ499" s="322"/>
      <c r="AK499" s="272">
        <f>IFERROR(IF(VLOOKUP(功能_33[[#This Row],[功能代號]],E:U,11,FALSE)=0,"",VLOOKUP(功能_33[[#This Row],[功能代號]],E:U,11,FALSE)),"")</f>
        <v>44517</v>
      </c>
      <c r="AL499" s="272"/>
      <c r="AM499" s="272"/>
      <c r="AN499" s="265"/>
      <c r="AP499" s="264" t="s">
        <v>2680</v>
      </c>
      <c r="AQ499" s="265" t="s">
        <v>2790</v>
      </c>
      <c r="AR499" s="594" t="s">
        <v>3138</v>
      </c>
      <c r="AS499" s="483" t="str">
        <f>IF(COUNTA(AG499)=1,LEFT(D499,3),"")</f>
        <v>8-3</v>
      </c>
      <c r="AT499" s="485" t="str">
        <f>IF(AND(COUNTA(O499)=1,COUNTA(P499)=1,COUNTA(AC499)=1,COUNTA(AF499)=1,COUNTA(AG499)=0),LEFT(D499,3),"")</f>
        <v/>
      </c>
      <c r="AU499" s="487" t="str">
        <f>IF(AND(COUNTA(O499)=1,COUNTA(P499)=1,COUNTA(AC499)=1,COUNTA(AF499)=0,COUNTA(AG499)=0),LEFT(D499,3),"")</f>
        <v/>
      </c>
      <c r="AV499" s="489" t="str">
        <f>IF(AND(COUNTA(P499)=0,COUNTA(AC499)=1),LEFT(D499,3),"")</f>
        <v/>
      </c>
      <c r="AW499" s="491" t="str">
        <f>IF(AND(COUNTA(P499)=1,COUNTA(AC499)=0),LEFT(D499,3),"")</f>
        <v/>
      </c>
      <c r="AX499" s="493" t="str">
        <f>IF(AND(COUNTA(P499)=0,COUNTA(AC499)=0),LEFT(D499,3),"")</f>
        <v/>
      </c>
      <c r="AY499" s="514" t="str">
        <f>IFERROR(VLOOKUP(功能_33[[#This Row],[功能代號]],SIT_FT_2021tmp!D:D,1,FALSE),"")</f>
        <v/>
      </c>
      <c r="AZ499" s="587">
        <v>44603</v>
      </c>
      <c r="BB499" s="514"/>
      <c r="BC499" s="265" t="s">
        <v>2453</v>
      </c>
      <c r="BD499" s="594"/>
      <c r="BE499" s="265" t="str">
        <f>IF(AND(COUNTIF(AY499,"&gt;&lt;0")=1,COUNTA(M499)=1),LEFT(D499,3),"")</f>
        <v/>
      </c>
      <c r="BF499" s="265" t="str">
        <f>IF(AND(COUNTIF(AY499,"&gt;&lt;")=1,COUNTA(M499)=0),LEFT(D499,3),"")</f>
        <v/>
      </c>
      <c r="BG499" s="265" t="str">
        <f>IF(AND(COUNTIF(AY499,"&gt;&lt;0")=0,COUNTA(M499)=1),LEFT(D499,3),"")</f>
        <v>8-3</v>
      </c>
      <c r="BH499" s="265" t="str">
        <f>IF(AND(COUNTIF(AY499,"&gt;&lt;0")=0,COUNTA(M499)=0),LEFT(D499,3),"")</f>
        <v/>
      </c>
    </row>
    <row r="500" spans="3:60" ht="27" x14ac:dyDescent="0.3">
      <c r="C500" s="265" t="s">
        <v>72</v>
      </c>
      <c r="D500" s="265" t="s">
        <v>2477</v>
      </c>
      <c r="E500" s="264" t="s">
        <v>1258</v>
      </c>
      <c r="F500" s="265" t="s">
        <v>1259</v>
      </c>
      <c r="G500" s="265" t="s">
        <v>1105</v>
      </c>
      <c r="H500" s="264" t="s">
        <v>110</v>
      </c>
      <c r="I500" s="264" t="s">
        <v>110</v>
      </c>
      <c r="J500" s="271" t="s">
        <v>3238</v>
      </c>
      <c r="K500" s="638" t="s">
        <v>3239</v>
      </c>
      <c r="L500" s="272">
        <v>44575</v>
      </c>
      <c r="M500" s="272">
        <v>44580</v>
      </c>
      <c r="N500" s="272">
        <v>44515</v>
      </c>
      <c r="O500" s="272">
        <v>44517</v>
      </c>
      <c r="P500" s="272">
        <v>44536</v>
      </c>
      <c r="Q500" s="264" t="s">
        <v>1</v>
      </c>
      <c r="R500" s="264" t="s">
        <v>16</v>
      </c>
      <c r="S500" s="264" t="s">
        <v>16</v>
      </c>
      <c r="X500" s="264"/>
      <c r="Z500" s="264"/>
      <c r="AA500" s="264"/>
      <c r="AB500" s="265" t="str">
        <f>VLOOKUP(功能_33[[#This Row],[User]],SKL放款!A:G,7,FALSE)</f>
        <v>放款管理課</v>
      </c>
      <c r="AC500" s="272">
        <v>44533</v>
      </c>
      <c r="AD500" s="272" t="s">
        <v>168</v>
      </c>
      <c r="AE500" s="272">
        <v>44540</v>
      </c>
      <c r="AF500" s="272">
        <v>44540</v>
      </c>
      <c r="AG500" s="209" t="s">
        <v>2971</v>
      </c>
      <c r="AH500" s="272"/>
      <c r="AI500" s="272"/>
      <c r="AJ500" s="322"/>
      <c r="AK500" s="272">
        <f>IFERROR(IF(VLOOKUP(功能_33[[#This Row],[功能代號]],E:U,11,FALSE)=0,"",VLOOKUP(功能_33[[#This Row],[功能代號]],E:U,11,FALSE)),"")</f>
        <v>44517</v>
      </c>
      <c r="AL500" s="272"/>
      <c r="AM500" s="272"/>
      <c r="AN500" s="265"/>
      <c r="AP500" s="264" t="s">
        <v>2680</v>
      </c>
      <c r="AQ500" s="265" t="s">
        <v>2790</v>
      </c>
      <c r="AR500" s="594" t="s">
        <v>3138</v>
      </c>
      <c r="AS500" s="483" t="str">
        <f>IF(COUNTA(AG500)=1,LEFT(D500,3),"")</f>
        <v>8-3</v>
      </c>
      <c r="AT500" s="485" t="str">
        <f>IF(AND(COUNTA(O500)=1,COUNTA(P500)=1,COUNTA(AC500)=1,COUNTA(AF500)=1,COUNTA(AG500)=0),LEFT(D500,3),"")</f>
        <v/>
      </c>
      <c r="AU500" s="487" t="str">
        <f>IF(AND(COUNTA(O500)=1,COUNTA(P500)=1,COUNTA(AC500)=1,COUNTA(AF500)=0,COUNTA(AG500)=0),LEFT(D500,3),"")</f>
        <v/>
      </c>
      <c r="AV500" s="489" t="str">
        <f>IF(AND(COUNTA(P500)=0,COUNTA(AC500)=1),LEFT(D500,3),"")</f>
        <v/>
      </c>
      <c r="AW500" s="491" t="str">
        <f>IF(AND(COUNTA(P500)=1,COUNTA(AC500)=0),LEFT(D500,3),"")</f>
        <v/>
      </c>
      <c r="AX500" s="493" t="str">
        <f>IF(AND(COUNTA(P500)=0,COUNTA(AC500)=0),LEFT(D500,3),"")</f>
        <v/>
      </c>
      <c r="AY500" s="514" t="str">
        <f>IFERROR(VLOOKUP(功能_33[[#This Row],[功能代號]],SIT_FT_2021tmp!D:D,1,FALSE),"")</f>
        <v/>
      </c>
      <c r="AZ500" s="587">
        <v>44603</v>
      </c>
      <c r="BB500" s="514"/>
      <c r="BC500" s="265" t="s">
        <v>2453</v>
      </c>
      <c r="BD500" s="594"/>
      <c r="BE500" s="265" t="str">
        <f>IF(AND(COUNTIF(AY500,"&gt;&lt;0")=1,COUNTA(M500)=1),LEFT(D500,3),"")</f>
        <v/>
      </c>
      <c r="BF500" s="265" t="str">
        <f>IF(AND(COUNTIF(AY500,"&gt;&lt;")=1,COUNTA(M500)=0),LEFT(D500,3),"")</f>
        <v/>
      </c>
      <c r="BG500" s="265" t="str">
        <f>IF(AND(COUNTIF(AY500,"&gt;&lt;0")=0,COUNTA(M500)=1),LEFT(D500,3),"")</f>
        <v>8-3</v>
      </c>
      <c r="BH500" s="265" t="str">
        <f>IF(AND(COUNTIF(AY500,"&gt;&lt;0")=0,COUNTA(M500)=0),LEFT(D500,3),"")</f>
        <v/>
      </c>
    </row>
    <row r="501" spans="3:60" ht="27" x14ac:dyDescent="0.3">
      <c r="C501" s="265" t="s">
        <v>72</v>
      </c>
      <c r="D501" s="265" t="s">
        <v>2477</v>
      </c>
      <c r="E501" s="264" t="s">
        <v>1260</v>
      </c>
      <c r="F501" s="265" t="s">
        <v>1261</v>
      </c>
      <c r="G501" s="265" t="s">
        <v>1105</v>
      </c>
      <c r="H501" s="264" t="s">
        <v>110</v>
      </c>
      <c r="I501" s="264" t="s">
        <v>110</v>
      </c>
      <c r="J501" s="271" t="s">
        <v>3238</v>
      </c>
      <c r="K501" s="638" t="s">
        <v>3239</v>
      </c>
      <c r="L501" s="272">
        <v>44575</v>
      </c>
      <c r="M501" s="272">
        <v>44580</v>
      </c>
      <c r="N501" s="272">
        <v>44515</v>
      </c>
      <c r="O501" s="272">
        <v>44517</v>
      </c>
      <c r="P501" s="272">
        <v>44536</v>
      </c>
      <c r="Q501" s="264" t="s">
        <v>1</v>
      </c>
      <c r="R501" s="264" t="s">
        <v>16</v>
      </c>
      <c r="S501" s="264" t="s">
        <v>16</v>
      </c>
      <c r="X501" s="264"/>
      <c r="Z501" s="264"/>
      <c r="AA501" s="264"/>
      <c r="AB501" s="265" t="str">
        <f>VLOOKUP(功能_33[[#This Row],[User]],SKL放款!A:G,7,FALSE)</f>
        <v>放款管理課</v>
      </c>
      <c r="AC501" s="272">
        <v>44533</v>
      </c>
      <c r="AD501" s="272" t="s">
        <v>168</v>
      </c>
      <c r="AE501" s="272">
        <v>44540</v>
      </c>
      <c r="AF501" s="272">
        <v>44540</v>
      </c>
      <c r="AG501" s="209" t="s">
        <v>2971</v>
      </c>
      <c r="AH501" s="272"/>
      <c r="AI501" s="272"/>
      <c r="AJ501" s="322"/>
      <c r="AK501" s="272">
        <f>IFERROR(IF(VLOOKUP(功能_33[[#This Row],[功能代號]],E:U,11,FALSE)=0,"",VLOOKUP(功能_33[[#This Row],[功能代號]],E:U,11,FALSE)),"")</f>
        <v>44517</v>
      </c>
      <c r="AL501" s="272"/>
      <c r="AM501" s="272"/>
      <c r="AN501" s="265"/>
      <c r="AP501" s="264" t="s">
        <v>2680</v>
      </c>
      <c r="AQ501" s="265" t="s">
        <v>2790</v>
      </c>
      <c r="AR501" s="594" t="s">
        <v>3138</v>
      </c>
      <c r="AS501" s="483" t="str">
        <f>IF(COUNTA(AG501)=1,LEFT(D501,3),"")</f>
        <v>8-3</v>
      </c>
      <c r="AT501" s="485" t="str">
        <f>IF(AND(COUNTA(O501)=1,COUNTA(P501)=1,COUNTA(AC501)=1,COUNTA(AF501)=1,COUNTA(AG501)=0),LEFT(D501,3),"")</f>
        <v/>
      </c>
      <c r="AU501" s="487" t="str">
        <f>IF(AND(COUNTA(O501)=1,COUNTA(P501)=1,COUNTA(AC501)=1,COUNTA(AF501)=0,COUNTA(AG501)=0),LEFT(D501,3),"")</f>
        <v/>
      </c>
      <c r="AV501" s="489" t="str">
        <f>IF(AND(COUNTA(P501)=0,COUNTA(AC501)=1),LEFT(D501,3),"")</f>
        <v/>
      </c>
      <c r="AW501" s="491" t="str">
        <f>IF(AND(COUNTA(P501)=1,COUNTA(AC501)=0),LEFT(D501,3),"")</f>
        <v/>
      </c>
      <c r="AX501" s="493" t="str">
        <f>IF(AND(COUNTA(P501)=0,COUNTA(AC501)=0),LEFT(D501,3),"")</f>
        <v/>
      </c>
      <c r="AY501" s="514" t="str">
        <f>IFERROR(VLOOKUP(功能_33[[#This Row],[功能代號]],SIT_FT_2021tmp!D:D,1,FALSE),"")</f>
        <v/>
      </c>
      <c r="AZ501" s="587">
        <v>44603</v>
      </c>
      <c r="BB501" s="514"/>
      <c r="BC501" s="265" t="s">
        <v>2453</v>
      </c>
      <c r="BD501" s="594"/>
      <c r="BE501" s="265" t="str">
        <f>IF(AND(COUNTIF(AY501,"&gt;&lt;0")=1,COUNTA(M501)=1),LEFT(D501,3),"")</f>
        <v/>
      </c>
      <c r="BF501" s="265" t="str">
        <f>IF(AND(COUNTIF(AY501,"&gt;&lt;")=1,COUNTA(M501)=0),LEFT(D501,3),"")</f>
        <v/>
      </c>
      <c r="BG501" s="265" t="str">
        <f>IF(AND(COUNTIF(AY501,"&gt;&lt;0")=0,COUNTA(M501)=1),LEFT(D501,3),"")</f>
        <v>8-3</v>
      </c>
      <c r="BH501" s="265" t="str">
        <f>IF(AND(COUNTIF(AY501,"&gt;&lt;0")=0,COUNTA(M501)=0),LEFT(D501,3),"")</f>
        <v/>
      </c>
    </row>
    <row r="502" spans="3:60" ht="27" x14ac:dyDescent="0.3">
      <c r="C502" s="265" t="s">
        <v>72</v>
      </c>
      <c r="D502" s="265" t="s">
        <v>2477</v>
      </c>
      <c r="E502" s="264" t="s">
        <v>1262</v>
      </c>
      <c r="F502" s="265" t="s">
        <v>1263</v>
      </c>
      <c r="G502" s="265" t="s">
        <v>1105</v>
      </c>
      <c r="H502" s="264" t="s">
        <v>110</v>
      </c>
      <c r="I502" s="264" t="s">
        <v>110</v>
      </c>
      <c r="J502" s="271" t="s">
        <v>3238</v>
      </c>
      <c r="K502" s="638" t="s">
        <v>3239</v>
      </c>
      <c r="L502" s="272">
        <v>44575</v>
      </c>
      <c r="M502" s="272">
        <v>44580</v>
      </c>
      <c r="N502" s="272">
        <v>44515</v>
      </c>
      <c r="O502" s="272">
        <v>44517</v>
      </c>
      <c r="P502" s="272">
        <v>44536</v>
      </c>
      <c r="Q502" s="264" t="s">
        <v>1</v>
      </c>
      <c r="R502" s="264" t="s">
        <v>16</v>
      </c>
      <c r="S502" s="264" t="s">
        <v>16</v>
      </c>
      <c r="X502" s="264"/>
      <c r="Z502" s="264"/>
      <c r="AA502" s="264"/>
      <c r="AB502" s="265" t="str">
        <f>VLOOKUP(功能_33[[#This Row],[User]],SKL放款!A:G,7,FALSE)</f>
        <v>放款管理課</v>
      </c>
      <c r="AC502" s="272">
        <v>44533</v>
      </c>
      <c r="AD502" s="272" t="s">
        <v>168</v>
      </c>
      <c r="AE502" s="272">
        <v>44540</v>
      </c>
      <c r="AF502" s="272">
        <v>44540</v>
      </c>
      <c r="AG502" s="209" t="s">
        <v>2971</v>
      </c>
      <c r="AH502" s="272"/>
      <c r="AI502" s="272"/>
      <c r="AJ502" s="322"/>
      <c r="AK502" s="272">
        <f>IFERROR(IF(VLOOKUP(功能_33[[#This Row],[功能代號]],E:U,11,FALSE)=0,"",VLOOKUP(功能_33[[#This Row],[功能代號]],E:U,11,FALSE)),"")</f>
        <v>44517</v>
      </c>
      <c r="AL502" s="272"/>
      <c r="AM502" s="272"/>
      <c r="AN502" s="265"/>
      <c r="AP502" s="264" t="s">
        <v>2680</v>
      </c>
      <c r="AQ502" s="265" t="s">
        <v>2790</v>
      </c>
      <c r="AR502" s="594" t="s">
        <v>3138</v>
      </c>
      <c r="AS502" s="483" t="str">
        <f>IF(COUNTA(AG502)=1,LEFT(D502,3),"")</f>
        <v>8-3</v>
      </c>
      <c r="AT502" s="485" t="str">
        <f>IF(AND(COUNTA(O502)=1,COUNTA(P502)=1,COUNTA(AC502)=1,COUNTA(AF502)=1,COUNTA(AG502)=0),LEFT(D502,3),"")</f>
        <v/>
      </c>
      <c r="AU502" s="487" t="str">
        <f>IF(AND(COUNTA(O502)=1,COUNTA(P502)=1,COUNTA(AC502)=1,COUNTA(AF502)=0,COUNTA(AG502)=0),LEFT(D502,3),"")</f>
        <v/>
      </c>
      <c r="AV502" s="489" t="str">
        <f>IF(AND(COUNTA(P502)=0,COUNTA(AC502)=1),LEFT(D502,3),"")</f>
        <v/>
      </c>
      <c r="AW502" s="491" t="str">
        <f>IF(AND(COUNTA(P502)=1,COUNTA(AC502)=0),LEFT(D502,3),"")</f>
        <v/>
      </c>
      <c r="AX502" s="493" t="str">
        <f>IF(AND(COUNTA(P502)=0,COUNTA(AC502)=0),LEFT(D502,3),"")</f>
        <v/>
      </c>
      <c r="AY502" s="514" t="str">
        <f>IFERROR(VLOOKUP(功能_33[[#This Row],[功能代號]],SIT_FT_2021tmp!D:D,1,FALSE),"")</f>
        <v/>
      </c>
      <c r="AZ502" s="587">
        <v>44603</v>
      </c>
      <c r="BB502" s="514"/>
      <c r="BC502" s="265" t="s">
        <v>2453</v>
      </c>
      <c r="BD502" s="594"/>
      <c r="BE502" s="265" t="str">
        <f>IF(AND(COUNTIF(AY502,"&gt;&lt;0")=1,COUNTA(M502)=1),LEFT(D502,3),"")</f>
        <v/>
      </c>
      <c r="BF502" s="265" t="str">
        <f>IF(AND(COUNTIF(AY502,"&gt;&lt;")=1,COUNTA(M502)=0),LEFT(D502,3),"")</f>
        <v/>
      </c>
      <c r="BG502" s="265" t="str">
        <f>IF(AND(COUNTIF(AY502,"&gt;&lt;0")=0,COUNTA(M502)=1),LEFT(D502,3),"")</f>
        <v>8-3</v>
      </c>
      <c r="BH502" s="265" t="str">
        <f>IF(AND(COUNTIF(AY502,"&gt;&lt;0")=0,COUNTA(M502)=0),LEFT(D502,3),"")</f>
        <v/>
      </c>
    </row>
    <row r="503" spans="3:60" ht="27" x14ac:dyDescent="0.3">
      <c r="C503" s="265" t="s">
        <v>72</v>
      </c>
      <c r="D503" s="265" t="s">
        <v>2477</v>
      </c>
      <c r="E503" s="264" t="s">
        <v>1264</v>
      </c>
      <c r="F503" s="265" t="s">
        <v>1265</v>
      </c>
      <c r="G503" s="265" t="s">
        <v>1105</v>
      </c>
      <c r="H503" s="264" t="s">
        <v>110</v>
      </c>
      <c r="I503" s="264" t="s">
        <v>110</v>
      </c>
      <c r="J503" s="271" t="s">
        <v>3238</v>
      </c>
      <c r="K503" s="638" t="s">
        <v>3239</v>
      </c>
      <c r="L503" s="272">
        <v>44575</v>
      </c>
      <c r="M503" s="272">
        <v>44580</v>
      </c>
      <c r="N503" s="272">
        <v>44515</v>
      </c>
      <c r="O503" s="272">
        <v>44517</v>
      </c>
      <c r="P503" s="272">
        <v>44536</v>
      </c>
      <c r="Q503" s="264" t="s">
        <v>1</v>
      </c>
      <c r="R503" s="264" t="s">
        <v>16</v>
      </c>
      <c r="S503" s="264" t="s">
        <v>16</v>
      </c>
      <c r="X503" s="264"/>
      <c r="Z503" s="264"/>
      <c r="AA503" s="264"/>
      <c r="AB503" s="265" t="str">
        <f>VLOOKUP(功能_33[[#This Row],[User]],SKL放款!A:G,7,FALSE)</f>
        <v>放款管理課</v>
      </c>
      <c r="AC503" s="272">
        <v>44533</v>
      </c>
      <c r="AD503" s="272" t="s">
        <v>168</v>
      </c>
      <c r="AE503" s="272">
        <v>44540</v>
      </c>
      <c r="AF503" s="272">
        <v>44540</v>
      </c>
      <c r="AG503" s="209" t="s">
        <v>2971</v>
      </c>
      <c r="AH503" s="272"/>
      <c r="AI503" s="272"/>
      <c r="AJ503" s="322"/>
      <c r="AK503" s="272">
        <f>IFERROR(IF(VLOOKUP(功能_33[[#This Row],[功能代號]],E:U,11,FALSE)=0,"",VLOOKUP(功能_33[[#This Row],[功能代號]],E:U,11,FALSE)),"")</f>
        <v>44517</v>
      </c>
      <c r="AL503" s="272"/>
      <c r="AM503" s="272"/>
      <c r="AN503" s="265"/>
      <c r="AP503" s="264" t="s">
        <v>2680</v>
      </c>
      <c r="AQ503" s="265" t="s">
        <v>2790</v>
      </c>
      <c r="AR503" s="594" t="s">
        <v>3138</v>
      </c>
      <c r="AS503" s="483" t="str">
        <f>IF(COUNTA(AG503)=1,LEFT(D503,3),"")</f>
        <v>8-3</v>
      </c>
      <c r="AT503" s="485" t="str">
        <f>IF(AND(COUNTA(O503)=1,COUNTA(P503)=1,COUNTA(AC503)=1,COUNTA(AF503)=1,COUNTA(AG503)=0),LEFT(D503,3),"")</f>
        <v/>
      </c>
      <c r="AU503" s="487" t="str">
        <f>IF(AND(COUNTA(O503)=1,COUNTA(P503)=1,COUNTA(AC503)=1,COUNTA(AF503)=0,COUNTA(AG503)=0),LEFT(D503,3),"")</f>
        <v/>
      </c>
      <c r="AV503" s="489" t="str">
        <f>IF(AND(COUNTA(P503)=0,COUNTA(AC503)=1),LEFT(D503,3),"")</f>
        <v/>
      </c>
      <c r="AW503" s="491" t="str">
        <f>IF(AND(COUNTA(P503)=1,COUNTA(AC503)=0),LEFT(D503,3),"")</f>
        <v/>
      </c>
      <c r="AX503" s="493" t="str">
        <f>IF(AND(COUNTA(P503)=0,COUNTA(AC503)=0),LEFT(D503,3),"")</f>
        <v/>
      </c>
      <c r="AY503" s="514" t="str">
        <f>IFERROR(VLOOKUP(功能_33[[#This Row],[功能代號]],SIT_FT_2021tmp!D:D,1,FALSE),"")</f>
        <v/>
      </c>
      <c r="AZ503" s="587">
        <v>44603</v>
      </c>
      <c r="BB503" s="514"/>
      <c r="BC503" s="265" t="s">
        <v>2453</v>
      </c>
      <c r="BD503" s="594"/>
      <c r="BE503" s="265" t="str">
        <f>IF(AND(COUNTIF(AY503,"&gt;&lt;0")=1,COUNTA(M503)=1),LEFT(D503,3),"")</f>
        <v/>
      </c>
      <c r="BF503" s="265" t="str">
        <f>IF(AND(COUNTIF(AY503,"&gt;&lt;")=1,COUNTA(M503)=0),LEFT(D503,3),"")</f>
        <v/>
      </c>
      <c r="BG503" s="265" t="str">
        <f>IF(AND(COUNTIF(AY503,"&gt;&lt;0")=0,COUNTA(M503)=1),LEFT(D503,3),"")</f>
        <v>8-3</v>
      </c>
      <c r="BH503" s="265" t="str">
        <f>IF(AND(COUNTIF(AY503,"&gt;&lt;0")=0,COUNTA(M503)=0),LEFT(D503,3),"")</f>
        <v/>
      </c>
    </row>
    <row r="504" spans="3:60" ht="27" x14ac:dyDescent="0.3">
      <c r="C504" s="265" t="s">
        <v>72</v>
      </c>
      <c r="D504" s="265" t="s">
        <v>2477</v>
      </c>
      <c r="E504" s="264" t="s">
        <v>1266</v>
      </c>
      <c r="F504" s="265" t="s">
        <v>1267</v>
      </c>
      <c r="G504" s="265" t="s">
        <v>1105</v>
      </c>
      <c r="H504" s="264" t="s">
        <v>110</v>
      </c>
      <c r="I504" s="264" t="s">
        <v>110</v>
      </c>
      <c r="J504" s="271" t="s">
        <v>3238</v>
      </c>
      <c r="K504" s="638" t="s">
        <v>3239</v>
      </c>
      <c r="L504" s="272">
        <v>44575</v>
      </c>
      <c r="M504" s="272">
        <v>44580</v>
      </c>
      <c r="N504" s="272">
        <v>44515</v>
      </c>
      <c r="O504" s="272">
        <v>44517</v>
      </c>
      <c r="P504" s="272">
        <v>44536</v>
      </c>
      <c r="Q504" s="264" t="s">
        <v>1</v>
      </c>
      <c r="R504" s="264" t="s">
        <v>16</v>
      </c>
      <c r="S504" s="264" t="s">
        <v>16</v>
      </c>
      <c r="X504" s="264"/>
      <c r="Z504" s="264"/>
      <c r="AA504" s="264"/>
      <c r="AB504" s="265" t="str">
        <f>VLOOKUP(功能_33[[#This Row],[User]],SKL放款!A:G,7,FALSE)</f>
        <v>放款管理課</v>
      </c>
      <c r="AC504" s="272">
        <v>44533</v>
      </c>
      <c r="AD504" s="272" t="s">
        <v>168</v>
      </c>
      <c r="AE504" s="272">
        <v>44540</v>
      </c>
      <c r="AF504" s="272">
        <v>44540</v>
      </c>
      <c r="AG504" s="209" t="s">
        <v>2971</v>
      </c>
      <c r="AH504" s="272"/>
      <c r="AI504" s="272"/>
      <c r="AJ504" s="322"/>
      <c r="AK504" s="272">
        <f>IFERROR(IF(VLOOKUP(功能_33[[#This Row],[功能代號]],E:U,11,FALSE)=0,"",VLOOKUP(功能_33[[#This Row],[功能代號]],E:U,11,FALSE)),"")</f>
        <v>44517</v>
      </c>
      <c r="AL504" s="272"/>
      <c r="AM504" s="272"/>
      <c r="AN504" s="265"/>
      <c r="AP504" s="264" t="s">
        <v>2680</v>
      </c>
      <c r="AQ504" s="265" t="s">
        <v>2790</v>
      </c>
      <c r="AR504" s="594" t="s">
        <v>3138</v>
      </c>
      <c r="AS504" s="483" t="str">
        <f>IF(COUNTA(AG504)=1,LEFT(D504,3),"")</f>
        <v>8-3</v>
      </c>
      <c r="AT504" s="485" t="str">
        <f>IF(AND(COUNTA(O504)=1,COUNTA(P504)=1,COUNTA(AC504)=1,COUNTA(AF504)=1,COUNTA(AG504)=0),LEFT(D504,3),"")</f>
        <v/>
      </c>
      <c r="AU504" s="487" t="str">
        <f>IF(AND(COUNTA(O504)=1,COUNTA(P504)=1,COUNTA(AC504)=1,COUNTA(AF504)=0,COUNTA(AG504)=0),LEFT(D504,3),"")</f>
        <v/>
      </c>
      <c r="AV504" s="489" t="str">
        <f>IF(AND(COUNTA(P504)=0,COUNTA(AC504)=1),LEFT(D504,3),"")</f>
        <v/>
      </c>
      <c r="AW504" s="491" t="str">
        <f>IF(AND(COUNTA(P504)=1,COUNTA(AC504)=0),LEFT(D504,3),"")</f>
        <v/>
      </c>
      <c r="AX504" s="493" t="str">
        <f>IF(AND(COUNTA(P504)=0,COUNTA(AC504)=0),LEFT(D504,3),"")</f>
        <v/>
      </c>
      <c r="AY504" s="514" t="str">
        <f>IFERROR(VLOOKUP(功能_33[[#This Row],[功能代號]],SIT_FT_2021tmp!D:D,1,FALSE),"")</f>
        <v/>
      </c>
      <c r="AZ504" s="587">
        <v>44603</v>
      </c>
      <c r="BB504" s="514"/>
      <c r="BC504" s="265" t="s">
        <v>2453</v>
      </c>
      <c r="BD504" s="594"/>
      <c r="BE504" s="265" t="str">
        <f>IF(AND(COUNTIF(AY504,"&gt;&lt;0")=1,COUNTA(M504)=1),LEFT(D504,3),"")</f>
        <v/>
      </c>
      <c r="BF504" s="265" t="str">
        <f>IF(AND(COUNTIF(AY504,"&gt;&lt;")=1,COUNTA(M504)=0),LEFT(D504,3),"")</f>
        <v/>
      </c>
      <c r="BG504" s="265" t="str">
        <f>IF(AND(COUNTIF(AY504,"&gt;&lt;0")=0,COUNTA(M504)=1),LEFT(D504,3),"")</f>
        <v>8-3</v>
      </c>
      <c r="BH504" s="265" t="str">
        <f>IF(AND(COUNTIF(AY504,"&gt;&lt;0")=0,COUNTA(M504)=0),LEFT(D504,3),"")</f>
        <v/>
      </c>
    </row>
    <row r="505" spans="3:60" ht="27" x14ac:dyDescent="0.3">
      <c r="C505" s="265" t="s">
        <v>72</v>
      </c>
      <c r="D505" s="265" t="s">
        <v>2477</v>
      </c>
      <c r="E505" s="264" t="s">
        <v>1268</v>
      </c>
      <c r="F505" s="265" t="s">
        <v>1269</v>
      </c>
      <c r="G505" s="265" t="s">
        <v>1105</v>
      </c>
      <c r="H505" s="264" t="s">
        <v>110</v>
      </c>
      <c r="I505" s="264" t="s">
        <v>110</v>
      </c>
      <c r="J505" s="271" t="s">
        <v>3238</v>
      </c>
      <c r="K505" s="638" t="s">
        <v>3239</v>
      </c>
      <c r="L505" s="272">
        <v>44575</v>
      </c>
      <c r="M505" s="272">
        <v>44580</v>
      </c>
      <c r="N505" s="272">
        <v>44515</v>
      </c>
      <c r="O505" s="272">
        <v>44517</v>
      </c>
      <c r="P505" s="272">
        <v>44536</v>
      </c>
      <c r="Q505" s="264" t="s">
        <v>1</v>
      </c>
      <c r="R505" s="264" t="s">
        <v>16</v>
      </c>
      <c r="S505" s="264" t="s">
        <v>16</v>
      </c>
      <c r="X505" s="264"/>
      <c r="Z505" s="264"/>
      <c r="AA505" s="264"/>
      <c r="AB505" s="265" t="str">
        <f>VLOOKUP(功能_33[[#This Row],[User]],SKL放款!A:G,7,FALSE)</f>
        <v>放款管理課</v>
      </c>
      <c r="AC505" s="272">
        <v>44533</v>
      </c>
      <c r="AD505" s="272" t="s">
        <v>168</v>
      </c>
      <c r="AE505" s="272">
        <v>44540</v>
      </c>
      <c r="AF505" s="272">
        <v>44540</v>
      </c>
      <c r="AG505" s="209" t="s">
        <v>2971</v>
      </c>
      <c r="AH505" s="272"/>
      <c r="AI505" s="272"/>
      <c r="AJ505" s="322"/>
      <c r="AK505" s="272">
        <f>IFERROR(IF(VLOOKUP(功能_33[[#This Row],[功能代號]],E:U,11,FALSE)=0,"",VLOOKUP(功能_33[[#This Row],[功能代號]],E:U,11,FALSE)),"")</f>
        <v>44517</v>
      </c>
      <c r="AL505" s="272"/>
      <c r="AM505" s="272"/>
      <c r="AN505" s="265"/>
      <c r="AP505" s="264" t="s">
        <v>2680</v>
      </c>
      <c r="AQ505" s="265" t="s">
        <v>2790</v>
      </c>
      <c r="AR505" s="594" t="s">
        <v>3138</v>
      </c>
      <c r="AS505" s="483" t="str">
        <f>IF(COUNTA(AG505)=1,LEFT(D505,3),"")</f>
        <v>8-3</v>
      </c>
      <c r="AT505" s="485" t="str">
        <f>IF(AND(COUNTA(O505)=1,COUNTA(P505)=1,COUNTA(AC505)=1,COUNTA(AF505)=1,COUNTA(AG505)=0),LEFT(D505,3),"")</f>
        <v/>
      </c>
      <c r="AU505" s="487" t="str">
        <f>IF(AND(COUNTA(O505)=1,COUNTA(P505)=1,COUNTA(AC505)=1,COUNTA(AF505)=0,COUNTA(AG505)=0),LEFT(D505,3),"")</f>
        <v/>
      </c>
      <c r="AV505" s="489" t="str">
        <f>IF(AND(COUNTA(P505)=0,COUNTA(AC505)=1),LEFT(D505,3),"")</f>
        <v/>
      </c>
      <c r="AW505" s="491" t="str">
        <f>IF(AND(COUNTA(P505)=1,COUNTA(AC505)=0),LEFT(D505,3),"")</f>
        <v/>
      </c>
      <c r="AX505" s="493" t="str">
        <f>IF(AND(COUNTA(P505)=0,COUNTA(AC505)=0),LEFT(D505,3),"")</f>
        <v/>
      </c>
      <c r="AY505" s="514" t="str">
        <f>IFERROR(VLOOKUP(功能_33[[#This Row],[功能代號]],SIT_FT_2021tmp!D:D,1,FALSE),"")</f>
        <v/>
      </c>
      <c r="AZ505" s="587">
        <v>44603</v>
      </c>
      <c r="BB505" s="514"/>
      <c r="BC505" s="265" t="s">
        <v>2453</v>
      </c>
      <c r="BD505" s="594"/>
      <c r="BE505" s="265" t="str">
        <f>IF(AND(COUNTIF(AY505,"&gt;&lt;0")=1,COUNTA(M505)=1),LEFT(D505,3),"")</f>
        <v/>
      </c>
      <c r="BF505" s="265" t="str">
        <f>IF(AND(COUNTIF(AY505,"&gt;&lt;")=1,COUNTA(M505)=0),LEFT(D505,3),"")</f>
        <v/>
      </c>
      <c r="BG505" s="265" t="str">
        <f>IF(AND(COUNTIF(AY505,"&gt;&lt;0")=0,COUNTA(M505)=1),LEFT(D505,3),"")</f>
        <v>8-3</v>
      </c>
      <c r="BH505" s="265" t="str">
        <f>IF(AND(COUNTIF(AY505,"&gt;&lt;0")=0,COUNTA(M505)=0),LEFT(D505,3),"")</f>
        <v/>
      </c>
    </row>
    <row r="506" spans="3:60" ht="27" x14ac:dyDescent="0.3">
      <c r="C506" s="265" t="s">
        <v>72</v>
      </c>
      <c r="D506" s="265" t="s">
        <v>2477</v>
      </c>
      <c r="E506" s="264" t="s">
        <v>1270</v>
      </c>
      <c r="F506" s="265" t="s">
        <v>1271</v>
      </c>
      <c r="G506" s="265" t="s">
        <v>1105</v>
      </c>
      <c r="H506" s="264" t="s">
        <v>110</v>
      </c>
      <c r="I506" s="264" t="s">
        <v>110</v>
      </c>
      <c r="J506" s="271" t="s">
        <v>3238</v>
      </c>
      <c r="K506" s="638" t="s">
        <v>3239</v>
      </c>
      <c r="L506" s="272">
        <v>44575</v>
      </c>
      <c r="M506" s="272">
        <v>44580</v>
      </c>
      <c r="N506" s="272">
        <v>44515</v>
      </c>
      <c r="O506" s="272">
        <v>44517</v>
      </c>
      <c r="P506" s="272">
        <v>44536</v>
      </c>
      <c r="Q506" s="264" t="s">
        <v>1</v>
      </c>
      <c r="R506" s="264" t="s">
        <v>16</v>
      </c>
      <c r="S506" s="264" t="s">
        <v>16</v>
      </c>
      <c r="X506" s="264"/>
      <c r="Z506" s="264"/>
      <c r="AA506" s="264"/>
      <c r="AB506" s="265" t="str">
        <f>VLOOKUP(功能_33[[#This Row],[User]],SKL放款!A:G,7,FALSE)</f>
        <v>放款管理課</v>
      </c>
      <c r="AC506" s="272">
        <v>44533</v>
      </c>
      <c r="AD506" s="272" t="s">
        <v>168</v>
      </c>
      <c r="AE506" s="272">
        <v>44540</v>
      </c>
      <c r="AF506" s="272">
        <v>44540</v>
      </c>
      <c r="AG506" s="209" t="s">
        <v>2971</v>
      </c>
      <c r="AH506" s="272"/>
      <c r="AI506" s="272"/>
      <c r="AJ506" s="322"/>
      <c r="AK506" s="272">
        <f>IFERROR(IF(VLOOKUP(功能_33[[#This Row],[功能代號]],E:U,11,FALSE)=0,"",VLOOKUP(功能_33[[#This Row],[功能代號]],E:U,11,FALSE)),"")</f>
        <v>44517</v>
      </c>
      <c r="AL506" s="272"/>
      <c r="AM506" s="272"/>
      <c r="AN506" s="265"/>
      <c r="AP506" s="264" t="s">
        <v>2680</v>
      </c>
      <c r="AQ506" s="265" t="s">
        <v>2790</v>
      </c>
      <c r="AR506" s="594" t="s">
        <v>3138</v>
      </c>
      <c r="AS506" s="483" t="str">
        <f>IF(COUNTA(AG506)=1,LEFT(D506,3),"")</f>
        <v>8-3</v>
      </c>
      <c r="AT506" s="485" t="str">
        <f>IF(AND(COUNTA(O506)=1,COUNTA(P506)=1,COUNTA(AC506)=1,COUNTA(AF506)=1,COUNTA(AG506)=0),LEFT(D506,3),"")</f>
        <v/>
      </c>
      <c r="AU506" s="487" t="str">
        <f>IF(AND(COUNTA(O506)=1,COUNTA(P506)=1,COUNTA(AC506)=1,COUNTA(AF506)=0,COUNTA(AG506)=0),LEFT(D506,3),"")</f>
        <v/>
      </c>
      <c r="AV506" s="489" t="str">
        <f>IF(AND(COUNTA(P506)=0,COUNTA(AC506)=1),LEFT(D506,3),"")</f>
        <v/>
      </c>
      <c r="AW506" s="491" t="str">
        <f>IF(AND(COUNTA(P506)=1,COUNTA(AC506)=0),LEFT(D506,3),"")</f>
        <v/>
      </c>
      <c r="AX506" s="493" t="str">
        <f>IF(AND(COUNTA(P506)=0,COUNTA(AC506)=0),LEFT(D506,3),"")</f>
        <v/>
      </c>
      <c r="AY506" s="514" t="str">
        <f>IFERROR(VLOOKUP(功能_33[[#This Row],[功能代號]],SIT_FT_2021tmp!D:D,1,FALSE),"")</f>
        <v/>
      </c>
      <c r="AZ506" s="587">
        <v>44603</v>
      </c>
      <c r="BB506" s="514"/>
      <c r="BC506" s="265" t="s">
        <v>2453</v>
      </c>
      <c r="BD506" s="594"/>
      <c r="BE506" s="265" t="str">
        <f>IF(AND(COUNTIF(AY506,"&gt;&lt;0")=1,COUNTA(M506)=1),LEFT(D506,3),"")</f>
        <v/>
      </c>
      <c r="BF506" s="265" t="str">
        <f>IF(AND(COUNTIF(AY506,"&gt;&lt;")=1,COUNTA(M506)=0),LEFT(D506,3),"")</f>
        <v/>
      </c>
      <c r="BG506" s="265" t="str">
        <f>IF(AND(COUNTIF(AY506,"&gt;&lt;0")=0,COUNTA(M506)=1),LEFT(D506,3),"")</f>
        <v>8-3</v>
      </c>
      <c r="BH506" s="265" t="str">
        <f>IF(AND(COUNTIF(AY506,"&gt;&lt;0")=0,COUNTA(M506)=0),LEFT(D506,3),"")</f>
        <v/>
      </c>
    </row>
    <row r="507" spans="3:60" ht="27" x14ac:dyDescent="0.3">
      <c r="C507" s="265" t="s">
        <v>72</v>
      </c>
      <c r="D507" s="265" t="s">
        <v>2477</v>
      </c>
      <c r="E507" s="264" t="s">
        <v>1272</v>
      </c>
      <c r="F507" s="265" t="s">
        <v>1273</v>
      </c>
      <c r="G507" s="265" t="s">
        <v>1105</v>
      </c>
      <c r="H507" s="264" t="s">
        <v>110</v>
      </c>
      <c r="I507" s="264" t="s">
        <v>110</v>
      </c>
      <c r="J507" s="271" t="s">
        <v>3238</v>
      </c>
      <c r="K507" s="638" t="s">
        <v>3239</v>
      </c>
      <c r="L507" s="272">
        <v>44575</v>
      </c>
      <c r="M507" s="272">
        <v>44580</v>
      </c>
      <c r="N507" s="272">
        <v>44515</v>
      </c>
      <c r="O507" s="272">
        <v>44517</v>
      </c>
      <c r="P507" s="272">
        <v>44536</v>
      </c>
      <c r="Q507" s="264" t="s">
        <v>1</v>
      </c>
      <c r="R507" s="264" t="s">
        <v>16</v>
      </c>
      <c r="S507" s="264" t="s">
        <v>16</v>
      </c>
      <c r="X507" s="264"/>
      <c r="Z507" s="264"/>
      <c r="AA507" s="264"/>
      <c r="AB507" s="265" t="str">
        <f>VLOOKUP(功能_33[[#This Row],[User]],SKL放款!A:G,7,FALSE)</f>
        <v>放款管理課</v>
      </c>
      <c r="AC507" s="272">
        <v>44533</v>
      </c>
      <c r="AD507" s="272" t="s">
        <v>168</v>
      </c>
      <c r="AE507" s="272">
        <v>44540</v>
      </c>
      <c r="AF507" s="272">
        <v>44540</v>
      </c>
      <c r="AG507" s="209" t="s">
        <v>2971</v>
      </c>
      <c r="AH507" s="272"/>
      <c r="AI507" s="272"/>
      <c r="AJ507" s="322"/>
      <c r="AK507" s="272">
        <f>IFERROR(IF(VLOOKUP(功能_33[[#This Row],[功能代號]],E:U,11,FALSE)=0,"",VLOOKUP(功能_33[[#This Row],[功能代號]],E:U,11,FALSE)),"")</f>
        <v>44517</v>
      </c>
      <c r="AL507" s="272"/>
      <c r="AM507" s="272"/>
      <c r="AN507" s="265"/>
      <c r="AP507" s="264" t="s">
        <v>2680</v>
      </c>
      <c r="AQ507" s="265" t="s">
        <v>2790</v>
      </c>
      <c r="AR507" s="594" t="s">
        <v>3138</v>
      </c>
      <c r="AS507" s="483" t="str">
        <f>IF(COUNTA(AG507)=1,LEFT(D507,3),"")</f>
        <v>8-3</v>
      </c>
      <c r="AT507" s="485" t="str">
        <f>IF(AND(COUNTA(O507)=1,COUNTA(P507)=1,COUNTA(AC507)=1,COUNTA(AF507)=1,COUNTA(AG507)=0),LEFT(D507,3),"")</f>
        <v/>
      </c>
      <c r="AU507" s="487" t="str">
        <f>IF(AND(COUNTA(O507)=1,COUNTA(P507)=1,COUNTA(AC507)=1,COUNTA(AF507)=0,COUNTA(AG507)=0),LEFT(D507,3),"")</f>
        <v/>
      </c>
      <c r="AV507" s="489" t="str">
        <f>IF(AND(COUNTA(P507)=0,COUNTA(AC507)=1),LEFT(D507,3),"")</f>
        <v/>
      </c>
      <c r="AW507" s="491" t="str">
        <f>IF(AND(COUNTA(P507)=1,COUNTA(AC507)=0),LEFT(D507,3),"")</f>
        <v/>
      </c>
      <c r="AX507" s="493" t="str">
        <f>IF(AND(COUNTA(P507)=0,COUNTA(AC507)=0),LEFT(D507,3),"")</f>
        <v/>
      </c>
      <c r="AY507" s="514" t="str">
        <f>IFERROR(VLOOKUP(功能_33[[#This Row],[功能代號]],SIT_FT_2021tmp!D:D,1,FALSE),"")</f>
        <v/>
      </c>
      <c r="AZ507" s="587">
        <v>44603</v>
      </c>
      <c r="BB507" s="514"/>
      <c r="BC507" s="265" t="s">
        <v>2453</v>
      </c>
      <c r="BD507" s="594"/>
      <c r="BE507" s="265" t="str">
        <f>IF(AND(COUNTIF(AY507,"&gt;&lt;0")=1,COUNTA(M507)=1),LEFT(D507,3),"")</f>
        <v/>
      </c>
      <c r="BF507" s="265" t="str">
        <f>IF(AND(COUNTIF(AY507,"&gt;&lt;")=1,COUNTA(M507)=0),LEFT(D507,3),"")</f>
        <v/>
      </c>
      <c r="BG507" s="265" t="str">
        <f>IF(AND(COUNTIF(AY507,"&gt;&lt;0")=0,COUNTA(M507)=1),LEFT(D507,3),"")</f>
        <v>8-3</v>
      </c>
      <c r="BH507" s="265" t="str">
        <f>IF(AND(COUNTIF(AY507,"&gt;&lt;0")=0,COUNTA(M507)=0),LEFT(D507,3),"")</f>
        <v/>
      </c>
    </row>
    <row r="508" spans="3:60" ht="27" x14ac:dyDescent="0.3">
      <c r="C508" s="265" t="s">
        <v>72</v>
      </c>
      <c r="D508" s="265" t="s">
        <v>2477</v>
      </c>
      <c r="E508" s="264" t="s">
        <v>1274</v>
      </c>
      <c r="F508" s="265" t="s">
        <v>1275</v>
      </c>
      <c r="G508" s="265" t="s">
        <v>1105</v>
      </c>
      <c r="H508" s="264" t="s">
        <v>110</v>
      </c>
      <c r="I508" s="264" t="s">
        <v>110</v>
      </c>
      <c r="J508" s="271" t="s">
        <v>3238</v>
      </c>
      <c r="K508" s="638" t="s">
        <v>3239</v>
      </c>
      <c r="L508" s="272">
        <v>44575</v>
      </c>
      <c r="M508" s="272">
        <v>44580</v>
      </c>
      <c r="N508" s="272">
        <v>44516</v>
      </c>
      <c r="O508" s="272">
        <v>44517</v>
      </c>
      <c r="P508" s="272">
        <v>44536</v>
      </c>
      <c r="Q508" s="264" t="s">
        <v>1</v>
      </c>
      <c r="R508" s="264" t="s">
        <v>16</v>
      </c>
      <c r="S508" s="264" t="s">
        <v>16</v>
      </c>
      <c r="X508" s="264"/>
      <c r="Z508" s="264"/>
      <c r="AA508" s="264"/>
      <c r="AB508" s="265" t="str">
        <f>VLOOKUP(功能_33[[#This Row],[User]],SKL放款!A:G,7,FALSE)</f>
        <v>放款管理課</v>
      </c>
      <c r="AC508" s="272">
        <v>44533</v>
      </c>
      <c r="AD508" s="272" t="s">
        <v>168</v>
      </c>
      <c r="AE508" s="272">
        <v>44540</v>
      </c>
      <c r="AF508" s="272">
        <v>44540</v>
      </c>
      <c r="AG508" s="209" t="s">
        <v>2971</v>
      </c>
      <c r="AH508" s="272"/>
      <c r="AI508" s="272"/>
      <c r="AJ508" s="322"/>
      <c r="AK508" s="272">
        <f>IFERROR(IF(VLOOKUP(功能_33[[#This Row],[功能代號]],E:U,11,FALSE)=0,"",VLOOKUP(功能_33[[#This Row],[功能代號]],E:U,11,FALSE)),"")</f>
        <v>44517</v>
      </c>
      <c r="AL508" s="272"/>
      <c r="AM508" s="272"/>
      <c r="AN508" s="265"/>
      <c r="AP508" s="264" t="s">
        <v>2680</v>
      </c>
      <c r="AQ508" s="265" t="s">
        <v>2790</v>
      </c>
      <c r="AR508" s="594" t="s">
        <v>3138</v>
      </c>
      <c r="AS508" s="483" t="str">
        <f>IF(COUNTA(AG508)=1,LEFT(D508,3),"")</f>
        <v>8-3</v>
      </c>
      <c r="AT508" s="485" t="str">
        <f>IF(AND(COUNTA(O508)=1,COUNTA(P508)=1,COUNTA(AC508)=1,COUNTA(AF508)=1,COUNTA(AG508)=0),LEFT(D508,3),"")</f>
        <v/>
      </c>
      <c r="AU508" s="487" t="str">
        <f>IF(AND(COUNTA(O508)=1,COUNTA(P508)=1,COUNTA(AC508)=1,COUNTA(AF508)=0,COUNTA(AG508)=0),LEFT(D508,3),"")</f>
        <v/>
      </c>
      <c r="AV508" s="489" t="str">
        <f>IF(AND(COUNTA(P508)=0,COUNTA(AC508)=1),LEFT(D508,3),"")</f>
        <v/>
      </c>
      <c r="AW508" s="491" t="str">
        <f>IF(AND(COUNTA(P508)=1,COUNTA(AC508)=0),LEFT(D508,3),"")</f>
        <v/>
      </c>
      <c r="AX508" s="493" t="str">
        <f>IF(AND(COUNTA(P508)=0,COUNTA(AC508)=0),LEFT(D508,3),"")</f>
        <v/>
      </c>
      <c r="AY508" s="514" t="str">
        <f>IFERROR(VLOOKUP(功能_33[[#This Row],[功能代號]],SIT_FT_2021tmp!D:D,1,FALSE),"")</f>
        <v/>
      </c>
      <c r="AZ508" s="587">
        <v>44603</v>
      </c>
      <c r="BB508" s="514"/>
      <c r="BC508" s="265" t="s">
        <v>2453</v>
      </c>
      <c r="BD508" s="594"/>
      <c r="BE508" s="265" t="str">
        <f>IF(AND(COUNTIF(AY508,"&gt;&lt;0")=1,COUNTA(M508)=1),LEFT(D508,3),"")</f>
        <v/>
      </c>
      <c r="BF508" s="265" t="str">
        <f>IF(AND(COUNTIF(AY508,"&gt;&lt;")=1,COUNTA(M508)=0),LEFT(D508,3),"")</f>
        <v/>
      </c>
      <c r="BG508" s="265" t="str">
        <f>IF(AND(COUNTIF(AY508,"&gt;&lt;0")=0,COUNTA(M508)=1),LEFT(D508,3),"")</f>
        <v>8-3</v>
      </c>
      <c r="BH508" s="265" t="str">
        <f>IF(AND(COUNTIF(AY508,"&gt;&lt;0")=0,COUNTA(M508)=0),LEFT(D508,3),"")</f>
        <v/>
      </c>
    </row>
    <row r="509" spans="3:60" ht="27" x14ac:dyDescent="0.3">
      <c r="C509" s="265" t="s">
        <v>72</v>
      </c>
      <c r="D509" s="265" t="s">
        <v>2477</v>
      </c>
      <c r="E509" s="264" t="s">
        <v>1276</v>
      </c>
      <c r="F509" s="265" t="s">
        <v>1277</v>
      </c>
      <c r="G509" s="265" t="s">
        <v>1105</v>
      </c>
      <c r="H509" s="264" t="s">
        <v>110</v>
      </c>
      <c r="I509" s="264" t="s">
        <v>110</v>
      </c>
      <c r="J509" s="271" t="s">
        <v>3238</v>
      </c>
      <c r="K509" s="638" t="s">
        <v>3239</v>
      </c>
      <c r="L509" s="272">
        <v>44575</v>
      </c>
      <c r="M509" s="272">
        <v>44580</v>
      </c>
      <c r="N509" s="272">
        <v>44516</v>
      </c>
      <c r="O509" s="272">
        <v>44517</v>
      </c>
      <c r="P509" s="272">
        <v>44536</v>
      </c>
      <c r="Q509" s="264" t="s">
        <v>1</v>
      </c>
      <c r="R509" s="264" t="s">
        <v>16</v>
      </c>
      <c r="S509" s="264" t="s">
        <v>16</v>
      </c>
      <c r="X509" s="264"/>
      <c r="Z509" s="264"/>
      <c r="AA509" s="264"/>
      <c r="AB509" s="265" t="str">
        <f>VLOOKUP(功能_33[[#This Row],[User]],SKL放款!A:G,7,FALSE)</f>
        <v>放款管理課</v>
      </c>
      <c r="AC509" s="272">
        <v>44533</v>
      </c>
      <c r="AD509" s="272" t="s">
        <v>168</v>
      </c>
      <c r="AE509" s="272">
        <v>44540</v>
      </c>
      <c r="AF509" s="272">
        <v>44540</v>
      </c>
      <c r="AG509" s="209" t="s">
        <v>2971</v>
      </c>
      <c r="AH509" s="272"/>
      <c r="AI509" s="272"/>
      <c r="AJ509" s="322"/>
      <c r="AK509" s="272">
        <f>IFERROR(IF(VLOOKUP(功能_33[[#This Row],[功能代號]],E:U,11,FALSE)=0,"",VLOOKUP(功能_33[[#This Row],[功能代號]],E:U,11,FALSE)),"")</f>
        <v>44517</v>
      </c>
      <c r="AL509" s="272"/>
      <c r="AM509" s="272"/>
      <c r="AN509" s="265"/>
      <c r="AP509" s="264" t="s">
        <v>2680</v>
      </c>
      <c r="AQ509" s="265" t="s">
        <v>2790</v>
      </c>
      <c r="AR509" s="594" t="s">
        <v>3138</v>
      </c>
      <c r="AS509" s="483" t="str">
        <f>IF(COUNTA(AG509)=1,LEFT(D509,3),"")</f>
        <v>8-3</v>
      </c>
      <c r="AT509" s="485" t="str">
        <f>IF(AND(COUNTA(O509)=1,COUNTA(P509)=1,COUNTA(AC509)=1,COUNTA(AF509)=1,COUNTA(AG509)=0),LEFT(D509,3),"")</f>
        <v/>
      </c>
      <c r="AU509" s="487" t="str">
        <f>IF(AND(COUNTA(O509)=1,COUNTA(P509)=1,COUNTA(AC509)=1,COUNTA(AF509)=0,COUNTA(AG509)=0),LEFT(D509,3),"")</f>
        <v/>
      </c>
      <c r="AV509" s="489" t="str">
        <f>IF(AND(COUNTA(P509)=0,COUNTA(AC509)=1),LEFT(D509,3),"")</f>
        <v/>
      </c>
      <c r="AW509" s="491" t="str">
        <f>IF(AND(COUNTA(P509)=1,COUNTA(AC509)=0),LEFT(D509,3),"")</f>
        <v/>
      </c>
      <c r="AX509" s="493" t="str">
        <f>IF(AND(COUNTA(P509)=0,COUNTA(AC509)=0),LEFT(D509,3),"")</f>
        <v/>
      </c>
      <c r="AY509" s="514" t="str">
        <f>IFERROR(VLOOKUP(功能_33[[#This Row],[功能代號]],SIT_FT_2021tmp!D:D,1,FALSE),"")</f>
        <v/>
      </c>
      <c r="AZ509" s="587">
        <v>44603</v>
      </c>
      <c r="BB509" s="514"/>
      <c r="BC509" s="265" t="s">
        <v>2453</v>
      </c>
      <c r="BD509" s="594"/>
      <c r="BE509" s="265" t="str">
        <f>IF(AND(COUNTIF(AY509,"&gt;&lt;0")=1,COUNTA(M509)=1),LEFT(D509,3),"")</f>
        <v/>
      </c>
      <c r="BF509" s="265" t="str">
        <f>IF(AND(COUNTIF(AY509,"&gt;&lt;")=1,COUNTA(M509)=0),LEFT(D509,3),"")</f>
        <v/>
      </c>
      <c r="BG509" s="265" t="str">
        <f>IF(AND(COUNTIF(AY509,"&gt;&lt;0")=0,COUNTA(M509)=1),LEFT(D509,3),"")</f>
        <v>8-3</v>
      </c>
      <c r="BH509" s="265" t="str">
        <f>IF(AND(COUNTIF(AY509,"&gt;&lt;0")=0,COUNTA(M509)=0),LEFT(D509,3),"")</f>
        <v/>
      </c>
    </row>
    <row r="510" spans="3:60" ht="27" x14ac:dyDescent="0.3">
      <c r="C510" s="265" t="s">
        <v>72</v>
      </c>
      <c r="D510" s="265" t="s">
        <v>2477</v>
      </c>
      <c r="E510" s="264" t="s">
        <v>1278</v>
      </c>
      <c r="F510" s="265" t="s">
        <v>1279</v>
      </c>
      <c r="G510" s="265" t="s">
        <v>1105</v>
      </c>
      <c r="H510" s="264" t="s">
        <v>110</v>
      </c>
      <c r="I510" s="264" t="s">
        <v>110</v>
      </c>
      <c r="J510" s="271" t="s">
        <v>3238</v>
      </c>
      <c r="K510" s="638" t="s">
        <v>3239</v>
      </c>
      <c r="L510" s="272">
        <v>44575</v>
      </c>
      <c r="M510" s="272">
        <v>44580</v>
      </c>
      <c r="N510" s="272">
        <v>44516</v>
      </c>
      <c r="O510" s="272">
        <v>44517</v>
      </c>
      <c r="P510" s="272">
        <v>44536</v>
      </c>
      <c r="Q510" s="264" t="s">
        <v>1</v>
      </c>
      <c r="R510" s="264" t="s">
        <v>16</v>
      </c>
      <c r="S510" s="264" t="s">
        <v>16</v>
      </c>
      <c r="X510" s="264"/>
      <c r="Z510" s="264"/>
      <c r="AA510" s="264"/>
      <c r="AB510" s="265" t="str">
        <f>VLOOKUP(功能_33[[#This Row],[User]],SKL放款!A:G,7,FALSE)</f>
        <v>放款管理課</v>
      </c>
      <c r="AC510" s="272">
        <v>44533</v>
      </c>
      <c r="AD510" s="272" t="s">
        <v>168</v>
      </c>
      <c r="AE510" s="272">
        <v>44540</v>
      </c>
      <c r="AF510" s="272">
        <v>44540</v>
      </c>
      <c r="AG510" s="209" t="s">
        <v>2971</v>
      </c>
      <c r="AH510" s="272"/>
      <c r="AI510" s="272"/>
      <c r="AJ510" s="322"/>
      <c r="AK510" s="272">
        <f>IFERROR(IF(VLOOKUP(功能_33[[#This Row],[功能代號]],E:U,11,FALSE)=0,"",VLOOKUP(功能_33[[#This Row],[功能代號]],E:U,11,FALSE)),"")</f>
        <v>44517</v>
      </c>
      <c r="AL510" s="272"/>
      <c r="AM510" s="272"/>
      <c r="AN510" s="265"/>
      <c r="AP510" s="264" t="s">
        <v>2680</v>
      </c>
      <c r="AQ510" s="265" t="s">
        <v>2790</v>
      </c>
      <c r="AR510" s="594" t="s">
        <v>3138</v>
      </c>
      <c r="AS510" s="483" t="str">
        <f>IF(COUNTA(AG510)=1,LEFT(D510,3),"")</f>
        <v>8-3</v>
      </c>
      <c r="AT510" s="485" t="str">
        <f>IF(AND(COUNTA(O510)=1,COUNTA(P510)=1,COUNTA(AC510)=1,COUNTA(AF510)=1,COUNTA(AG510)=0),LEFT(D510,3),"")</f>
        <v/>
      </c>
      <c r="AU510" s="487" t="str">
        <f>IF(AND(COUNTA(O510)=1,COUNTA(P510)=1,COUNTA(AC510)=1,COUNTA(AF510)=0,COUNTA(AG510)=0),LEFT(D510,3),"")</f>
        <v/>
      </c>
      <c r="AV510" s="489" t="str">
        <f>IF(AND(COUNTA(P510)=0,COUNTA(AC510)=1),LEFT(D510,3),"")</f>
        <v/>
      </c>
      <c r="AW510" s="491" t="str">
        <f>IF(AND(COUNTA(P510)=1,COUNTA(AC510)=0),LEFT(D510,3),"")</f>
        <v/>
      </c>
      <c r="AX510" s="493" t="str">
        <f>IF(AND(COUNTA(P510)=0,COUNTA(AC510)=0),LEFT(D510,3),"")</f>
        <v/>
      </c>
      <c r="AY510" s="514" t="str">
        <f>IFERROR(VLOOKUP(功能_33[[#This Row],[功能代號]],SIT_FT_2021tmp!D:D,1,FALSE),"")</f>
        <v/>
      </c>
      <c r="AZ510" s="587">
        <v>44603</v>
      </c>
      <c r="BB510" s="514"/>
      <c r="BC510" s="265" t="s">
        <v>2453</v>
      </c>
      <c r="BD510" s="594"/>
      <c r="BE510" s="265" t="str">
        <f>IF(AND(COUNTIF(AY510,"&gt;&lt;0")=1,COUNTA(M510)=1),LEFT(D510,3),"")</f>
        <v/>
      </c>
      <c r="BF510" s="265" t="str">
        <f>IF(AND(COUNTIF(AY510,"&gt;&lt;")=1,COUNTA(M510)=0),LEFT(D510,3),"")</f>
        <v/>
      </c>
      <c r="BG510" s="265" t="str">
        <f>IF(AND(COUNTIF(AY510,"&gt;&lt;0")=0,COUNTA(M510)=1),LEFT(D510,3),"")</f>
        <v>8-3</v>
      </c>
      <c r="BH510" s="265" t="str">
        <f>IF(AND(COUNTIF(AY510,"&gt;&lt;0")=0,COUNTA(M510)=0),LEFT(D510,3),"")</f>
        <v/>
      </c>
    </row>
    <row r="511" spans="3:60" ht="27" x14ac:dyDescent="0.3">
      <c r="C511" s="265" t="s">
        <v>72</v>
      </c>
      <c r="D511" s="265" t="s">
        <v>2477</v>
      </c>
      <c r="E511" s="264" t="s">
        <v>1280</v>
      </c>
      <c r="F511" s="265" t="s">
        <v>1281</v>
      </c>
      <c r="G511" s="265" t="s">
        <v>1105</v>
      </c>
      <c r="H511" s="264" t="s">
        <v>110</v>
      </c>
      <c r="I511" s="264" t="s">
        <v>110</v>
      </c>
      <c r="J511" s="271" t="s">
        <v>3238</v>
      </c>
      <c r="K511" s="638" t="s">
        <v>3239</v>
      </c>
      <c r="L511" s="272">
        <v>44575</v>
      </c>
      <c r="M511" s="272">
        <v>44580</v>
      </c>
      <c r="N511" s="272">
        <v>44516</v>
      </c>
      <c r="O511" s="272">
        <v>44517</v>
      </c>
      <c r="P511" s="272">
        <v>44536</v>
      </c>
      <c r="Q511" s="264" t="s">
        <v>1</v>
      </c>
      <c r="R511" s="264" t="s">
        <v>16</v>
      </c>
      <c r="S511" s="264" t="s">
        <v>16</v>
      </c>
      <c r="X511" s="264"/>
      <c r="Z511" s="264"/>
      <c r="AA511" s="264"/>
      <c r="AB511" s="265" t="str">
        <f>VLOOKUP(功能_33[[#This Row],[User]],SKL放款!A:G,7,FALSE)</f>
        <v>放款管理課</v>
      </c>
      <c r="AC511" s="272">
        <v>44533</v>
      </c>
      <c r="AD511" s="272" t="s">
        <v>168</v>
      </c>
      <c r="AE511" s="272">
        <v>44540</v>
      </c>
      <c r="AF511" s="272">
        <v>44540</v>
      </c>
      <c r="AG511" s="209" t="s">
        <v>2971</v>
      </c>
      <c r="AH511" s="272"/>
      <c r="AI511" s="272"/>
      <c r="AJ511" s="322"/>
      <c r="AK511" s="272">
        <f>IFERROR(IF(VLOOKUP(功能_33[[#This Row],[功能代號]],E:U,11,FALSE)=0,"",VLOOKUP(功能_33[[#This Row],[功能代號]],E:U,11,FALSE)),"")</f>
        <v>44517</v>
      </c>
      <c r="AL511" s="272"/>
      <c r="AM511" s="272"/>
      <c r="AN511" s="265"/>
      <c r="AP511" s="264" t="s">
        <v>2680</v>
      </c>
      <c r="AQ511" s="265" t="s">
        <v>2790</v>
      </c>
      <c r="AR511" s="594" t="s">
        <v>3138</v>
      </c>
      <c r="AS511" s="483" t="str">
        <f>IF(COUNTA(AG511)=1,LEFT(D511,3),"")</f>
        <v>8-3</v>
      </c>
      <c r="AT511" s="485" t="str">
        <f>IF(AND(COUNTA(O511)=1,COUNTA(P511)=1,COUNTA(AC511)=1,COUNTA(AF511)=1,COUNTA(AG511)=0),LEFT(D511,3),"")</f>
        <v/>
      </c>
      <c r="AU511" s="487" t="str">
        <f>IF(AND(COUNTA(O511)=1,COUNTA(P511)=1,COUNTA(AC511)=1,COUNTA(AF511)=0,COUNTA(AG511)=0),LEFT(D511,3),"")</f>
        <v/>
      </c>
      <c r="AV511" s="489" t="str">
        <f>IF(AND(COUNTA(P511)=0,COUNTA(AC511)=1),LEFT(D511,3),"")</f>
        <v/>
      </c>
      <c r="AW511" s="491" t="str">
        <f>IF(AND(COUNTA(P511)=1,COUNTA(AC511)=0),LEFT(D511,3),"")</f>
        <v/>
      </c>
      <c r="AX511" s="493" t="str">
        <f>IF(AND(COUNTA(P511)=0,COUNTA(AC511)=0),LEFT(D511,3),"")</f>
        <v/>
      </c>
      <c r="AY511" s="514" t="str">
        <f>IFERROR(VLOOKUP(功能_33[[#This Row],[功能代號]],SIT_FT_2021tmp!D:D,1,FALSE),"")</f>
        <v/>
      </c>
      <c r="AZ511" s="587">
        <v>44603</v>
      </c>
      <c r="BB511" s="514"/>
      <c r="BC511" s="265" t="s">
        <v>2453</v>
      </c>
      <c r="BD511" s="594"/>
      <c r="BE511" s="265" t="str">
        <f>IF(AND(COUNTIF(AY511,"&gt;&lt;0")=1,COUNTA(M511)=1),LEFT(D511,3),"")</f>
        <v/>
      </c>
      <c r="BF511" s="265" t="str">
        <f>IF(AND(COUNTIF(AY511,"&gt;&lt;")=1,COUNTA(M511)=0),LEFT(D511,3),"")</f>
        <v/>
      </c>
      <c r="BG511" s="265" t="str">
        <f>IF(AND(COUNTIF(AY511,"&gt;&lt;0")=0,COUNTA(M511)=1),LEFT(D511,3),"")</f>
        <v>8-3</v>
      </c>
      <c r="BH511" s="265" t="str">
        <f>IF(AND(COUNTIF(AY511,"&gt;&lt;0")=0,COUNTA(M511)=0),LEFT(D511,3),"")</f>
        <v/>
      </c>
    </row>
    <row r="512" spans="3:60" ht="27" x14ac:dyDescent="0.3">
      <c r="C512" s="265" t="s">
        <v>72</v>
      </c>
      <c r="D512" s="265" t="s">
        <v>2477</v>
      </c>
      <c r="E512" s="264" t="s">
        <v>1282</v>
      </c>
      <c r="F512" s="265" t="s">
        <v>1283</v>
      </c>
      <c r="G512" s="265" t="s">
        <v>1105</v>
      </c>
      <c r="H512" s="264" t="s">
        <v>110</v>
      </c>
      <c r="I512" s="264" t="s">
        <v>110</v>
      </c>
      <c r="J512" s="271" t="s">
        <v>3238</v>
      </c>
      <c r="K512" s="638" t="s">
        <v>3239</v>
      </c>
      <c r="L512" s="272">
        <v>44575</v>
      </c>
      <c r="M512" s="272">
        <v>44580</v>
      </c>
      <c r="N512" s="272">
        <v>44516</v>
      </c>
      <c r="O512" s="272">
        <v>44517</v>
      </c>
      <c r="P512" s="272">
        <v>44536</v>
      </c>
      <c r="Q512" s="264" t="s">
        <v>1</v>
      </c>
      <c r="R512" s="264" t="s">
        <v>16</v>
      </c>
      <c r="S512" s="264" t="s">
        <v>16</v>
      </c>
      <c r="X512" s="264"/>
      <c r="Z512" s="264"/>
      <c r="AA512" s="264"/>
      <c r="AB512" s="265" t="str">
        <f>VLOOKUP(功能_33[[#This Row],[User]],SKL放款!A:G,7,FALSE)</f>
        <v>放款管理課</v>
      </c>
      <c r="AC512" s="272">
        <v>44533</v>
      </c>
      <c r="AD512" s="272" t="s">
        <v>168</v>
      </c>
      <c r="AE512" s="272">
        <v>44540</v>
      </c>
      <c r="AF512" s="272">
        <v>44540</v>
      </c>
      <c r="AG512" s="209" t="s">
        <v>2971</v>
      </c>
      <c r="AH512" s="272"/>
      <c r="AI512" s="272"/>
      <c r="AJ512" s="322"/>
      <c r="AK512" s="272">
        <f>IFERROR(IF(VLOOKUP(功能_33[[#This Row],[功能代號]],E:U,11,FALSE)=0,"",VLOOKUP(功能_33[[#This Row],[功能代號]],E:U,11,FALSE)),"")</f>
        <v>44517</v>
      </c>
      <c r="AL512" s="272"/>
      <c r="AM512" s="272"/>
      <c r="AN512" s="265"/>
      <c r="AP512" s="264" t="s">
        <v>2680</v>
      </c>
      <c r="AQ512" s="265" t="s">
        <v>2790</v>
      </c>
      <c r="AR512" s="594" t="s">
        <v>3138</v>
      </c>
      <c r="AS512" s="483" t="str">
        <f>IF(COUNTA(AG512)=1,LEFT(D512,3),"")</f>
        <v>8-3</v>
      </c>
      <c r="AT512" s="485" t="str">
        <f>IF(AND(COUNTA(O512)=1,COUNTA(P512)=1,COUNTA(AC512)=1,COUNTA(AF512)=1,COUNTA(AG512)=0),LEFT(D512,3),"")</f>
        <v/>
      </c>
      <c r="AU512" s="487" t="str">
        <f>IF(AND(COUNTA(O512)=1,COUNTA(P512)=1,COUNTA(AC512)=1,COUNTA(AF512)=0,COUNTA(AG512)=0),LEFT(D512,3),"")</f>
        <v/>
      </c>
      <c r="AV512" s="489" t="str">
        <f>IF(AND(COUNTA(P512)=0,COUNTA(AC512)=1),LEFT(D512,3),"")</f>
        <v/>
      </c>
      <c r="AW512" s="491" t="str">
        <f>IF(AND(COUNTA(P512)=1,COUNTA(AC512)=0),LEFT(D512,3),"")</f>
        <v/>
      </c>
      <c r="AX512" s="493" t="str">
        <f>IF(AND(COUNTA(P512)=0,COUNTA(AC512)=0),LEFT(D512,3),"")</f>
        <v/>
      </c>
      <c r="AY512" s="514" t="str">
        <f>IFERROR(VLOOKUP(功能_33[[#This Row],[功能代號]],SIT_FT_2021tmp!D:D,1,FALSE),"")</f>
        <v/>
      </c>
      <c r="AZ512" s="587">
        <v>44603</v>
      </c>
      <c r="BB512" s="514"/>
      <c r="BC512" s="265" t="s">
        <v>2453</v>
      </c>
      <c r="BD512" s="594"/>
      <c r="BE512" s="265" t="str">
        <f>IF(AND(COUNTIF(AY512,"&gt;&lt;0")=1,COUNTA(M512)=1),LEFT(D512,3),"")</f>
        <v/>
      </c>
      <c r="BF512" s="265" t="str">
        <f>IF(AND(COUNTIF(AY512,"&gt;&lt;")=1,COUNTA(M512)=0),LEFT(D512,3),"")</f>
        <v/>
      </c>
      <c r="BG512" s="265" t="str">
        <f>IF(AND(COUNTIF(AY512,"&gt;&lt;0")=0,COUNTA(M512)=1),LEFT(D512,3),"")</f>
        <v>8-3</v>
      </c>
      <c r="BH512" s="265" t="str">
        <f>IF(AND(COUNTIF(AY512,"&gt;&lt;0")=0,COUNTA(M512)=0),LEFT(D512,3),"")</f>
        <v/>
      </c>
    </row>
    <row r="513" spans="3:60" ht="27" x14ac:dyDescent="0.3">
      <c r="C513" s="265" t="s">
        <v>72</v>
      </c>
      <c r="D513" s="265" t="s">
        <v>2477</v>
      </c>
      <c r="E513" s="264" t="s">
        <v>1284</v>
      </c>
      <c r="F513" s="265" t="s">
        <v>1285</v>
      </c>
      <c r="G513" s="265" t="s">
        <v>1105</v>
      </c>
      <c r="H513" s="264" t="s">
        <v>110</v>
      </c>
      <c r="I513" s="264" t="s">
        <v>110</v>
      </c>
      <c r="J513" s="271" t="s">
        <v>3238</v>
      </c>
      <c r="K513" s="638" t="s">
        <v>3239</v>
      </c>
      <c r="L513" s="272">
        <v>44575</v>
      </c>
      <c r="M513" s="272">
        <v>44580</v>
      </c>
      <c r="N513" s="272">
        <v>44516</v>
      </c>
      <c r="O513" s="272">
        <v>44517</v>
      </c>
      <c r="P513" s="272">
        <v>44536</v>
      </c>
      <c r="Q513" s="264" t="s">
        <v>1</v>
      </c>
      <c r="R513" s="264" t="s">
        <v>16</v>
      </c>
      <c r="S513" s="264" t="s">
        <v>16</v>
      </c>
      <c r="X513" s="264"/>
      <c r="Z513" s="264"/>
      <c r="AA513" s="264"/>
      <c r="AB513" s="265" t="str">
        <f>VLOOKUP(功能_33[[#This Row],[User]],SKL放款!A:G,7,FALSE)</f>
        <v>放款管理課</v>
      </c>
      <c r="AC513" s="272">
        <v>44533</v>
      </c>
      <c r="AD513" s="272" t="s">
        <v>168</v>
      </c>
      <c r="AE513" s="272">
        <v>44540</v>
      </c>
      <c r="AF513" s="272">
        <v>44540</v>
      </c>
      <c r="AG513" s="209" t="s">
        <v>2971</v>
      </c>
      <c r="AH513" s="272"/>
      <c r="AI513" s="272"/>
      <c r="AJ513" s="322"/>
      <c r="AK513" s="272">
        <f>IFERROR(IF(VLOOKUP(功能_33[[#This Row],[功能代號]],E:U,11,FALSE)=0,"",VLOOKUP(功能_33[[#This Row],[功能代號]],E:U,11,FALSE)),"")</f>
        <v>44517</v>
      </c>
      <c r="AL513" s="272"/>
      <c r="AM513" s="272"/>
      <c r="AN513" s="265"/>
      <c r="AP513" s="264" t="s">
        <v>2680</v>
      </c>
      <c r="AQ513" s="265" t="s">
        <v>2790</v>
      </c>
      <c r="AR513" s="594" t="s">
        <v>3138</v>
      </c>
      <c r="AS513" s="483" t="str">
        <f>IF(COUNTA(AG513)=1,LEFT(D513,3),"")</f>
        <v>8-3</v>
      </c>
      <c r="AT513" s="485" t="str">
        <f>IF(AND(COUNTA(O513)=1,COUNTA(P513)=1,COUNTA(AC513)=1,COUNTA(AF513)=1,COUNTA(AG513)=0),LEFT(D513,3),"")</f>
        <v/>
      </c>
      <c r="AU513" s="487" t="str">
        <f>IF(AND(COUNTA(O513)=1,COUNTA(P513)=1,COUNTA(AC513)=1,COUNTA(AF513)=0,COUNTA(AG513)=0),LEFT(D513,3),"")</f>
        <v/>
      </c>
      <c r="AV513" s="489" t="str">
        <f>IF(AND(COUNTA(P513)=0,COUNTA(AC513)=1),LEFT(D513,3),"")</f>
        <v/>
      </c>
      <c r="AW513" s="491" t="str">
        <f>IF(AND(COUNTA(P513)=1,COUNTA(AC513)=0),LEFT(D513,3),"")</f>
        <v/>
      </c>
      <c r="AX513" s="493" t="str">
        <f>IF(AND(COUNTA(P513)=0,COUNTA(AC513)=0),LEFT(D513,3),"")</f>
        <v/>
      </c>
      <c r="AY513" s="514" t="str">
        <f>IFERROR(VLOOKUP(功能_33[[#This Row],[功能代號]],SIT_FT_2021tmp!D:D,1,FALSE),"")</f>
        <v/>
      </c>
      <c r="AZ513" s="587">
        <v>44613</v>
      </c>
      <c r="BB513" s="514"/>
      <c r="BC513" s="265" t="s">
        <v>2453</v>
      </c>
      <c r="BD513" s="594"/>
      <c r="BE513" s="265" t="str">
        <f>IF(AND(COUNTIF(AY513,"&gt;&lt;0")=1,COUNTA(M513)=1),LEFT(D513,3),"")</f>
        <v/>
      </c>
      <c r="BF513" s="265" t="str">
        <f>IF(AND(COUNTIF(AY513,"&gt;&lt;")=1,COUNTA(M513)=0),LEFT(D513,3),"")</f>
        <v/>
      </c>
      <c r="BG513" s="265" t="str">
        <f>IF(AND(COUNTIF(AY513,"&gt;&lt;0")=0,COUNTA(M513)=1),LEFT(D513,3),"")</f>
        <v>8-3</v>
      </c>
      <c r="BH513" s="265" t="str">
        <f>IF(AND(COUNTIF(AY513,"&gt;&lt;0")=0,COUNTA(M513)=0),LEFT(D513,3),"")</f>
        <v/>
      </c>
    </row>
    <row r="514" spans="3:60" ht="27" x14ac:dyDescent="0.3">
      <c r="C514" s="265" t="s">
        <v>72</v>
      </c>
      <c r="D514" s="265" t="s">
        <v>2477</v>
      </c>
      <c r="E514" s="264" t="s">
        <v>1286</v>
      </c>
      <c r="F514" s="265" t="s">
        <v>1287</v>
      </c>
      <c r="G514" s="265" t="s">
        <v>1105</v>
      </c>
      <c r="H514" s="264" t="s">
        <v>110</v>
      </c>
      <c r="I514" s="264" t="s">
        <v>110</v>
      </c>
      <c r="J514" s="271" t="s">
        <v>3238</v>
      </c>
      <c r="K514" s="638" t="s">
        <v>3239</v>
      </c>
      <c r="L514" s="272">
        <v>44575</v>
      </c>
      <c r="M514" s="272">
        <v>44580</v>
      </c>
      <c r="N514" s="272">
        <v>44516</v>
      </c>
      <c r="O514" s="272">
        <v>44517</v>
      </c>
      <c r="P514" s="272">
        <v>44536</v>
      </c>
      <c r="Q514" s="264" t="s">
        <v>1</v>
      </c>
      <c r="R514" s="264" t="s">
        <v>16</v>
      </c>
      <c r="S514" s="264" t="s">
        <v>16</v>
      </c>
      <c r="X514" s="264"/>
      <c r="Z514" s="264"/>
      <c r="AA514" s="264"/>
      <c r="AB514" s="265" t="str">
        <f>VLOOKUP(功能_33[[#This Row],[User]],SKL放款!A:G,7,FALSE)</f>
        <v>放款管理課</v>
      </c>
      <c r="AC514" s="272">
        <v>44533</v>
      </c>
      <c r="AD514" s="272" t="s">
        <v>168</v>
      </c>
      <c r="AE514" s="272">
        <v>44540</v>
      </c>
      <c r="AF514" s="272">
        <v>44540</v>
      </c>
      <c r="AG514" s="209" t="s">
        <v>2971</v>
      </c>
      <c r="AH514" s="272"/>
      <c r="AI514" s="272"/>
      <c r="AJ514" s="322"/>
      <c r="AK514" s="272">
        <f>IFERROR(IF(VLOOKUP(功能_33[[#This Row],[功能代號]],E:U,11,FALSE)=0,"",VLOOKUP(功能_33[[#This Row],[功能代號]],E:U,11,FALSE)),"")</f>
        <v>44517</v>
      </c>
      <c r="AL514" s="272"/>
      <c r="AM514" s="272"/>
      <c r="AN514" s="265"/>
      <c r="AP514" s="264" t="s">
        <v>2680</v>
      </c>
      <c r="AQ514" s="265" t="s">
        <v>2790</v>
      </c>
      <c r="AR514" s="594" t="s">
        <v>3138</v>
      </c>
      <c r="AS514" s="483" t="str">
        <f>IF(COUNTA(AG514)=1,LEFT(D514,3),"")</f>
        <v>8-3</v>
      </c>
      <c r="AT514" s="485" t="str">
        <f>IF(AND(COUNTA(O514)=1,COUNTA(P514)=1,COUNTA(AC514)=1,COUNTA(AF514)=1,COUNTA(AG514)=0),LEFT(D514,3),"")</f>
        <v/>
      </c>
      <c r="AU514" s="487" t="str">
        <f>IF(AND(COUNTA(O514)=1,COUNTA(P514)=1,COUNTA(AC514)=1,COUNTA(AF514)=0,COUNTA(AG514)=0),LEFT(D514,3),"")</f>
        <v/>
      </c>
      <c r="AV514" s="489" t="str">
        <f>IF(AND(COUNTA(P514)=0,COUNTA(AC514)=1),LEFT(D514,3),"")</f>
        <v/>
      </c>
      <c r="AW514" s="491" t="str">
        <f>IF(AND(COUNTA(P514)=1,COUNTA(AC514)=0),LEFT(D514,3),"")</f>
        <v/>
      </c>
      <c r="AX514" s="493" t="str">
        <f>IF(AND(COUNTA(P514)=0,COUNTA(AC514)=0),LEFT(D514,3),"")</f>
        <v/>
      </c>
      <c r="AY514" s="514" t="str">
        <f>IFERROR(VLOOKUP(功能_33[[#This Row],[功能代號]],SIT_FT_2021tmp!D:D,1,FALSE),"")</f>
        <v/>
      </c>
      <c r="AZ514" s="587">
        <v>44613</v>
      </c>
      <c r="BB514" s="514"/>
      <c r="BC514" s="265" t="s">
        <v>2453</v>
      </c>
      <c r="BD514" s="594"/>
      <c r="BE514" s="265" t="str">
        <f>IF(AND(COUNTIF(AY514,"&gt;&lt;0")=1,COUNTA(M514)=1),LEFT(D514,3),"")</f>
        <v/>
      </c>
      <c r="BF514" s="265" t="str">
        <f>IF(AND(COUNTIF(AY514,"&gt;&lt;")=1,COUNTA(M514)=0),LEFT(D514,3),"")</f>
        <v/>
      </c>
      <c r="BG514" s="265" t="str">
        <f>IF(AND(COUNTIF(AY514,"&gt;&lt;0")=0,COUNTA(M514)=1),LEFT(D514,3),"")</f>
        <v>8-3</v>
      </c>
      <c r="BH514" s="265" t="str">
        <f>IF(AND(COUNTIF(AY514,"&gt;&lt;0")=0,COUNTA(M514)=0),LEFT(D514,3),"")</f>
        <v/>
      </c>
    </row>
    <row r="515" spans="3:60" ht="27" x14ac:dyDescent="0.3">
      <c r="C515" s="265" t="s">
        <v>72</v>
      </c>
      <c r="D515" s="265" t="s">
        <v>2477</v>
      </c>
      <c r="E515" s="264" t="s">
        <v>1288</v>
      </c>
      <c r="F515" s="265" t="s">
        <v>1289</v>
      </c>
      <c r="G515" s="265" t="s">
        <v>1105</v>
      </c>
      <c r="H515" s="264" t="s">
        <v>110</v>
      </c>
      <c r="I515" s="264" t="s">
        <v>110</v>
      </c>
      <c r="J515" s="271" t="s">
        <v>3238</v>
      </c>
      <c r="K515" s="638" t="s">
        <v>3239</v>
      </c>
      <c r="L515" s="272">
        <v>44575</v>
      </c>
      <c r="M515" s="272">
        <v>44580</v>
      </c>
      <c r="N515" s="272">
        <v>44517</v>
      </c>
      <c r="O515" s="272">
        <v>44517</v>
      </c>
      <c r="P515" s="272">
        <v>44536</v>
      </c>
      <c r="Q515" s="264" t="s">
        <v>1</v>
      </c>
      <c r="R515" s="264" t="s">
        <v>16</v>
      </c>
      <c r="S515" s="264" t="s">
        <v>16</v>
      </c>
      <c r="X515" s="264"/>
      <c r="Z515" s="264"/>
      <c r="AA515" s="264"/>
      <c r="AB515" s="265" t="str">
        <f>VLOOKUP(功能_33[[#This Row],[User]],SKL放款!A:G,7,FALSE)</f>
        <v>放款管理課</v>
      </c>
      <c r="AC515" s="272">
        <v>44533</v>
      </c>
      <c r="AD515" s="272" t="s">
        <v>168</v>
      </c>
      <c r="AE515" s="272">
        <v>44540</v>
      </c>
      <c r="AF515" s="272">
        <v>44540</v>
      </c>
      <c r="AG515" s="209" t="s">
        <v>2971</v>
      </c>
      <c r="AH515" s="272"/>
      <c r="AI515" s="272"/>
      <c r="AJ515" s="322"/>
      <c r="AK515" s="272">
        <f>IFERROR(IF(VLOOKUP(功能_33[[#This Row],[功能代號]],E:U,11,FALSE)=0,"",VLOOKUP(功能_33[[#This Row],[功能代號]],E:U,11,FALSE)),"")</f>
        <v>44517</v>
      </c>
      <c r="AL515" s="272"/>
      <c r="AM515" s="272"/>
      <c r="AN515" s="265"/>
      <c r="AP515" s="264" t="s">
        <v>2680</v>
      </c>
      <c r="AQ515" s="265" t="s">
        <v>2790</v>
      </c>
      <c r="AR515" s="594" t="s">
        <v>3138</v>
      </c>
      <c r="AS515" s="483" t="str">
        <f>IF(COUNTA(AG515)=1,LEFT(D515,3),"")</f>
        <v>8-3</v>
      </c>
      <c r="AT515" s="485" t="str">
        <f>IF(AND(COUNTA(O515)=1,COUNTA(P515)=1,COUNTA(AC515)=1,COUNTA(AF515)=1,COUNTA(AG515)=0),LEFT(D515,3),"")</f>
        <v/>
      </c>
      <c r="AU515" s="487" t="str">
        <f>IF(AND(COUNTA(O515)=1,COUNTA(P515)=1,COUNTA(AC515)=1,COUNTA(AF515)=0,COUNTA(AG515)=0),LEFT(D515,3),"")</f>
        <v/>
      </c>
      <c r="AV515" s="489" t="str">
        <f>IF(AND(COUNTA(P515)=0,COUNTA(AC515)=1),LEFT(D515,3),"")</f>
        <v/>
      </c>
      <c r="AW515" s="491" t="str">
        <f>IF(AND(COUNTA(P515)=1,COUNTA(AC515)=0),LEFT(D515,3),"")</f>
        <v/>
      </c>
      <c r="AX515" s="493" t="str">
        <f>IF(AND(COUNTA(P515)=0,COUNTA(AC515)=0),LEFT(D515,3),"")</f>
        <v/>
      </c>
      <c r="AY515" s="514" t="str">
        <f>IFERROR(VLOOKUP(功能_33[[#This Row],[功能代號]],SIT_FT_2021tmp!D:D,1,FALSE),"")</f>
        <v/>
      </c>
      <c r="AZ515" s="587">
        <v>44603</v>
      </c>
      <c r="BB515" s="514" t="s">
        <v>2453</v>
      </c>
      <c r="BC515" s="265" t="s">
        <v>2453</v>
      </c>
      <c r="BD515" s="594"/>
      <c r="BE515" s="265" t="str">
        <f>IF(AND(COUNTIF(AY515,"&gt;&lt;0")=1,COUNTA(M515)=1),LEFT(D515,3),"")</f>
        <v/>
      </c>
      <c r="BF515" s="265" t="str">
        <f>IF(AND(COUNTIF(AY515,"&gt;&lt;")=1,COUNTA(M515)=0),LEFT(D515,3),"")</f>
        <v/>
      </c>
      <c r="BG515" s="265" t="str">
        <f>IF(AND(COUNTIF(AY515,"&gt;&lt;0")=0,COUNTA(M515)=1),LEFT(D515,3),"")</f>
        <v>8-3</v>
      </c>
      <c r="BH515" s="265" t="str">
        <f>IF(AND(COUNTIF(AY515,"&gt;&lt;0")=0,COUNTA(M515)=0),LEFT(D515,3),"")</f>
        <v/>
      </c>
    </row>
    <row r="516" spans="3:60" ht="27" x14ac:dyDescent="0.3">
      <c r="C516" s="265" t="s">
        <v>72</v>
      </c>
      <c r="D516" s="265" t="s">
        <v>2477</v>
      </c>
      <c r="E516" s="264" t="s">
        <v>1290</v>
      </c>
      <c r="F516" s="265" t="s">
        <v>1291</v>
      </c>
      <c r="G516" s="265" t="s">
        <v>1105</v>
      </c>
      <c r="H516" s="264" t="s">
        <v>110</v>
      </c>
      <c r="I516" s="264" t="s">
        <v>110</v>
      </c>
      <c r="J516" s="271" t="s">
        <v>3238</v>
      </c>
      <c r="K516" s="638" t="s">
        <v>3239</v>
      </c>
      <c r="L516" s="272">
        <v>44575</v>
      </c>
      <c r="M516" s="272">
        <v>44580</v>
      </c>
      <c r="N516" s="272">
        <v>44517</v>
      </c>
      <c r="O516" s="272">
        <v>44517</v>
      </c>
      <c r="P516" s="272">
        <v>44536</v>
      </c>
      <c r="Q516" s="264" t="s">
        <v>1</v>
      </c>
      <c r="R516" s="264" t="s">
        <v>16</v>
      </c>
      <c r="S516" s="264" t="s">
        <v>16</v>
      </c>
      <c r="X516" s="264"/>
      <c r="Z516" s="264"/>
      <c r="AA516" s="264"/>
      <c r="AB516" s="265" t="str">
        <f>VLOOKUP(功能_33[[#This Row],[User]],SKL放款!A:G,7,FALSE)</f>
        <v>放款管理課</v>
      </c>
      <c r="AC516" s="272">
        <v>44533</v>
      </c>
      <c r="AD516" s="272" t="s">
        <v>168</v>
      </c>
      <c r="AE516" s="272">
        <v>44540</v>
      </c>
      <c r="AF516" s="272">
        <v>44540</v>
      </c>
      <c r="AG516" s="209" t="s">
        <v>2971</v>
      </c>
      <c r="AH516" s="272"/>
      <c r="AI516" s="272"/>
      <c r="AJ516" s="322"/>
      <c r="AK516" s="272">
        <f>IFERROR(IF(VLOOKUP(功能_33[[#This Row],[功能代號]],E:U,11,FALSE)=0,"",VLOOKUP(功能_33[[#This Row],[功能代號]],E:U,11,FALSE)),"")</f>
        <v>44517</v>
      </c>
      <c r="AL516" s="272"/>
      <c r="AM516" s="272"/>
      <c r="AN516" s="265"/>
      <c r="AP516" s="264" t="s">
        <v>2680</v>
      </c>
      <c r="AQ516" s="265" t="s">
        <v>2790</v>
      </c>
      <c r="AR516" s="594" t="s">
        <v>3138</v>
      </c>
      <c r="AS516" s="483" t="str">
        <f>IF(COUNTA(AG516)=1,LEFT(D516,3),"")</f>
        <v>8-3</v>
      </c>
      <c r="AT516" s="485" t="str">
        <f>IF(AND(COUNTA(O516)=1,COUNTA(P516)=1,COUNTA(AC516)=1,COUNTA(AF516)=1,COUNTA(AG516)=0),LEFT(D516,3),"")</f>
        <v/>
      </c>
      <c r="AU516" s="487" t="str">
        <f>IF(AND(COUNTA(O516)=1,COUNTA(P516)=1,COUNTA(AC516)=1,COUNTA(AF516)=0,COUNTA(AG516)=0),LEFT(D516,3),"")</f>
        <v/>
      </c>
      <c r="AV516" s="489" t="str">
        <f>IF(AND(COUNTA(P516)=0,COUNTA(AC516)=1),LEFT(D516,3),"")</f>
        <v/>
      </c>
      <c r="AW516" s="491" t="str">
        <f>IF(AND(COUNTA(P516)=1,COUNTA(AC516)=0),LEFT(D516,3),"")</f>
        <v/>
      </c>
      <c r="AX516" s="493" t="str">
        <f>IF(AND(COUNTA(P516)=0,COUNTA(AC516)=0),LEFT(D516,3),"")</f>
        <v/>
      </c>
      <c r="AY516" s="514" t="str">
        <f>IFERROR(VLOOKUP(功能_33[[#This Row],[功能代號]],SIT_FT_2021tmp!D:D,1,FALSE),"")</f>
        <v/>
      </c>
      <c r="AZ516" s="587">
        <v>44603</v>
      </c>
      <c r="BB516" s="514" t="s">
        <v>2453</v>
      </c>
      <c r="BC516" s="265" t="s">
        <v>2453</v>
      </c>
      <c r="BD516" s="594"/>
      <c r="BE516" s="265" t="str">
        <f>IF(AND(COUNTIF(AY516,"&gt;&lt;0")=1,COUNTA(M516)=1),LEFT(D516,3),"")</f>
        <v/>
      </c>
      <c r="BF516" s="265" t="str">
        <f>IF(AND(COUNTIF(AY516,"&gt;&lt;")=1,COUNTA(M516)=0),LEFT(D516,3),"")</f>
        <v/>
      </c>
      <c r="BG516" s="265" t="str">
        <f>IF(AND(COUNTIF(AY516,"&gt;&lt;0")=0,COUNTA(M516)=1),LEFT(D516,3),"")</f>
        <v>8-3</v>
      </c>
      <c r="BH516" s="265" t="str">
        <f>IF(AND(COUNTIF(AY516,"&gt;&lt;0")=0,COUNTA(M516)=0),LEFT(D516,3),"")</f>
        <v/>
      </c>
    </row>
    <row r="517" spans="3:60" ht="27" x14ac:dyDescent="0.3">
      <c r="C517" s="265" t="s">
        <v>72</v>
      </c>
      <c r="D517" s="265" t="s">
        <v>2477</v>
      </c>
      <c r="E517" s="264" t="s">
        <v>1292</v>
      </c>
      <c r="F517" s="265" t="s">
        <v>1293</v>
      </c>
      <c r="G517" s="265" t="s">
        <v>1105</v>
      </c>
      <c r="H517" s="264" t="s">
        <v>110</v>
      </c>
      <c r="I517" s="264" t="s">
        <v>110</v>
      </c>
      <c r="J517" s="271" t="s">
        <v>3238</v>
      </c>
      <c r="K517" s="638" t="s">
        <v>3239</v>
      </c>
      <c r="L517" s="272">
        <v>44575</v>
      </c>
      <c r="M517" s="272">
        <v>44580</v>
      </c>
      <c r="N517" s="272">
        <v>44517</v>
      </c>
      <c r="O517" s="272">
        <v>44517</v>
      </c>
      <c r="P517" s="272">
        <v>44536</v>
      </c>
      <c r="Q517" s="264" t="s">
        <v>1</v>
      </c>
      <c r="R517" s="264" t="s">
        <v>16</v>
      </c>
      <c r="S517" s="264" t="s">
        <v>16</v>
      </c>
      <c r="X517" s="264"/>
      <c r="Z517" s="264"/>
      <c r="AA517" s="264"/>
      <c r="AB517" s="265" t="str">
        <f>VLOOKUP(功能_33[[#This Row],[User]],SKL放款!A:G,7,FALSE)</f>
        <v>放款管理課</v>
      </c>
      <c r="AC517" s="272">
        <v>44533</v>
      </c>
      <c r="AD517" s="272" t="s">
        <v>168</v>
      </c>
      <c r="AE517" s="272">
        <v>44540</v>
      </c>
      <c r="AF517" s="272">
        <v>44540</v>
      </c>
      <c r="AG517" s="209" t="s">
        <v>2971</v>
      </c>
      <c r="AH517" s="272"/>
      <c r="AI517" s="272"/>
      <c r="AJ517" s="322"/>
      <c r="AK517" s="272">
        <f>IFERROR(IF(VLOOKUP(功能_33[[#This Row],[功能代號]],E:U,11,FALSE)=0,"",VLOOKUP(功能_33[[#This Row],[功能代號]],E:U,11,FALSE)),"")</f>
        <v>44517</v>
      </c>
      <c r="AL517" s="272"/>
      <c r="AM517" s="272"/>
      <c r="AN517" s="265"/>
      <c r="AP517" s="264" t="s">
        <v>2680</v>
      </c>
      <c r="AQ517" s="265" t="s">
        <v>2790</v>
      </c>
      <c r="AR517" s="594" t="s">
        <v>3138</v>
      </c>
      <c r="AS517" s="483" t="str">
        <f>IF(COUNTA(AG517)=1,LEFT(D517,3),"")</f>
        <v>8-3</v>
      </c>
      <c r="AT517" s="485" t="str">
        <f>IF(AND(COUNTA(O517)=1,COUNTA(P517)=1,COUNTA(AC517)=1,COUNTA(AF517)=1,COUNTA(AG517)=0),LEFT(D517,3),"")</f>
        <v/>
      </c>
      <c r="AU517" s="487" t="str">
        <f>IF(AND(COUNTA(O517)=1,COUNTA(P517)=1,COUNTA(AC517)=1,COUNTA(AF517)=0,COUNTA(AG517)=0),LEFT(D517,3),"")</f>
        <v/>
      </c>
      <c r="AV517" s="489" t="str">
        <f>IF(AND(COUNTA(P517)=0,COUNTA(AC517)=1),LEFT(D517,3),"")</f>
        <v/>
      </c>
      <c r="AW517" s="491" t="str">
        <f>IF(AND(COUNTA(P517)=1,COUNTA(AC517)=0),LEFT(D517,3),"")</f>
        <v/>
      </c>
      <c r="AX517" s="493" t="str">
        <f>IF(AND(COUNTA(P517)=0,COUNTA(AC517)=0),LEFT(D517,3),"")</f>
        <v/>
      </c>
      <c r="AY517" s="514" t="str">
        <f>IFERROR(VLOOKUP(功能_33[[#This Row],[功能代號]],SIT_FT_2021tmp!D:D,1,FALSE),"")</f>
        <v/>
      </c>
      <c r="AZ517" s="587">
        <v>44603</v>
      </c>
      <c r="BB517" s="514" t="s">
        <v>2453</v>
      </c>
      <c r="BC517" s="265" t="s">
        <v>2453</v>
      </c>
      <c r="BD517" s="594"/>
      <c r="BE517" s="265" t="str">
        <f>IF(AND(COUNTIF(AY517,"&gt;&lt;0")=1,COUNTA(M517)=1),LEFT(D517,3),"")</f>
        <v/>
      </c>
      <c r="BF517" s="265" t="str">
        <f>IF(AND(COUNTIF(AY517,"&gt;&lt;")=1,COUNTA(M517)=0),LEFT(D517,3),"")</f>
        <v/>
      </c>
      <c r="BG517" s="265" t="str">
        <f>IF(AND(COUNTIF(AY517,"&gt;&lt;0")=0,COUNTA(M517)=1),LEFT(D517,3),"")</f>
        <v>8-3</v>
      </c>
      <c r="BH517" s="265" t="str">
        <f>IF(AND(COUNTIF(AY517,"&gt;&lt;0")=0,COUNTA(M517)=0),LEFT(D517,3),"")</f>
        <v/>
      </c>
    </row>
    <row r="518" spans="3:60" ht="27" x14ac:dyDescent="0.3">
      <c r="C518" s="265" t="s">
        <v>72</v>
      </c>
      <c r="D518" s="265" t="s">
        <v>2477</v>
      </c>
      <c r="E518" s="264" t="s">
        <v>1294</v>
      </c>
      <c r="F518" s="265" t="s">
        <v>1295</v>
      </c>
      <c r="G518" s="265" t="s">
        <v>1105</v>
      </c>
      <c r="H518" s="264" t="s">
        <v>110</v>
      </c>
      <c r="I518" s="264" t="s">
        <v>110</v>
      </c>
      <c r="J518" s="271" t="s">
        <v>3238</v>
      </c>
      <c r="K518" s="638" t="s">
        <v>3239</v>
      </c>
      <c r="L518" s="272">
        <v>44575</v>
      </c>
      <c r="M518" s="272">
        <v>44580</v>
      </c>
      <c r="N518" s="272">
        <v>44517</v>
      </c>
      <c r="O518" s="272">
        <v>44517</v>
      </c>
      <c r="P518" s="272">
        <v>44536</v>
      </c>
      <c r="Q518" s="264" t="s">
        <v>1</v>
      </c>
      <c r="R518" s="264" t="s">
        <v>16</v>
      </c>
      <c r="S518" s="264" t="s">
        <v>16</v>
      </c>
      <c r="X518" s="264"/>
      <c r="Z518" s="264"/>
      <c r="AA518" s="264"/>
      <c r="AB518" s="265" t="str">
        <f>VLOOKUP(功能_33[[#This Row],[User]],SKL放款!A:G,7,FALSE)</f>
        <v>放款管理課</v>
      </c>
      <c r="AC518" s="272">
        <v>44533</v>
      </c>
      <c r="AD518" s="272" t="s">
        <v>168</v>
      </c>
      <c r="AE518" s="272">
        <v>44540</v>
      </c>
      <c r="AF518" s="272">
        <v>44540</v>
      </c>
      <c r="AG518" s="209" t="s">
        <v>2971</v>
      </c>
      <c r="AH518" s="272"/>
      <c r="AI518" s="272"/>
      <c r="AJ518" s="322"/>
      <c r="AK518" s="272">
        <f>IFERROR(IF(VLOOKUP(功能_33[[#This Row],[功能代號]],E:U,11,FALSE)=0,"",VLOOKUP(功能_33[[#This Row],[功能代號]],E:U,11,FALSE)),"")</f>
        <v>44517</v>
      </c>
      <c r="AL518" s="272"/>
      <c r="AM518" s="272"/>
      <c r="AN518" s="265"/>
      <c r="AP518" s="264" t="s">
        <v>2680</v>
      </c>
      <c r="AQ518" s="265" t="s">
        <v>2790</v>
      </c>
      <c r="AR518" s="594" t="s">
        <v>3138</v>
      </c>
      <c r="AS518" s="483" t="str">
        <f>IF(COUNTA(AG518)=1,LEFT(D518,3),"")</f>
        <v>8-3</v>
      </c>
      <c r="AT518" s="485" t="str">
        <f>IF(AND(COUNTA(O518)=1,COUNTA(P518)=1,COUNTA(AC518)=1,COUNTA(AF518)=1,COUNTA(AG518)=0),LEFT(D518,3),"")</f>
        <v/>
      </c>
      <c r="AU518" s="487" t="str">
        <f>IF(AND(COUNTA(O518)=1,COUNTA(P518)=1,COUNTA(AC518)=1,COUNTA(AF518)=0,COUNTA(AG518)=0),LEFT(D518,3),"")</f>
        <v/>
      </c>
      <c r="AV518" s="489" t="str">
        <f>IF(AND(COUNTA(P518)=0,COUNTA(AC518)=1),LEFT(D518,3),"")</f>
        <v/>
      </c>
      <c r="AW518" s="491" t="str">
        <f>IF(AND(COUNTA(P518)=1,COUNTA(AC518)=0),LEFT(D518,3),"")</f>
        <v/>
      </c>
      <c r="AX518" s="493" t="str">
        <f>IF(AND(COUNTA(P518)=0,COUNTA(AC518)=0),LEFT(D518,3),"")</f>
        <v/>
      </c>
      <c r="AY518" s="514" t="str">
        <f>IFERROR(VLOOKUP(功能_33[[#This Row],[功能代號]],SIT_FT_2021tmp!D:D,1,FALSE),"")</f>
        <v/>
      </c>
      <c r="AZ518" s="587">
        <v>44603</v>
      </c>
      <c r="BB518" s="514" t="s">
        <v>2453</v>
      </c>
      <c r="BC518" s="265" t="s">
        <v>2453</v>
      </c>
      <c r="BD518" s="594"/>
      <c r="BE518" s="265" t="str">
        <f>IF(AND(COUNTIF(AY518,"&gt;&lt;0")=1,COUNTA(M518)=1),LEFT(D518,3),"")</f>
        <v/>
      </c>
      <c r="BF518" s="265" t="str">
        <f>IF(AND(COUNTIF(AY518,"&gt;&lt;")=1,COUNTA(M518)=0),LEFT(D518,3),"")</f>
        <v/>
      </c>
      <c r="BG518" s="265" t="str">
        <f>IF(AND(COUNTIF(AY518,"&gt;&lt;0")=0,COUNTA(M518)=1),LEFT(D518,3),"")</f>
        <v>8-3</v>
      </c>
      <c r="BH518" s="265" t="str">
        <f>IF(AND(COUNTIF(AY518,"&gt;&lt;0")=0,COUNTA(M518)=0),LEFT(D518,3),"")</f>
        <v/>
      </c>
    </row>
    <row r="519" spans="3:60" ht="27" x14ac:dyDescent="0.3">
      <c r="C519" s="265" t="s">
        <v>72</v>
      </c>
      <c r="D519" s="265" t="s">
        <v>2477</v>
      </c>
      <c r="E519" s="264" t="s">
        <v>1296</v>
      </c>
      <c r="F519" s="265" t="s">
        <v>1297</v>
      </c>
      <c r="G519" s="265" t="s">
        <v>1105</v>
      </c>
      <c r="H519" s="264" t="s">
        <v>110</v>
      </c>
      <c r="I519" s="264" t="s">
        <v>110</v>
      </c>
      <c r="J519" s="271" t="s">
        <v>3238</v>
      </c>
      <c r="K519" s="638" t="s">
        <v>3239</v>
      </c>
      <c r="L519" s="272">
        <v>44575</v>
      </c>
      <c r="M519" s="272">
        <v>44580</v>
      </c>
      <c r="N519" s="272">
        <v>44518</v>
      </c>
      <c r="O519" s="272">
        <v>44517</v>
      </c>
      <c r="P519" s="272">
        <v>44536</v>
      </c>
      <c r="Q519" s="264" t="s">
        <v>1</v>
      </c>
      <c r="R519" s="264" t="s">
        <v>16</v>
      </c>
      <c r="S519" s="264" t="s">
        <v>16</v>
      </c>
      <c r="X519" s="264"/>
      <c r="Z519" s="264"/>
      <c r="AA519" s="264"/>
      <c r="AB519" s="265" t="str">
        <f>VLOOKUP(功能_33[[#This Row],[User]],SKL放款!A:G,7,FALSE)</f>
        <v>放款管理課</v>
      </c>
      <c r="AC519" s="272">
        <v>44533</v>
      </c>
      <c r="AD519" s="272" t="s">
        <v>168</v>
      </c>
      <c r="AE519" s="272">
        <v>44540</v>
      </c>
      <c r="AF519" s="272">
        <v>44540</v>
      </c>
      <c r="AG519" s="209" t="s">
        <v>2971</v>
      </c>
      <c r="AH519" s="272"/>
      <c r="AI519" s="272"/>
      <c r="AJ519" s="322"/>
      <c r="AK519" s="272">
        <f>IFERROR(IF(VLOOKUP(功能_33[[#This Row],[功能代號]],E:U,11,FALSE)=0,"",VLOOKUP(功能_33[[#This Row],[功能代號]],E:U,11,FALSE)),"")</f>
        <v>44517</v>
      </c>
      <c r="AL519" s="272"/>
      <c r="AM519" s="272"/>
      <c r="AN519" s="265"/>
      <c r="AP519" s="264" t="s">
        <v>2680</v>
      </c>
      <c r="AQ519" s="265" t="s">
        <v>2790</v>
      </c>
      <c r="AR519" s="594" t="s">
        <v>3138</v>
      </c>
      <c r="AS519" s="483" t="str">
        <f>IF(COUNTA(AG519)=1,LEFT(D519,3),"")</f>
        <v>8-3</v>
      </c>
      <c r="AT519" s="485" t="str">
        <f>IF(AND(COUNTA(O519)=1,COUNTA(P519)=1,COUNTA(AC519)=1,COUNTA(AF519)=1,COUNTA(AG519)=0),LEFT(D519,3),"")</f>
        <v/>
      </c>
      <c r="AU519" s="487" t="str">
        <f>IF(AND(COUNTA(O519)=1,COUNTA(P519)=1,COUNTA(AC519)=1,COUNTA(AF519)=0,COUNTA(AG519)=0),LEFT(D519,3),"")</f>
        <v/>
      </c>
      <c r="AV519" s="489" t="str">
        <f>IF(AND(COUNTA(P519)=0,COUNTA(AC519)=1),LEFT(D519,3),"")</f>
        <v/>
      </c>
      <c r="AW519" s="491" t="str">
        <f>IF(AND(COUNTA(P519)=1,COUNTA(AC519)=0),LEFT(D519,3),"")</f>
        <v/>
      </c>
      <c r="AX519" s="493" t="str">
        <f>IF(AND(COUNTA(P519)=0,COUNTA(AC519)=0),LEFT(D519,3),"")</f>
        <v/>
      </c>
      <c r="AY519" s="514" t="str">
        <f>IFERROR(VLOOKUP(功能_33[[#This Row],[功能代號]],SIT_FT_2021tmp!D:D,1,FALSE),"")</f>
        <v/>
      </c>
      <c r="AZ519" s="587">
        <v>44613</v>
      </c>
      <c r="BB519" s="514" t="s">
        <v>2453</v>
      </c>
      <c r="BC519" s="265" t="s">
        <v>2453</v>
      </c>
      <c r="BD519" s="594"/>
      <c r="BE519" s="265" t="str">
        <f>IF(AND(COUNTIF(AY519,"&gt;&lt;0")=1,COUNTA(M519)=1),LEFT(D519,3),"")</f>
        <v/>
      </c>
      <c r="BF519" s="265" t="str">
        <f>IF(AND(COUNTIF(AY519,"&gt;&lt;")=1,COUNTA(M519)=0),LEFT(D519,3),"")</f>
        <v/>
      </c>
      <c r="BG519" s="265" t="str">
        <f>IF(AND(COUNTIF(AY519,"&gt;&lt;0")=0,COUNTA(M519)=1),LEFT(D519,3),"")</f>
        <v>8-3</v>
      </c>
      <c r="BH519" s="265" t="str">
        <f>IF(AND(COUNTIF(AY519,"&gt;&lt;0")=0,COUNTA(M519)=0),LEFT(D519,3),"")</f>
        <v/>
      </c>
    </row>
    <row r="520" spans="3:60" ht="27" x14ac:dyDescent="0.3">
      <c r="C520" s="265" t="s">
        <v>72</v>
      </c>
      <c r="D520" s="265" t="s">
        <v>2477</v>
      </c>
      <c r="E520" s="264" t="s">
        <v>1298</v>
      </c>
      <c r="F520" s="265" t="s">
        <v>1299</v>
      </c>
      <c r="G520" s="265" t="s">
        <v>1105</v>
      </c>
      <c r="H520" s="264" t="s">
        <v>110</v>
      </c>
      <c r="I520" s="264" t="s">
        <v>110</v>
      </c>
      <c r="J520" s="271" t="s">
        <v>3238</v>
      </c>
      <c r="K520" s="638" t="s">
        <v>3239</v>
      </c>
      <c r="L520" s="272">
        <v>44575</v>
      </c>
      <c r="M520" s="272">
        <v>44580</v>
      </c>
      <c r="N520" s="272">
        <v>44518</v>
      </c>
      <c r="O520" s="272">
        <v>44517</v>
      </c>
      <c r="P520" s="272">
        <v>44536</v>
      </c>
      <c r="Q520" s="264" t="s">
        <v>1</v>
      </c>
      <c r="R520" s="264" t="s">
        <v>16</v>
      </c>
      <c r="S520" s="264" t="s">
        <v>16</v>
      </c>
      <c r="X520" s="264"/>
      <c r="Z520" s="264"/>
      <c r="AA520" s="264"/>
      <c r="AB520" s="265" t="str">
        <f>VLOOKUP(功能_33[[#This Row],[User]],SKL放款!A:G,7,FALSE)</f>
        <v>放款管理課</v>
      </c>
      <c r="AC520" s="272">
        <v>44533</v>
      </c>
      <c r="AD520" s="272" t="s">
        <v>168</v>
      </c>
      <c r="AE520" s="272">
        <v>44540</v>
      </c>
      <c r="AF520" s="272">
        <v>44540</v>
      </c>
      <c r="AG520" s="209" t="s">
        <v>2971</v>
      </c>
      <c r="AH520" s="272"/>
      <c r="AI520" s="272"/>
      <c r="AJ520" s="322"/>
      <c r="AK520" s="272">
        <f>IFERROR(IF(VLOOKUP(功能_33[[#This Row],[功能代號]],E:U,11,FALSE)=0,"",VLOOKUP(功能_33[[#This Row],[功能代號]],E:U,11,FALSE)),"")</f>
        <v>44517</v>
      </c>
      <c r="AL520" s="272"/>
      <c r="AM520" s="272"/>
      <c r="AN520" s="265"/>
      <c r="AP520" s="264" t="s">
        <v>2680</v>
      </c>
      <c r="AQ520" s="265" t="s">
        <v>2790</v>
      </c>
      <c r="AR520" s="594" t="s">
        <v>3138</v>
      </c>
      <c r="AS520" s="483" t="str">
        <f>IF(COUNTA(AG520)=1,LEFT(D520,3),"")</f>
        <v>8-3</v>
      </c>
      <c r="AT520" s="485" t="str">
        <f>IF(AND(COUNTA(O520)=1,COUNTA(P520)=1,COUNTA(AC520)=1,COUNTA(AF520)=1,COUNTA(AG520)=0),LEFT(D520,3),"")</f>
        <v/>
      </c>
      <c r="AU520" s="487" t="str">
        <f>IF(AND(COUNTA(O520)=1,COUNTA(P520)=1,COUNTA(AC520)=1,COUNTA(AF520)=0,COUNTA(AG520)=0),LEFT(D520,3),"")</f>
        <v/>
      </c>
      <c r="AV520" s="489" t="str">
        <f>IF(AND(COUNTA(P520)=0,COUNTA(AC520)=1),LEFT(D520,3),"")</f>
        <v/>
      </c>
      <c r="AW520" s="491" t="str">
        <f>IF(AND(COUNTA(P520)=1,COUNTA(AC520)=0),LEFT(D520,3),"")</f>
        <v/>
      </c>
      <c r="AX520" s="493" t="str">
        <f>IF(AND(COUNTA(P520)=0,COUNTA(AC520)=0),LEFT(D520,3),"")</f>
        <v/>
      </c>
      <c r="AY520" s="514" t="str">
        <f>IFERROR(VLOOKUP(功能_33[[#This Row],[功能代號]],SIT_FT_2021tmp!D:D,1,FALSE),"")</f>
        <v/>
      </c>
      <c r="AZ520" s="587">
        <v>44613</v>
      </c>
      <c r="BB520" s="514" t="s">
        <v>2453</v>
      </c>
      <c r="BC520" s="265" t="s">
        <v>2453</v>
      </c>
      <c r="BD520" s="594"/>
      <c r="BE520" s="265" t="str">
        <f>IF(AND(COUNTIF(AY520,"&gt;&lt;0")=1,COUNTA(M520)=1),LEFT(D520,3),"")</f>
        <v/>
      </c>
      <c r="BF520" s="265" t="str">
        <f>IF(AND(COUNTIF(AY520,"&gt;&lt;")=1,COUNTA(M520)=0),LEFT(D520,3),"")</f>
        <v/>
      </c>
      <c r="BG520" s="265" t="str">
        <f>IF(AND(COUNTIF(AY520,"&gt;&lt;0")=0,COUNTA(M520)=1),LEFT(D520,3),"")</f>
        <v>8-3</v>
      </c>
      <c r="BH520" s="265" t="str">
        <f>IF(AND(COUNTIF(AY520,"&gt;&lt;0")=0,COUNTA(M520)=0),LEFT(D520,3),"")</f>
        <v/>
      </c>
    </row>
    <row r="521" spans="3:60" ht="27" x14ac:dyDescent="0.3">
      <c r="C521" s="265" t="s">
        <v>72</v>
      </c>
      <c r="D521" s="265" t="s">
        <v>2477</v>
      </c>
      <c r="E521" s="264" t="s">
        <v>1300</v>
      </c>
      <c r="F521" s="265" t="s">
        <v>1301</v>
      </c>
      <c r="G521" s="265" t="s">
        <v>1105</v>
      </c>
      <c r="H521" s="264" t="s">
        <v>110</v>
      </c>
      <c r="I521" s="264" t="s">
        <v>110</v>
      </c>
      <c r="J521" s="271" t="s">
        <v>3238</v>
      </c>
      <c r="K521" s="638" t="s">
        <v>3239</v>
      </c>
      <c r="L521" s="272">
        <v>44575</v>
      </c>
      <c r="M521" s="272">
        <v>44580</v>
      </c>
      <c r="N521" s="272">
        <v>44518</v>
      </c>
      <c r="O521" s="272">
        <v>44517</v>
      </c>
      <c r="P521" s="272">
        <v>44536</v>
      </c>
      <c r="Q521" s="264" t="s">
        <v>1</v>
      </c>
      <c r="R521" s="264" t="s">
        <v>16</v>
      </c>
      <c r="S521" s="264" t="s">
        <v>16</v>
      </c>
      <c r="X521" s="264"/>
      <c r="Z521" s="264"/>
      <c r="AA521" s="264"/>
      <c r="AB521" s="265" t="str">
        <f>VLOOKUP(功能_33[[#This Row],[User]],SKL放款!A:G,7,FALSE)</f>
        <v>放款管理課</v>
      </c>
      <c r="AC521" s="272">
        <v>44533</v>
      </c>
      <c r="AD521" s="272" t="s">
        <v>168</v>
      </c>
      <c r="AE521" s="272">
        <v>44540</v>
      </c>
      <c r="AF521" s="272">
        <v>44540</v>
      </c>
      <c r="AG521" s="209" t="s">
        <v>2971</v>
      </c>
      <c r="AH521" s="272"/>
      <c r="AI521" s="272"/>
      <c r="AJ521" s="322"/>
      <c r="AK521" s="272">
        <f>IFERROR(IF(VLOOKUP(功能_33[[#This Row],[功能代號]],E:U,11,FALSE)=0,"",VLOOKUP(功能_33[[#This Row],[功能代號]],E:U,11,FALSE)),"")</f>
        <v>44517</v>
      </c>
      <c r="AL521" s="272"/>
      <c r="AM521" s="272"/>
      <c r="AN521" s="265"/>
      <c r="AP521" s="264" t="s">
        <v>2680</v>
      </c>
      <c r="AQ521" s="265" t="s">
        <v>2790</v>
      </c>
      <c r="AR521" s="594" t="s">
        <v>3138</v>
      </c>
      <c r="AS521" s="483" t="str">
        <f>IF(COUNTA(AG521)=1,LEFT(D521,3),"")</f>
        <v>8-3</v>
      </c>
      <c r="AT521" s="485" t="str">
        <f>IF(AND(COUNTA(O521)=1,COUNTA(P521)=1,COUNTA(AC521)=1,COUNTA(AF521)=1,COUNTA(AG521)=0),LEFT(D521,3),"")</f>
        <v/>
      </c>
      <c r="AU521" s="487" t="str">
        <f>IF(AND(COUNTA(O521)=1,COUNTA(P521)=1,COUNTA(AC521)=1,COUNTA(AF521)=0,COUNTA(AG521)=0),LEFT(D521,3),"")</f>
        <v/>
      </c>
      <c r="AV521" s="489" t="str">
        <f>IF(AND(COUNTA(P521)=0,COUNTA(AC521)=1),LEFT(D521,3),"")</f>
        <v/>
      </c>
      <c r="AW521" s="491" t="str">
        <f>IF(AND(COUNTA(P521)=1,COUNTA(AC521)=0),LEFT(D521,3),"")</f>
        <v/>
      </c>
      <c r="AX521" s="493" t="str">
        <f>IF(AND(COUNTA(P521)=0,COUNTA(AC521)=0),LEFT(D521,3),"")</f>
        <v/>
      </c>
      <c r="AY521" s="514" t="str">
        <f>IFERROR(VLOOKUP(功能_33[[#This Row],[功能代號]],SIT_FT_2021tmp!D:D,1,FALSE),"")</f>
        <v/>
      </c>
      <c r="AZ521" s="587">
        <v>44613</v>
      </c>
      <c r="BB521" s="514" t="s">
        <v>2453</v>
      </c>
      <c r="BC521" s="265" t="s">
        <v>2453</v>
      </c>
      <c r="BD521" s="594"/>
      <c r="BE521" s="265" t="str">
        <f>IF(AND(COUNTIF(AY521,"&gt;&lt;0")=1,COUNTA(M521)=1),LEFT(D521,3),"")</f>
        <v/>
      </c>
      <c r="BF521" s="265" t="str">
        <f>IF(AND(COUNTIF(AY521,"&gt;&lt;")=1,COUNTA(M521)=0),LEFT(D521,3),"")</f>
        <v/>
      </c>
      <c r="BG521" s="265" t="str">
        <f>IF(AND(COUNTIF(AY521,"&gt;&lt;0")=0,COUNTA(M521)=1),LEFT(D521,3),"")</f>
        <v>8-3</v>
      </c>
      <c r="BH521" s="265" t="str">
        <f>IF(AND(COUNTIF(AY521,"&gt;&lt;0")=0,COUNTA(M521)=0),LEFT(D521,3),"")</f>
        <v/>
      </c>
    </row>
    <row r="522" spans="3:60" ht="27" x14ac:dyDescent="0.3">
      <c r="C522" s="265" t="s">
        <v>72</v>
      </c>
      <c r="D522" s="265" t="s">
        <v>2477</v>
      </c>
      <c r="E522" s="264" t="s">
        <v>1302</v>
      </c>
      <c r="F522" s="265" t="s">
        <v>1303</v>
      </c>
      <c r="G522" s="265" t="s">
        <v>1105</v>
      </c>
      <c r="H522" s="264" t="s">
        <v>110</v>
      </c>
      <c r="I522" s="264" t="s">
        <v>110</v>
      </c>
      <c r="J522" s="271" t="s">
        <v>3238</v>
      </c>
      <c r="K522" s="638" t="s">
        <v>3239</v>
      </c>
      <c r="L522" s="272">
        <v>44575</v>
      </c>
      <c r="M522" s="272">
        <v>44580</v>
      </c>
      <c r="N522" s="272">
        <v>44518</v>
      </c>
      <c r="O522" s="272">
        <v>44517</v>
      </c>
      <c r="P522" s="272">
        <v>44536</v>
      </c>
      <c r="Q522" s="264" t="s">
        <v>1</v>
      </c>
      <c r="R522" s="264" t="s">
        <v>16</v>
      </c>
      <c r="S522" s="264" t="s">
        <v>16</v>
      </c>
      <c r="X522" s="264"/>
      <c r="Z522" s="264"/>
      <c r="AA522" s="264"/>
      <c r="AB522" s="265" t="str">
        <f>VLOOKUP(功能_33[[#This Row],[User]],SKL放款!A:G,7,FALSE)</f>
        <v>放款管理課</v>
      </c>
      <c r="AC522" s="272">
        <v>44533</v>
      </c>
      <c r="AD522" s="272" t="s">
        <v>168</v>
      </c>
      <c r="AE522" s="272">
        <v>44540</v>
      </c>
      <c r="AF522" s="272">
        <v>44540</v>
      </c>
      <c r="AG522" s="209" t="s">
        <v>2971</v>
      </c>
      <c r="AH522" s="272"/>
      <c r="AI522" s="272"/>
      <c r="AJ522" s="322"/>
      <c r="AK522" s="272">
        <f>IFERROR(IF(VLOOKUP(功能_33[[#This Row],[功能代號]],E:U,11,FALSE)=0,"",VLOOKUP(功能_33[[#This Row],[功能代號]],E:U,11,FALSE)),"")</f>
        <v>44517</v>
      </c>
      <c r="AL522" s="272"/>
      <c r="AM522" s="272"/>
      <c r="AN522" s="265"/>
      <c r="AP522" s="264" t="s">
        <v>2680</v>
      </c>
      <c r="AQ522" s="265" t="s">
        <v>2790</v>
      </c>
      <c r="AR522" s="594" t="s">
        <v>3138</v>
      </c>
      <c r="AS522" s="483" t="str">
        <f>IF(COUNTA(AG522)=1,LEFT(D522,3),"")</f>
        <v>8-3</v>
      </c>
      <c r="AT522" s="485" t="str">
        <f>IF(AND(COUNTA(O522)=1,COUNTA(P522)=1,COUNTA(AC522)=1,COUNTA(AF522)=1,COUNTA(AG522)=0),LEFT(D522,3),"")</f>
        <v/>
      </c>
      <c r="AU522" s="487" t="str">
        <f>IF(AND(COUNTA(O522)=1,COUNTA(P522)=1,COUNTA(AC522)=1,COUNTA(AF522)=0,COUNTA(AG522)=0),LEFT(D522,3),"")</f>
        <v/>
      </c>
      <c r="AV522" s="489" t="str">
        <f>IF(AND(COUNTA(P522)=0,COUNTA(AC522)=1),LEFT(D522,3),"")</f>
        <v/>
      </c>
      <c r="AW522" s="491" t="str">
        <f>IF(AND(COUNTA(P522)=1,COUNTA(AC522)=0),LEFT(D522,3),"")</f>
        <v/>
      </c>
      <c r="AX522" s="493" t="str">
        <f>IF(AND(COUNTA(P522)=0,COUNTA(AC522)=0),LEFT(D522,3),"")</f>
        <v/>
      </c>
      <c r="AY522" s="514" t="str">
        <f>IFERROR(VLOOKUP(功能_33[[#This Row],[功能代號]],SIT_FT_2021tmp!D:D,1,FALSE),"")</f>
        <v/>
      </c>
      <c r="AZ522" s="587">
        <v>44613</v>
      </c>
      <c r="BB522" s="514" t="s">
        <v>2453</v>
      </c>
      <c r="BC522" s="265" t="s">
        <v>2453</v>
      </c>
      <c r="BD522" s="594"/>
      <c r="BE522" s="265" t="str">
        <f>IF(AND(COUNTIF(AY522,"&gt;&lt;0")=1,COUNTA(M522)=1),LEFT(D522,3),"")</f>
        <v/>
      </c>
      <c r="BF522" s="265" t="str">
        <f>IF(AND(COUNTIF(AY522,"&gt;&lt;")=1,COUNTA(M522)=0),LEFT(D522,3),"")</f>
        <v/>
      </c>
      <c r="BG522" s="265" t="str">
        <f>IF(AND(COUNTIF(AY522,"&gt;&lt;0")=0,COUNTA(M522)=1),LEFT(D522,3),"")</f>
        <v>8-3</v>
      </c>
      <c r="BH522" s="265" t="str">
        <f>IF(AND(COUNTIF(AY522,"&gt;&lt;0")=0,COUNTA(M522)=0),LEFT(D522,3),"")</f>
        <v/>
      </c>
    </row>
    <row r="523" spans="3:60" ht="27" x14ac:dyDescent="0.3">
      <c r="C523" s="265" t="s">
        <v>72</v>
      </c>
      <c r="D523" s="265" t="s">
        <v>2477</v>
      </c>
      <c r="E523" s="264" t="s">
        <v>1304</v>
      </c>
      <c r="F523" s="265" t="s">
        <v>1305</v>
      </c>
      <c r="G523" s="265" t="s">
        <v>1105</v>
      </c>
      <c r="H523" s="264" t="s">
        <v>110</v>
      </c>
      <c r="I523" s="264" t="s">
        <v>110</v>
      </c>
      <c r="J523" s="271" t="s">
        <v>3238</v>
      </c>
      <c r="K523" s="638" t="s">
        <v>3239</v>
      </c>
      <c r="L523" s="272">
        <v>44575</v>
      </c>
      <c r="M523" s="272">
        <v>44580</v>
      </c>
      <c r="N523" s="272">
        <v>44518</v>
      </c>
      <c r="O523" s="272">
        <v>44517</v>
      </c>
      <c r="P523" s="272">
        <v>44536</v>
      </c>
      <c r="Q523" s="264" t="s">
        <v>1</v>
      </c>
      <c r="R523" s="264" t="s">
        <v>16</v>
      </c>
      <c r="S523" s="264" t="s">
        <v>16</v>
      </c>
      <c r="X523" s="264"/>
      <c r="Z523" s="264"/>
      <c r="AA523" s="264"/>
      <c r="AB523" s="265" t="str">
        <f>VLOOKUP(功能_33[[#This Row],[User]],SKL放款!A:G,7,FALSE)</f>
        <v>放款管理課</v>
      </c>
      <c r="AC523" s="272">
        <v>44533</v>
      </c>
      <c r="AD523" s="272" t="s">
        <v>168</v>
      </c>
      <c r="AE523" s="272">
        <v>44540</v>
      </c>
      <c r="AF523" s="272">
        <v>44540</v>
      </c>
      <c r="AG523" s="209" t="s">
        <v>2971</v>
      </c>
      <c r="AH523" s="272"/>
      <c r="AI523" s="272"/>
      <c r="AJ523" s="322"/>
      <c r="AK523" s="272">
        <f>IFERROR(IF(VLOOKUP(功能_33[[#This Row],[功能代號]],E:U,11,FALSE)=0,"",VLOOKUP(功能_33[[#This Row],[功能代號]],E:U,11,FALSE)),"")</f>
        <v>44517</v>
      </c>
      <c r="AL523" s="272"/>
      <c r="AM523" s="272"/>
      <c r="AN523" s="265"/>
      <c r="AP523" s="264" t="s">
        <v>2680</v>
      </c>
      <c r="AQ523" s="265" t="s">
        <v>2790</v>
      </c>
      <c r="AR523" s="594" t="s">
        <v>3138</v>
      </c>
      <c r="AS523" s="483" t="str">
        <f>IF(COUNTA(AG523)=1,LEFT(D523,3),"")</f>
        <v>8-3</v>
      </c>
      <c r="AT523" s="485" t="str">
        <f>IF(AND(COUNTA(O523)=1,COUNTA(P523)=1,COUNTA(AC523)=1,COUNTA(AF523)=1,COUNTA(AG523)=0),LEFT(D523,3),"")</f>
        <v/>
      </c>
      <c r="AU523" s="487" t="str">
        <f>IF(AND(COUNTA(O523)=1,COUNTA(P523)=1,COUNTA(AC523)=1,COUNTA(AF523)=0,COUNTA(AG523)=0),LEFT(D523,3),"")</f>
        <v/>
      </c>
      <c r="AV523" s="489" t="str">
        <f>IF(AND(COUNTA(P523)=0,COUNTA(AC523)=1),LEFT(D523,3),"")</f>
        <v/>
      </c>
      <c r="AW523" s="491" t="str">
        <f>IF(AND(COUNTA(P523)=1,COUNTA(AC523)=0),LEFT(D523,3),"")</f>
        <v/>
      </c>
      <c r="AX523" s="493" t="str">
        <f>IF(AND(COUNTA(P523)=0,COUNTA(AC523)=0),LEFT(D523,3),"")</f>
        <v/>
      </c>
      <c r="AY523" s="514" t="str">
        <f>IFERROR(VLOOKUP(功能_33[[#This Row],[功能代號]],SIT_FT_2021tmp!D:D,1,FALSE),"")</f>
        <v/>
      </c>
      <c r="AZ523" s="587">
        <v>44613</v>
      </c>
      <c r="BB523" s="514" t="s">
        <v>2453</v>
      </c>
      <c r="BC523" s="265" t="s">
        <v>2453</v>
      </c>
      <c r="BD523" s="594"/>
      <c r="BE523" s="265" t="str">
        <f>IF(AND(COUNTIF(AY523,"&gt;&lt;0")=1,COUNTA(M523)=1),LEFT(D523,3),"")</f>
        <v/>
      </c>
      <c r="BF523" s="265" t="str">
        <f>IF(AND(COUNTIF(AY523,"&gt;&lt;")=1,COUNTA(M523)=0),LEFT(D523,3),"")</f>
        <v/>
      </c>
      <c r="BG523" s="265" t="str">
        <f>IF(AND(COUNTIF(AY523,"&gt;&lt;0")=0,COUNTA(M523)=1),LEFT(D523,3),"")</f>
        <v>8-3</v>
      </c>
      <c r="BH523" s="265" t="str">
        <f>IF(AND(COUNTIF(AY523,"&gt;&lt;0")=0,COUNTA(M523)=0),LEFT(D523,3),"")</f>
        <v/>
      </c>
    </row>
    <row r="524" spans="3:60" ht="27" x14ac:dyDescent="0.3">
      <c r="C524" s="265" t="s">
        <v>72</v>
      </c>
      <c r="D524" s="265" t="s">
        <v>2477</v>
      </c>
      <c r="E524" s="264" t="s">
        <v>1306</v>
      </c>
      <c r="F524" s="265" t="s">
        <v>1307</v>
      </c>
      <c r="G524" s="265" t="s">
        <v>1105</v>
      </c>
      <c r="H524" s="264" t="s">
        <v>110</v>
      </c>
      <c r="I524" s="264" t="s">
        <v>110</v>
      </c>
      <c r="J524" s="271" t="s">
        <v>3238</v>
      </c>
      <c r="K524" s="638" t="s">
        <v>3239</v>
      </c>
      <c r="L524" s="272">
        <v>44575</v>
      </c>
      <c r="M524" s="272">
        <v>44580</v>
      </c>
      <c r="N524" s="272">
        <v>44518</v>
      </c>
      <c r="O524" s="272">
        <v>44517</v>
      </c>
      <c r="P524" s="272">
        <v>44536</v>
      </c>
      <c r="Q524" s="264" t="s">
        <v>1</v>
      </c>
      <c r="R524" s="264" t="s">
        <v>16</v>
      </c>
      <c r="S524" s="264" t="s">
        <v>16</v>
      </c>
      <c r="X524" s="264"/>
      <c r="Z524" s="264"/>
      <c r="AA524" s="264"/>
      <c r="AB524" s="265" t="str">
        <f>VLOOKUP(功能_33[[#This Row],[User]],SKL放款!A:G,7,FALSE)</f>
        <v>放款管理課</v>
      </c>
      <c r="AC524" s="272">
        <v>44533</v>
      </c>
      <c r="AD524" s="272" t="s">
        <v>168</v>
      </c>
      <c r="AE524" s="272">
        <v>44540</v>
      </c>
      <c r="AF524" s="272">
        <v>44540</v>
      </c>
      <c r="AG524" s="209" t="s">
        <v>2971</v>
      </c>
      <c r="AH524" s="272"/>
      <c r="AI524" s="272"/>
      <c r="AJ524" s="322"/>
      <c r="AK524" s="272">
        <f>IFERROR(IF(VLOOKUP(功能_33[[#This Row],[功能代號]],E:U,11,FALSE)=0,"",VLOOKUP(功能_33[[#This Row],[功能代號]],E:U,11,FALSE)),"")</f>
        <v>44517</v>
      </c>
      <c r="AL524" s="272"/>
      <c r="AM524" s="272"/>
      <c r="AN524" s="265"/>
      <c r="AP524" s="264" t="s">
        <v>2680</v>
      </c>
      <c r="AQ524" s="265" t="s">
        <v>2790</v>
      </c>
      <c r="AR524" s="594" t="s">
        <v>3138</v>
      </c>
      <c r="AS524" s="483" t="str">
        <f>IF(COUNTA(AG524)=1,LEFT(D524,3),"")</f>
        <v>8-3</v>
      </c>
      <c r="AT524" s="485" t="str">
        <f>IF(AND(COUNTA(O524)=1,COUNTA(P524)=1,COUNTA(AC524)=1,COUNTA(AF524)=1,COUNTA(AG524)=0),LEFT(D524,3),"")</f>
        <v/>
      </c>
      <c r="AU524" s="487" t="str">
        <f>IF(AND(COUNTA(O524)=1,COUNTA(P524)=1,COUNTA(AC524)=1,COUNTA(AF524)=0,COUNTA(AG524)=0),LEFT(D524,3),"")</f>
        <v/>
      </c>
      <c r="AV524" s="489" t="str">
        <f>IF(AND(COUNTA(P524)=0,COUNTA(AC524)=1),LEFT(D524,3),"")</f>
        <v/>
      </c>
      <c r="AW524" s="491" t="str">
        <f>IF(AND(COUNTA(P524)=1,COUNTA(AC524)=0),LEFT(D524,3),"")</f>
        <v/>
      </c>
      <c r="AX524" s="493" t="str">
        <f>IF(AND(COUNTA(P524)=0,COUNTA(AC524)=0),LEFT(D524,3),"")</f>
        <v/>
      </c>
      <c r="AY524" s="514" t="str">
        <f>IFERROR(VLOOKUP(功能_33[[#This Row],[功能代號]],SIT_FT_2021tmp!D:D,1,FALSE),"")</f>
        <v/>
      </c>
      <c r="AZ524" s="587">
        <v>44613</v>
      </c>
      <c r="BB524" s="514" t="s">
        <v>2453</v>
      </c>
      <c r="BC524" s="265" t="s">
        <v>2453</v>
      </c>
      <c r="BD524" s="594"/>
      <c r="BE524" s="265" t="str">
        <f>IF(AND(COUNTIF(AY524,"&gt;&lt;0")=1,COUNTA(M524)=1),LEFT(D524,3),"")</f>
        <v/>
      </c>
      <c r="BF524" s="265" t="str">
        <f>IF(AND(COUNTIF(AY524,"&gt;&lt;")=1,COUNTA(M524)=0),LEFT(D524,3),"")</f>
        <v/>
      </c>
      <c r="BG524" s="265" t="str">
        <f>IF(AND(COUNTIF(AY524,"&gt;&lt;0")=0,COUNTA(M524)=1),LEFT(D524,3),"")</f>
        <v>8-3</v>
      </c>
      <c r="BH524" s="265" t="str">
        <f>IF(AND(COUNTIF(AY524,"&gt;&lt;0")=0,COUNTA(M524)=0),LEFT(D524,3),"")</f>
        <v/>
      </c>
    </row>
    <row r="525" spans="3:60" ht="27" x14ac:dyDescent="0.3">
      <c r="C525" s="265" t="s">
        <v>72</v>
      </c>
      <c r="D525" s="265" t="s">
        <v>2477</v>
      </c>
      <c r="E525" s="264" t="s">
        <v>1308</v>
      </c>
      <c r="F525" s="265" t="s">
        <v>1309</v>
      </c>
      <c r="G525" s="265" t="s">
        <v>1105</v>
      </c>
      <c r="H525" s="264" t="s">
        <v>110</v>
      </c>
      <c r="I525" s="264" t="s">
        <v>110</v>
      </c>
      <c r="J525" s="271" t="s">
        <v>3238</v>
      </c>
      <c r="K525" s="638" t="s">
        <v>3239</v>
      </c>
      <c r="L525" s="272">
        <v>44575</v>
      </c>
      <c r="M525" s="272">
        <v>44580</v>
      </c>
      <c r="N525" s="272">
        <v>44518</v>
      </c>
      <c r="O525" s="272">
        <v>44517</v>
      </c>
      <c r="P525" s="272">
        <v>44536</v>
      </c>
      <c r="Q525" s="264" t="s">
        <v>1</v>
      </c>
      <c r="R525" s="264" t="s">
        <v>16</v>
      </c>
      <c r="S525" s="264" t="s">
        <v>16</v>
      </c>
      <c r="X525" s="264"/>
      <c r="Z525" s="264"/>
      <c r="AA525" s="264"/>
      <c r="AB525" s="265" t="str">
        <f>VLOOKUP(功能_33[[#This Row],[User]],SKL放款!A:G,7,FALSE)</f>
        <v>放款管理課</v>
      </c>
      <c r="AC525" s="272">
        <v>44533</v>
      </c>
      <c r="AD525" s="272" t="s">
        <v>168</v>
      </c>
      <c r="AE525" s="272">
        <v>44540</v>
      </c>
      <c r="AF525" s="272">
        <v>44540</v>
      </c>
      <c r="AG525" s="209" t="s">
        <v>2971</v>
      </c>
      <c r="AH525" s="272"/>
      <c r="AI525" s="272"/>
      <c r="AJ525" s="322"/>
      <c r="AK525" s="272">
        <f>IFERROR(IF(VLOOKUP(功能_33[[#This Row],[功能代號]],E:U,11,FALSE)=0,"",VLOOKUP(功能_33[[#This Row],[功能代號]],E:U,11,FALSE)),"")</f>
        <v>44517</v>
      </c>
      <c r="AL525" s="272"/>
      <c r="AM525" s="272"/>
      <c r="AN525" s="265"/>
      <c r="AP525" s="264" t="s">
        <v>2680</v>
      </c>
      <c r="AQ525" s="265" t="s">
        <v>2790</v>
      </c>
      <c r="AR525" s="594" t="s">
        <v>3138</v>
      </c>
      <c r="AS525" s="483" t="str">
        <f>IF(COUNTA(AG525)=1,LEFT(D525,3),"")</f>
        <v>8-3</v>
      </c>
      <c r="AT525" s="485" t="str">
        <f>IF(AND(COUNTA(O525)=1,COUNTA(P525)=1,COUNTA(AC525)=1,COUNTA(AF525)=1,COUNTA(AG525)=0),LEFT(D525,3),"")</f>
        <v/>
      </c>
      <c r="AU525" s="487" t="str">
        <f>IF(AND(COUNTA(O525)=1,COUNTA(P525)=1,COUNTA(AC525)=1,COUNTA(AF525)=0,COUNTA(AG525)=0),LEFT(D525,3),"")</f>
        <v/>
      </c>
      <c r="AV525" s="489" t="str">
        <f>IF(AND(COUNTA(P525)=0,COUNTA(AC525)=1),LEFT(D525,3),"")</f>
        <v/>
      </c>
      <c r="AW525" s="491" t="str">
        <f>IF(AND(COUNTA(P525)=1,COUNTA(AC525)=0),LEFT(D525,3),"")</f>
        <v/>
      </c>
      <c r="AX525" s="493" t="str">
        <f>IF(AND(COUNTA(P525)=0,COUNTA(AC525)=0),LEFT(D525,3),"")</f>
        <v/>
      </c>
      <c r="AY525" s="514" t="str">
        <f>IFERROR(VLOOKUP(功能_33[[#This Row],[功能代號]],SIT_FT_2021tmp!D:D,1,FALSE),"")</f>
        <v/>
      </c>
      <c r="AZ525" s="587">
        <v>44613</v>
      </c>
      <c r="BB525" s="514" t="s">
        <v>2453</v>
      </c>
      <c r="BC525" s="265" t="s">
        <v>2453</v>
      </c>
      <c r="BD525" s="594"/>
      <c r="BE525" s="265" t="str">
        <f>IF(AND(COUNTIF(AY525,"&gt;&lt;0")=1,COUNTA(M525)=1),LEFT(D525,3),"")</f>
        <v/>
      </c>
      <c r="BF525" s="265" t="str">
        <f>IF(AND(COUNTIF(AY525,"&gt;&lt;")=1,COUNTA(M525)=0),LEFT(D525,3),"")</f>
        <v/>
      </c>
      <c r="BG525" s="265" t="str">
        <f>IF(AND(COUNTIF(AY525,"&gt;&lt;0")=0,COUNTA(M525)=1),LEFT(D525,3),"")</f>
        <v>8-3</v>
      </c>
      <c r="BH525" s="265" t="str">
        <f>IF(AND(COUNTIF(AY525,"&gt;&lt;0")=0,COUNTA(M525)=0),LEFT(D525,3),"")</f>
        <v/>
      </c>
    </row>
    <row r="526" spans="3:60" ht="27" x14ac:dyDescent="0.3">
      <c r="C526" s="265" t="s">
        <v>72</v>
      </c>
      <c r="D526" s="265" t="s">
        <v>2477</v>
      </c>
      <c r="E526" s="264" t="s">
        <v>1310</v>
      </c>
      <c r="F526" s="265" t="s">
        <v>1311</v>
      </c>
      <c r="G526" s="265" t="s">
        <v>1105</v>
      </c>
      <c r="H526" s="264" t="s">
        <v>110</v>
      </c>
      <c r="I526" s="264" t="s">
        <v>110</v>
      </c>
      <c r="J526" s="271" t="s">
        <v>3238</v>
      </c>
      <c r="K526" s="638" t="s">
        <v>3239</v>
      </c>
      <c r="L526" s="272">
        <v>44575</v>
      </c>
      <c r="M526" s="272">
        <v>44580</v>
      </c>
      <c r="N526" s="272">
        <v>44518</v>
      </c>
      <c r="O526" s="272">
        <v>44517</v>
      </c>
      <c r="P526" s="272">
        <v>44536</v>
      </c>
      <c r="Q526" s="264" t="s">
        <v>1</v>
      </c>
      <c r="R526" s="264" t="s">
        <v>16</v>
      </c>
      <c r="S526" s="264" t="s">
        <v>16</v>
      </c>
      <c r="X526" s="264"/>
      <c r="Z526" s="264"/>
      <c r="AA526" s="264"/>
      <c r="AB526" s="265" t="str">
        <f>VLOOKUP(功能_33[[#This Row],[User]],SKL放款!A:G,7,FALSE)</f>
        <v>放款管理課</v>
      </c>
      <c r="AC526" s="272">
        <v>44533</v>
      </c>
      <c r="AD526" s="272" t="s">
        <v>168</v>
      </c>
      <c r="AE526" s="272">
        <v>44540</v>
      </c>
      <c r="AF526" s="272">
        <v>44540</v>
      </c>
      <c r="AG526" s="209" t="s">
        <v>2971</v>
      </c>
      <c r="AH526" s="272"/>
      <c r="AI526" s="272"/>
      <c r="AJ526" s="322"/>
      <c r="AK526" s="272">
        <f>IFERROR(IF(VLOOKUP(功能_33[[#This Row],[功能代號]],E:U,11,FALSE)=0,"",VLOOKUP(功能_33[[#This Row],[功能代號]],E:U,11,FALSE)),"")</f>
        <v>44517</v>
      </c>
      <c r="AL526" s="272"/>
      <c r="AM526" s="272"/>
      <c r="AN526" s="265"/>
      <c r="AP526" s="264" t="s">
        <v>2680</v>
      </c>
      <c r="AQ526" s="265" t="s">
        <v>2790</v>
      </c>
      <c r="AR526" s="594" t="s">
        <v>3138</v>
      </c>
      <c r="AS526" s="483" t="str">
        <f>IF(COUNTA(AG526)=1,LEFT(D526,3),"")</f>
        <v>8-3</v>
      </c>
      <c r="AT526" s="485" t="str">
        <f>IF(AND(COUNTA(O526)=1,COUNTA(P526)=1,COUNTA(AC526)=1,COUNTA(AF526)=1,COUNTA(AG526)=0),LEFT(D526,3),"")</f>
        <v/>
      </c>
      <c r="AU526" s="487" t="str">
        <f>IF(AND(COUNTA(O526)=1,COUNTA(P526)=1,COUNTA(AC526)=1,COUNTA(AF526)=0,COUNTA(AG526)=0),LEFT(D526,3),"")</f>
        <v/>
      </c>
      <c r="AV526" s="489" t="str">
        <f>IF(AND(COUNTA(P526)=0,COUNTA(AC526)=1),LEFT(D526,3),"")</f>
        <v/>
      </c>
      <c r="AW526" s="491" t="str">
        <f>IF(AND(COUNTA(P526)=1,COUNTA(AC526)=0),LEFT(D526,3),"")</f>
        <v/>
      </c>
      <c r="AX526" s="493" t="str">
        <f>IF(AND(COUNTA(P526)=0,COUNTA(AC526)=0),LEFT(D526,3),"")</f>
        <v/>
      </c>
      <c r="AY526" s="514" t="str">
        <f>IFERROR(VLOOKUP(功能_33[[#This Row],[功能代號]],SIT_FT_2021tmp!D:D,1,FALSE),"")</f>
        <v/>
      </c>
      <c r="AZ526" s="587">
        <v>44613</v>
      </c>
      <c r="BB526" s="514" t="s">
        <v>2453</v>
      </c>
      <c r="BC526" s="265" t="s">
        <v>2453</v>
      </c>
      <c r="BD526" s="594"/>
      <c r="BE526" s="265" t="str">
        <f>IF(AND(COUNTIF(AY526,"&gt;&lt;0")=1,COUNTA(M526)=1),LEFT(D526,3),"")</f>
        <v/>
      </c>
      <c r="BF526" s="265" t="str">
        <f>IF(AND(COUNTIF(AY526,"&gt;&lt;")=1,COUNTA(M526)=0),LEFT(D526,3),"")</f>
        <v/>
      </c>
      <c r="BG526" s="265" t="str">
        <f>IF(AND(COUNTIF(AY526,"&gt;&lt;0")=0,COUNTA(M526)=1),LEFT(D526,3),"")</f>
        <v>8-3</v>
      </c>
      <c r="BH526" s="265" t="str">
        <f>IF(AND(COUNTIF(AY526,"&gt;&lt;0")=0,COUNTA(M526)=0),LEFT(D526,3),"")</f>
        <v/>
      </c>
    </row>
    <row r="527" spans="3:60" ht="27" x14ac:dyDescent="0.3">
      <c r="C527" s="265" t="s">
        <v>72</v>
      </c>
      <c r="D527" s="265" t="s">
        <v>2477</v>
      </c>
      <c r="E527" s="264" t="s">
        <v>1312</v>
      </c>
      <c r="F527" s="265" t="s">
        <v>1313</v>
      </c>
      <c r="G527" s="265" t="s">
        <v>1105</v>
      </c>
      <c r="H527" s="264" t="s">
        <v>110</v>
      </c>
      <c r="I527" s="264" t="s">
        <v>110</v>
      </c>
      <c r="J527" s="271" t="s">
        <v>3238</v>
      </c>
      <c r="K527" s="638" t="s">
        <v>3239</v>
      </c>
      <c r="L527" s="272">
        <v>44575</v>
      </c>
      <c r="M527" s="272">
        <v>44580</v>
      </c>
      <c r="N527" s="272">
        <v>44518</v>
      </c>
      <c r="O527" s="272">
        <v>44517</v>
      </c>
      <c r="P527" s="272">
        <v>44536</v>
      </c>
      <c r="Q527" s="264" t="s">
        <v>1</v>
      </c>
      <c r="R527" s="264" t="s">
        <v>16</v>
      </c>
      <c r="S527" s="264" t="s">
        <v>16</v>
      </c>
      <c r="X527" s="264"/>
      <c r="Z527" s="264"/>
      <c r="AA527" s="264"/>
      <c r="AB527" s="265" t="str">
        <f>VLOOKUP(功能_33[[#This Row],[User]],SKL放款!A:G,7,FALSE)</f>
        <v>放款管理課</v>
      </c>
      <c r="AC527" s="272">
        <v>44533</v>
      </c>
      <c r="AD527" s="272" t="s">
        <v>168</v>
      </c>
      <c r="AE527" s="272">
        <v>44540</v>
      </c>
      <c r="AF527" s="272">
        <v>44540</v>
      </c>
      <c r="AG527" s="209" t="s">
        <v>2971</v>
      </c>
      <c r="AH527" s="272"/>
      <c r="AI527" s="272"/>
      <c r="AJ527" s="322"/>
      <c r="AK527" s="272">
        <f>IFERROR(IF(VLOOKUP(功能_33[[#This Row],[功能代號]],E:U,11,FALSE)=0,"",VLOOKUP(功能_33[[#This Row],[功能代號]],E:U,11,FALSE)),"")</f>
        <v>44517</v>
      </c>
      <c r="AL527" s="272"/>
      <c r="AM527" s="272"/>
      <c r="AN527" s="265"/>
      <c r="AP527" s="264" t="s">
        <v>2680</v>
      </c>
      <c r="AQ527" s="265" t="s">
        <v>2790</v>
      </c>
      <c r="AR527" s="594" t="s">
        <v>3138</v>
      </c>
      <c r="AS527" s="483" t="str">
        <f>IF(COUNTA(AG527)=1,LEFT(D527,3),"")</f>
        <v>8-3</v>
      </c>
      <c r="AT527" s="485" t="str">
        <f>IF(AND(COUNTA(O527)=1,COUNTA(P527)=1,COUNTA(AC527)=1,COUNTA(AF527)=1,COUNTA(AG527)=0),LEFT(D527,3),"")</f>
        <v/>
      </c>
      <c r="AU527" s="487" t="str">
        <f>IF(AND(COUNTA(O527)=1,COUNTA(P527)=1,COUNTA(AC527)=1,COUNTA(AF527)=0,COUNTA(AG527)=0),LEFT(D527,3),"")</f>
        <v/>
      </c>
      <c r="AV527" s="489" t="str">
        <f>IF(AND(COUNTA(P527)=0,COUNTA(AC527)=1),LEFT(D527,3),"")</f>
        <v/>
      </c>
      <c r="AW527" s="491" t="str">
        <f>IF(AND(COUNTA(P527)=1,COUNTA(AC527)=0),LEFT(D527,3),"")</f>
        <v/>
      </c>
      <c r="AX527" s="493" t="str">
        <f>IF(AND(COUNTA(P527)=0,COUNTA(AC527)=0),LEFT(D527,3),"")</f>
        <v/>
      </c>
      <c r="AY527" s="514" t="str">
        <f>IFERROR(VLOOKUP(功能_33[[#This Row],[功能代號]],SIT_FT_2021tmp!D:D,1,FALSE),"")</f>
        <v/>
      </c>
      <c r="AZ527" s="587">
        <v>44613</v>
      </c>
      <c r="BB527" s="514" t="s">
        <v>2453</v>
      </c>
      <c r="BC527" s="265" t="s">
        <v>2453</v>
      </c>
      <c r="BD527" s="594"/>
      <c r="BE527" s="265" t="str">
        <f>IF(AND(COUNTIF(AY527,"&gt;&lt;0")=1,COUNTA(M527)=1),LEFT(D527,3),"")</f>
        <v/>
      </c>
      <c r="BF527" s="265" t="str">
        <f>IF(AND(COUNTIF(AY527,"&gt;&lt;")=1,COUNTA(M527)=0),LEFT(D527,3),"")</f>
        <v/>
      </c>
      <c r="BG527" s="265" t="str">
        <f>IF(AND(COUNTIF(AY527,"&gt;&lt;0")=0,COUNTA(M527)=1),LEFT(D527,3),"")</f>
        <v>8-3</v>
      </c>
      <c r="BH527" s="265" t="str">
        <f>IF(AND(COUNTIF(AY527,"&gt;&lt;0")=0,COUNTA(M527)=0),LEFT(D527,3),"")</f>
        <v/>
      </c>
    </row>
    <row r="528" spans="3:60" ht="27" x14ac:dyDescent="0.3">
      <c r="C528" s="265" t="s">
        <v>72</v>
      </c>
      <c r="D528" s="265" t="s">
        <v>2477</v>
      </c>
      <c r="E528" s="264" t="s">
        <v>1314</v>
      </c>
      <c r="F528" s="265" t="s">
        <v>1315</v>
      </c>
      <c r="G528" s="265" t="s">
        <v>1105</v>
      </c>
      <c r="H528" s="264" t="s">
        <v>110</v>
      </c>
      <c r="I528" s="264" t="s">
        <v>110</v>
      </c>
      <c r="J528" s="271" t="s">
        <v>3238</v>
      </c>
      <c r="K528" s="638" t="s">
        <v>3239</v>
      </c>
      <c r="L528" s="272">
        <v>44575</v>
      </c>
      <c r="M528" s="272">
        <v>44580</v>
      </c>
      <c r="N528" s="272">
        <v>44518</v>
      </c>
      <c r="O528" s="272">
        <v>44517</v>
      </c>
      <c r="P528" s="272">
        <v>44536</v>
      </c>
      <c r="Q528" s="264" t="s">
        <v>1</v>
      </c>
      <c r="R528" s="264" t="s">
        <v>16</v>
      </c>
      <c r="S528" s="264" t="s">
        <v>16</v>
      </c>
      <c r="X528" s="264"/>
      <c r="Z528" s="264"/>
      <c r="AA528" s="264"/>
      <c r="AB528" s="265" t="str">
        <f>VLOOKUP(功能_33[[#This Row],[User]],SKL放款!A:G,7,FALSE)</f>
        <v>放款管理課</v>
      </c>
      <c r="AC528" s="272">
        <v>44533</v>
      </c>
      <c r="AD528" s="272" t="s">
        <v>168</v>
      </c>
      <c r="AE528" s="272">
        <v>44540</v>
      </c>
      <c r="AF528" s="272">
        <v>44540</v>
      </c>
      <c r="AG528" s="209" t="s">
        <v>2971</v>
      </c>
      <c r="AH528" s="272"/>
      <c r="AI528" s="272"/>
      <c r="AJ528" s="322"/>
      <c r="AK528" s="272">
        <f>IFERROR(IF(VLOOKUP(功能_33[[#This Row],[功能代號]],E:U,11,FALSE)=0,"",VLOOKUP(功能_33[[#This Row],[功能代號]],E:U,11,FALSE)),"")</f>
        <v>44517</v>
      </c>
      <c r="AL528" s="272"/>
      <c r="AM528" s="272"/>
      <c r="AN528" s="265"/>
      <c r="AP528" s="264" t="s">
        <v>2680</v>
      </c>
      <c r="AQ528" s="265" t="s">
        <v>2790</v>
      </c>
      <c r="AR528" s="594" t="s">
        <v>3138</v>
      </c>
      <c r="AS528" s="483" t="str">
        <f>IF(COUNTA(AG528)=1,LEFT(D528,3),"")</f>
        <v>8-3</v>
      </c>
      <c r="AT528" s="485" t="str">
        <f>IF(AND(COUNTA(O528)=1,COUNTA(P528)=1,COUNTA(AC528)=1,COUNTA(AF528)=1,COUNTA(AG528)=0),LEFT(D528,3),"")</f>
        <v/>
      </c>
      <c r="AU528" s="487" t="str">
        <f>IF(AND(COUNTA(O528)=1,COUNTA(P528)=1,COUNTA(AC528)=1,COUNTA(AF528)=0,COUNTA(AG528)=0),LEFT(D528,3),"")</f>
        <v/>
      </c>
      <c r="AV528" s="489" t="str">
        <f>IF(AND(COUNTA(P528)=0,COUNTA(AC528)=1),LEFT(D528,3),"")</f>
        <v/>
      </c>
      <c r="AW528" s="491" t="str">
        <f>IF(AND(COUNTA(P528)=1,COUNTA(AC528)=0),LEFT(D528,3),"")</f>
        <v/>
      </c>
      <c r="AX528" s="493" t="str">
        <f>IF(AND(COUNTA(P528)=0,COUNTA(AC528)=0),LEFT(D528,3),"")</f>
        <v/>
      </c>
      <c r="AY528" s="514" t="str">
        <f>IFERROR(VLOOKUP(功能_33[[#This Row],[功能代號]],SIT_FT_2021tmp!D:D,1,FALSE),"")</f>
        <v/>
      </c>
      <c r="AZ528" s="587">
        <v>44613</v>
      </c>
      <c r="BB528" s="514" t="s">
        <v>2453</v>
      </c>
      <c r="BC528" s="265" t="s">
        <v>2453</v>
      </c>
      <c r="BD528" s="594"/>
      <c r="BE528" s="265" t="str">
        <f>IF(AND(COUNTIF(AY528,"&gt;&lt;0")=1,COUNTA(M528)=1),LEFT(D528,3),"")</f>
        <v/>
      </c>
      <c r="BF528" s="265" t="str">
        <f>IF(AND(COUNTIF(AY528,"&gt;&lt;")=1,COUNTA(M528)=0),LEFT(D528,3),"")</f>
        <v/>
      </c>
      <c r="BG528" s="265" t="str">
        <f>IF(AND(COUNTIF(AY528,"&gt;&lt;0")=0,COUNTA(M528)=1),LEFT(D528,3),"")</f>
        <v>8-3</v>
      </c>
      <c r="BH528" s="265" t="str">
        <f>IF(AND(COUNTIF(AY528,"&gt;&lt;0")=0,COUNTA(M528)=0),LEFT(D528,3),"")</f>
        <v/>
      </c>
    </row>
    <row r="529" spans="3:60" ht="27" x14ac:dyDescent="0.3">
      <c r="C529" s="265" t="s">
        <v>72</v>
      </c>
      <c r="D529" s="265" t="s">
        <v>2477</v>
      </c>
      <c r="E529" s="264" t="s">
        <v>1316</v>
      </c>
      <c r="F529" s="265" t="s">
        <v>1317</v>
      </c>
      <c r="G529" s="265" t="s">
        <v>1105</v>
      </c>
      <c r="H529" s="264" t="s">
        <v>110</v>
      </c>
      <c r="I529" s="264" t="s">
        <v>110</v>
      </c>
      <c r="J529" s="271" t="s">
        <v>3238</v>
      </c>
      <c r="K529" s="638" t="s">
        <v>3239</v>
      </c>
      <c r="L529" s="272">
        <v>44575</v>
      </c>
      <c r="M529" s="272">
        <v>44580</v>
      </c>
      <c r="N529" s="272">
        <v>44519</v>
      </c>
      <c r="O529" s="272">
        <v>44517</v>
      </c>
      <c r="P529" s="272">
        <v>44536</v>
      </c>
      <c r="Q529" s="264" t="s">
        <v>1</v>
      </c>
      <c r="R529" s="264" t="s">
        <v>16</v>
      </c>
      <c r="S529" s="264" t="s">
        <v>16</v>
      </c>
      <c r="X529" s="264"/>
      <c r="Z529" s="264"/>
      <c r="AA529" s="264"/>
      <c r="AB529" s="265" t="str">
        <f>VLOOKUP(功能_33[[#This Row],[User]],SKL放款!A:G,7,FALSE)</f>
        <v>放款管理課</v>
      </c>
      <c r="AC529" s="272">
        <v>44533</v>
      </c>
      <c r="AD529" s="272" t="s">
        <v>168</v>
      </c>
      <c r="AE529" s="272">
        <v>44540</v>
      </c>
      <c r="AF529" s="272">
        <v>44540</v>
      </c>
      <c r="AG529" s="209" t="s">
        <v>2971</v>
      </c>
      <c r="AH529" s="272"/>
      <c r="AI529" s="272"/>
      <c r="AJ529" s="322"/>
      <c r="AK529" s="272">
        <f>IFERROR(IF(VLOOKUP(功能_33[[#This Row],[功能代號]],E:U,11,FALSE)=0,"",VLOOKUP(功能_33[[#This Row],[功能代號]],E:U,11,FALSE)),"")</f>
        <v>44517</v>
      </c>
      <c r="AL529" s="272"/>
      <c r="AM529" s="272"/>
      <c r="AN529" s="265"/>
      <c r="AP529" s="264" t="s">
        <v>2680</v>
      </c>
      <c r="AQ529" s="265" t="s">
        <v>2790</v>
      </c>
      <c r="AR529" s="594" t="s">
        <v>3138</v>
      </c>
      <c r="AS529" s="483" t="str">
        <f>IF(COUNTA(AG529)=1,LEFT(D529,3),"")</f>
        <v>8-3</v>
      </c>
      <c r="AT529" s="485" t="str">
        <f>IF(AND(COUNTA(O529)=1,COUNTA(P529)=1,COUNTA(AC529)=1,COUNTA(AF529)=1,COUNTA(AG529)=0),LEFT(D529,3),"")</f>
        <v/>
      </c>
      <c r="AU529" s="487" t="str">
        <f>IF(AND(COUNTA(O529)=1,COUNTA(P529)=1,COUNTA(AC529)=1,COUNTA(AF529)=0,COUNTA(AG529)=0),LEFT(D529,3),"")</f>
        <v/>
      </c>
      <c r="AV529" s="489" t="str">
        <f>IF(AND(COUNTA(P529)=0,COUNTA(AC529)=1),LEFT(D529,3),"")</f>
        <v/>
      </c>
      <c r="AW529" s="491" t="str">
        <f>IF(AND(COUNTA(P529)=1,COUNTA(AC529)=0),LEFT(D529,3),"")</f>
        <v/>
      </c>
      <c r="AX529" s="493" t="str">
        <f>IF(AND(COUNTA(P529)=0,COUNTA(AC529)=0),LEFT(D529,3),"")</f>
        <v/>
      </c>
      <c r="AY529" s="514" t="str">
        <f>IFERROR(VLOOKUP(功能_33[[#This Row],[功能代號]],SIT_FT_2021tmp!D:D,1,FALSE),"")</f>
        <v/>
      </c>
      <c r="AZ529" s="587">
        <v>44613</v>
      </c>
      <c r="BB529" s="514" t="s">
        <v>2453</v>
      </c>
      <c r="BC529" s="265" t="s">
        <v>2453</v>
      </c>
      <c r="BD529" s="594"/>
      <c r="BE529" s="265" t="str">
        <f>IF(AND(COUNTIF(AY529,"&gt;&lt;0")=1,COUNTA(M529)=1),LEFT(D529,3),"")</f>
        <v/>
      </c>
      <c r="BF529" s="265" t="str">
        <f>IF(AND(COUNTIF(AY529,"&gt;&lt;")=1,COUNTA(M529)=0),LEFT(D529,3),"")</f>
        <v/>
      </c>
      <c r="BG529" s="265" t="str">
        <f>IF(AND(COUNTIF(AY529,"&gt;&lt;0")=0,COUNTA(M529)=1),LEFT(D529,3),"")</f>
        <v>8-3</v>
      </c>
      <c r="BH529" s="265" t="str">
        <f>IF(AND(COUNTIF(AY529,"&gt;&lt;0")=0,COUNTA(M529)=0),LEFT(D529,3),"")</f>
        <v/>
      </c>
    </row>
    <row r="530" spans="3:60" ht="27" x14ac:dyDescent="0.3">
      <c r="C530" s="265" t="s">
        <v>72</v>
      </c>
      <c r="D530" s="265" t="s">
        <v>2477</v>
      </c>
      <c r="E530" s="264" t="s">
        <v>1318</v>
      </c>
      <c r="F530" s="265" t="s">
        <v>1319</v>
      </c>
      <c r="G530" s="265" t="s">
        <v>1105</v>
      </c>
      <c r="H530" s="264" t="s">
        <v>110</v>
      </c>
      <c r="I530" s="264" t="s">
        <v>110</v>
      </c>
      <c r="J530" s="271" t="s">
        <v>3238</v>
      </c>
      <c r="K530" s="638" t="s">
        <v>3239</v>
      </c>
      <c r="L530" s="272">
        <v>44575</v>
      </c>
      <c r="M530" s="272">
        <v>44580</v>
      </c>
      <c r="N530" s="272">
        <v>44519</v>
      </c>
      <c r="O530" s="272">
        <v>44517</v>
      </c>
      <c r="P530" s="272">
        <v>44536</v>
      </c>
      <c r="Q530" s="264" t="s">
        <v>1</v>
      </c>
      <c r="R530" s="264" t="s">
        <v>16</v>
      </c>
      <c r="S530" s="264" t="s">
        <v>16</v>
      </c>
      <c r="X530" s="264"/>
      <c r="Z530" s="264"/>
      <c r="AA530" s="264"/>
      <c r="AB530" s="265" t="str">
        <f>VLOOKUP(功能_33[[#This Row],[User]],SKL放款!A:G,7,FALSE)</f>
        <v>放款管理課</v>
      </c>
      <c r="AC530" s="272">
        <v>44533</v>
      </c>
      <c r="AD530" s="272" t="s">
        <v>168</v>
      </c>
      <c r="AE530" s="272">
        <v>44540</v>
      </c>
      <c r="AF530" s="272">
        <v>44540</v>
      </c>
      <c r="AG530" s="209" t="s">
        <v>2971</v>
      </c>
      <c r="AH530" s="272"/>
      <c r="AI530" s="272"/>
      <c r="AJ530" s="322"/>
      <c r="AK530" s="272">
        <f>IFERROR(IF(VLOOKUP(功能_33[[#This Row],[功能代號]],E:U,11,FALSE)=0,"",VLOOKUP(功能_33[[#This Row],[功能代號]],E:U,11,FALSE)),"")</f>
        <v>44517</v>
      </c>
      <c r="AL530" s="272"/>
      <c r="AM530" s="272"/>
      <c r="AN530" s="265"/>
      <c r="AP530" s="264" t="s">
        <v>2680</v>
      </c>
      <c r="AQ530" s="265" t="s">
        <v>2790</v>
      </c>
      <c r="AR530" s="594" t="s">
        <v>3138</v>
      </c>
      <c r="AS530" s="483" t="str">
        <f>IF(COUNTA(AG530)=1,LEFT(D530,3),"")</f>
        <v>8-3</v>
      </c>
      <c r="AT530" s="485" t="str">
        <f>IF(AND(COUNTA(O530)=1,COUNTA(P530)=1,COUNTA(AC530)=1,COUNTA(AF530)=1,COUNTA(AG530)=0),LEFT(D530,3),"")</f>
        <v/>
      </c>
      <c r="AU530" s="487" t="str">
        <f>IF(AND(COUNTA(O530)=1,COUNTA(P530)=1,COUNTA(AC530)=1,COUNTA(AF530)=0,COUNTA(AG530)=0),LEFT(D530,3),"")</f>
        <v/>
      </c>
      <c r="AV530" s="489" t="str">
        <f>IF(AND(COUNTA(P530)=0,COUNTA(AC530)=1),LEFT(D530,3),"")</f>
        <v/>
      </c>
      <c r="AW530" s="491" t="str">
        <f>IF(AND(COUNTA(P530)=1,COUNTA(AC530)=0),LEFT(D530,3),"")</f>
        <v/>
      </c>
      <c r="AX530" s="493" t="str">
        <f>IF(AND(COUNTA(P530)=0,COUNTA(AC530)=0),LEFT(D530,3),"")</f>
        <v/>
      </c>
      <c r="AY530" s="514" t="str">
        <f>IFERROR(VLOOKUP(功能_33[[#This Row],[功能代號]],SIT_FT_2021tmp!D:D,1,FALSE),"")</f>
        <v/>
      </c>
      <c r="AZ530" s="587">
        <v>44613</v>
      </c>
      <c r="BB530" s="514" t="s">
        <v>2453</v>
      </c>
      <c r="BC530" s="265" t="s">
        <v>2453</v>
      </c>
      <c r="BD530" s="594"/>
      <c r="BE530" s="265" t="str">
        <f>IF(AND(COUNTIF(AY530,"&gt;&lt;0")=1,COUNTA(M530)=1),LEFT(D530,3),"")</f>
        <v/>
      </c>
      <c r="BF530" s="265" t="str">
        <f>IF(AND(COUNTIF(AY530,"&gt;&lt;")=1,COUNTA(M530)=0),LEFT(D530,3),"")</f>
        <v/>
      </c>
      <c r="BG530" s="265" t="str">
        <f>IF(AND(COUNTIF(AY530,"&gt;&lt;0")=0,COUNTA(M530)=1),LEFT(D530,3),"")</f>
        <v>8-3</v>
      </c>
      <c r="BH530" s="265" t="str">
        <f>IF(AND(COUNTIF(AY530,"&gt;&lt;0")=0,COUNTA(M530)=0),LEFT(D530,3),"")</f>
        <v/>
      </c>
    </row>
    <row r="531" spans="3:60" ht="27" x14ac:dyDescent="0.3">
      <c r="C531" s="265" t="s">
        <v>72</v>
      </c>
      <c r="D531" s="265" t="s">
        <v>2477</v>
      </c>
      <c r="E531" s="264" t="s">
        <v>1320</v>
      </c>
      <c r="F531" s="265" t="s">
        <v>1321</v>
      </c>
      <c r="G531" s="265" t="s">
        <v>1105</v>
      </c>
      <c r="H531" s="264" t="s">
        <v>110</v>
      </c>
      <c r="I531" s="264" t="s">
        <v>110</v>
      </c>
      <c r="J531" s="271" t="s">
        <v>3238</v>
      </c>
      <c r="K531" s="638" t="s">
        <v>3239</v>
      </c>
      <c r="L531" s="272">
        <v>44575</v>
      </c>
      <c r="M531" s="272">
        <v>44580</v>
      </c>
      <c r="N531" s="272">
        <v>44519</v>
      </c>
      <c r="O531" s="272">
        <v>44517</v>
      </c>
      <c r="P531" s="272">
        <v>44536</v>
      </c>
      <c r="Q531" s="264" t="s">
        <v>1</v>
      </c>
      <c r="R531" s="264" t="s">
        <v>16</v>
      </c>
      <c r="S531" s="264" t="s">
        <v>16</v>
      </c>
      <c r="X531" s="264"/>
      <c r="Z531" s="264"/>
      <c r="AA531" s="264"/>
      <c r="AB531" s="265" t="str">
        <f>VLOOKUP(功能_33[[#This Row],[User]],SKL放款!A:G,7,FALSE)</f>
        <v>放款管理課</v>
      </c>
      <c r="AC531" s="272">
        <v>44533</v>
      </c>
      <c r="AD531" s="272" t="s">
        <v>168</v>
      </c>
      <c r="AE531" s="272">
        <v>44540</v>
      </c>
      <c r="AF531" s="272">
        <v>44540</v>
      </c>
      <c r="AG531" s="209" t="s">
        <v>2971</v>
      </c>
      <c r="AH531" s="272"/>
      <c r="AI531" s="272"/>
      <c r="AJ531" s="322"/>
      <c r="AK531" s="272">
        <f>IFERROR(IF(VLOOKUP(功能_33[[#This Row],[功能代號]],E:U,11,FALSE)=0,"",VLOOKUP(功能_33[[#This Row],[功能代號]],E:U,11,FALSE)),"")</f>
        <v>44517</v>
      </c>
      <c r="AL531" s="272"/>
      <c r="AM531" s="272"/>
      <c r="AN531" s="265"/>
      <c r="AP531" s="264" t="s">
        <v>2680</v>
      </c>
      <c r="AQ531" s="265" t="s">
        <v>2790</v>
      </c>
      <c r="AR531" s="594" t="s">
        <v>3138</v>
      </c>
      <c r="AS531" s="483" t="str">
        <f>IF(COUNTA(AG531)=1,LEFT(D531,3),"")</f>
        <v>8-3</v>
      </c>
      <c r="AT531" s="485" t="str">
        <f>IF(AND(COUNTA(O531)=1,COUNTA(P531)=1,COUNTA(AC531)=1,COUNTA(AF531)=1,COUNTA(AG531)=0),LEFT(D531,3),"")</f>
        <v/>
      </c>
      <c r="AU531" s="487" t="str">
        <f>IF(AND(COUNTA(O531)=1,COUNTA(P531)=1,COUNTA(AC531)=1,COUNTA(AF531)=0,COUNTA(AG531)=0),LEFT(D531,3),"")</f>
        <v/>
      </c>
      <c r="AV531" s="489" t="str">
        <f>IF(AND(COUNTA(P531)=0,COUNTA(AC531)=1),LEFT(D531,3),"")</f>
        <v/>
      </c>
      <c r="AW531" s="491" t="str">
        <f>IF(AND(COUNTA(P531)=1,COUNTA(AC531)=0),LEFT(D531,3),"")</f>
        <v/>
      </c>
      <c r="AX531" s="493" t="str">
        <f>IF(AND(COUNTA(P531)=0,COUNTA(AC531)=0),LEFT(D531,3),"")</f>
        <v/>
      </c>
      <c r="AY531" s="514" t="str">
        <f>IFERROR(VLOOKUP(功能_33[[#This Row],[功能代號]],SIT_FT_2021tmp!D:D,1,FALSE),"")</f>
        <v/>
      </c>
      <c r="AZ531" s="587">
        <v>44613</v>
      </c>
      <c r="BB531" s="514" t="s">
        <v>2453</v>
      </c>
      <c r="BC531" s="265" t="s">
        <v>2453</v>
      </c>
      <c r="BD531" s="594"/>
      <c r="BE531" s="265" t="str">
        <f>IF(AND(COUNTIF(AY531,"&gt;&lt;0")=1,COUNTA(M531)=1),LEFT(D531,3),"")</f>
        <v/>
      </c>
      <c r="BF531" s="265" t="str">
        <f>IF(AND(COUNTIF(AY531,"&gt;&lt;")=1,COUNTA(M531)=0),LEFT(D531,3),"")</f>
        <v/>
      </c>
      <c r="BG531" s="265" t="str">
        <f>IF(AND(COUNTIF(AY531,"&gt;&lt;0")=0,COUNTA(M531)=1),LEFT(D531,3),"")</f>
        <v>8-3</v>
      </c>
      <c r="BH531" s="265" t="str">
        <f>IF(AND(COUNTIF(AY531,"&gt;&lt;0")=0,COUNTA(M531)=0),LEFT(D531,3),"")</f>
        <v/>
      </c>
    </row>
    <row r="532" spans="3:60" ht="27" x14ac:dyDescent="0.3">
      <c r="C532" s="265" t="s">
        <v>72</v>
      </c>
      <c r="D532" s="265" t="s">
        <v>2477</v>
      </c>
      <c r="E532" s="264" t="s">
        <v>1322</v>
      </c>
      <c r="F532" s="265" t="s">
        <v>1323</v>
      </c>
      <c r="G532" s="265" t="s">
        <v>1105</v>
      </c>
      <c r="H532" s="264" t="s">
        <v>110</v>
      </c>
      <c r="I532" s="264" t="s">
        <v>110</v>
      </c>
      <c r="J532" s="271" t="s">
        <v>3238</v>
      </c>
      <c r="K532" s="638" t="s">
        <v>3239</v>
      </c>
      <c r="L532" s="272">
        <v>44575</v>
      </c>
      <c r="M532" s="272">
        <v>44580</v>
      </c>
      <c r="N532" s="272">
        <v>44519</v>
      </c>
      <c r="O532" s="272">
        <v>44517</v>
      </c>
      <c r="P532" s="272">
        <v>44536</v>
      </c>
      <c r="Q532" s="264" t="s">
        <v>1</v>
      </c>
      <c r="R532" s="264" t="s">
        <v>16</v>
      </c>
      <c r="S532" s="264" t="s">
        <v>16</v>
      </c>
      <c r="X532" s="264"/>
      <c r="Z532" s="264"/>
      <c r="AA532" s="264"/>
      <c r="AB532" s="265" t="str">
        <f>VLOOKUP(功能_33[[#This Row],[User]],SKL放款!A:G,7,FALSE)</f>
        <v>放款管理課</v>
      </c>
      <c r="AC532" s="272">
        <v>44533</v>
      </c>
      <c r="AD532" s="272" t="s">
        <v>168</v>
      </c>
      <c r="AE532" s="272">
        <v>44540</v>
      </c>
      <c r="AF532" s="272">
        <v>44540</v>
      </c>
      <c r="AG532" s="209" t="s">
        <v>2971</v>
      </c>
      <c r="AH532" s="272"/>
      <c r="AI532" s="272"/>
      <c r="AJ532" s="322"/>
      <c r="AK532" s="272">
        <f>IFERROR(IF(VLOOKUP(功能_33[[#This Row],[功能代號]],E:U,11,FALSE)=0,"",VLOOKUP(功能_33[[#This Row],[功能代號]],E:U,11,FALSE)),"")</f>
        <v>44517</v>
      </c>
      <c r="AL532" s="272"/>
      <c r="AM532" s="272"/>
      <c r="AN532" s="265"/>
      <c r="AP532" s="264" t="s">
        <v>2680</v>
      </c>
      <c r="AQ532" s="265" t="s">
        <v>2790</v>
      </c>
      <c r="AR532" s="594" t="s">
        <v>3138</v>
      </c>
      <c r="AS532" s="483" t="str">
        <f>IF(COUNTA(AG532)=1,LEFT(D532,3),"")</f>
        <v>8-3</v>
      </c>
      <c r="AT532" s="485" t="str">
        <f>IF(AND(COUNTA(O532)=1,COUNTA(P532)=1,COUNTA(AC532)=1,COUNTA(AF532)=1,COUNTA(AG532)=0),LEFT(D532,3),"")</f>
        <v/>
      </c>
      <c r="AU532" s="487" t="str">
        <f>IF(AND(COUNTA(O532)=1,COUNTA(P532)=1,COUNTA(AC532)=1,COUNTA(AF532)=0,COUNTA(AG532)=0),LEFT(D532,3),"")</f>
        <v/>
      </c>
      <c r="AV532" s="489" t="str">
        <f>IF(AND(COUNTA(P532)=0,COUNTA(AC532)=1),LEFT(D532,3),"")</f>
        <v/>
      </c>
      <c r="AW532" s="491" t="str">
        <f>IF(AND(COUNTA(P532)=1,COUNTA(AC532)=0),LEFT(D532,3),"")</f>
        <v/>
      </c>
      <c r="AX532" s="493" t="str">
        <f>IF(AND(COUNTA(P532)=0,COUNTA(AC532)=0),LEFT(D532,3),"")</f>
        <v/>
      </c>
      <c r="AY532" s="514" t="str">
        <f>IFERROR(VLOOKUP(功能_33[[#This Row],[功能代號]],SIT_FT_2021tmp!D:D,1,FALSE),"")</f>
        <v/>
      </c>
      <c r="AZ532" s="587">
        <v>44613</v>
      </c>
      <c r="BB532" s="514" t="s">
        <v>2453</v>
      </c>
      <c r="BC532" s="265" t="s">
        <v>2453</v>
      </c>
      <c r="BD532" s="594"/>
      <c r="BE532" s="265" t="str">
        <f>IF(AND(COUNTIF(AY532,"&gt;&lt;0")=1,COUNTA(M532)=1),LEFT(D532,3),"")</f>
        <v/>
      </c>
      <c r="BF532" s="265" t="str">
        <f>IF(AND(COUNTIF(AY532,"&gt;&lt;")=1,COUNTA(M532)=0),LEFT(D532,3),"")</f>
        <v/>
      </c>
      <c r="BG532" s="265" t="str">
        <f>IF(AND(COUNTIF(AY532,"&gt;&lt;0")=0,COUNTA(M532)=1),LEFT(D532,3),"")</f>
        <v>8-3</v>
      </c>
      <c r="BH532" s="265" t="str">
        <f>IF(AND(COUNTIF(AY532,"&gt;&lt;0")=0,COUNTA(M532)=0),LEFT(D532,3),"")</f>
        <v/>
      </c>
    </row>
    <row r="533" spans="3:60" ht="27" x14ac:dyDescent="0.3">
      <c r="C533" s="265" t="s">
        <v>72</v>
      </c>
      <c r="D533" s="265" t="s">
        <v>2477</v>
      </c>
      <c r="E533" s="264" t="s">
        <v>1324</v>
      </c>
      <c r="F533" s="265" t="s">
        <v>1325</v>
      </c>
      <c r="G533" s="265" t="s">
        <v>1105</v>
      </c>
      <c r="H533" s="264" t="s">
        <v>110</v>
      </c>
      <c r="I533" s="264" t="s">
        <v>110</v>
      </c>
      <c r="J533" s="271" t="s">
        <v>3238</v>
      </c>
      <c r="K533" s="638" t="s">
        <v>3239</v>
      </c>
      <c r="L533" s="272">
        <v>44575</v>
      </c>
      <c r="M533" s="272">
        <v>44580</v>
      </c>
      <c r="N533" s="272">
        <v>44519</v>
      </c>
      <c r="O533" s="272">
        <v>44517</v>
      </c>
      <c r="P533" s="272">
        <v>44536</v>
      </c>
      <c r="Q533" s="264" t="s">
        <v>1</v>
      </c>
      <c r="R533" s="264" t="s">
        <v>16</v>
      </c>
      <c r="S533" s="264" t="s">
        <v>16</v>
      </c>
      <c r="X533" s="264"/>
      <c r="Z533" s="264"/>
      <c r="AA533" s="264"/>
      <c r="AB533" s="265" t="str">
        <f>VLOOKUP(功能_33[[#This Row],[User]],SKL放款!A:G,7,FALSE)</f>
        <v>放款管理課</v>
      </c>
      <c r="AC533" s="272">
        <v>44533</v>
      </c>
      <c r="AD533" s="272" t="s">
        <v>168</v>
      </c>
      <c r="AE533" s="272">
        <v>44540</v>
      </c>
      <c r="AF533" s="272">
        <v>44540</v>
      </c>
      <c r="AG533" s="209" t="s">
        <v>2971</v>
      </c>
      <c r="AH533" s="272"/>
      <c r="AI533" s="272"/>
      <c r="AJ533" s="322"/>
      <c r="AK533" s="272">
        <f>IFERROR(IF(VLOOKUP(功能_33[[#This Row],[功能代號]],E:U,11,FALSE)=0,"",VLOOKUP(功能_33[[#This Row],[功能代號]],E:U,11,FALSE)),"")</f>
        <v>44517</v>
      </c>
      <c r="AL533" s="272"/>
      <c r="AM533" s="272"/>
      <c r="AN533" s="265"/>
      <c r="AP533" s="264" t="s">
        <v>2680</v>
      </c>
      <c r="AQ533" s="265" t="s">
        <v>2790</v>
      </c>
      <c r="AR533" s="594" t="s">
        <v>3138</v>
      </c>
      <c r="AS533" s="483" t="str">
        <f>IF(COUNTA(AG533)=1,LEFT(D533,3),"")</f>
        <v>8-3</v>
      </c>
      <c r="AT533" s="485" t="str">
        <f>IF(AND(COUNTA(O533)=1,COUNTA(P533)=1,COUNTA(AC533)=1,COUNTA(AF533)=1,COUNTA(AG533)=0),LEFT(D533,3),"")</f>
        <v/>
      </c>
      <c r="AU533" s="487" t="str">
        <f>IF(AND(COUNTA(O533)=1,COUNTA(P533)=1,COUNTA(AC533)=1,COUNTA(AF533)=0,COUNTA(AG533)=0),LEFT(D533,3),"")</f>
        <v/>
      </c>
      <c r="AV533" s="489" t="str">
        <f>IF(AND(COUNTA(P533)=0,COUNTA(AC533)=1),LEFT(D533,3),"")</f>
        <v/>
      </c>
      <c r="AW533" s="491" t="str">
        <f>IF(AND(COUNTA(P533)=1,COUNTA(AC533)=0),LEFT(D533,3),"")</f>
        <v/>
      </c>
      <c r="AX533" s="493" t="str">
        <f>IF(AND(COUNTA(P533)=0,COUNTA(AC533)=0),LEFT(D533,3),"")</f>
        <v/>
      </c>
      <c r="AY533" s="514" t="str">
        <f>IFERROR(VLOOKUP(功能_33[[#This Row],[功能代號]],SIT_FT_2021tmp!D:D,1,FALSE),"")</f>
        <v/>
      </c>
      <c r="AZ533" s="587">
        <v>44613</v>
      </c>
      <c r="BB533" s="514" t="s">
        <v>2453</v>
      </c>
      <c r="BC533" s="265" t="s">
        <v>2453</v>
      </c>
      <c r="BD533" s="594"/>
      <c r="BE533" s="265" t="str">
        <f>IF(AND(COUNTIF(AY533,"&gt;&lt;0")=1,COUNTA(M533)=1),LEFT(D533,3),"")</f>
        <v/>
      </c>
      <c r="BF533" s="265" t="str">
        <f>IF(AND(COUNTIF(AY533,"&gt;&lt;")=1,COUNTA(M533)=0),LEFT(D533,3),"")</f>
        <v/>
      </c>
      <c r="BG533" s="265" t="str">
        <f>IF(AND(COUNTIF(AY533,"&gt;&lt;0")=0,COUNTA(M533)=1),LEFT(D533,3),"")</f>
        <v>8-3</v>
      </c>
      <c r="BH533" s="265" t="str">
        <f>IF(AND(COUNTIF(AY533,"&gt;&lt;0")=0,COUNTA(M533)=0),LEFT(D533,3),"")</f>
        <v/>
      </c>
    </row>
    <row r="534" spans="3:60" ht="27" x14ac:dyDescent="0.3">
      <c r="C534" s="265" t="s">
        <v>72</v>
      </c>
      <c r="D534" s="265" t="s">
        <v>2477</v>
      </c>
      <c r="E534" s="264" t="s">
        <v>1326</v>
      </c>
      <c r="F534" s="265" t="s">
        <v>1327</v>
      </c>
      <c r="G534" s="265" t="s">
        <v>1105</v>
      </c>
      <c r="H534" s="264" t="s">
        <v>110</v>
      </c>
      <c r="I534" s="264" t="s">
        <v>110</v>
      </c>
      <c r="J534" s="271" t="s">
        <v>3238</v>
      </c>
      <c r="K534" s="638" t="s">
        <v>3239</v>
      </c>
      <c r="L534" s="272">
        <v>44575</v>
      </c>
      <c r="M534" s="272">
        <v>44580</v>
      </c>
      <c r="N534" s="272">
        <v>44519</v>
      </c>
      <c r="O534" s="272">
        <v>44517</v>
      </c>
      <c r="P534" s="272">
        <v>44536</v>
      </c>
      <c r="Q534" s="264" t="s">
        <v>1</v>
      </c>
      <c r="R534" s="264" t="s">
        <v>16</v>
      </c>
      <c r="S534" s="264" t="s">
        <v>16</v>
      </c>
      <c r="X534" s="264"/>
      <c r="Z534" s="264"/>
      <c r="AA534" s="264"/>
      <c r="AB534" s="265" t="str">
        <f>VLOOKUP(功能_33[[#This Row],[User]],SKL放款!A:G,7,FALSE)</f>
        <v>放款管理課</v>
      </c>
      <c r="AC534" s="272">
        <v>44533</v>
      </c>
      <c r="AD534" s="272" t="s">
        <v>168</v>
      </c>
      <c r="AE534" s="272">
        <v>44540</v>
      </c>
      <c r="AF534" s="272">
        <v>44540</v>
      </c>
      <c r="AG534" s="209" t="s">
        <v>2971</v>
      </c>
      <c r="AH534" s="272"/>
      <c r="AI534" s="272"/>
      <c r="AJ534" s="322"/>
      <c r="AK534" s="272">
        <f>IFERROR(IF(VLOOKUP(功能_33[[#This Row],[功能代號]],E:U,11,FALSE)=0,"",VLOOKUP(功能_33[[#This Row],[功能代號]],E:U,11,FALSE)),"")</f>
        <v>44517</v>
      </c>
      <c r="AL534" s="272"/>
      <c r="AM534" s="272"/>
      <c r="AN534" s="265"/>
      <c r="AP534" s="264" t="s">
        <v>2680</v>
      </c>
      <c r="AQ534" s="265" t="s">
        <v>2790</v>
      </c>
      <c r="AR534" s="594" t="s">
        <v>3138</v>
      </c>
      <c r="AS534" s="483" t="str">
        <f>IF(COUNTA(AG534)=1,LEFT(D534,3),"")</f>
        <v>8-3</v>
      </c>
      <c r="AT534" s="485" t="str">
        <f>IF(AND(COUNTA(O534)=1,COUNTA(P534)=1,COUNTA(AC534)=1,COUNTA(AF534)=1,COUNTA(AG534)=0),LEFT(D534,3),"")</f>
        <v/>
      </c>
      <c r="AU534" s="487" t="str">
        <f>IF(AND(COUNTA(O534)=1,COUNTA(P534)=1,COUNTA(AC534)=1,COUNTA(AF534)=0,COUNTA(AG534)=0),LEFT(D534,3),"")</f>
        <v/>
      </c>
      <c r="AV534" s="489" t="str">
        <f>IF(AND(COUNTA(P534)=0,COUNTA(AC534)=1),LEFT(D534,3),"")</f>
        <v/>
      </c>
      <c r="AW534" s="491" t="str">
        <f>IF(AND(COUNTA(P534)=1,COUNTA(AC534)=0),LEFT(D534,3),"")</f>
        <v/>
      </c>
      <c r="AX534" s="493" t="str">
        <f>IF(AND(COUNTA(P534)=0,COUNTA(AC534)=0),LEFT(D534,3),"")</f>
        <v/>
      </c>
      <c r="AY534" s="514" t="str">
        <f>IFERROR(VLOOKUP(功能_33[[#This Row],[功能代號]],SIT_FT_2021tmp!D:D,1,FALSE),"")</f>
        <v/>
      </c>
      <c r="AZ534" s="587">
        <v>44613</v>
      </c>
      <c r="BB534" s="514" t="s">
        <v>2453</v>
      </c>
      <c r="BC534" s="265" t="s">
        <v>2453</v>
      </c>
      <c r="BD534" s="594"/>
      <c r="BE534" s="265" t="str">
        <f>IF(AND(COUNTIF(AY534,"&gt;&lt;0")=1,COUNTA(M534)=1),LEFT(D534,3),"")</f>
        <v/>
      </c>
      <c r="BF534" s="265" t="str">
        <f>IF(AND(COUNTIF(AY534,"&gt;&lt;")=1,COUNTA(M534)=0),LEFT(D534,3),"")</f>
        <v/>
      </c>
      <c r="BG534" s="265" t="str">
        <f>IF(AND(COUNTIF(AY534,"&gt;&lt;0")=0,COUNTA(M534)=1),LEFT(D534,3),"")</f>
        <v>8-3</v>
      </c>
      <c r="BH534" s="265" t="str">
        <f>IF(AND(COUNTIF(AY534,"&gt;&lt;0")=0,COUNTA(M534)=0),LEFT(D534,3),"")</f>
        <v/>
      </c>
    </row>
    <row r="535" spans="3:60" ht="13.5" x14ac:dyDescent="0.3">
      <c r="C535" s="265" t="s">
        <v>72</v>
      </c>
      <c r="D535" s="265" t="s">
        <v>2478</v>
      </c>
      <c r="E535" s="264" t="s">
        <v>1328</v>
      </c>
      <c r="F535" s="265" t="s">
        <v>1329</v>
      </c>
      <c r="G535" s="265" t="s">
        <v>1330</v>
      </c>
      <c r="H535" s="264" t="s">
        <v>110</v>
      </c>
      <c r="I535" s="264" t="s">
        <v>110</v>
      </c>
      <c r="J535" s="271" t="s">
        <v>2770</v>
      </c>
      <c r="K535" s="271"/>
      <c r="L535" s="272">
        <v>44575</v>
      </c>
      <c r="M535" s="272">
        <v>44575</v>
      </c>
      <c r="N535" s="272">
        <v>44524</v>
      </c>
      <c r="O535" s="272">
        <v>44525</v>
      </c>
      <c r="P535" s="272">
        <v>44533</v>
      </c>
      <c r="Q535" s="264" t="s">
        <v>1</v>
      </c>
      <c r="R535" s="264" t="s">
        <v>12</v>
      </c>
      <c r="S535" s="264" t="s">
        <v>12</v>
      </c>
      <c r="X535" s="264"/>
      <c r="Z535" s="264"/>
      <c r="AA535" s="264"/>
      <c r="AB535" s="265" t="str">
        <f>VLOOKUP(功能_33[[#This Row],[User]],SKL放款!A:G,7,FALSE)</f>
        <v>放款管理課</v>
      </c>
      <c r="AC535" s="272">
        <v>44533</v>
      </c>
      <c r="AD535" s="272" t="s">
        <v>107</v>
      </c>
      <c r="AE535" s="272">
        <v>44540</v>
      </c>
      <c r="AF535" s="272">
        <v>44540</v>
      </c>
      <c r="AG535" s="209">
        <v>44544</v>
      </c>
      <c r="AH535" s="272"/>
      <c r="AI535" s="272"/>
      <c r="AJ535" s="272"/>
      <c r="AK535" s="272">
        <f>IFERROR(IF(VLOOKUP(功能_33[[#This Row],[功能代號]],E:U,11,FALSE)=0,"",VLOOKUP(功能_33[[#This Row],[功能代號]],E:U,11,FALSE)),"")</f>
        <v>44525</v>
      </c>
      <c r="AL535" s="272"/>
      <c r="AM535" s="272"/>
      <c r="AN535" s="265"/>
      <c r="AP535" s="264" t="s">
        <v>2680</v>
      </c>
      <c r="AQ535" s="265" t="s">
        <v>2764</v>
      </c>
      <c r="AR535" s="594" t="s">
        <v>3138</v>
      </c>
      <c r="AS535" s="483" t="str">
        <f>IF(COUNTA(AG535)=1,LEFT(D535,3),"")</f>
        <v>8-5</v>
      </c>
      <c r="AT535" s="485" t="str">
        <f>IF(AND(COUNTA(O535)=1,COUNTA(P535)=1,COUNTA(AC535)=1,COUNTA(AF535)=1,COUNTA(AG535)=0),LEFT(D535,3),"")</f>
        <v/>
      </c>
      <c r="AU535" s="487" t="str">
        <f>IF(AND(COUNTA(O535)=1,COUNTA(P535)=1,COUNTA(AC535)=1,COUNTA(AF535)=0,COUNTA(AG535)=0),LEFT(D535,3),"")</f>
        <v/>
      </c>
      <c r="AV535" s="489" t="str">
        <f>IF(AND(COUNTA(P535)=0,COUNTA(AC535)=1),LEFT(D535,3),"")</f>
        <v/>
      </c>
      <c r="AW535" s="491" t="str">
        <f>IF(AND(COUNTA(P535)=1,COUNTA(AC535)=0),LEFT(D535,3),"")</f>
        <v/>
      </c>
      <c r="AX535" s="493" t="str">
        <f>IF(AND(COUNTA(P535)=0,COUNTA(AC535)=0),LEFT(D535,3),"")</f>
        <v/>
      </c>
      <c r="AY535" s="514" t="str">
        <f>IFERROR(VLOOKUP(功能_33[[#This Row],[功能代號]],SIT_FT_2021tmp!D:D,1,FALSE),"")</f>
        <v/>
      </c>
      <c r="AZ535" s="587">
        <v>44613</v>
      </c>
      <c r="BB535" s="514" t="s">
        <v>2453</v>
      </c>
      <c r="BC535" s="265" t="s">
        <v>2453</v>
      </c>
      <c r="BD535" s="594"/>
      <c r="BE535" s="265" t="str">
        <f>IF(AND(COUNTIF(AY535,"&gt;&lt;0")=1,COUNTA(M535)=1),LEFT(D535,3),"")</f>
        <v/>
      </c>
      <c r="BF535" s="265" t="str">
        <f>IF(AND(COUNTIF(AY535,"&gt;&lt;")=1,COUNTA(M535)=0),LEFT(D535,3),"")</f>
        <v/>
      </c>
      <c r="BG535" s="265" t="str">
        <f>IF(AND(COUNTIF(AY535,"&gt;&lt;0")=0,COUNTA(M535)=1),LEFT(D535,3),"")</f>
        <v>8-5</v>
      </c>
      <c r="BH535" s="265" t="str">
        <f>IF(AND(COUNTIF(AY535,"&gt;&lt;0")=0,COUNTA(M535)=0),LEFT(D535,3),"")</f>
        <v/>
      </c>
    </row>
    <row r="536" spans="3:60" ht="13.5" x14ac:dyDescent="0.3">
      <c r="C536" s="265" t="s">
        <v>72</v>
      </c>
      <c r="D536" s="265" t="s">
        <v>2478</v>
      </c>
      <c r="E536" s="264" t="s">
        <v>1331</v>
      </c>
      <c r="F536" s="265" t="s">
        <v>1332</v>
      </c>
      <c r="G536" s="265" t="s">
        <v>1330</v>
      </c>
      <c r="H536" s="264" t="s">
        <v>110</v>
      </c>
      <c r="I536" s="264" t="s">
        <v>110</v>
      </c>
      <c r="J536" s="271" t="s">
        <v>2770</v>
      </c>
      <c r="K536" s="271"/>
      <c r="L536" s="272">
        <v>44617</v>
      </c>
      <c r="M536" s="272"/>
      <c r="N536" s="272">
        <v>44524</v>
      </c>
      <c r="O536" s="272">
        <v>44525</v>
      </c>
      <c r="P536" s="272">
        <v>44533</v>
      </c>
      <c r="Q536" s="264" t="s">
        <v>1</v>
      </c>
      <c r="R536" s="264" t="s">
        <v>12</v>
      </c>
      <c r="S536" s="264" t="s">
        <v>12</v>
      </c>
      <c r="X536" s="264"/>
      <c r="Z536" s="264"/>
      <c r="AA536" s="264"/>
      <c r="AB536" s="265" t="str">
        <f>VLOOKUP(功能_33[[#This Row],[User]],SKL放款!A:G,7,FALSE)</f>
        <v>放款管理課</v>
      </c>
      <c r="AC536" s="272">
        <v>44533</v>
      </c>
      <c r="AD536" s="272" t="s">
        <v>107</v>
      </c>
      <c r="AE536" s="272">
        <v>44540</v>
      </c>
      <c r="AF536" s="272">
        <v>44540</v>
      </c>
      <c r="AG536" s="209">
        <v>44544</v>
      </c>
      <c r="AH536" s="272"/>
      <c r="AI536" s="272"/>
      <c r="AJ536" s="272"/>
      <c r="AK536" s="272">
        <f>IFERROR(IF(VLOOKUP(功能_33[[#This Row],[功能代號]],E:U,11,FALSE)=0,"",VLOOKUP(功能_33[[#This Row],[功能代號]],E:U,11,FALSE)),"")</f>
        <v>44525</v>
      </c>
      <c r="AL536" s="272"/>
      <c r="AM536" s="272"/>
      <c r="AN536" s="265"/>
      <c r="AP536" s="264" t="s">
        <v>2680</v>
      </c>
      <c r="AQ536" s="265" t="s">
        <v>2764</v>
      </c>
      <c r="AR536" s="594" t="s">
        <v>3138</v>
      </c>
      <c r="AS536" s="483" t="str">
        <f>IF(COUNTA(AG536)=1,LEFT(D536,3),"")</f>
        <v>8-5</v>
      </c>
      <c r="AT536" s="485" t="str">
        <f>IF(AND(COUNTA(O536)=1,COUNTA(P536)=1,COUNTA(AC536)=1,COUNTA(AF536)=1,COUNTA(AG536)=0),LEFT(D536,3),"")</f>
        <v/>
      </c>
      <c r="AU536" s="487" t="str">
        <f>IF(AND(COUNTA(O536)=1,COUNTA(P536)=1,COUNTA(AC536)=1,COUNTA(AF536)=0,COUNTA(AG536)=0),LEFT(D536,3),"")</f>
        <v/>
      </c>
      <c r="AV536" s="489" t="str">
        <f>IF(AND(COUNTA(P536)=0,COUNTA(AC536)=1),LEFT(D536,3),"")</f>
        <v/>
      </c>
      <c r="AW536" s="491" t="str">
        <f>IF(AND(COUNTA(P536)=1,COUNTA(AC536)=0),LEFT(D536,3),"")</f>
        <v/>
      </c>
      <c r="AX536" s="493" t="str">
        <f>IF(AND(COUNTA(P536)=0,COUNTA(AC536)=0),LEFT(D536,3),"")</f>
        <v/>
      </c>
      <c r="AY536" s="514" t="str">
        <f>IFERROR(VLOOKUP(功能_33[[#This Row],[功能代號]],SIT_FT_2021tmp!D:D,1,FALSE),"")</f>
        <v/>
      </c>
      <c r="AZ536" s="587">
        <v>44617</v>
      </c>
      <c r="BB536" s="514" t="s">
        <v>2453</v>
      </c>
      <c r="BC536" s="265" t="s">
        <v>2453</v>
      </c>
      <c r="BD536" s="594"/>
      <c r="BE536" s="265" t="str">
        <f>IF(AND(COUNTIF(AY536,"&gt;&lt;0")=1,COUNTA(M536)=1),LEFT(D536,3),"")</f>
        <v/>
      </c>
      <c r="BF536" s="265" t="str">
        <f>IF(AND(COUNTIF(AY536,"&gt;&lt;")=1,COUNTA(M536)=0),LEFT(D536,3),"")</f>
        <v/>
      </c>
      <c r="BG536" s="265" t="str">
        <f>IF(AND(COUNTIF(AY536,"&gt;&lt;0")=0,COUNTA(M536)=1),LEFT(D536,3),"")</f>
        <v/>
      </c>
      <c r="BH536" s="265" t="str">
        <f>IF(AND(COUNTIF(AY536,"&gt;&lt;0")=0,COUNTA(M536)=0),LEFT(D536,3),"")</f>
        <v>8-5</v>
      </c>
    </row>
    <row r="537" spans="3:60" ht="13.5" x14ac:dyDescent="0.3">
      <c r="C537" s="265" t="s">
        <v>72</v>
      </c>
      <c r="D537" s="265" t="s">
        <v>2478</v>
      </c>
      <c r="E537" s="264" t="s">
        <v>1333</v>
      </c>
      <c r="F537" s="265" t="s">
        <v>1334</v>
      </c>
      <c r="G537" s="265" t="s">
        <v>1330</v>
      </c>
      <c r="H537" s="264" t="s">
        <v>110</v>
      </c>
      <c r="I537" s="264" t="s">
        <v>110</v>
      </c>
      <c r="J537" s="271" t="s">
        <v>2948</v>
      </c>
      <c r="K537" s="271" t="s">
        <v>2993</v>
      </c>
      <c r="L537" s="272">
        <v>44575</v>
      </c>
      <c r="M537" s="272">
        <v>44580</v>
      </c>
      <c r="N537" s="272">
        <v>44524</v>
      </c>
      <c r="O537" s="272">
        <v>44525</v>
      </c>
      <c r="P537" s="272">
        <v>44533</v>
      </c>
      <c r="Q537" s="264" t="s">
        <v>1</v>
      </c>
      <c r="R537" s="264" t="s">
        <v>16</v>
      </c>
      <c r="S537" s="264" t="s">
        <v>16</v>
      </c>
      <c r="T537" s="265" t="s">
        <v>12</v>
      </c>
      <c r="X537" s="264"/>
      <c r="Z537" s="264"/>
      <c r="AA537" s="264"/>
      <c r="AB537" s="265" t="str">
        <f>VLOOKUP(功能_33[[#This Row],[User]],SKL放款!A:G,7,FALSE)</f>
        <v>放款管理課</v>
      </c>
      <c r="AC537" s="272">
        <v>44533</v>
      </c>
      <c r="AD537" s="272" t="s">
        <v>107</v>
      </c>
      <c r="AE537" s="272">
        <v>44540</v>
      </c>
      <c r="AF537" s="272">
        <v>44540</v>
      </c>
      <c r="AG537" s="209" t="s">
        <v>2965</v>
      </c>
      <c r="AH537" s="272"/>
      <c r="AI537" s="272"/>
      <c r="AJ537" s="272"/>
      <c r="AK537" s="272">
        <f>IFERROR(IF(VLOOKUP(功能_33[[#This Row],[功能代號]],E:U,11,FALSE)=0,"",VLOOKUP(功能_33[[#This Row],[功能代號]],E:U,11,FALSE)),"")</f>
        <v>44525</v>
      </c>
      <c r="AL537" s="272"/>
      <c r="AM537" s="272"/>
      <c r="AN537" s="265"/>
      <c r="AP537" s="264" t="s">
        <v>2680</v>
      </c>
      <c r="AQ537" s="265" t="s">
        <v>2765</v>
      </c>
      <c r="AR537" s="594" t="s">
        <v>3138</v>
      </c>
      <c r="AS537" s="483" t="str">
        <f>IF(COUNTA(AG537)=1,LEFT(D537,3),"")</f>
        <v>8-5</v>
      </c>
      <c r="AT537" s="485" t="str">
        <f>IF(AND(COUNTA(O537)=1,COUNTA(P537)=1,COUNTA(AC537)=1,COUNTA(AF537)=1,COUNTA(AG537)=0),LEFT(D537,3),"")</f>
        <v/>
      </c>
      <c r="AU537" s="487" t="str">
        <f>IF(AND(COUNTA(O537)=1,COUNTA(P537)=1,COUNTA(AC537)=1,COUNTA(AF537)=0,COUNTA(AG537)=0),LEFT(D537,3),"")</f>
        <v/>
      </c>
      <c r="AV537" s="489" t="str">
        <f>IF(AND(COUNTA(P537)=0,COUNTA(AC537)=1),LEFT(D537,3),"")</f>
        <v/>
      </c>
      <c r="AW537" s="491" t="str">
        <f>IF(AND(COUNTA(P537)=1,COUNTA(AC537)=0),LEFT(D537,3),"")</f>
        <v/>
      </c>
      <c r="AX537" s="493" t="str">
        <f>IF(AND(COUNTA(P537)=0,COUNTA(AC537)=0),LEFT(D537,3),"")</f>
        <v/>
      </c>
      <c r="AY537" s="514" t="str">
        <f>IFERROR(VLOOKUP(功能_33[[#This Row],[功能代號]],SIT_FT_2021tmp!D:D,1,FALSE),"")</f>
        <v/>
      </c>
      <c r="AZ537" s="587">
        <v>44613</v>
      </c>
      <c r="BB537" s="514" t="s">
        <v>2453</v>
      </c>
      <c r="BC537" s="265" t="s">
        <v>2453</v>
      </c>
      <c r="BD537" s="594"/>
      <c r="BE537" s="265" t="str">
        <f>IF(AND(COUNTIF(AY537,"&gt;&lt;0")=1,COUNTA(M537)=1),LEFT(D537,3),"")</f>
        <v/>
      </c>
      <c r="BF537" s="265" t="str">
        <f>IF(AND(COUNTIF(AY537,"&gt;&lt;")=1,COUNTA(M537)=0),LEFT(D537,3),"")</f>
        <v/>
      </c>
      <c r="BG537" s="265" t="str">
        <f>IF(AND(COUNTIF(AY537,"&gt;&lt;0")=0,COUNTA(M537)=1),LEFT(D537,3),"")</f>
        <v>8-5</v>
      </c>
      <c r="BH537" s="265" t="str">
        <f>IF(AND(COUNTIF(AY537,"&gt;&lt;0")=0,COUNTA(M537)=0),LEFT(D537,3),"")</f>
        <v/>
      </c>
    </row>
    <row r="538" spans="3:60" ht="30" x14ac:dyDescent="0.3">
      <c r="C538" s="265" t="s">
        <v>72</v>
      </c>
      <c r="D538" s="265" t="s">
        <v>2470</v>
      </c>
      <c r="E538" s="264" t="s">
        <v>1335</v>
      </c>
      <c r="F538" s="265" t="s">
        <v>1336</v>
      </c>
      <c r="G538" s="265" t="s">
        <v>1337</v>
      </c>
      <c r="H538" s="264" t="s">
        <v>452</v>
      </c>
      <c r="I538" s="264" t="s">
        <v>452</v>
      </c>
      <c r="J538" s="271" t="s">
        <v>3091</v>
      </c>
      <c r="K538" s="212" t="s">
        <v>3088</v>
      </c>
      <c r="L538" s="272">
        <v>44589</v>
      </c>
      <c r="M538" s="272">
        <v>44578</v>
      </c>
      <c r="N538" s="272">
        <v>44524</v>
      </c>
      <c r="O538" s="272">
        <v>44525</v>
      </c>
      <c r="P538" s="272">
        <v>44529</v>
      </c>
      <c r="Q538" s="264" t="s">
        <v>1</v>
      </c>
      <c r="R538" s="264" t="s">
        <v>539</v>
      </c>
      <c r="S538" s="264" t="s">
        <v>539</v>
      </c>
      <c r="X538" s="264"/>
      <c r="Z538" s="264"/>
      <c r="AA538" s="264"/>
      <c r="AB538" s="265" t="str">
        <f>VLOOKUP(功能_33[[#This Row],[User]],SKL放款!A:G,7,FALSE)</f>
        <v>放款審查課</v>
      </c>
      <c r="AC538" s="272">
        <v>44529</v>
      </c>
      <c r="AD538" s="272" t="s">
        <v>107</v>
      </c>
      <c r="AE538" s="258">
        <v>44544</v>
      </c>
      <c r="AF538" s="272">
        <v>44544</v>
      </c>
      <c r="AG538" s="209" t="s">
        <v>3101</v>
      </c>
      <c r="AH538" s="272"/>
      <c r="AI538" s="272"/>
      <c r="AJ538" s="272"/>
      <c r="AK538" s="272">
        <f>IFERROR(IF(VLOOKUP(功能_33[[#This Row],[功能代號]],E:U,11,FALSE)=0,"",VLOOKUP(功能_33[[#This Row],[功能代號]],E:U,11,FALSE)),"")</f>
        <v>44525</v>
      </c>
      <c r="AL538" s="272"/>
      <c r="AM538" s="272"/>
      <c r="AN538" s="265"/>
      <c r="AP538" s="281" t="s">
        <v>2775</v>
      </c>
      <c r="AQ538" s="534" t="s">
        <v>2771</v>
      </c>
      <c r="AR538" s="594" t="s">
        <v>3138</v>
      </c>
      <c r="AS538" s="483" t="str">
        <f>IF(COUNTA(AG538)=1,LEFT(D538,3),"")</f>
        <v>8-4</v>
      </c>
      <c r="AT538" s="485" t="str">
        <f>IF(AND(COUNTA(O538)=1,COUNTA(P538)=1,COUNTA(AC538)=1,COUNTA(AF538)=1,COUNTA(AG538)=0),LEFT(D538,3),"")</f>
        <v/>
      </c>
      <c r="AU538" s="487" t="str">
        <f>IF(AND(COUNTA(O538)=1,COUNTA(P538)=1,COUNTA(AC538)=1,COUNTA(AF538)=0,COUNTA(AG538)=0),LEFT(D538,3),"")</f>
        <v/>
      </c>
      <c r="AV538" s="489" t="str">
        <f>IF(AND(COUNTA(P538)=0,COUNTA(AC538)=1),LEFT(D538,3),"")</f>
        <v/>
      </c>
      <c r="AW538" s="491" t="str">
        <f>IF(AND(COUNTA(P538)=1,COUNTA(AC538)=0),LEFT(D538,3),"")</f>
        <v/>
      </c>
      <c r="AX538" s="493" t="str">
        <f>IF(AND(COUNTA(P538)=0,COUNTA(AC538)=0),LEFT(D538,3),"")</f>
        <v/>
      </c>
      <c r="AY538" s="514" t="str">
        <f>IFERROR(VLOOKUP(功能_33[[#This Row],[功能代號]],SIT_FT_2021tmp!D:D,1,FALSE),"")</f>
        <v/>
      </c>
      <c r="AZ538" s="587">
        <v>44603</v>
      </c>
      <c r="BB538" s="514" t="s">
        <v>2453</v>
      </c>
      <c r="BC538" s="265" t="s">
        <v>2453</v>
      </c>
      <c r="BD538" s="594"/>
      <c r="BE538" s="265" t="str">
        <f>IF(AND(COUNTIF(AY538,"&gt;&lt;0")=1,COUNTA(M538)=1),LEFT(D538,3),"")</f>
        <v/>
      </c>
      <c r="BF538" s="265" t="str">
        <f>IF(AND(COUNTIF(AY538,"&gt;&lt;")=1,COUNTA(M538)=0),LEFT(D538,3),"")</f>
        <v/>
      </c>
      <c r="BG538" s="265" t="str">
        <f>IF(AND(COUNTIF(AY538,"&gt;&lt;0")=0,COUNTA(M538)=1),LEFT(D538,3),"")</f>
        <v>8-4</v>
      </c>
      <c r="BH538" s="265" t="str">
        <f>IF(AND(COUNTIF(AY538,"&gt;&lt;0")=0,COUNTA(M538)=0),LEFT(D538,3),"")</f>
        <v/>
      </c>
    </row>
    <row r="539" spans="3:60" ht="102.5" customHeight="1" x14ac:dyDescent="0.3">
      <c r="C539" s="265" t="s">
        <v>72</v>
      </c>
      <c r="D539" s="265" t="s">
        <v>2470</v>
      </c>
      <c r="E539" s="264" t="s">
        <v>1338</v>
      </c>
      <c r="F539" s="265" t="s">
        <v>1339</v>
      </c>
      <c r="G539" s="534" t="s">
        <v>2396</v>
      </c>
      <c r="H539" s="264" t="s">
        <v>452</v>
      </c>
      <c r="I539" s="264" t="s">
        <v>452</v>
      </c>
      <c r="J539" s="271" t="s">
        <v>3091</v>
      </c>
      <c r="K539" s="212" t="s">
        <v>3088</v>
      </c>
      <c r="L539" s="272">
        <v>44589</v>
      </c>
      <c r="M539" s="272">
        <v>44585</v>
      </c>
      <c r="N539" s="272">
        <v>44524</v>
      </c>
      <c r="O539" s="272">
        <v>44525</v>
      </c>
      <c r="P539" s="272">
        <v>44529</v>
      </c>
      <c r="Q539" s="264" t="s">
        <v>1</v>
      </c>
      <c r="R539" s="264" t="s">
        <v>539</v>
      </c>
      <c r="S539" s="264" t="s">
        <v>539</v>
      </c>
      <c r="X539" s="264"/>
      <c r="Z539" s="264"/>
      <c r="AA539" s="264"/>
      <c r="AB539" s="265" t="str">
        <f>VLOOKUP(功能_33[[#This Row],[User]],SKL放款!A:G,7,FALSE)</f>
        <v>放款審查課</v>
      </c>
      <c r="AC539" s="272">
        <v>44529</v>
      </c>
      <c r="AD539" s="272" t="s">
        <v>107</v>
      </c>
      <c r="AE539" s="258">
        <v>44544</v>
      </c>
      <c r="AF539" s="272">
        <v>44544</v>
      </c>
      <c r="AG539" s="209" t="s">
        <v>3101</v>
      </c>
      <c r="AH539" s="272"/>
      <c r="AI539" s="272"/>
      <c r="AJ539" s="272"/>
      <c r="AK539" s="272">
        <f>IFERROR(IF(VLOOKUP(功能_33[[#This Row],[功能代號]],E:U,11,FALSE)=0,"",VLOOKUP(功能_33[[#This Row],[功能代號]],E:U,11,FALSE)),"")</f>
        <v>44525</v>
      </c>
      <c r="AL539" s="272"/>
      <c r="AM539" s="272"/>
      <c r="AN539" s="265"/>
      <c r="AP539" s="281" t="s">
        <v>2774</v>
      </c>
      <c r="AQ539" s="534" t="s">
        <v>2772</v>
      </c>
      <c r="AR539" s="594" t="s">
        <v>3138</v>
      </c>
      <c r="AS539" s="483" t="str">
        <f>IF(COUNTA(AG539)=1,LEFT(D539,3),"")</f>
        <v>8-4</v>
      </c>
      <c r="AT539" s="485" t="str">
        <f>IF(AND(COUNTA(O539)=1,COUNTA(P539)=1,COUNTA(AC539)=1,COUNTA(AF539)=1,COUNTA(AG539)=0),LEFT(D539,3),"")</f>
        <v/>
      </c>
      <c r="AU539" s="487" t="str">
        <f>IF(AND(COUNTA(O539)=1,COUNTA(P539)=1,COUNTA(AC539)=1,COUNTA(AF539)=0,COUNTA(AG539)=0),LEFT(D539,3),"")</f>
        <v/>
      </c>
      <c r="AV539" s="489" t="str">
        <f>IF(AND(COUNTA(P539)=0,COUNTA(AC539)=1),LEFT(D539,3),"")</f>
        <v/>
      </c>
      <c r="AW539" s="491" t="str">
        <f>IF(AND(COUNTA(P539)=1,COUNTA(AC539)=0),LEFT(D539,3),"")</f>
        <v/>
      </c>
      <c r="AX539" s="493" t="str">
        <f>IF(AND(COUNTA(P539)=0,COUNTA(AC539)=0),LEFT(D539,3),"")</f>
        <v/>
      </c>
      <c r="AY539" s="514" t="str">
        <f>IFERROR(VLOOKUP(功能_33[[#This Row],[功能代號]],SIT_FT_2021tmp!D:D,1,FALSE),"")</f>
        <v/>
      </c>
      <c r="AZ539" s="587">
        <v>44603</v>
      </c>
      <c r="BB539" s="514" t="s">
        <v>2453</v>
      </c>
      <c r="BC539" s="265" t="s">
        <v>2453</v>
      </c>
      <c r="BD539" s="594"/>
      <c r="BE539" s="265" t="str">
        <f>IF(AND(COUNTIF(AY539,"&gt;&lt;0")=1,COUNTA(M539)=1),LEFT(D539,3),"")</f>
        <v/>
      </c>
      <c r="BF539" s="265" t="str">
        <f>IF(AND(COUNTIF(AY539,"&gt;&lt;")=1,COUNTA(M539)=0),LEFT(D539,3),"")</f>
        <v/>
      </c>
      <c r="BG539" s="265" t="str">
        <f>IF(AND(COUNTIF(AY539,"&gt;&lt;0")=0,COUNTA(M539)=1),LEFT(D539,3),"")</f>
        <v>8-4</v>
      </c>
      <c r="BH539" s="265" t="str">
        <f>IF(AND(COUNTIF(AY539,"&gt;&lt;0")=0,COUNTA(M539)=0),LEFT(D539,3),"")</f>
        <v/>
      </c>
    </row>
    <row r="540" spans="3:60" ht="27" x14ac:dyDescent="0.3">
      <c r="C540" s="265" t="s">
        <v>71</v>
      </c>
      <c r="D540" s="256" t="s">
        <v>2471</v>
      </c>
      <c r="E540" s="264" t="s">
        <v>1340</v>
      </c>
      <c r="F540" s="265" t="s">
        <v>1341</v>
      </c>
      <c r="G540" s="265" t="s">
        <v>1342</v>
      </c>
      <c r="H540" s="264" t="s">
        <v>452</v>
      </c>
      <c r="I540" s="264" t="s">
        <v>452</v>
      </c>
      <c r="J540" s="271" t="s">
        <v>3090</v>
      </c>
      <c r="K540" s="271"/>
      <c r="L540" s="272">
        <v>44585</v>
      </c>
      <c r="M540" s="272">
        <v>44578</v>
      </c>
      <c r="N540" s="272">
        <v>44530</v>
      </c>
      <c r="O540" s="272">
        <v>44530</v>
      </c>
      <c r="P540" s="272">
        <v>44536</v>
      </c>
      <c r="Q540" s="264" t="s">
        <v>1</v>
      </c>
      <c r="R540" s="264" t="s">
        <v>8</v>
      </c>
      <c r="S540" s="264" t="s">
        <v>8</v>
      </c>
      <c r="X540" s="264"/>
      <c r="Z540" s="264"/>
      <c r="AA540" s="264"/>
      <c r="AB540" s="265" t="str">
        <f>VLOOKUP(功能_33[[#This Row],[User]],SKL放款!A:G,7,FALSE)</f>
        <v>放款管理課</v>
      </c>
      <c r="AC540" s="272">
        <v>44536</v>
      </c>
      <c r="AD540" s="272"/>
      <c r="AE540" s="272">
        <v>44546</v>
      </c>
      <c r="AF540" s="272">
        <v>44546</v>
      </c>
      <c r="AG540" s="209">
        <v>44546</v>
      </c>
      <c r="AH540" s="272"/>
      <c r="AI540" s="272"/>
      <c r="AJ540" s="272"/>
      <c r="AK540" s="272">
        <f>IFERROR(IF(VLOOKUP(功能_33[[#This Row],[功能代號]],E:U,11,FALSE)=0,"",VLOOKUP(功能_33[[#This Row],[功能代號]],E:U,11,FALSE)),"")</f>
        <v>44530</v>
      </c>
      <c r="AL540" s="272"/>
      <c r="AM540" s="272"/>
      <c r="AN540" s="265"/>
      <c r="AP540" s="281" t="s">
        <v>2397</v>
      </c>
      <c r="AQ540" s="265" t="s">
        <v>2398</v>
      </c>
      <c r="AR540" s="594" t="s">
        <v>3138</v>
      </c>
      <c r="AS540" s="483" t="str">
        <f>IF(COUNTA(AG540)=1,LEFT(D540,3),"")</f>
        <v>7-2</v>
      </c>
      <c r="AT540" s="485" t="str">
        <f>IF(AND(COUNTA(O540)=1,COUNTA(P540)=1,COUNTA(AC540)=1,COUNTA(AF540)=1,COUNTA(AG540)=0),LEFT(D540,3),"")</f>
        <v/>
      </c>
      <c r="AU540" s="487" t="str">
        <f>IF(AND(COUNTA(O540)=1,COUNTA(P540)=1,COUNTA(AC540)=1,COUNTA(AF540)=0,COUNTA(AG540)=0),LEFT(D540,3),"")</f>
        <v/>
      </c>
      <c r="AV540" s="489" t="str">
        <f>IF(AND(COUNTA(P540)=0,COUNTA(AC540)=1),LEFT(D540,3),"")</f>
        <v/>
      </c>
      <c r="AW540" s="491" t="str">
        <f>IF(AND(COUNTA(P540)=1,COUNTA(AC540)=0),LEFT(D540,3),"")</f>
        <v/>
      </c>
      <c r="AX540" s="493" t="str">
        <f>IF(AND(COUNTA(P540)=0,COUNTA(AC540)=0),LEFT(D540,3),"")</f>
        <v/>
      </c>
      <c r="AY540" s="514" t="str">
        <f>IFERROR(VLOOKUP(功能_33[[#This Row],[功能代號]],SIT_FT_2021tmp!D:D,1,FALSE),"")</f>
        <v/>
      </c>
      <c r="AZ540" s="587">
        <v>44603</v>
      </c>
      <c r="BB540" s="514" t="s">
        <v>2453</v>
      </c>
      <c r="BC540" s="265" t="s">
        <v>2453</v>
      </c>
      <c r="BD540" s="594"/>
      <c r="BE540" s="265" t="str">
        <f>IF(AND(COUNTIF(AY540,"&gt;&lt;0")=1,COUNTA(M540)=1),LEFT(D540,3),"")</f>
        <v/>
      </c>
      <c r="BF540" s="265" t="str">
        <f>IF(AND(COUNTIF(AY540,"&gt;&lt;")=1,COUNTA(M540)=0),LEFT(D540,3),"")</f>
        <v/>
      </c>
      <c r="BG540" s="265" t="str">
        <f>IF(AND(COUNTIF(AY540,"&gt;&lt;0")=0,COUNTA(M540)=1),LEFT(D540,3),"")</f>
        <v>7-2</v>
      </c>
      <c r="BH540" s="265" t="str">
        <f>IF(AND(COUNTIF(AY540,"&gt;&lt;0")=0,COUNTA(M540)=0),LEFT(D540,3),"")</f>
        <v/>
      </c>
    </row>
    <row r="541" spans="3:60" ht="27" x14ac:dyDescent="0.3">
      <c r="C541" s="265" t="s">
        <v>71</v>
      </c>
      <c r="D541" s="256" t="s">
        <v>2471</v>
      </c>
      <c r="E541" s="264" t="s">
        <v>1343</v>
      </c>
      <c r="F541" s="265" t="s">
        <v>1344</v>
      </c>
      <c r="G541" s="265" t="s">
        <v>1342</v>
      </c>
      <c r="H541" s="264" t="s">
        <v>452</v>
      </c>
      <c r="I541" s="264" t="s">
        <v>452</v>
      </c>
      <c r="J541" s="271" t="s">
        <v>2840</v>
      </c>
      <c r="K541" s="271"/>
      <c r="L541" s="272">
        <v>44585</v>
      </c>
      <c r="M541" s="272">
        <v>44578</v>
      </c>
      <c r="N541" s="272">
        <v>44530</v>
      </c>
      <c r="O541" s="272">
        <v>44530</v>
      </c>
      <c r="P541" s="272">
        <v>44536</v>
      </c>
      <c r="Q541" s="264" t="s">
        <v>1</v>
      </c>
      <c r="R541" s="264" t="s">
        <v>8</v>
      </c>
      <c r="S541" s="264" t="s">
        <v>8</v>
      </c>
      <c r="X541" s="264"/>
      <c r="Z541" s="264"/>
      <c r="AA541" s="264"/>
      <c r="AB541" s="265" t="str">
        <f>VLOOKUP(功能_33[[#This Row],[User]],SKL放款!A:G,7,FALSE)</f>
        <v>放款管理課</v>
      </c>
      <c r="AC541" s="272">
        <v>44536</v>
      </c>
      <c r="AD541" s="272" t="s">
        <v>2394</v>
      </c>
      <c r="AE541" s="272">
        <v>44546</v>
      </c>
      <c r="AF541" s="272">
        <v>44546</v>
      </c>
      <c r="AG541" s="209">
        <v>44546</v>
      </c>
      <c r="AH541" s="272"/>
      <c r="AI541" s="272"/>
      <c r="AJ541" s="272"/>
      <c r="AK541" s="272">
        <f>IFERROR(IF(VLOOKUP(功能_33[[#This Row],[功能代號]],E:U,11,FALSE)=0,"",VLOOKUP(功能_33[[#This Row],[功能代號]],E:U,11,FALSE)),"")</f>
        <v>44530</v>
      </c>
      <c r="AL541" s="272"/>
      <c r="AM541" s="272"/>
      <c r="AN541" s="265"/>
      <c r="AP541" s="281" t="s">
        <v>2397</v>
      </c>
      <c r="AQ541" s="265" t="s">
        <v>2398</v>
      </c>
      <c r="AR541" s="594" t="s">
        <v>3203</v>
      </c>
      <c r="AS541" s="483" t="str">
        <f>IF(COUNTA(AG541)=1,LEFT(D541,3),"")</f>
        <v>7-2</v>
      </c>
      <c r="AT541" s="485" t="str">
        <f>IF(AND(COUNTA(O541)=1,COUNTA(P541)=1,COUNTA(AC541)=1,COUNTA(AF541)=1,COUNTA(AG541)=0),LEFT(D541,3),"")</f>
        <v/>
      </c>
      <c r="AU541" s="487" t="str">
        <f>IF(AND(COUNTA(O541)=1,COUNTA(P541)=1,COUNTA(AC541)=1,COUNTA(AF541)=0,COUNTA(AG541)=0),LEFT(D541,3),"")</f>
        <v/>
      </c>
      <c r="AV541" s="489" t="str">
        <f>IF(AND(COUNTA(P541)=0,COUNTA(AC541)=1),LEFT(D541,3),"")</f>
        <v/>
      </c>
      <c r="AW541" s="491" t="str">
        <f>IF(AND(COUNTA(P541)=1,COUNTA(AC541)=0),LEFT(D541,3),"")</f>
        <v/>
      </c>
      <c r="AX541" s="493" t="str">
        <f>IF(AND(COUNTA(P541)=0,COUNTA(AC541)=0),LEFT(D541,3),"")</f>
        <v/>
      </c>
      <c r="AY541" s="514" t="str">
        <f>IFERROR(VLOOKUP(功能_33[[#This Row],[功能代號]],SIT_FT_2021tmp!D:D,1,FALSE),"")</f>
        <v/>
      </c>
      <c r="AZ541" s="587">
        <v>44603</v>
      </c>
      <c r="BB541" s="514" t="s">
        <v>2453</v>
      </c>
      <c r="BC541" s="265" t="s">
        <v>2453</v>
      </c>
      <c r="BD541" s="594"/>
      <c r="BE541" s="265" t="str">
        <f>IF(AND(COUNTIF(AY541,"&gt;&lt;0")=1,COUNTA(M541)=1),LEFT(D541,3),"")</f>
        <v/>
      </c>
      <c r="BF541" s="265" t="str">
        <f>IF(AND(COUNTIF(AY541,"&gt;&lt;")=1,COUNTA(M541)=0),LEFT(D541,3),"")</f>
        <v/>
      </c>
      <c r="BG541" s="265" t="str">
        <f>IF(AND(COUNTIF(AY541,"&gt;&lt;0")=0,COUNTA(M541)=1),LEFT(D541,3),"")</f>
        <v>7-2</v>
      </c>
      <c r="BH541" s="265" t="str">
        <f>IF(AND(COUNTIF(AY541,"&gt;&lt;0")=0,COUNTA(M541)=0),LEFT(D541,3),"")</f>
        <v/>
      </c>
    </row>
    <row r="542" spans="3:60" ht="27" x14ac:dyDescent="0.3">
      <c r="C542" s="265" t="s">
        <v>71</v>
      </c>
      <c r="D542" s="256" t="s">
        <v>2471</v>
      </c>
      <c r="E542" s="264" t="s">
        <v>1345</v>
      </c>
      <c r="F542" s="265" t="s">
        <v>1346</v>
      </c>
      <c r="G542" s="265" t="s">
        <v>1342</v>
      </c>
      <c r="H542" s="264" t="s">
        <v>452</v>
      </c>
      <c r="I542" s="264" t="s">
        <v>452</v>
      </c>
      <c r="J542" s="271" t="s">
        <v>2840</v>
      </c>
      <c r="K542" s="271"/>
      <c r="L542" s="272">
        <v>44585</v>
      </c>
      <c r="M542" s="272">
        <v>44578</v>
      </c>
      <c r="N542" s="272">
        <v>44530</v>
      </c>
      <c r="O542" s="272">
        <v>44530</v>
      </c>
      <c r="P542" s="272">
        <v>44536</v>
      </c>
      <c r="Q542" s="264" t="s">
        <v>1</v>
      </c>
      <c r="R542" s="264" t="s">
        <v>8</v>
      </c>
      <c r="S542" s="264" t="s">
        <v>8</v>
      </c>
      <c r="X542" s="264"/>
      <c r="Z542" s="264"/>
      <c r="AA542" s="264"/>
      <c r="AB542" s="265" t="str">
        <f>VLOOKUP(功能_33[[#This Row],[User]],SKL放款!A:G,7,FALSE)</f>
        <v>放款管理課</v>
      </c>
      <c r="AC542" s="272">
        <v>44536</v>
      </c>
      <c r="AD542" s="272"/>
      <c r="AE542" s="272">
        <v>44546</v>
      </c>
      <c r="AF542" s="272">
        <v>44546</v>
      </c>
      <c r="AG542" s="209">
        <v>44546</v>
      </c>
      <c r="AH542" s="272"/>
      <c r="AI542" s="272"/>
      <c r="AJ542" s="272"/>
      <c r="AK542" s="272">
        <f>IFERROR(IF(VLOOKUP(功能_33[[#This Row],[功能代號]],E:U,11,FALSE)=0,"",VLOOKUP(功能_33[[#This Row],[功能代號]],E:U,11,FALSE)),"")</f>
        <v>44530</v>
      </c>
      <c r="AL542" s="272"/>
      <c r="AM542" s="272"/>
      <c r="AN542" s="265"/>
      <c r="AP542" s="281" t="s">
        <v>2399</v>
      </c>
      <c r="AQ542" s="265" t="s">
        <v>2400</v>
      </c>
      <c r="AR542" s="594" t="s">
        <v>3203</v>
      </c>
      <c r="AS542" s="483" t="str">
        <f>IF(COUNTA(AG542)=1,LEFT(D542,3),"")</f>
        <v>7-2</v>
      </c>
      <c r="AT542" s="485" t="str">
        <f>IF(AND(COUNTA(O542)=1,COUNTA(P542)=1,COUNTA(AC542)=1,COUNTA(AF542)=1,COUNTA(AG542)=0),LEFT(D542,3),"")</f>
        <v/>
      </c>
      <c r="AU542" s="487" t="str">
        <f>IF(AND(COUNTA(O542)=1,COUNTA(P542)=1,COUNTA(AC542)=1,COUNTA(AF542)=0,COUNTA(AG542)=0),LEFT(D542,3),"")</f>
        <v/>
      </c>
      <c r="AV542" s="489" t="str">
        <f>IF(AND(COUNTA(P542)=0,COUNTA(AC542)=1),LEFT(D542,3),"")</f>
        <v/>
      </c>
      <c r="AW542" s="491" t="str">
        <f>IF(AND(COUNTA(P542)=1,COUNTA(AC542)=0),LEFT(D542,3),"")</f>
        <v/>
      </c>
      <c r="AX542" s="493" t="str">
        <f>IF(AND(COUNTA(P542)=0,COUNTA(AC542)=0),LEFT(D542,3),"")</f>
        <v/>
      </c>
      <c r="AY542" s="514" t="str">
        <f>IFERROR(VLOOKUP(功能_33[[#This Row],[功能代號]],SIT_FT_2021tmp!D:D,1,FALSE),"")</f>
        <v/>
      </c>
      <c r="AZ542" s="587">
        <v>44603</v>
      </c>
      <c r="BB542" s="514" t="s">
        <v>2453</v>
      </c>
      <c r="BC542" s="265" t="s">
        <v>2453</v>
      </c>
      <c r="BD542" s="594"/>
      <c r="BE542" s="265" t="str">
        <f>IF(AND(COUNTIF(AY542,"&gt;&lt;0")=1,COUNTA(M542)=1),LEFT(D542,3),"")</f>
        <v/>
      </c>
      <c r="BF542" s="265" t="str">
        <f>IF(AND(COUNTIF(AY542,"&gt;&lt;")=1,COUNTA(M542)=0),LEFT(D542,3),"")</f>
        <v/>
      </c>
      <c r="BG542" s="265" t="str">
        <f>IF(AND(COUNTIF(AY542,"&gt;&lt;0")=0,COUNTA(M542)=1),LEFT(D542,3),"")</f>
        <v>7-2</v>
      </c>
      <c r="BH542" s="265" t="str">
        <f>IF(AND(COUNTIF(AY542,"&gt;&lt;0")=0,COUNTA(M542)=0),LEFT(D542,3),"")</f>
        <v/>
      </c>
    </row>
    <row r="543" spans="3:60" ht="27" x14ac:dyDescent="0.3">
      <c r="C543" s="265" t="s">
        <v>71</v>
      </c>
      <c r="D543" s="256" t="s">
        <v>2471</v>
      </c>
      <c r="E543" s="264" t="s">
        <v>1347</v>
      </c>
      <c r="F543" s="265" t="s">
        <v>1348</v>
      </c>
      <c r="G543" s="265" t="s">
        <v>1342</v>
      </c>
      <c r="H543" s="264" t="s">
        <v>452</v>
      </c>
      <c r="I543" s="264" t="s">
        <v>452</v>
      </c>
      <c r="J543" s="271" t="s">
        <v>3089</v>
      </c>
      <c r="K543" s="271" t="s">
        <v>3088</v>
      </c>
      <c r="L543" s="272">
        <v>44585</v>
      </c>
      <c r="M543" s="272">
        <v>44578</v>
      </c>
      <c r="N543" s="272">
        <v>44530</v>
      </c>
      <c r="O543" s="272">
        <v>44530</v>
      </c>
      <c r="P543" s="272">
        <v>44536</v>
      </c>
      <c r="Q543" s="264" t="s">
        <v>1</v>
      </c>
      <c r="R543" s="264" t="s">
        <v>8</v>
      </c>
      <c r="S543" s="264" t="s">
        <v>8</v>
      </c>
      <c r="X543" s="264"/>
      <c r="Z543" s="264"/>
      <c r="AA543" s="264"/>
      <c r="AB543" s="265" t="str">
        <f>VLOOKUP(功能_33[[#This Row],[User]],SKL放款!A:G,7,FALSE)</f>
        <v>放款管理課</v>
      </c>
      <c r="AC543" s="272">
        <v>44536</v>
      </c>
      <c r="AD543" s="272" t="s">
        <v>2394</v>
      </c>
      <c r="AE543" s="272">
        <v>44546</v>
      </c>
      <c r="AF543" s="272">
        <v>44546</v>
      </c>
      <c r="AG543" s="209" t="s">
        <v>3105</v>
      </c>
      <c r="AH543" s="272"/>
      <c r="AI543" s="272"/>
      <c r="AJ543" s="272"/>
      <c r="AK543" s="272">
        <f>IFERROR(IF(VLOOKUP(功能_33[[#This Row],[功能代號]],E:U,11,FALSE)=0,"",VLOOKUP(功能_33[[#This Row],[功能代號]],E:U,11,FALSE)),"")</f>
        <v>44530</v>
      </c>
      <c r="AL543" s="272"/>
      <c r="AM543" s="272"/>
      <c r="AN543" s="265"/>
      <c r="AP543" s="281" t="s">
        <v>2399</v>
      </c>
      <c r="AQ543" s="265" t="s">
        <v>2400</v>
      </c>
      <c r="AR543" s="594" t="s">
        <v>3203</v>
      </c>
      <c r="AS543" s="483" t="str">
        <f>IF(COUNTA(AG543)=1,LEFT(D543,3),"")</f>
        <v>7-2</v>
      </c>
      <c r="AT543" s="485" t="str">
        <f>IF(AND(COUNTA(O543)=1,COUNTA(P543)=1,COUNTA(AC543)=1,COUNTA(AF543)=1,COUNTA(AG543)=0),LEFT(D543,3),"")</f>
        <v/>
      </c>
      <c r="AU543" s="487" t="str">
        <f>IF(AND(COUNTA(O543)=1,COUNTA(P543)=1,COUNTA(AC543)=1,COUNTA(AF543)=0,COUNTA(AG543)=0),LEFT(D543,3),"")</f>
        <v/>
      </c>
      <c r="AV543" s="489" t="str">
        <f>IF(AND(COUNTA(P543)=0,COUNTA(AC543)=1),LEFT(D543,3),"")</f>
        <v/>
      </c>
      <c r="AW543" s="491" t="str">
        <f>IF(AND(COUNTA(P543)=1,COUNTA(AC543)=0),LEFT(D543,3),"")</f>
        <v/>
      </c>
      <c r="AX543" s="493" t="str">
        <f>IF(AND(COUNTA(P543)=0,COUNTA(AC543)=0),LEFT(D543,3),"")</f>
        <v/>
      </c>
      <c r="AY543" s="514" t="str">
        <f>IFERROR(VLOOKUP(功能_33[[#This Row],[功能代號]],SIT_FT_2021tmp!D:D,1,FALSE),"")</f>
        <v/>
      </c>
      <c r="AZ543" s="587">
        <v>44603</v>
      </c>
      <c r="BB543" s="514" t="s">
        <v>2453</v>
      </c>
      <c r="BC543" s="265" t="s">
        <v>2453</v>
      </c>
      <c r="BD543" s="594"/>
      <c r="BE543" s="265" t="str">
        <f>IF(AND(COUNTIF(AY543,"&gt;&lt;0")=1,COUNTA(M543)=1),LEFT(D543,3),"")</f>
        <v/>
      </c>
      <c r="BF543" s="265" t="str">
        <f>IF(AND(COUNTIF(AY543,"&gt;&lt;")=1,COUNTA(M543)=0),LEFT(D543,3),"")</f>
        <v/>
      </c>
      <c r="BG543" s="265" t="str">
        <f>IF(AND(COUNTIF(AY543,"&gt;&lt;0")=0,COUNTA(M543)=1),LEFT(D543,3),"")</f>
        <v>7-2</v>
      </c>
      <c r="BH543" s="265" t="str">
        <f>IF(AND(COUNTIF(AY543,"&gt;&lt;0")=0,COUNTA(M543)=0),LEFT(D543,3),"")</f>
        <v/>
      </c>
    </row>
    <row r="544" spans="3:60" ht="27" x14ac:dyDescent="0.3">
      <c r="C544" s="265" t="s">
        <v>71</v>
      </c>
      <c r="D544" s="256" t="s">
        <v>2762</v>
      </c>
      <c r="E544" s="264" t="s">
        <v>1349</v>
      </c>
      <c r="F544" s="265" t="s">
        <v>1350</v>
      </c>
      <c r="G544" s="265" t="s">
        <v>1342</v>
      </c>
      <c r="H544" s="264" t="s">
        <v>452</v>
      </c>
      <c r="I544" s="264" t="s">
        <v>452</v>
      </c>
      <c r="J544" s="271" t="s">
        <v>3089</v>
      </c>
      <c r="K544" s="212" t="s">
        <v>2993</v>
      </c>
      <c r="L544" s="272">
        <v>44585</v>
      </c>
      <c r="M544" s="272">
        <v>44578</v>
      </c>
      <c r="N544" s="272">
        <v>44530</v>
      </c>
      <c r="O544" s="272">
        <v>44530</v>
      </c>
      <c r="P544" s="272">
        <f>IFERROR(IF(VLOOKUP(功能_33[[#This Row],[功能代號]],討論項目!A:H,8,FALSE)=0,"",VLOOKUP(功能_33[[#This Row],[功能代號]],討論項目!A:H,8,FALSE)),"")</f>
        <v>44533</v>
      </c>
      <c r="Q544" s="264" t="s">
        <v>1</v>
      </c>
      <c r="R544" s="264" t="s">
        <v>8</v>
      </c>
      <c r="S544" s="264" t="s">
        <v>8</v>
      </c>
      <c r="X544" s="264"/>
      <c r="Z544" s="264"/>
      <c r="AA544" s="264"/>
      <c r="AB544" s="265" t="str">
        <f>VLOOKUP(功能_33[[#This Row],[User]],SKL放款!A:G,7,FALSE)</f>
        <v>放款管理課</v>
      </c>
      <c r="AC544" s="272">
        <v>44533</v>
      </c>
      <c r="AD544" s="272" t="s">
        <v>2394</v>
      </c>
      <c r="AE544" s="272">
        <v>44546</v>
      </c>
      <c r="AF544" s="272">
        <v>44546</v>
      </c>
      <c r="AG544" s="209" t="s">
        <v>3105</v>
      </c>
      <c r="AH544" s="272"/>
      <c r="AI544" s="272"/>
      <c r="AJ544" s="272"/>
      <c r="AK544" s="272">
        <f>IFERROR(IF(VLOOKUP(功能_33[[#This Row],[功能代號]],E:U,11,FALSE)=0,"",VLOOKUP(功能_33[[#This Row],[功能代號]],E:U,11,FALSE)),"")</f>
        <v>44530</v>
      </c>
      <c r="AL544" s="272"/>
      <c r="AM544" s="272"/>
      <c r="AN544" s="265"/>
      <c r="AP544" s="281" t="s">
        <v>2401</v>
      </c>
      <c r="AQ544" s="265" t="s">
        <v>2402</v>
      </c>
      <c r="AR544" s="594" t="s">
        <v>3203</v>
      </c>
      <c r="AS544" s="483" t="str">
        <f>IF(COUNTA(AG544)=1,LEFT(D544,3),"")</f>
        <v>7-2</v>
      </c>
      <c r="AT544" s="485" t="str">
        <f>IF(AND(COUNTA(O544)=1,COUNTA(P544)=1,COUNTA(AC544)=1,COUNTA(AF544)=1,COUNTA(AG544)=0),LEFT(D544,3),"")</f>
        <v/>
      </c>
      <c r="AU544" s="487" t="str">
        <f>IF(AND(COUNTA(O544)=1,COUNTA(P544)=1,COUNTA(AC544)=1,COUNTA(AF544)=0,COUNTA(AG544)=0),LEFT(D544,3),"")</f>
        <v/>
      </c>
      <c r="AV544" s="489" t="str">
        <f>IF(AND(COUNTA(P544)=0,COUNTA(AC544)=1),LEFT(D544,3),"")</f>
        <v/>
      </c>
      <c r="AW544" s="491" t="str">
        <f>IF(AND(COUNTA(P544)=1,COUNTA(AC544)=0),LEFT(D544,3),"")</f>
        <v/>
      </c>
      <c r="AX544" s="493" t="str">
        <f>IF(AND(COUNTA(P544)=0,COUNTA(AC544)=0),LEFT(D544,3),"")</f>
        <v/>
      </c>
      <c r="AY544" s="514" t="str">
        <f>IFERROR(VLOOKUP(功能_33[[#This Row],[功能代號]],SIT_FT_2021tmp!D:D,1,FALSE),"")</f>
        <v/>
      </c>
      <c r="AZ544" s="587">
        <v>44603</v>
      </c>
      <c r="BB544" s="514" t="s">
        <v>2453</v>
      </c>
      <c r="BC544" s="265" t="s">
        <v>2453</v>
      </c>
      <c r="BD544" s="594"/>
      <c r="BE544" s="265" t="str">
        <f>IF(AND(COUNTIF(AY544,"&gt;&lt;0")=1,COUNTA(M544)=1),LEFT(D544,3),"")</f>
        <v/>
      </c>
      <c r="BF544" s="265" t="str">
        <f>IF(AND(COUNTIF(AY544,"&gt;&lt;")=1,COUNTA(M544)=0),LEFT(D544,3),"")</f>
        <v/>
      </c>
      <c r="BG544" s="265" t="str">
        <f>IF(AND(COUNTIF(AY544,"&gt;&lt;0")=0,COUNTA(M544)=1),LEFT(D544,3),"")</f>
        <v>7-2</v>
      </c>
      <c r="BH544" s="265" t="str">
        <f>IF(AND(COUNTIF(AY544,"&gt;&lt;0")=0,COUNTA(M544)=0),LEFT(D544,3),"")</f>
        <v/>
      </c>
    </row>
    <row r="545" spans="1:61" ht="27" x14ac:dyDescent="0.3">
      <c r="C545" s="265" t="s">
        <v>71</v>
      </c>
      <c r="D545" s="256" t="s">
        <v>2471</v>
      </c>
      <c r="E545" s="264" t="s">
        <v>1351</v>
      </c>
      <c r="F545" s="265" t="s">
        <v>1352</v>
      </c>
      <c r="G545" s="265" t="s">
        <v>1342</v>
      </c>
      <c r="H545" s="264" t="s">
        <v>452</v>
      </c>
      <c r="I545" s="264" t="s">
        <v>452</v>
      </c>
      <c r="J545" s="271" t="s">
        <v>3089</v>
      </c>
      <c r="K545" s="212" t="s">
        <v>2993</v>
      </c>
      <c r="L545" s="272">
        <v>44585</v>
      </c>
      <c r="M545" s="272">
        <v>44578</v>
      </c>
      <c r="N545" s="272">
        <v>44530</v>
      </c>
      <c r="O545" s="272">
        <v>44530</v>
      </c>
      <c r="P545" s="272">
        <v>44536</v>
      </c>
      <c r="Q545" s="264" t="s">
        <v>1</v>
      </c>
      <c r="R545" s="264" t="s">
        <v>8</v>
      </c>
      <c r="S545" s="264" t="s">
        <v>8</v>
      </c>
      <c r="X545" s="264"/>
      <c r="Z545" s="264"/>
      <c r="AA545" s="264"/>
      <c r="AB545" s="265" t="str">
        <f>VLOOKUP(功能_33[[#This Row],[User]],SKL放款!A:G,7,FALSE)</f>
        <v>放款管理課</v>
      </c>
      <c r="AC545" s="272">
        <v>44536</v>
      </c>
      <c r="AD545" s="272" t="s">
        <v>2394</v>
      </c>
      <c r="AE545" s="272">
        <v>44546</v>
      </c>
      <c r="AF545" s="272">
        <v>44546</v>
      </c>
      <c r="AG545" s="209" t="s">
        <v>3105</v>
      </c>
      <c r="AH545" s="272"/>
      <c r="AI545" s="272"/>
      <c r="AJ545" s="272"/>
      <c r="AK545" s="272">
        <f>IFERROR(IF(VLOOKUP(功能_33[[#This Row],[功能代號]],E:U,11,FALSE)=0,"",VLOOKUP(功能_33[[#This Row],[功能代號]],E:U,11,FALSE)),"")</f>
        <v>44530</v>
      </c>
      <c r="AL545" s="272"/>
      <c r="AM545" s="272"/>
      <c r="AN545" s="265"/>
      <c r="AP545" s="281" t="s">
        <v>2401</v>
      </c>
      <c r="AQ545" s="265" t="s">
        <v>2402</v>
      </c>
      <c r="AR545" s="594" t="s">
        <v>3203</v>
      </c>
      <c r="AS545" s="483" t="str">
        <f>IF(COUNTA(AG545)=1,LEFT(D545,3),"")</f>
        <v>7-2</v>
      </c>
      <c r="AT545" s="485" t="str">
        <f>IF(AND(COUNTA(O545)=1,COUNTA(P545)=1,COUNTA(AC545)=1,COUNTA(AF545)=1,COUNTA(AG545)=0),LEFT(D545,3),"")</f>
        <v/>
      </c>
      <c r="AU545" s="487" t="str">
        <f>IF(AND(COUNTA(O545)=1,COUNTA(P545)=1,COUNTA(AC545)=1,COUNTA(AF545)=0,COUNTA(AG545)=0),LEFT(D545,3),"")</f>
        <v/>
      </c>
      <c r="AV545" s="489" t="str">
        <f>IF(AND(COUNTA(P545)=0,COUNTA(AC545)=1),LEFT(D545,3),"")</f>
        <v/>
      </c>
      <c r="AW545" s="491" t="str">
        <f>IF(AND(COUNTA(P545)=1,COUNTA(AC545)=0),LEFT(D545,3),"")</f>
        <v/>
      </c>
      <c r="AX545" s="493" t="str">
        <f>IF(AND(COUNTA(P545)=0,COUNTA(AC545)=0),LEFT(D545,3),"")</f>
        <v/>
      </c>
      <c r="AY545" s="514" t="str">
        <f>IFERROR(VLOOKUP(功能_33[[#This Row],[功能代號]],SIT_FT_2021tmp!D:D,1,FALSE),"")</f>
        <v/>
      </c>
      <c r="AZ545" s="587">
        <v>44603</v>
      </c>
      <c r="BB545" s="514" t="s">
        <v>2453</v>
      </c>
      <c r="BC545" s="265" t="s">
        <v>2453</v>
      </c>
      <c r="BD545" s="594"/>
      <c r="BE545" s="265" t="str">
        <f>IF(AND(COUNTIF(AY545,"&gt;&lt;0")=1,COUNTA(M545)=1),LEFT(D545,3),"")</f>
        <v/>
      </c>
      <c r="BF545" s="265" t="str">
        <f>IF(AND(COUNTIF(AY545,"&gt;&lt;")=1,COUNTA(M545)=0),LEFT(D545,3),"")</f>
        <v/>
      </c>
      <c r="BG545" s="265" t="str">
        <f>IF(AND(COUNTIF(AY545,"&gt;&lt;0")=0,COUNTA(M545)=1),LEFT(D545,3),"")</f>
        <v>7-2</v>
      </c>
      <c r="BH545" s="265" t="str">
        <f>IF(AND(COUNTIF(AY545,"&gt;&lt;0")=0,COUNTA(M545)=0),LEFT(D545,3),"")</f>
        <v/>
      </c>
    </row>
    <row r="546" spans="1:61" ht="27" x14ac:dyDescent="0.3">
      <c r="A546" s="535"/>
      <c r="B546" s="360"/>
      <c r="C546" s="265" t="s">
        <v>71</v>
      </c>
      <c r="D546" s="256" t="s">
        <v>2762</v>
      </c>
      <c r="E546" s="264" t="s">
        <v>3096</v>
      </c>
      <c r="F546" s="257" t="s">
        <v>3097</v>
      </c>
      <c r="G546" s="257" t="s">
        <v>3156</v>
      </c>
      <c r="H546" s="264" t="s">
        <v>2425</v>
      </c>
      <c r="I546" s="264" t="s">
        <v>452</v>
      </c>
      <c r="J546" s="271" t="s">
        <v>3089</v>
      </c>
      <c r="K546" s="271" t="s">
        <v>2834</v>
      </c>
      <c r="L546" s="272">
        <v>44585</v>
      </c>
      <c r="M546" s="272">
        <v>44579</v>
      </c>
      <c r="N546" s="272"/>
      <c r="O546" s="272"/>
      <c r="P546" s="272" t="str">
        <f>IFERROR(IF(VLOOKUP(功能_33[[#This Row],[功能代號]],討論項目!A:H,8,FALSE)=0,"",VLOOKUP(功能_33[[#This Row],[功能代號]],討論項目!A:H,8,FALSE)),"")</f>
        <v/>
      </c>
      <c r="Q546" s="264" t="s">
        <v>1</v>
      </c>
      <c r="R546" s="264" t="e">
        <v>#N/A</v>
      </c>
      <c r="S546" s="664" t="s">
        <v>8</v>
      </c>
      <c r="X546" s="264"/>
      <c r="Z546" s="264"/>
      <c r="AA546" s="264"/>
      <c r="AB546" s="360" t="str">
        <f>VLOOKUP(功能_33[[#This Row],[User]],SKL放款!A:G,7,FALSE)</f>
        <v>放款管理課</v>
      </c>
      <c r="AC546" s="272"/>
      <c r="AD546" s="272"/>
      <c r="AE546" s="258"/>
      <c r="AF546" s="259"/>
      <c r="AG546" s="583">
        <v>44578</v>
      </c>
      <c r="AH546" s="259"/>
      <c r="AI546" s="259"/>
      <c r="AJ546" s="259"/>
      <c r="AK546" s="259" t="str">
        <f>IFERROR(IF(VLOOKUP(功能_33[[#This Row],[功能代號]],E:U,11,FALSE)=0,"",VLOOKUP(功能_33[[#This Row],[功能代號]],E:U,11,FALSE)),"")</f>
        <v/>
      </c>
      <c r="AL546" s="259"/>
      <c r="AM546" s="259"/>
      <c r="AN546" s="360"/>
      <c r="AP546" s="207" t="s">
        <v>3113</v>
      </c>
      <c r="AQ546" s="265" t="s">
        <v>3114</v>
      </c>
      <c r="AR546" s="594" t="s">
        <v>3203</v>
      </c>
      <c r="AS546" s="536" t="str">
        <f>IF(COUNTA(AG546)=1,LEFT(D546,3),"")</f>
        <v>7-2</v>
      </c>
      <c r="AT546" s="485" t="str">
        <f>IF(AND(COUNTA(O546)=1,COUNTA(P546)=1,COUNTA(AC546)=1,COUNTA(AF546)=1,COUNTA(AG546)=0),LEFT(D546,3),"")</f>
        <v/>
      </c>
      <c r="AU546" s="487" t="str">
        <f>IF(AND(COUNTA(O546)=1,COUNTA(P546)=1,COUNTA(AC546)=1,COUNTA(AF546)=0,COUNTA(AG546)=0),LEFT(D546,3),"")</f>
        <v/>
      </c>
      <c r="AV546" s="489" t="str">
        <f>IF(AND(COUNTA(P546)=0,COUNTA(AC546)=1),LEFT(D546,3),"")</f>
        <v/>
      </c>
      <c r="AW546" s="491" t="str">
        <f>IF(AND(COUNTA(P546)=1,COUNTA(AC546)=0),LEFT(D546,3),"")</f>
        <v>7-2</v>
      </c>
      <c r="AX546" s="493" t="str">
        <f>IF(AND(COUNTA(P546)=0,COUNTA(AC546)=0),LEFT(D546,3),"")</f>
        <v/>
      </c>
      <c r="AY546" s="514" t="str">
        <f>IFERROR(VLOOKUP(功能_33[[#This Row],[功能代號]],SIT_FT_2021tmp!D:D,1,FALSE),"")</f>
        <v/>
      </c>
      <c r="AZ546" s="587">
        <v>44603</v>
      </c>
      <c r="BB546" s="514"/>
      <c r="BC546" s="360"/>
      <c r="BD546" s="594"/>
      <c r="BE546" s="360" t="str">
        <f>IF(AND(COUNTIF(AY546,"&gt;&lt;0")=1,COUNTA(M546)=1),LEFT(D546,3),"")</f>
        <v/>
      </c>
      <c r="BF546" s="360" t="str">
        <f>IF(AND(COUNTIF(AY546,"&gt;&lt;")=1,COUNTA(M546)=0),LEFT(D546,3),"")</f>
        <v/>
      </c>
      <c r="BG546" s="360" t="str">
        <f>IF(AND(COUNTIF(AY546,"&gt;&lt;0")=0,COUNTA(M546)=1),LEFT(D546,3),"")</f>
        <v>7-2</v>
      </c>
      <c r="BH546" s="360" t="str">
        <f>IF(AND(COUNTIF(AY546,"&gt;&lt;0")=0,COUNTA(M546)=0),LEFT(D546,3),"")</f>
        <v/>
      </c>
      <c r="BI546" s="360"/>
    </row>
    <row r="547" spans="1:61" ht="27" x14ac:dyDescent="0.3">
      <c r="C547" s="265" t="s">
        <v>71</v>
      </c>
      <c r="D547" s="256" t="s">
        <v>2471</v>
      </c>
      <c r="E547" s="264" t="s">
        <v>1353</v>
      </c>
      <c r="F547" s="265" t="s">
        <v>1354</v>
      </c>
      <c r="G547" s="265" t="s">
        <v>1342</v>
      </c>
      <c r="H547" s="264" t="s">
        <v>452</v>
      </c>
      <c r="I547" s="264" t="s">
        <v>452</v>
      </c>
      <c r="J547" s="271" t="s">
        <v>3089</v>
      </c>
      <c r="K547" s="271" t="s">
        <v>3088</v>
      </c>
      <c r="L547" s="272">
        <v>44585</v>
      </c>
      <c r="M547" s="272">
        <v>44579</v>
      </c>
      <c r="N547" s="272">
        <v>44530</v>
      </c>
      <c r="O547" s="272">
        <v>44530</v>
      </c>
      <c r="P547" s="272">
        <f>IFERROR(IF(VLOOKUP(功能_33[[#This Row],[功能代號]],討論項目!A:H,8,FALSE)=0,"",VLOOKUP(功能_33[[#This Row],[功能代號]],討論項目!A:H,8,FALSE)),"")</f>
        <v>44533</v>
      </c>
      <c r="Q547" s="264" t="s">
        <v>1</v>
      </c>
      <c r="R547" s="264" t="s">
        <v>5</v>
      </c>
      <c r="S547" s="264" t="s">
        <v>5</v>
      </c>
      <c r="T547" s="265" t="s">
        <v>2678</v>
      </c>
      <c r="X547" s="264"/>
      <c r="Z547" s="264"/>
      <c r="AA547" s="264"/>
      <c r="AB547" s="265" t="str">
        <f>VLOOKUP(功能_33[[#This Row],[User]],SKL放款!A:G,7,FALSE)</f>
        <v>放款服務課</v>
      </c>
      <c r="AC547" s="272">
        <v>44533</v>
      </c>
      <c r="AD547" s="272" t="s">
        <v>2394</v>
      </c>
      <c r="AE547" s="272">
        <v>44546</v>
      </c>
      <c r="AF547" s="272">
        <v>44546</v>
      </c>
      <c r="AG547" s="209" t="s">
        <v>3105</v>
      </c>
      <c r="AH547" s="272"/>
      <c r="AI547" s="272"/>
      <c r="AJ547" s="272"/>
      <c r="AK547" s="272">
        <f>IFERROR(IF(VLOOKUP(功能_33[[#This Row],[功能代號]],E:U,11,FALSE)=0,"",VLOOKUP(功能_33[[#This Row],[功能代號]],E:U,11,FALSE)),"")</f>
        <v>44530</v>
      </c>
      <c r="AL547" s="272"/>
      <c r="AM547" s="272"/>
      <c r="AN547" s="265"/>
      <c r="AP547" s="281" t="s">
        <v>2403</v>
      </c>
      <c r="AQ547" s="265" t="s">
        <v>2404</v>
      </c>
      <c r="AR547" s="594" t="s">
        <v>3203</v>
      </c>
      <c r="AS547" s="483" t="str">
        <f>IF(COUNTA(AG547)=1,LEFT(D547,3),"")</f>
        <v>7-2</v>
      </c>
      <c r="AT547" s="485" t="str">
        <f>IF(AND(COUNTA(O547)=1,COUNTA(P547)=1,COUNTA(AC547)=1,COUNTA(AF547)=1,COUNTA(AG547)=0),LEFT(D547,3),"")</f>
        <v/>
      </c>
      <c r="AU547" s="487" t="str">
        <f>IF(AND(COUNTA(O547)=1,COUNTA(P547)=1,COUNTA(AC547)=1,COUNTA(AF547)=0,COUNTA(AG547)=0),LEFT(D547,3),"")</f>
        <v/>
      </c>
      <c r="AV547" s="489" t="str">
        <f>IF(AND(COUNTA(P547)=0,COUNTA(AC547)=1),LEFT(D547,3),"")</f>
        <v/>
      </c>
      <c r="AW547" s="491" t="str">
        <f>IF(AND(COUNTA(P547)=1,COUNTA(AC547)=0),LEFT(D547,3),"")</f>
        <v/>
      </c>
      <c r="AX547" s="493" t="str">
        <f>IF(AND(COUNTA(P547)=0,COUNTA(AC547)=0),LEFT(D547,3),"")</f>
        <v/>
      </c>
      <c r="AY547" s="514" t="str">
        <f>IFERROR(VLOOKUP(功能_33[[#This Row],[功能代號]],SIT_FT_2021tmp!D:D,1,FALSE),"")</f>
        <v/>
      </c>
      <c r="AZ547" s="587">
        <v>44603</v>
      </c>
      <c r="BB547" s="514" t="s">
        <v>2453</v>
      </c>
      <c r="BC547" s="265" t="s">
        <v>2453</v>
      </c>
      <c r="BD547" s="594"/>
      <c r="BE547" s="265" t="str">
        <f>IF(AND(COUNTIF(AY547,"&gt;&lt;0")=1,COUNTA(M547)=1),LEFT(D547,3),"")</f>
        <v/>
      </c>
      <c r="BF547" s="265" t="str">
        <f>IF(AND(COUNTIF(AY547,"&gt;&lt;")=1,COUNTA(M547)=0),LEFT(D547,3),"")</f>
        <v/>
      </c>
      <c r="BG547" s="265" t="str">
        <f>IF(AND(COUNTIF(AY547,"&gt;&lt;0")=0,COUNTA(M547)=1),LEFT(D547,3),"")</f>
        <v>7-2</v>
      </c>
      <c r="BH547" s="265" t="str">
        <f>IF(AND(COUNTIF(AY547,"&gt;&lt;0")=0,COUNTA(M547)=0),LEFT(D547,3),"")</f>
        <v/>
      </c>
    </row>
    <row r="548" spans="1:61" ht="81" x14ac:dyDescent="0.3">
      <c r="C548" s="265" t="s">
        <v>71</v>
      </c>
      <c r="D548" s="256" t="s">
        <v>2471</v>
      </c>
      <c r="E548" s="264" t="s">
        <v>1355</v>
      </c>
      <c r="F548" s="265" t="s">
        <v>1356</v>
      </c>
      <c r="G548" s="265" t="s">
        <v>1342</v>
      </c>
      <c r="H548" s="264" t="s">
        <v>452</v>
      </c>
      <c r="I548" s="264" t="s">
        <v>452</v>
      </c>
      <c r="J548" s="271" t="s">
        <v>2840</v>
      </c>
      <c r="K548" s="271"/>
      <c r="L548" s="272">
        <v>44589</v>
      </c>
      <c r="M548" s="272">
        <v>44583</v>
      </c>
      <c r="N548" s="272">
        <v>44530</v>
      </c>
      <c r="O548" s="272">
        <v>44530</v>
      </c>
      <c r="P548" s="272">
        <f>IFERROR(IF(VLOOKUP(功能_33[[#This Row],[功能代號]],討論項目!A:H,8,FALSE)=0,"",VLOOKUP(功能_33[[#This Row],[功能代號]],討論項目!A:H,8,FALSE)),"")</f>
        <v>44533</v>
      </c>
      <c r="Q548" s="264" t="s">
        <v>1</v>
      </c>
      <c r="R548" s="264" t="s">
        <v>8</v>
      </c>
      <c r="S548" s="264" t="s">
        <v>8</v>
      </c>
      <c r="T548" s="265" t="s">
        <v>2678</v>
      </c>
      <c r="X548" s="264"/>
      <c r="Z548" s="264"/>
      <c r="AA548" s="264"/>
      <c r="AB548" s="265" t="str">
        <f>VLOOKUP(功能_33[[#This Row],[User]],SKL放款!A:G,7,FALSE)</f>
        <v>放款管理課</v>
      </c>
      <c r="AC548" s="272">
        <v>44533</v>
      </c>
      <c r="AD548" s="272" t="s">
        <v>2394</v>
      </c>
      <c r="AE548" s="272">
        <v>44546</v>
      </c>
      <c r="AF548" s="272">
        <v>44546</v>
      </c>
      <c r="AG548" s="209">
        <v>44546</v>
      </c>
      <c r="AH548" s="272"/>
      <c r="AI548" s="272"/>
      <c r="AJ548" s="272"/>
      <c r="AK548" s="272">
        <f>IFERROR(IF(VLOOKUP(功能_33[[#This Row],[功能代號]],E:U,11,FALSE)=0,"",VLOOKUP(功能_33[[#This Row],[功能代號]],E:U,11,FALSE)),"")</f>
        <v>44530</v>
      </c>
      <c r="AL548" s="272"/>
      <c r="AM548" s="272"/>
      <c r="AN548" s="265"/>
      <c r="AP548" s="281" t="s">
        <v>2405</v>
      </c>
      <c r="AQ548" s="206" t="s">
        <v>2406</v>
      </c>
      <c r="AR548" s="594" t="s">
        <v>3203</v>
      </c>
      <c r="AS548" s="483" t="str">
        <f>IF(COUNTA(AG548)=1,LEFT(D548,3),"")</f>
        <v>7-2</v>
      </c>
      <c r="AT548" s="485" t="str">
        <f>IF(AND(COUNTA(O548)=1,COUNTA(P548)=1,COUNTA(AC548)=1,COUNTA(AF548)=1,COUNTA(AG548)=0),LEFT(D548,3),"")</f>
        <v/>
      </c>
      <c r="AU548" s="487" t="str">
        <f>IF(AND(COUNTA(O548)=1,COUNTA(P548)=1,COUNTA(AC548)=1,COUNTA(AF548)=0,COUNTA(AG548)=0),LEFT(D548,3),"")</f>
        <v/>
      </c>
      <c r="AV548" s="489" t="str">
        <f>IF(AND(COUNTA(P548)=0,COUNTA(AC548)=1),LEFT(D548,3),"")</f>
        <v/>
      </c>
      <c r="AW548" s="491" t="str">
        <f>IF(AND(COUNTA(P548)=1,COUNTA(AC548)=0),LEFT(D548,3),"")</f>
        <v/>
      </c>
      <c r="AX548" s="493" t="str">
        <f>IF(AND(COUNTA(P548)=0,COUNTA(AC548)=0),LEFT(D548,3),"")</f>
        <v/>
      </c>
      <c r="AY548" s="514" t="str">
        <f>IFERROR(VLOOKUP(功能_33[[#This Row],[功能代號]],SIT_FT_2021tmp!D:D,1,FALSE),"")</f>
        <v/>
      </c>
      <c r="AZ548" s="587">
        <v>44603</v>
      </c>
      <c r="BB548" s="514" t="s">
        <v>2453</v>
      </c>
      <c r="BC548" s="265" t="s">
        <v>2453</v>
      </c>
      <c r="BD548" s="594"/>
      <c r="BE548" s="265" t="str">
        <f>IF(AND(COUNTIF(AY548,"&gt;&lt;0")=1,COUNTA(M548)=1),LEFT(D548,3),"")</f>
        <v/>
      </c>
      <c r="BF548" s="265" t="str">
        <f>IF(AND(COUNTIF(AY548,"&gt;&lt;")=1,COUNTA(M548)=0),LEFT(D548,3),"")</f>
        <v/>
      </c>
      <c r="BG548" s="265" t="str">
        <f>IF(AND(COUNTIF(AY548,"&gt;&lt;0")=0,COUNTA(M548)=1),LEFT(D548,3),"")</f>
        <v>7-2</v>
      </c>
      <c r="BH548" s="265" t="str">
        <f>IF(AND(COUNTIF(AY548,"&gt;&lt;0")=0,COUNTA(M548)=0),LEFT(D548,3),"")</f>
        <v/>
      </c>
    </row>
    <row r="549" spans="1:61" ht="94.5" x14ac:dyDescent="0.3">
      <c r="C549" s="265" t="s">
        <v>71</v>
      </c>
      <c r="D549" s="256" t="s">
        <v>2471</v>
      </c>
      <c r="E549" s="264" t="s">
        <v>1357</v>
      </c>
      <c r="F549" s="265" t="s">
        <v>1358</v>
      </c>
      <c r="G549" s="265" t="s">
        <v>1342</v>
      </c>
      <c r="H549" s="264" t="s">
        <v>452</v>
      </c>
      <c r="I549" s="264" t="s">
        <v>452</v>
      </c>
      <c r="J549" s="271" t="s">
        <v>2840</v>
      </c>
      <c r="K549" s="271"/>
      <c r="L549" s="272">
        <v>44589</v>
      </c>
      <c r="M549" s="272">
        <v>44583</v>
      </c>
      <c r="N549" s="207">
        <v>44530</v>
      </c>
      <c r="O549" s="207">
        <v>44530</v>
      </c>
      <c r="P549" s="215">
        <v>44546</v>
      </c>
      <c r="Q549" s="264" t="s">
        <v>1</v>
      </c>
      <c r="R549" s="264" t="s">
        <v>5</v>
      </c>
      <c r="S549" s="264" t="s">
        <v>5</v>
      </c>
      <c r="T549" s="265" t="s">
        <v>2763</v>
      </c>
      <c r="X549" s="264"/>
      <c r="Z549" s="264"/>
      <c r="AA549" s="264"/>
      <c r="AB549" s="265" t="str">
        <f>VLOOKUP(功能_33[[#This Row],[User]],SKL放款!A:G,7,FALSE)</f>
        <v>放款服務課</v>
      </c>
      <c r="AC549" s="215">
        <v>44546</v>
      </c>
      <c r="AD549" s="272" t="s">
        <v>2394</v>
      </c>
      <c r="AE549" s="272">
        <v>44546</v>
      </c>
      <c r="AF549" s="272">
        <v>44546</v>
      </c>
      <c r="AG549" s="209">
        <v>44546</v>
      </c>
      <c r="AH549" s="272"/>
      <c r="AI549" s="272"/>
      <c r="AJ549" s="272"/>
      <c r="AK549" s="272">
        <f>IFERROR(IF(VLOOKUP(功能_33[[#This Row],[功能代號]],E:U,11,FALSE)=0,"",VLOOKUP(功能_33[[#This Row],[功能代號]],E:U,11,FALSE)),"")</f>
        <v>44530</v>
      </c>
      <c r="AL549" s="272"/>
      <c r="AM549" s="272"/>
      <c r="AN549" s="265"/>
      <c r="AP549" s="281" t="s">
        <v>2407</v>
      </c>
      <c r="AQ549" s="206" t="s">
        <v>2408</v>
      </c>
      <c r="AR549" s="594" t="s">
        <v>3203</v>
      </c>
      <c r="AS549" s="483" t="str">
        <f>IF(COUNTA(AG549)=1,LEFT(D549,3),"")</f>
        <v>7-2</v>
      </c>
      <c r="AT549" s="485" t="str">
        <f>IF(AND(COUNTA(O549)=1,COUNTA(P549)=1,COUNTA(AC549)=1,COUNTA(AF549)=1,COUNTA(AG549)=0),LEFT(D549,3),"")</f>
        <v/>
      </c>
      <c r="AU549" s="487" t="str">
        <f>IF(AND(COUNTA(O549)=1,COUNTA(P549)=1,COUNTA(AC549)=1,COUNTA(AF549)=0,COUNTA(AG549)=0),LEFT(D549,3),"")</f>
        <v/>
      </c>
      <c r="AV549" s="489" t="str">
        <f>IF(AND(COUNTA(P549)=0,COUNTA(AC549)=1),LEFT(D549,3),"")</f>
        <v/>
      </c>
      <c r="AW549" s="491" t="str">
        <f>IF(AND(COUNTA(P549)=1,COUNTA(AC549)=0),LEFT(D549,3),"")</f>
        <v/>
      </c>
      <c r="AX549" s="493" t="str">
        <f>IF(AND(COUNTA(P549)=0,COUNTA(AC549)=0),LEFT(D549,3),"")</f>
        <v/>
      </c>
      <c r="AY549" s="514" t="str">
        <f>IFERROR(VLOOKUP(功能_33[[#This Row],[功能代號]],SIT_FT_2021tmp!D:D,1,FALSE),"")</f>
        <v/>
      </c>
      <c r="AZ549" s="587">
        <v>44603</v>
      </c>
      <c r="BB549" s="514" t="s">
        <v>2453</v>
      </c>
      <c r="BC549" s="265" t="s">
        <v>2453</v>
      </c>
      <c r="BD549" s="594"/>
      <c r="BE549" s="265" t="str">
        <f>IF(AND(COUNTIF(AY549,"&gt;&lt;0")=1,COUNTA(M549)=1),LEFT(D549,3),"")</f>
        <v/>
      </c>
      <c r="BF549" s="265" t="str">
        <f>IF(AND(COUNTIF(AY549,"&gt;&lt;")=1,COUNTA(M549)=0),LEFT(D549,3),"")</f>
        <v/>
      </c>
      <c r="BG549" s="265" t="str">
        <f>IF(AND(COUNTIF(AY549,"&gt;&lt;0")=0,COUNTA(M549)=1),LEFT(D549,3),"")</f>
        <v>7-2</v>
      </c>
      <c r="BH549" s="265" t="str">
        <f>IF(AND(COUNTIF(AY549,"&gt;&lt;0")=0,COUNTA(M549)=0),LEFT(D549,3),"")</f>
        <v/>
      </c>
    </row>
    <row r="550" spans="1:61" ht="13.5" x14ac:dyDescent="0.3">
      <c r="A550" s="535" t="s">
        <v>3202</v>
      </c>
      <c r="B550" s="360"/>
      <c r="C550" s="265" t="s">
        <v>71</v>
      </c>
      <c r="D550" s="256" t="s">
        <v>2495</v>
      </c>
      <c r="E550" s="264" t="s">
        <v>3177</v>
      </c>
      <c r="F550" s="620" t="s">
        <v>3178</v>
      </c>
      <c r="G550" s="265" t="s">
        <v>3179</v>
      </c>
      <c r="H550" s="264" t="s">
        <v>110</v>
      </c>
      <c r="I550" s="264" t="s">
        <v>176</v>
      </c>
      <c r="J550" s="271" t="s">
        <v>3176</v>
      </c>
      <c r="K550" s="212" t="s">
        <v>3107</v>
      </c>
      <c r="L550" s="622">
        <v>0</v>
      </c>
      <c r="M550" s="622">
        <v>0</v>
      </c>
      <c r="N550" s="272">
        <v>44524</v>
      </c>
      <c r="O550" s="272">
        <v>44526</v>
      </c>
      <c r="P550" s="272">
        <v>44536</v>
      </c>
      <c r="Q550" s="264" t="s">
        <v>4</v>
      </c>
      <c r="R550" s="264" t="e">
        <v>#N/A</v>
      </c>
      <c r="S550" s="664" t="s">
        <v>19</v>
      </c>
      <c r="X550" s="264"/>
      <c r="Z550" s="264"/>
      <c r="AA550" s="264"/>
      <c r="AB550" s="265" t="str">
        <f>VLOOKUP(功能_33[[#This Row],[User]],SKL放款!A:G,7,FALSE)</f>
        <v>放款審查課</v>
      </c>
      <c r="AC550" s="272">
        <v>44533</v>
      </c>
      <c r="AD550" s="272" t="s">
        <v>2557</v>
      </c>
      <c r="AE550" s="272">
        <v>44524</v>
      </c>
      <c r="AF550" s="272">
        <v>44526</v>
      </c>
      <c r="AG550" s="209">
        <v>44581</v>
      </c>
      <c r="AH550" s="272"/>
      <c r="AI550" s="272"/>
      <c r="AJ550" s="272"/>
      <c r="AK550" s="272">
        <f>IFERROR(IF(VLOOKUP(功能_33[[#This Row],[功能代號]],E:U,11,FALSE)=0,"",VLOOKUP(功能_33[[#This Row],[功能代號]],E:U,11,FALSE)),"")</f>
        <v>44526</v>
      </c>
      <c r="AL550" s="272"/>
      <c r="AM550" s="272"/>
      <c r="AN550" s="265"/>
      <c r="AP550" s="264" t="s">
        <v>163</v>
      </c>
      <c r="AQ550" s="264" t="s">
        <v>163</v>
      </c>
      <c r="AR550" s="593" t="s">
        <v>3204</v>
      </c>
      <c r="AS550" s="483" t="str">
        <f>IF(COUNTA(AG550)=1,LEFT(D550,3),"")</f>
        <v>7-1</v>
      </c>
      <c r="AT550" s="485" t="str">
        <f>IF(AND(COUNTA(O550)=1,COUNTA(P550)=1,COUNTA(AC550)=1,COUNTA(AF550)=1,COUNTA(AG550)=0),LEFT(D550,3),"")</f>
        <v/>
      </c>
      <c r="AU550" s="487" t="str">
        <f>IF(AND(COUNTA(O550)=1,COUNTA(P550)=1,COUNTA(AC550)=1,COUNTA(AF550)=0,COUNTA(AG550)=0),LEFT(D550,3),"")</f>
        <v/>
      </c>
      <c r="AV550" s="489" t="str">
        <f>IF(AND(COUNTA(P550)=0,COUNTA(AC550)=1),LEFT(D550,3),"")</f>
        <v/>
      </c>
      <c r="AW550" s="491" t="str">
        <f>IF(AND(COUNTA(P550)=1,COUNTA(AC550)=0),LEFT(D550,3),"")</f>
        <v/>
      </c>
      <c r="AX550" s="493" t="str">
        <f>IF(AND(COUNTA(P550)=0,COUNTA(AC550)=0),LEFT(D550,3),"")</f>
        <v/>
      </c>
      <c r="AY550" s="514" t="str">
        <f>IFERROR(VLOOKUP(功能_33[[#This Row],[功能代號]],SIT_FT_2021tmp!D:D,1,FALSE),"")</f>
        <v/>
      </c>
      <c r="AZ550" s="623">
        <v>0</v>
      </c>
      <c r="BA550" s="623">
        <v>0</v>
      </c>
      <c r="BB550" s="514" t="s">
        <v>2870</v>
      </c>
      <c r="BC550" s="265" t="s">
        <v>2453</v>
      </c>
      <c r="BD550" s="593"/>
      <c r="BE550" s="265" t="str">
        <f>IF(AND(COUNTIF(AY550,"&gt;&lt;0")=1,COUNTA(M550)=1),LEFT(D550,3),"")</f>
        <v/>
      </c>
      <c r="BF550" s="265" t="str">
        <f>IF(AND(COUNTIF(AY550,"&gt;&lt;")=1,COUNTA(M550)=0),LEFT(D550,3),"")</f>
        <v/>
      </c>
      <c r="BG550" s="265" t="str">
        <f>IF(AND(COUNTIF(AY550,"&gt;&lt;0")=0,COUNTA(M550)=1),LEFT(D550,3),"")</f>
        <v>7-1</v>
      </c>
      <c r="BH550" s="265" t="str">
        <f>IF(AND(COUNTIF(AY550,"&gt;&lt;0")=0,COUNTA(M550)=0),LEFT(D550,3),"")</f>
        <v/>
      </c>
    </row>
    <row r="551" spans="1:61" ht="13.5" x14ac:dyDescent="0.3">
      <c r="A551" s="535" t="s">
        <v>3202</v>
      </c>
      <c r="B551" s="360"/>
      <c r="C551" s="265" t="s">
        <v>71</v>
      </c>
      <c r="D551" s="256" t="s">
        <v>2495</v>
      </c>
      <c r="E551" s="264" t="s">
        <v>3148</v>
      </c>
      <c r="F551" s="620" t="s">
        <v>3150</v>
      </c>
      <c r="G551" s="265" t="s">
        <v>3156</v>
      </c>
      <c r="H551" s="264" t="s">
        <v>110</v>
      </c>
      <c r="I551" s="264" t="s">
        <v>176</v>
      </c>
      <c r="J551" s="271" t="s">
        <v>3176</v>
      </c>
      <c r="K551" s="212" t="s">
        <v>3107</v>
      </c>
      <c r="L551" s="272">
        <v>44571</v>
      </c>
      <c r="M551" s="272">
        <v>44568</v>
      </c>
      <c r="N551" s="272">
        <v>44524</v>
      </c>
      <c r="O551" s="272">
        <v>44526</v>
      </c>
      <c r="P551" s="272">
        <v>44536</v>
      </c>
      <c r="Q551" s="264" t="s">
        <v>4</v>
      </c>
      <c r="R551" s="264" t="e">
        <v>#N/A</v>
      </c>
      <c r="S551" s="664" t="s">
        <v>19</v>
      </c>
      <c r="X551" s="264"/>
      <c r="Z551" s="264"/>
      <c r="AA551" s="264"/>
      <c r="AB551" s="265" t="str">
        <f>VLOOKUP(功能_33[[#This Row],[User]],SKL放款!A:G,7,FALSE)</f>
        <v>放款審查課</v>
      </c>
      <c r="AC551" s="272">
        <v>44533</v>
      </c>
      <c r="AD551" s="272" t="s">
        <v>2557</v>
      </c>
      <c r="AE551" s="272">
        <v>44524</v>
      </c>
      <c r="AF551" s="272">
        <v>44526</v>
      </c>
      <c r="AG551" s="209">
        <v>44581</v>
      </c>
      <c r="AH551" s="272"/>
      <c r="AI551" s="272"/>
      <c r="AJ551" s="272"/>
      <c r="AK551" s="272">
        <f>IFERROR(IF(VLOOKUP(功能_33[[#This Row],[功能代號]],E:U,11,FALSE)=0,"",VLOOKUP(功能_33[[#This Row],[功能代號]],E:U,11,FALSE)),"")</f>
        <v>44526</v>
      </c>
      <c r="AL551" s="272"/>
      <c r="AM551" s="272"/>
      <c r="AN551" s="265"/>
      <c r="AP551" s="264" t="s">
        <v>163</v>
      </c>
      <c r="AQ551" s="264" t="s">
        <v>163</v>
      </c>
      <c r="AR551" s="593" t="s">
        <v>3205</v>
      </c>
      <c r="AS551" s="483" t="str">
        <f>IF(COUNTA(AG551)=1,LEFT(D551,3),"")</f>
        <v>7-1</v>
      </c>
      <c r="AT551" s="485" t="str">
        <f>IF(AND(COUNTA(O551)=1,COUNTA(P551)=1,COUNTA(AC551)=1,COUNTA(AF551)=1,COUNTA(AG551)=0),LEFT(D551,3),"")</f>
        <v/>
      </c>
      <c r="AU551" s="487" t="str">
        <f>IF(AND(COUNTA(O551)=1,COUNTA(P551)=1,COUNTA(AC551)=1,COUNTA(AF551)=0,COUNTA(AG551)=0),LEFT(D551,3),"")</f>
        <v/>
      </c>
      <c r="AV551" s="489" t="str">
        <f>IF(AND(COUNTA(P551)=0,COUNTA(AC551)=1),LEFT(D551,3),"")</f>
        <v/>
      </c>
      <c r="AW551" s="491" t="str">
        <f>IF(AND(COUNTA(P551)=1,COUNTA(AC551)=0),LEFT(D551,3),"")</f>
        <v/>
      </c>
      <c r="AX551" s="493" t="str">
        <f>IF(AND(COUNTA(P551)=0,COUNTA(AC551)=0),LEFT(D551,3),"")</f>
        <v/>
      </c>
      <c r="AY551" s="514" t="str">
        <f>IFERROR(VLOOKUP(功能_33[[#This Row],[功能代號]],SIT_FT_2021tmp!D:D,1,FALSE),"")</f>
        <v/>
      </c>
      <c r="AZ551" s="623">
        <v>0</v>
      </c>
      <c r="BA551" s="623">
        <v>0</v>
      </c>
      <c r="BB551" s="514" t="s">
        <v>2870</v>
      </c>
      <c r="BC551" s="265" t="s">
        <v>2453</v>
      </c>
      <c r="BD551" s="593"/>
      <c r="BE551" s="265" t="str">
        <f>IF(AND(COUNTIF(AY551,"&gt;&lt;0")=1,COUNTA(M551)=1),LEFT(D551,3),"")</f>
        <v/>
      </c>
      <c r="BF551" s="265" t="str">
        <f>IF(AND(COUNTIF(AY551,"&gt;&lt;")=1,COUNTA(M551)=0),LEFT(D551,3),"")</f>
        <v/>
      </c>
      <c r="BG551" s="265" t="str">
        <f>IF(AND(COUNTIF(AY551,"&gt;&lt;0")=0,COUNTA(M551)=1),LEFT(D551,3),"")</f>
        <v>7-1</v>
      </c>
      <c r="BH551" s="265" t="str">
        <f>IF(AND(COUNTIF(AY551,"&gt;&lt;0")=0,COUNTA(M551)=0),LEFT(D551,3),"")</f>
        <v/>
      </c>
    </row>
    <row r="552" spans="1:61" ht="13.5" x14ac:dyDescent="0.3">
      <c r="A552" s="535" t="s">
        <v>3202</v>
      </c>
      <c r="B552" s="360"/>
      <c r="C552" s="265" t="s">
        <v>71</v>
      </c>
      <c r="D552" s="256" t="s">
        <v>2495</v>
      </c>
      <c r="E552" s="264" t="s">
        <v>3149</v>
      </c>
      <c r="F552" s="257" t="s">
        <v>3151</v>
      </c>
      <c r="G552" s="265" t="s">
        <v>3156</v>
      </c>
      <c r="H552" s="264" t="s">
        <v>110</v>
      </c>
      <c r="I552" s="264" t="s">
        <v>176</v>
      </c>
      <c r="J552" s="271" t="s">
        <v>3176</v>
      </c>
      <c r="K552" s="212" t="s">
        <v>3107</v>
      </c>
      <c r="L552" s="272">
        <v>44571</v>
      </c>
      <c r="M552" s="272">
        <v>44568</v>
      </c>
      <c r="N552" s="272">
        <v>44524</v>
      </c>
      <c r="O552" s="272">
        <v>44526</v>
      </c>
      <c r="P552" s="272">
        <v>44536</v>
      </c>
      <c r="Q552" s="264" t="s">
        <v>4</v>
      </c>
      <c r="R552" s="264" t="e">
        <v>#N/A</v>
      </c>
      <c r="S552" s="664" t="s">
        <v>19</v>
      </c>
      <c r="X552" s="264"/>
      <c r="Z552" s="264"/>
      <c r="AA552" s="264"/>
      <c r="AB552" s="265" t="str">
        <f>VLOOKUP(功能_33[[#This Row],[User]],SKL放款!A:G,7,FALSE)</f>
        <v>放款審查課</v>
      </c>
      <c r="AC552" s="272">
        <v>44533</v>
      </c>
      <c r="AD552" s="272" t="s">
        <v>2557</v>
      </c>
      <c r="AE552" s="272">
        <v>44524</v>
      </c>
      <c r="AF552" s="272">
        <v>44526</v>
      </c>
      <c r="AG552" s="209">
        <v>44581</v>
      </c>
      <c r="AH552" s="272"/>
      <c r="AI552" s="272"/>
      <c r="AJ552" s="272"/>
      <c r="AK552" s="272">
        <f>IFERROR(IF(VLOOKUP(功能_33[[#This Row],[功能代號]],E:U,11,FALSE)=0,"",VLOOKUP(功能_33[[#This Row],[功能代號]],E:U,11,FALSE)),"")</f>
        <v>44526</v>
      </c>
      <c r="AL552" s="272"/>
      <c r="AM552" s="272"/>
      <c r="AN552" s="265"/>
      <c r="AP552" s="264" t="s">
        <v>163</v>
      </c>
      <c r="AQ552" s="264" t="s">
        <v>163</v>
      </c>
      <c r="AR552" s="593" t="s">
        <v>3206</v>
      </c>
      <c r="AS552" s="483" t="str">
        <f>IF(COUNTA(AG552)=1,LEFT(D552,3),"")</f>
        <v>7-1</v>
      </c>
      <c r="AT552" s="485" t="str">
        <f>IF(AND(COUNTA(O552)=1,COUNTA(P552)=1,COUNTA(AC552)=1,COUNTA(AF552)=1,COUNTA(AG552)=0),LEFT(D552,3),"")</f>
        <v/>
      </c>
      <c r="AU552" s="487" t="str">
        <f>IF(AND(COUNTA(O552)=1,COUNTA(P552)=1,COUNTA(AC552)=1,COUNTA(AF552)=0,COUNTA(AG552)=0),LEFT(D552,3),"")</f>
        <v/>
      </c>
      <c r="AV552" s="489" t="str">
        <f>IF(AND(COUNTA(P552)=0,COUNTA(AC552)=1),LEFT(D552,3),"")</f>
        <v/>
      </c>
      <c r="AW552" s="491" t="str">
        <f>IF(AND(COUNTA(P552)=1,COUNTA(AC552)=0),LEFT(D552,3),"")</f>
        <v/>
      </c>
      <c r="AX552" s="493" t="str">
        <f>IF(AND(COUNTA(P552)=0,COUNTA(AC552)=0),LEFT(D552,3),"")</f>
        <v/>
      </c>
      <c r="AY552" s="514" t="str">
        <f>IFERROR(VLOOKUP(功能_33[[#This Row],[功能代號]],SIT_FT_2021tmp!D:D,1,FALSE),"")</f>
        <v/>
      </c>
      <c r="AZ552" s="623">
        <v>0</v>
      </c>
      <c r="BA552" s="623">
        <v>0</v>
      </c>
      <c r="BB552" s="514" t="s">
        <v>2870</v>
      </c>
      <c r="BC552" s="265" t="s">
        <v>2453</v>
      </c>
      <c r="BD552" s="593"/>
      <c r="BE552" s="265" t="str">
        <f>IF(AND(COUNTIF(AY552,"&gt;&lt;0")=1,COUNTA(M552)=1),LEFT(D552,3),"")</f>
        <v/>
      </c>
      <c r="BF552" s="265" t="str">
        <f>IF(AND(COUNTIF(AY552,"&gt;&lt;")=1,COUNTA(M552)=0),LEFT(D552,3),"")</f>
        <v/>
      </c>
      <c r="BG552" s="265" t="str">
        <f>IF(AND(COUNTIF(AY552,"&gt;&lt;0")=0,COUNTA(M552)=1),LEFT(D552,3),"")</f>
        <v>7-1</v>
      </c>
      <c r="BH552" s="265" t="str">
        <f>IF(AND(COUNTIF(AY552,"&gt;&lt;0")=0,COUNTA(M552)=0),LEFT(D552,3),"")</f>
        <v/>
      </c>
    </row>
    <row r="553" spans="1:61" ht="13.5" x14ac:dyDescent="0.3">
      <c r="A553" s="535" t="s">
        <v>3202</v>
      </c>
      <c r="C553" s="265" t="s">
        <v>71</v>
      </c>
      <c r="D553" s="256" t="s">
        <v>2495</v>
      </c>
      <c r="E553" s="264" t="s">
        <v>1359</v>
      </c>
      <c r="F553" s="257" t="s">
        <v>1360</v>
      </c>
      <c r="G553" s="265" t="s">
        <v>1361</v>
      </c>
      <c r="H553" s="264" t="s">
        <v>110</v>
      </c>
      <c r="I553" s="264" t="s">
        <v>176</v>
      </c>
      <c r="J553" s="271" t="s">
        <v>2755</v>
      </c>
      <c r="K553" s="271"/>
      <c r="L553" s="272">
        <v>44571</v>
      </c>
      <c r="M553" s="272">
        <v>44568</v>
      </c>
      <c r="N553" s="272">
        <v>44524</v>
      </c>
      <c r="O553" s="272">
        <v>44526</v>
      </c>
      <c r="P553" s="272">
        <v>44536</v>
      </c>
      <c r="Q553" s="264" t="s">
        <v>4</v>
      </c>
      <c r="R553" s="264" t="s">
        <v>4</v>
      </c>
      <c r="S553" s="663" t="s">
        <v>19</v>
      </c>
      <c r="T553" s="265" t="s">
        <v>19</v>
      </c>
      <c r="X553" s="264"/>
      <c r="Z553" s="264"/>
      <c r="AA553" s="264"/>
      <c r="AB553" s="265" t="str">
        <f>VLOOKUP(功能_33[[#This Row],[User]],SKL放款!A:G,7,FALSE)</f>
        <v>放款審查課</v>
      </c>
      <c r="AC553" s="272">
        <v>44533</v>
      </c>
      <c r="AD553" s="272" t="s">
        <v>2557</v>
      </c>
      <c r="AE553" s="272">
        <v>44524</v>
      </c>
      <c r="AF553" s="272">
        <v>44526</v>
      </c>
      <c r="AG553" s="209">
        <v>44544</v>
      </c>
      <c r="AH553" s="272"/>
      <c r="AI553" s="272"/>
      <c r="AJ553" s="272"/>
      <c r="AK553" s="272">
        <f>IFERROR(IF(VLOOKUP(功能_33[[#This Row],[功能代號]],E:U,11,FALSE)=0,"",VLOOKUP(功能_33[[#This Row],[功能代號]],E:U,11,FALSE)),"")</f>
        <v>44526</v>
      </c>
      <c r="AL553" s="272"/>
      <c r="AM553" s="272"/>
      <c r="AN553" s="265"/>
      <c r="AP553" s="264" t="s">
        <v>163</v>
      </c>
      <c r="AQ553" s="264" t="s">
        <v>163</v>
      </c>
      <c r="AR553" s="593" t="s">
        <v>3204</v>
      </c>
      <c r="AS553" s="483" t="str">
        <f>IF(COUNTA(AG553)=1,LEFT(D553,3),"")</f>
        <v>7-1</v>
      </c>
      <c r="AT553" s="485" t="str">
        <f>IF(AND(COUNTA(O553)=1,COUNTA(P553)=1,COUNTA(AC553)=1,COUNTA(AF553)=1,COUNTA(AG553)=0),LEFT(D553,3),"")</f>
        <v/>
      </c>
      <c r="AU553" s="487" t="str">
        <f>IF(AND(COUNTA(O553)=1,COUNTA(P553)=1,COUNTA(AC553)=1,COUNTA(AF553)=0,COUNTA(AG553)=0),LEFT(D553,3),"")</f>
        <v/>
      </c>
      <c r="AV553" s="489" t="str">
        <f>IF(AND(COUNTA(P553)=0,COUNTA(AC553)=1),LEFT(D553,3),"")</f>
        <v/>
      </c>
      <c r="AW553" s="491" t="str">
        <f>IF(AND(COUNTA(P553)=1,COUNTA(AC553)=0),LEFT(D553,3),"")</f>
        <v/>
      </c>
      <c r="AX553" s="493" t="str">
        <f>IF(AND(COUNTA(P553)=0,COUNTA(AC553)=0),LEFT(D553,3),"")</f>
        <v/>
      </c>
      <c r="AY553" s="514" t="str">
        <f>IFERROR(VLOOKUP(功能_33[[#This Row],[功能代號]],SIT_FT_2021tmp!D:D,1,FALSE),"")</f>
        <v/>
      </c>
      <c r="AZ553" s="623">
        <v>0</v>
      </c>
      <c r="BA553" s="623">
        <v>0</v>
      </c>
      <c r="BB553" s="514" t="s">
        <v>2870</v>
      </c>
      <c r="BC553" s="265" t="s">
        <v>2453</v>
      </c>
      <c r="BD553" s="593"/>
      <c r="BE553" s="265" t="str">
        <f>IF(AND(COUNTIF(AY553,"&gt;&lt;0")=1,COUNTA(M553)=1),LEFT(D553,3),"")</f>
        <v/>
      </c>
      <c r="BF553" s="265" t="str">
        <f>IF(AND(COUNTIF(AY553,"&gt;&lt;")=1,COUNTA(M553)=0),LEFT(D553,3),"")</f>
        <v/>
      </c>
      <c r="BG553" s="265" t="str">
        <f>IF(AND(COUNTIF(AY553,"&gt;&lt;0")=0,COUNTA(M553)=1),LEFT(D553,3),"")</f>
        <v>7-1</v>
      </c>
      <c r="BH553" s="265" t="str">
        <f>IF(AND(COUNTIF(AY553,"&gt;&lt;0")=0,COUNTA(M553)=0),LEFT(D553,3),"")</f>
        <v/>
      </c>
    </row>
    <row r="554" spans="1:61" ht="13.5" x14ac:dyDescent="0.3">
      <c r="A554" s="535" t="s">
        <v>3202</v>
      </c>
      <c r="B554" s="360"/>
      <c r="C554" s="265" t="s">
        <v>71</v>
      </c>
      <c r="D554" s="256" t="s">
        <v>3200</v>
      </c>
      <c r="E554" s="264" t="s">
        <v>3180</v>
      </c>
      <c r="F554" s="257" t="s">
        <v>3183</v>
      </c>
      <c r="G554" s="257" t="s">
        <v>3179</v>
      </c>
      <c r="H554" s="264" t="s">
        <v>3186</v>
      </c>
      <c r="I554" s="264" t="s">
        <v>3186</v>
      </c>
      <c r="J554" s="209" t="s">
        <v>3197</v>
      </c>
      <c r="K554" s="271"/>
      <c r="L554" s="272">
        <v>0</v>
      </c>
      <c r="M554" s="272">
        <v>0</v>
      </c>
      <c r="N554" s="272"/>
      <c r="O554" s="272"/>
      <c r="P554" s="272" t="str">
        <f>IFERROR(IF(VLOOKUP(功能_33[[#This Row],[功能代號]],討論項目!A:H,8,FALSE)=0,"",VLOOKUP(功能_33[[#This Row],[功能代號]],討論項目!A:H,8,FALSE)),"")</f>
        <v/>
      </c>
      <c r="Q554" s="264" t="s">
        <v>1</v>
      </c>
      <c r="R554" s="264" t="e">
        <v>#N/A</v>
      </c>
      <c r="S554" s="664" t="s">
        <v>2799</v>
      </c>
      <c r="X554" s="264"/>
      <c r="Z554" s="264"/>
      <c r="AA554" s="264"/>
      <c r="AB554" s="360" t="str">
        <f>VLOOKUP(功能_33[[#This Row],[User]],SKL放款!A:G,7,FALSE)</f>
        <v>放款服務課</v>
      </c>
      <c r="AC554" s="272"/>
      <c r="AD554" s="272"/>
      <c r="AE554" s="258"/>
      <c r="AF554" s="259"/>
      <c r="AG554" s="583">
        <v>44393</v>
      </c>
      <c r="AH554" s="259"/>
      <c r="AI554" s="259"/>
      <c r="AJ554" s="259"/>
      <c r="AK554" s="259" t="str">
        <f>IFERROR(IF(VLOOKUP(功能_33[[#This Row],[功能代號]],E:U,11,FALSE)=0,"",VLOOKUP(功能_33[[#This Row],[功能代號]],E:U,11,FALSE)),"")</f>
        <v/>
      </c>
      <c r="AL554" s="259"/>
      <c r="AM554" s="259"/>
      <c r="AN554" s="360"/>
      <c r="AP554" s="264" t="s">
        <v>163</v>
      </c>
      <c r="AQ554" s="264" t="s">
        <v>163</v>
      </c>
      <c r="AR554" s="594" t="s">
        <v>3138</v>
      </c>
      <c r="AS554" s="536" t="str">
        <f>IF(COUNTA(AG554)=1,LEFT(D554,3),"")</f>
        <v>7-3</v>
      </c>
      <c r="AT554" s="485" t="str">
        <f>IF(AND(COUNTA(O554)=1,COUNTA(P554)=1,COUNTA(AC554)=1,COUNTA(AF554)=1,COUNTA(AG554)=0),LEFT(D554,3),"")</f>
        <v/>
      </c>
      <c r="AU554" s="487" t="str">
        <f>IF(AND(COUNTA(O554)=1,COUNTA(P554)=1,COUNTA(AC554)=1,COUNTA(AF554)=0,COUNTA(AG554)=0),LEFT(D554,3),"")</f>
        <v/>
      </c>
      <c r="AV554" s="489" t="str">
        <f>IF(AND(COUNTA(P554)=0,COUNTA(AC554)=1),LEFT(D554,3),"")</f>
        <v/>
      </c>
      <c r="AW554" s="491" t="str">
        <f>IF(AND(COUNTA(P554)=1,COUNTA(AC554)=0),LEFT(D554,3),"")</f>
        <v>7-3</v>
      </c>
      <c r="AX554" s="493" t="str">
        <f>IF(AND(COUNTA(P554)=0,COUNTA(AC554)=0),LEFT(D554,3),"")</f>
        <v/>
      </c>
      <c r="AY554" s="514" t="str">
        <f>IFERROR(VLOOKUP(功能_33[[#This Row],[功能代號]],SIT_FT_2021tmp!D:D,1,FALSE),"")</f>
        <v/>
      </c>
      <c r="AZ554" s="623">
        <v>0</v>
      </c>
      <c r="BA554" s="623">
        <v>0</v>
      </c>
      <c r="BB554" s="514" t="s">
        <v>3186</v>
      </c>
      <c r="BC554" s="360"/>
      <c r="BD554" s="594"/>
      <c r="BE554" s="360" t="str">
        <f>IF(AND(COUNTIF(AY554,"&gt;&lt;0")=1,COUNTA(M554)=1),LEFT(D554,3),"")</f>
        <v/>
      </c>
      <c r="BF554" s="360" t="str">
        <f>IF(AND(COUNTIF(AY554,"&gt;&lt;")=1,COUNTA(M554)=0),LEFT(D554,3),"")</f>
        <v/>
      </c>
      <c r="BG554" s="360" t="str">
        <f>IF(AND(COUNTIF(AY554,"&gt;&lt;0")=0,COUNTA(M554)=1),LEFT(D554,3),"")</f>
        <v>7-3</v>
      </c>
      <c r="BH554" s="360" t="str">
        <f>IF(AND(COUNTIF(AY554,"&gt;&lt;0")=0,COUNTA(M554)=0),LEFT(D554,3),"")</f>
        <v/>
      </c>
      <c r="BI554" s="360"/>
    </row>
    <row r="555" spans="1:61" ht="13.5" x14ac:dyDescent="0.3">
      <c r="A555" s="535" t="s">
        <v>3202</v>
      </c>
      <c r="B555" s="360"/>
      <c r="C555" s="265" t="s">
        <v>71</v>
      </c>
      <c r="D555" s="256" t="s">
        <v>3200</v>
      </c>
      <c r="E555" s="264" t="s">
        <v>3181</v>
      </c>
      <c r="F555" s="257" t="s">
        <v>3184</v>
      </c>
      <c r="G555" s="257" t="s">
        <v>3179</v>
      </c>
      <c r="H555" s="264" t="s">
        <v>3186</v>
      </c>
      <c r="I555" s="264" t="s">
        <v>3186</v>
      </c>
      <c r="J555" s="209" t="s">
        <v>3198</v>
      </c>
      <c r="K555" s="271"/>
      <c r="L555" s="272">
        <v>0</v>
      </c>
      <c r="M555" s="272">
        <v>0</v>
      </c>
      <c r="N555" s="272"/>
      <c r="O555" s="272"/>
      <c r="P555" s="272" t="str">
        <f>IFERROR(IF(VLOOKUP(功能_33[[#This Row],[功能代號]],討論項目!A:H,8,FALSE)=0,"",VLOOKUP(功能_33[[#This Row],[功能代號]],討論項目!A:H,8,FALSE)),"")</f>
        <v/>
      </c>
      <c r="Q555" s="264" t="s">
        <v>1</v>
      </c>
      <c r="R555" s="264" t="e">
        <v>#N/A</v>
      </c>
      <c r="S555" s="664" t="s">
        <v>2799</v>
      </c>
      <c r="X555" s="264"/>
      <c r="Z555" s="264"/>
      <c r="AA555" s="264"/>
      <c r="AB555" s="360" t="str">
        <f>VLOOKUP(功能_33[[#This Row],[User]],SKL放款!A:G,7,FALSE)</f>
        <v>放款服務課</v>
      </c>
      <c r="AC555" s="272"/>
      <c r="AD555" s="272"/>
      <c r="AE555" s="258"/>
      <c r="AF555" s="259"/>
      <c r="AG555" s="583">
        <v>44393</v>
      </c>
      <c r="AH555" s="259"/>
      <c r="AI555" s="259"/>
      <c r="AJ555" s="259"/>
      <c r="AK555" s="259" t="str">
        <f>IFERROR(IF(VLOOKUP(功能_33[[#This Row],[功能代號]],E:U,11,FALSE)=0,"",VLOOKUP(功能_33[[#This Row],[功能代號]],E:U,11,FALSE)),"")</f>
        <v/>
      </c>
      <c r="AL555" s="259"/>
      <c r="AM555" s="259"/>
      <c r="AN555" s="360"/>
      <c r="AP555" s="264" t="s">
        <v>163</v>
      </c>
      <c r="AQ555" s="264" t="s">
        <v>163</v>
      </c>
      <c r="AR555" s="594" t="s">
        <v>3138</v>
      </c>
      <c r="AS555" s="536" t="str">
        <f>IF(COUNTA(AG555)=1,LEFT(D555,3),"")</f>
        <v>7-3</v>
      </c>
      <c r="AT555" s="485" t="str">
        <f>IF(AND(COUNTA(O555)=1,COUNTA(P555)=1,COUNTA(AC555)=1,COUNTA(AF555)=1,COUNTA(AG555)=0),LEFT(D555,3),"")</f>
        <v/>
      </c>
      <c r="AU555" s="487" t="str">
        <f>IF(AND(COUNTA(O555)=1,COUNTA(P555)=1,COUNTA(AC555)=1,COUNTA(AF555)=0,COUNTA(AG555)=0),LEFT(D555,3),"")</f>
        <v/>
      </c>
      <c r="AV555" s="489" t="str">
        <f>IF(AND(COUNTA(P555)=0,COUNTA(AC555)=1),LEFT(D555,3),"")</f>
        <v/>
      </c>
      <c r="AW555" s="491" t="str">
        <f>IF(AND(COUNTA(P555)=1,COUNTA(AC555)=0),LEFT(D555,3),"")</f>
        <v>7-3</v>
      </c>
      <c r="AX555" s="493" t="str">
        <f>IF(AND(COUNTA(P555)=0,COUNTA(AC555)=0),LEFT(D555,3),"")</f>
        <v/>
      </c>
      <c r="AY555" s="514" t="str">
        <f>IFERROR(VLOOKUP(功能_33[[#This Row],[功能代號]],SIT_FT_2021tmp!D:D,1,FALSE),"")</f>
        <v/>
      </c>
      <c r="AZ555" s="623">
        <v>0</v>
      </c>
      <c r="BA555" s="623">
        <v>0</v>
      </c>
      <c r="BB555" s="514" t="s">
        <v>3186</v>
      </c>
      <c r="BC555" s="360"/>
      <c r="BD555" s="594"/>
      <c r="BE555" s="360" t="str">
        <f>IF(AND(COUNTIF(AY555,"&gt;&lt;0")=1,COUNTA(M555)=1),LEFT(D555,3),"")</f>
        <v/>
      </c>
      <c r="BF555" s="360" t="str">
        <f>IF(AND(COUNTIF(AY555,"&gt;&lt;")=1,COUNTA(M555)=0),LEFT(D555,3),"")</f>
        <v/>
      </c>
      <c r="BG555" s="360" t="str">
        <f>IF(AND(COUNTIF(AY555,"&gt;&lt;0")=0,COUNTA(M555)=1),LEFT(D555,3),"")</f>
        <v>7-3</v>
      </c>
      <c r="BH555" s="360" t="str">
        <f>IF(AND(COUNTIF(AY555,"&gt;&lt;0")=0,COUNTA(M555)=0),LEFT(D555,3),"")</f>
        <v/>
      </c>
      <c r="BI555" s="360"/>
    </row>
    <row r="556" spans="1:61" s="413" customFormat="1" ht="13.5" x14ac:dyDescent="0.3">
      <c r="A556" s="535" t="s">
        <v>3202</v>
      </c>
      <c r="B556" s="360"/>
      <c r="C556" s="265" t="s">
        <v>71</v>
      </c>
      <c r="D556" s="256" t="s">
        <v>3200</v>
      </c>
      <c r="E556" s="264" t="s">
        <v>3182</v>
      </c>
      <c r="F556" s="257" t="s">
        <v>3185</v>
      </c>
      <c r="G556" s="257" t="s">
        <v>3179</v>
      </c>
      <c r="H556" s="264" t="s">
        <v>3186</v>
      </c>
      <c r="I556" s="264" t="s">
        <v>3186</v>
      </c>
      <c r="J556" s="209" t="s">
        <v>3199</v>
      </c>
      <c r="K556" s="271"/>
      <c r="L556" s="272">
        <v>0</v>
      </c>
      <c r="M556" s="272">
        <v>0</v>
      </c>
      <c r="N556" s="272"/>
      <c r="O556" s="272"/>
      <c r="P556" s="272"/>
      <c r="Q556" s="264" t="s">
        <v>1</v>
      </c>
      <c r="R556" s="264" t="e">
        <v>#N/A</v>
      </c>
      <c r="S556" s="664" t="s">
        <v>2763</v>
      </c>
      <c r="T556" s="265"/>
      <c r="U556" s="264"/>
      <c r="V556" s="264"/>
      <c r="W556" s="264"/>
      <c r="X556" s="264"/>
      <c r="Y556" s="264"/>
      <c r="Z556" s="264"/>
      <c r="AA556" s="264"/>
      <c r="AB556" s="360"/>
      <c r="AC556" s="272"/>
      <c r="AD556" s="272"/>
      <c r="AE556" s="258"/>
      <c r="AF556" s="272"/>
      <c r="AG556" s="209">
        <v>44400</v>
      </c>
      <c r="AH556" s="259"/>
      <c r="AI556" s="259"/>
      <c r="AJ556" s="259"/>
      <c r="AK556" s="259"/>
      <c r="AL556" s="259"/>
      <c r="AM556" s="259"/>
      <c r="AN556" s="360"/>
      <c r="AO556" s="211"/>
      <c r="AP556" s="264" t="s">
        <v>163</v>
      </c>
      <c r="AQ556" s="264" t="s">
        <v>163</v>
      </c>
      <c r="AR556" s="594" t="s">
        <v>3138</v>
      </c>
      <c r="AS556" s="536"/>
      <c r="AT556" s="485"/>
      <c r="AU556" s="487"/>
      <c r="AV556" s="489"/>
      <c r="AW556" s="491"/>
      <c r="AX556" s="493"/>
      <c r="AY556" s="514"/>
      <c r="AZ556" s="623">
        <v>0</v>
      </c>
      <c r="BA556" s="623">
        <v>0</v>
      </c>
      <c r="BB556" s="514" t="s">
        <v>3186</v>
      </c>
      <c r="BC556" s="265"/>
      <c r="BD556" s="594"/>
      <c r="BE556" s="265"/>
      <c r="BF556" s="265"/>
      <c r="BG556" s="265"/>
      <c r="BH556" s="265"/>
      <c r="BI556" s="265"/>
    </row>
    <row r="557" spans="1:61" ht="13.5" x14ac:dyDescent="0.3">
      <c r="C557" s="265" t="s">
        <v>2498</v>
      </c>
      <c r="D557" s="265" t="s">
        <v>2567</v>
      </c>
      <c r="E557" s="264" t="s">
        <v>1362</v>
      </c>
      <c r="F557" s="257" t="s">
        <v>1363</v>
      </c>
      <c r="G557" s="257" t="s">
        <v>1364</v>
      </c>
      <c r="H557" s="264" t="s">
        <v>110</v>
      </c>
      <c r="I557" s="264" t="s">
        <v>110</v>
      </c>
      <c r="J557" s="271" t="s">
        <v>2800</v>
      </c>
      <c r="K557" s="271"/>
      <c r="L557" s="272">
        <v>44582</v>
      </c>
      <c r="M557" s="272">
        <v>44582</v>
      </c>
      <c r="N557" s="272">
        <v>44533</v>
      </c>
      <c r="O557" s="272">
        <v>44533</v>
      </c>
      <c r="P557" s="272">
        <v>44545</v>
      </c>
      <c r="Q557" s="264" t="s">
        <v>1</v>
      </c>
      <c r="R557" s="264" t="s">
        <v>145</v>
      </c>
      <c r="S557" s="264" t="s">
        <v>2799</v>
      </c>
      <c r="X557" s="264"/>
      <c r="Z557" s="264"/>
      <c r="AA557" s="264"/>
      <c r="AB557" s="265" t="str">
        <f>VLOOKUP(功能_33[[#This Row],[User]],SKL放款!A:G,7,FALSE)</f>
        <v>放款服務課</v>
      </c>
      <c r="AC557" s="272">
        <v>44545</v>
      </c>
      <c r="AD557" s="272" t="s">
        <v>2557</v>
      </c>
      <c r="AE557" s="258">
        <v>44543</v>
      </c>
      <c r="AF557" s="272">
        <v>44543</v>
      </c>
      <c r="AG557" s="209">
        <v>44545</v>
      </c>
      <c r="AH557" s="259"/>
      <c r="AI557" s="259"/>
      <c r="AJ557" s="259"/>
      <c r="AK557" s="259">
        <f>IFERROR(IF(VLOOKUP(功能_33[[#This Row],[功能代號]],E:U,11,FALSE)=0,"",VLOOKUP(功能_33[[#This Row],[功能代號]],E:U,11,FALSE)),"")</f>
        <v>44533</v>
      </c>
      <c r="AL557" s="259"/>
      <c r="AM557" s="259"/>
      <c r="AN557" s="265"/>
      <c r="AP557" s="264" t="s">
        <v>2603</v>
      </c>
      <c r="AQ557" s="264" t="s">
        <v>163</v>
      </c>
      <c r="AR557" s="593" t="s">
        <v>3207</v>
      </c>
      <c r="AS557" s="483" t="str">
        <f>IF(COUNTA(AG557)=1,LEFT(D557,3),"")</f>
        <v>LC.</v>
      </c>
      <c r="AT557" s="485" t="str">
        <f>IF(AND(COUNTA(O557)=1,COUNTA(P557)=1,COUNTA(AC557)=1,COUNTA(AF557)=1,COUNTA(AG557)=0),LEFT(D557,3),"")</f>
        <v/>
      </c>
      <c r="AU557" s="487" t="str">
        <f>IF(AND(COUNTA(O557)=1,COUNTA(P557)=1,COUNTA(AC557)=1,COUNTA(AF557)=0,COUNTA(AG557)=0),LEFT(D557,3),"")</f>
        <v/>
      </c>
      <c r="AV557" s="489" t="str">
        <f>IF(AND(COUNTA(P557)=0,COUNTA(AC557)=1),LEFT(D557,3),"")</f>
        <v/>
      </c>
      <c r="AW557" s="491" t="str">
        <f>IF(AND(COUNTA(P557)=1,COUNTA(AC557)=0),LEFT(D557,3),"")</f>
        <v/>
      </c>
      <c r="AX557" s="493" t="str">
        <f>IF(AND(COUNTA(P557)=0,COUNTA(AC557)=0),LEFT(D557,3),"")</f>
        <v/>
      </c>
      <c r="AY557" s="514" t="str">
        <f>IFERROR(VLOOKUP(功能_33[[#This Row],[功能代號]],SIT_FT_2021tmp!D:D,1,FALSE),"")</f>
        <v>LC001</v>
      </c>
      <c r="AZ557" s="587">
        <v>44547</v>
      </c>
      <c r="BA557" s="587">
        <v>44547</v>
      </c>
      <c r="BB557" s="514" t="s">
        <v>3073</v>
      </c>
      <c r="BC557" s="265" t="s">
        <v>3009</v>
      </c>
      <c r="BD557" s="593"/>
      <c r="BE557" s="264" t="str">
        <f>IF(AND(COUNTIF(AY557,"&gt;&lt;0")=1,COUNTA(M557)=1),LEFT(D557,3),"")</f>
        <v>LC.</v>
      </c>
      <c r="BF557" s="264" t="str">
        <f>IF(AND(COUNTIF(AY557,"&gt;&lt;")=1,COUNTA(M557)=0),LEFT(D557,3),"")</f>
        <v/>
      </c>
      <c r="BG557" s="264" t="str">
        <f>IF(AND(COUNTIF(AY557,"&gt;&lt;0")=0,COUNTA(M557)=1),LEFT(D557,3),"")</f>
        <v/>
      </c>
      <c r="BH557" s="264" t="str">
        <f>IF(AND(COUNTIF(AY557,"&gt;&lt;0")=0,COUNTA(M557)=0),LEFT(D557,3),"")</f>
        <v/>
      </c>
    </row>
    <row r="558" spans="1:61" ht="13.5" x14ac:dyDescent="0.3">
      <c r="C558" s="265" t="s">
        <v>2498</v>
      </c>
      <c r="D558" s="265" t="s">
        <v>2567</v>
      </c>
      <c r="E558" s="264" t="s">
        <v>1365</v>
      </c>
      <c r="F558" s="257" t="s">
        <v>1366</v>
      </c>
      <c r="G558" s="257" t="s">
        <v>1367</v>
      </c>
      <c r="H558" s="264" t="s">
        <v>110</v>
      </c>
      <c r="I558" s="264" t="s">
        <v>110</v>
      </c>
      <c r="J558" s="271" t="s">
        <v>2800</v>
      </c>
      <c r="K558" s="271"/>
      <c r="L558" s="272">
        <v>44582</v>
      </c>
      <c r="M558" s="272">
        <v>44582</v>
      </c>
      <c r="N558" s="272">
        <v>44533</v>
      </c>
      <c r="O558" s="272">
        <v>44533</v>
      </c>
      <c r="P558" s="272">
        <v>44545</v>
      </c>
      <c r="Q558" s="264" t="s">
        <v>1</v>
      </c>
      <c r="R558" s="264" t="s">
        <v>145</v>
      </c>
      <c r="S558" s="264" t="s">
        <v>2799</v>
      </c>
      <c r="X558" s="264"/>
      <c r="Z558" s="264"/>
      <c r="AA558" s="264"/>
      <c r="AB558" s="265" t="str">
        <f>VLOOKUP(功能_33[[#This Row],[User]],SKL放款!A:G,7,FALSE)</f>
        <v>放款服務課</v>
      </c>
      <c r="AC558" s="272">
        <v>44545</v>
      </c>
      <c r="AD558" s="272" t="s">
        <v>2557</v>
      </c>
      <c r="AE558" s="258">
        <v>44543</v>
      </c>
      <c r="AF558" s="272">
        <v>44543</v>
      </c>
      <c r="AG558" s="209">
        <v>44545</v>
      </c>
      <c r="AH558" s="259"/>
      <c r="AI558" s="259"/>
      <c r="AJ558" s="259"/>
      <c r="AK558" s="259">
        <f>IFERROR(IF(VLOOKUP(功能_33[[#This Row],[功能代號]],E:U,11,FALSE)=0,"",VLOOKUP(功能_33[[#This Row],[功能代號]],E:U,11,FALSE)),"")</f>
        <v>44533</v>
      </c>
      <c r="AL558" s="259"/>
      <c r="AM558" s="259"/>
      <c r="AN558" s="265"/>
      <c r="AP558" s="264" t="s">
        <v>2603</v>
      </c>
      <c r="AQ558" s="264" t="s">
        <v>163</v>
      </c>
      <c r="AR558" s="593" t="s">
        <v>3207</v>
      </c>
      <c r="AS558" s="483" t="str">
        <f>IF(COUNTA(AG558)=1,LEFT(D558,3),"")</f>
        <v>LC.</v>
      </c>
      <c r="AT558" s="485" t="str">
        <f>IF(AND(COUNTA(O558)=1,COUNTA(P558)=1,COUNTA(AC558)=1,COUNTA(AF558)=1,COUNTA(AG558)=0),LEFT(D558,3),"")</f>
        <v/>
      </c>
      <c r="AU558" s="487" t="str">
        <f>IF(AND(COUNTA(O558)=1,COUNTA(P558)=1,COUNTA(AC558)=1,COUNTA(AF558)=0,COUNTA(AG558)=0),LEFT(D558,3),"")</f>
        <v/>
      </c>
      <c r="AV558" s="489" t="str">
        <f>IF(AND(COUNTA(P558)=0,COUNTA(AC558)=1),LEFT(D558,3),"")</f>
        <v/>
      </c>
      <c r="AW558" s="491" t="str">
        <f>IF(AND(COUNTA(P558)=1,COUNTA(AC558)=0),LEFT(D558,3),"")</f>
        <v/>
      </c>
      <c r="AX558" s="493" t="str">
        <f>IF(AND(COUNTA(P558)=0,COUNTA(AC558)=0),LEFT(D558,3),"")</f>
        <v/>
      </c>
      <c r="AY558" s="514" t="str">
        <f>IFERROR(VLOOKUP(功能_33[[#This Row],[功能代號]],SIT_FT_2021tmp!D:D,1,FALSE),"")</f>
        <v>LC002</v>
      </c>
      <c r="AZ558" s="587">
        <v>44547</v>
      </c>
      <c r="BA558" s="587">
        <v>44547</v>
      </c>
      <c r="BB558" s="514" t="s">
        <v>3073</v>
      </c>
      <c r="BC558" s="265" t="s">
        <v>3009</v>
      </c>
      <c r="BD558" s="593"/>
      <c r="BE558" s="264" t="str">
        <f>IF(AND(COUNTIF(AY558,"&gt;&lt;0")=1,COUNTA(M558)=1),LEFT(D558,3),"")</f>
        <v>LC.</v>
      </c>
      <c r="BF558" s="264" t="str">
        <f>IF(AND(COUNTIF(AY558,"&gt;&lt;")=1,COUNTA(M558)=0),LEFT(D558,3),"")</f>
        <v/>
      </c>
      <c r="BG558" s="264" t="str">
        <f>IF(AND(COUNTIF(AY558,"&gt;&lt;0")=0,COUNTA(M558)=1),LEFT(D558,3),"")</f>
        <v/>
      </c>
      <c r="BH558" s="264" t="str">
        <f>IF(AND(COUNTIF(AY558,"&gt;&lt;0")=0,COUNTA(M558)=0),LEFT(D558,3),"")</f>
        <v/>
      </c>
    </row>
    <row r="559" spans="1:61" ht="13.5" x14ac:dyDescent="0.3">
      <c r="C559" s="265" t="s">
        <v>2498</v>
      </c>
      <c r="D559" s="265" t="s">
        <v>2567</v>
      </c>
      <c r="E559" s="264" t="s">
        <v>1368</v>
      </c>
      <c r="F559" s="257" t="s">
        <v>1369</v>
      </c>
      <c r="G559" s="257" t="s">
        <v>1370</v>
      </c>
      <c r="H559" s="264" t="s">
        <v>110</v>
      </c>
      <c r="I559" s="264" t="s">
        <v>110</v>
      </c>
      <c r="J559" s="271" t="s">
        <v>2800</v>
      </c>
      <c r="K559" s="271"/>
      <c r="L559" s="272">
        <v>44582</v>
      </c>
      <c r="M559" s="272">
        <v>44582</v>
      </c>
      <c r="N559" s="272">
        <v>44533</v>
      </c>
      <c r="O559" s="272">
        <v>44533</v>
      </c>
      <c r="P559" s="272">
        <v>44545</v>
      </c>
      <c r="Q559" s="264" t="s">
        <v>1</v>
      </c>
      <c r="R559" s="264" t="s">
        <v>145</v>
      </c>
      <c r="S559" s="264" t="s">
        <v>2799</v>
      </c>
      <c r="X559" s="264"/>
      <c r="Z559" s="264"/>
      <c r="AA559" s="264"/>
      <c r="AB559" s="265" t="str">
        <f>VLOOKUP(功能_33[[#This Row],[User]],SKL放款!A:G,7,FALSE)</f>
        <v>放款服務課</v>
      </c>
      <c r="AC559" s="272">
        <v>44545</v>
      </c>
      <c r="AD559" s="272" t="s">
        <v>2394</v>
      </c>
      <c r="AE559" s="258">
        <v>44543</v>
      </c>
      <c r="AF559" s="272">
        <v>44543</v>
      </c>
      <c r="AG559" s="209">
        <v>44545</v>
      </c>
      <c r="AH559" s="259"/>
      <c r="AI559" s="259"/>
      <c r="AJ559" s="259"/>
      <c r="AK559" s="259">
        <f>IFERROR(IF(VLOOKUP(功能_33[[#This Row],[功能代號]],E:U,11,FALSE)=0,"",VLOOKUP(功能_33[[#This Row],[功能代號]],E:U,11,FALSE)),"")</f>
        <v>44533</v>
      </c>
      <c r="AL559" s="259"/>
      <c r="AM559" s="259"/>
      <c r="AN559" s="265"/>
      <c r="AP559" s="264" t="s">
        <v>2603</v>
      </c>
      <c r="AQ559" s="264" t="s">
        <v>163</v>
      </c>
      <c r="AR559" s="593" t="s">
        <v>3207</v>
      </c>
      <c r="AS559" s="483" t="str">
        <f>IF(COUNTA(AG559)=1,LEFT(D559,3),"")</f>
        <v>LC.</v>
      </c>
      <c r="AT559" s="485" t="str">
        <f>IF(AND(COUNTA(O559)=1,COUNTA(P559)=1,COUNTA(AC559)=1,COUNTA(AF559)=1,COUNTA(AG559)=0),LEFT(D559,3),"")</f>
        <v/>
      </c>
      <c r="AU559" s="487" t="str">
        <f>IF(AND(COUNTA(O559)=1,COUNTA(P559)=1,COUNTA(AC559)=1,COUNTA(AF559)=0,COUNTA(AG559)=0),LEFT(D559,3),"")</f>
        <v/>
      </c>
      <c r="AV559" s="489" t="str">
        <f>IF(AND(COUNTA(P559)=0,COUNTA(AC559)=1),LEFT(D559,3),"")</f>
        <v/>
      </c>
      <c r="AW559" s="491" t="str">
        <f>IF(AND(COUNTA(P559)=1,COUNTA(AC559)=0),LEFT(D559,3),"")</f>
        <v/>
      </c>
      <c r="AX559" s="493" t="str">
        <f>IF(AND(COUNTA(P559)=0,COUNTA(AC559)=0),LEFT(D559,3),"")</f>
        <v/>
      </c>
      <c r="AY559" s="514" t="str">
        <f>IFERROR(VLOOKUP(功能_33[[#This Row],[功能代號]],SIT_FT_2021tmp!D:D,1,FALSE),"")</f>
        <v>LC003</v>
      </c>
      <c r="AZ559" s="587">
        <v>44560</v>
      </c>
      <c r="BA559" s="587">
        <v>44560</v>
      </c>
      <c r="BB559" s="514" t="s">
        <v>3073</v>
      </c>
      <c r="BC559" s="265" t="s">
        <v>3010</v>
      </c>
      <c r="BD559" s="593"/>
      <c r="BE559" s="264" t="str">
        <f>IF(AND(COUNTIF(AY559,"&gt;&lt;0")=1,COUNTA(M559)=1),LEFT(D559,3),"")</f>
        <v>LC.</v>
      </c>
      <c r="BF559" s="264" t="str">
        <f>IF(AND(COUNTIF(AY559,"&gt;&lt;")=1,COUNTA(M559)=0),LEFT(D559,3),"")</f>
        <v/>
      </c>
      <c r="BG559" s="264" t="str">
        <f>IF(AND(COUNTIF(AY559,"&gt;&lt;0")=0,COUNTA(M559)=1),LEFT(D559,3),"")</f>
        <v/>
      </c>
      <c r="BH559" s="264" t="str">
        <f>IF(AND(COUNTIF(AY559,"&gt;&lt;0")=0,COUNTA(M559)=0),LEFT(D559,3),"")</f>
        <v/>
      </c>
    </row>
    <row r="560" spans="1:61" ht="13.5" x14ac:dyDescent="0.3">
      <c r="C560" s="265" t="s">
        <v>2498</v>
      </c>
      <c r="D560" s="265" t="s">
        <v>2567</v>
      </c>
      <c r="E560" s="264" t="s">
        <v>1371</v>
      </c>
      <c r="F560" s="257" t="s">
        <v>1372</v>
      </c>
      <c r="G560" s="257" t="s">
        <v>1367</v>
      </c>
      <c r="H560" s="264" t="s">
        <v>110</v>
      </c>
      <c r="I560" s="264" t="s">
        <v>110</v>
      </c>
      <c r="J560" s="271" t="s">
        <v>2800</v>
      </c>
      <c r="K560" s="271"/>
      <c r="L560" s="272">
        <v>44582</v>
      </c>
      <c r="M560" s="272">
        <v>44582</v>
      </c>
      <c r="N560" s="209">
        <v>44533</v>
      </c>
      <c r="O560" s="272">
        <v>44533</v>
      </c>
      <c r="P560" s="272">
        <v>44545</v>
      </c>
      <c r="Q560" s="264" t="s">
        <v>1</v>
      </c>
      <c r="R560" s="264" t="s">
        <v>145</v>
      </c>
      <c r="S560" s="264" t="s">
        <v>2799</v>
      </c>
      <c r="X560" s="264"/>
      <c r="Z560" s="264"/>
      <c r="AA560" s="264"/>
      <c r="AB560" s="265" t="str">
        <f>VLOOKUP(功能_33[[#This Row],[User]],SKL放款!A:G,7,FALSE)</f>
        <v>放款服務課</v>
      </c>
      <c r="AC560" s="272">
        <v>44545</v>
      </c>
      <c r="AD560" s="272" t="s">
        <v>2557</v>
      </c>
      <c r="AE560" s="258">
        <v>44543</v>
      </c>
      <c r="AF560" s="272">
        <v>44543</v>
      </c>
      <c r="AG560" s="209">
        <v>44545</v>
      </c>
      <c r="AH560" s="259"/>
      <c r="AI560" s="259"/>
      <c r="AJ560" s="259"/>
      <c r="AK560" s="259">
        <f>IFERROR(IF(VLOOKUP(功能_33[[#This Row],[功能代號]],E:U,11,FALSE)=0,"",VLOOKUP(功能_33[[#This Row],[功能代號]],E:U,11,FALSE)),"")</f>
        <v>44533</v>
      </c>
      <c r="AL560" s="259"/>
      <c r="AM560" s="259"/>
      <c r="AN560" s="265"/>
      <c r="AP560" s="264" t="s">
        <v>2603</v>
      </c>
      <c r="AQ560" s="264" t="s">
        <v>163</v>
      </c>
      <c r="AR560" s="593" t="s">
        <v>3207</v>
      </c>
      <c r="AS560" s="483" t="str">
        <f>IF(COUNTA(AG560)=1,LEFT(D560,3),"")</f>
        <v>LC.</v>
      </c>
      <c r="AT560" s="485" t="str">
        <f>IF(AND(COUNTA(O560)=1,COUNTA(P560)=1,COUNTA(AC560)=1,COUNTA(AF560)=1,COUNTA(AG560)=0),LEFT(D560,3),"")</f>
        <v/>
      </c>
      <c r="AU560" s="487" t="str">
        <f>IF(AND(COUNTA(O560)=1,COUNTA(P560)=1,COUNTA(AC560)=1,COUNTA(AF560)=0,COUNTA(AG560)=0),LEFT(D560,3),"")</f>
        <v/>
      </c>
      <c r="AV560" s="489" t="str">
        <f>IF(AND(COUNTA(P560)=0,COUNTA(AC560)=1),LEFT(D560,3),"")</f>
        <v/>
      </c>
      <c r="AW560" s="491" t="str">
        <f>IF(AND(COUNTA(P560)=1,COUNTA(AC560)=0),LEFT(D560,3),"")</f>
        <v/>
      </c>
      <c r="AX560" s="493" t="str">
        <f>IF(AND(COUNTA(P560)=0,COUNTA(AC560)=0),LEFT(D560,3),"")</f>
        <v/>
      </c>
      <c r="AY560" s="514" t="str">
        <f>IFERROR(VLOOKUP(功能_33[[#This Row],[功能代號]],SIT_FT_2021tmp!D:D,1,FALSE),"")</f>
        <v/>
      </c>
      <c r="AZ560" s="587">
        <v>44610</v>
      </c>
      <c r="BB560" s="514" t="s">
        <v>2453</v>
      </c>
      <c r="BC560" s="265" t="s">
        <v>2453</v>
      </c>
      <c r="BD560" s="593"/>
      <c r="BE560" s="265" t="str">
        <f>IF(AND(COUNTIF(AY560,"&gt;&lt;0")=1,COUNTA(M560)=1),LEFT(D560,3),"")</f>
        <v/>
      </c>
      <c r="BF560" s="265" t="str">
        <f>IF(AND(COUNTIF(AY560,"&gt;&lt;")=1,COUNTA(M560)=0),LEFT(D560,3),"")</f>
        <v/>
      </c>
      <c r="BG560" s="265" t="str">
        <f>IF(AND(COUNTIF(AY560,"&gt;&lt;0")=0,COUNTA(M560)=1),LEFT(D560,3),"")</f>
        <v>LC.</v>
      </c>
      <c r="BH560" s="265" t="str">
        <f>IF(AND(COUNTIF(AY560,"&gt;&lt;0")=0,COUNTA(M560)=0),LEFT(D560,3),"")</f>
        <v/>
      </c>
    </row>
    <row r="561" spans="1:61" ht="13.5" x14ac:dyDescent="0.3">
      <c r="C561" s="265" t="s">
        <v>2498</v>
      </c>
      <c r="D561" s="265" t="s">
        <v>2567</v>
      </c>
      <c r="E561" s="264" t="s">
        <v>1373</v>
      </c>
      <c r="F561" s="257" t="s">
        <v>1374</v>
      </c>
      <c r="G561" s="257" t="s">
        <v>1367</v>
      </c>
      <c r="H561" s="264" t="s">
        <v>110</v>
      </c>
      <c r="I561" s="264" t="s">
        <v>110</v>
      </c>
      <c r="J561" s="271" t="s">
        <v>2800</v>
      </c>
      <c r="K561" s="271"/>
      <c r="L561" s="272">
        <v>44582</v>
      </c>
      <c r="M561" s="272">
        <v>44582</v>
      </c>
      <c r="N561" s="272">
        <v>44533</v>
      </c>
      <c r="O561" s="272">
        <v>44533</v>
      </c>
      <c r="P561" s="272">
        <v>44545</v>
      </c>
      <c r="Q561" s="264" t="s">
        <v>1</v>
      </c>
      <c r="R561" s="264" t="s">
        <v>145</v>
      </c>
      <c r="S561" s="264" t="s">
        <v>2799</v>
      </c>
      <c r="X561" s="264"/>
      <c r="Z561" s="264"/>
      <c r="AA561" s="264"/>
      <c r="AB561" s="265" t="str">
        <f>VLOOKUP(功能_33[[#This Row],[User]],SKL放款!A:G,7,FALSE)</f>
        <v>放款服務課</v>
      </c>
      <c r="AC561" s="272">
        <v>44545</v>
      </c>
      <c r="AD561" s="272" t="s">
        <v>2557</v>
      </c>
      <c r="AE561" s="258">
        <v>44543</v>
      </c>
      <c r="AF561" s="272">
        <v>44543</v>
      </c>
      <c r="AG561" s="209">
        <v>44545</v>
      </c>
      <c r="AH561" s="259"/>
      <c r="AI561" s="259"/>
      <c r="AJ561" s="259"/>
      <c r="AK561" s="259">
        <f>IFERROR(IF(VLOOKUP(功能_33[[#This Row],[功能代號]],E:U,11,FALSE)=0,"",VLOOKUP(功能_33[[#This Row],[功能代號]],E:U,11,FALSE)),"")</f>
        <v>44533</v>
      </c>
      <c r="AL561" s="259"/>
      <c r="AM561" s="259"/>
      <c r="AN561" s="265"/>
      <c r="AP561" s="264" t="s">
        <v>2603</v>
      </c>
      <c r="AQ561" s="264" t="s">
        <v>163</v>
      </c>
      <c r="AR561" s="593" t="s">
        <v>3207</v>
      </c>
      <c r="AS561" s="483" t="str">
        <f>IF(COUNTA(AG561)=1,LEFT(D561,3),"")</f>
        <v>LC.</v>
      </c>
      <c r="AT561" s="485" t="str">
        <f>IF(AND(COUNTA(O561)=1,COUNTA(P561)=1,COUNTA(AC561)=1,COUNTA(AF561)=1,COUNTA(AG561)=0),LEFT(D561,3),"")</f>
        <v/>
      </c>
      <c r="AU561" s="487" t="str">
        <f>IF(AND(COUNTA(O561)=1,COUNTA(P561)=1,COUNTA(AC561)=1,COUNTA(AF561)=0,COUNTA(AG561)=0),LEFT(D561,3),"")</f>
        <v/>
      </c>
      <c r="AV561" s="489" t="str">
        <f>IF(AND(COUNTA(P561)=0,COUNTA(AC561)=1),LEFT(D561,3),"")</f>
        <v/>
      </c>
      <c r="AW561" s="491" t="str">
        <f>IF(AND(COUNTA(P561)=1,COUNTA(AC561)=0),LEFT(D561,3),"")</f>
        <v/>
      </c>
      <c r="AX561" s="493" t="str">
        <f>IF(AND(COUNTA(P561)=0,COUNTA(AC561)=0),LEFT(D561,3),"")</f>
        <v/>
      </c>
      <c r="AY561" s="514" t="str">
        <f>IFERROR(VLOOKUP(功能_33[[#This Row],[功能代號]],SIT_FT_2021tmp!D:D,1,FALSE),"")</f>
        <v>LC005</v>
      </c>
      <c r="AZ561" s="587">
        <v>44547</v>
      </c>
      <c r="BA561" s="587">
        <v>44547</v>
      </c>
      <c r="BB561" s="514" t="s">
        <v>3073</v>
      </c>
      <c r="BC561" s="265" t="s">
        <v>3009</v>
      </c>
      <c r="BD561" s="593"/>
      <c r="BE561" s="264" t="str">
        <f>IF(AND(COUNTIF(AY561,"&gt;&lt;0")=1,COUNTA(M561)=1),LEFT(D561,3),"")</f>
        <v>LC.</v>
      </c>
      <c r="BF561" s="264" t="str">
        <f>IF(AND(COUNTIF(AY561,"&gt;&lt;")=1,COUNTA(M561)=0),LEFT(D561,3),"")</f>
        <v/>
      </c>
      <c r="BG561" s="264" t="str">
        <f>IF(AND(COUNTIF(AY561,"&gt;&lt;0")=0,COUNTA(M561)=1),LEFT(D561,3),"")</f>
        <v/>
      </c>
      <c r="BH561" s="264" t="str">
        <f>IF(AND(COUNTIF(AY561,"&gt;&lt;0")=0,COUNTA(M561)=0),LEFT(D561,3),"")</f>
        <v/>
      </c>
    </row>
    <row r="562" spans="1:61" ht="13.5" x14ac:dyDescent="0.3">
      <c r="C562" s="265" t="s">
        <v>2498</v>
      </c>
      <c r="D562" s="265" t="s">
        <v>2567</v>
      </c>
      <c r="E562" s="264" t="s">
        <v>1375</v>
      </c>
      <c r="F562" s="257" t="s">
        <v>1376</v>
      </c>
      <c r="G562" s="257" t="s">
        <v>1364</v>
      </c>
      <c r="H562" s="264" t="s">
        <v>110</v>
      </c>
      <c r="I562" s="264" t="s">
        <v>110</v>
      </c>
      <c r="J562" s="271" t="s">
        <v>2800</v>
      </c>
      <c r="K562" s="271"/>
      <c r="L562" s="272">
        <v>44582</v>
      </c>
      <c r="M562" s="272">
        <v>44582</v>
      </c>
      <c r="N562" s="272">
        <v>44533</v>
      </c>
      <c r="O562" s="272">
        <v>44533</v>
      </c>
      <c r="P562" s="272">
        <v>44545</v>
      </c>
      <c r="Q562" s="264" t="s">
        <v>1</v>
      </c>
      <c r="R562" s="264" t="s">
        <v>145</v>
      </c>
      <c r="S562" s="264" t="s">
        <v>2799</v>
      </c>
      <c r="X562" s="264"/>
      <c r="Z562" s="264"/>
      <c r="AA562" s="264"/>
      <c r="AB562" s="265" t="str">
        <f>VLOOKUP(功能_33[[#This Row],[User]],SKL放款!A:G,7,FALSE)</f>
        <v>放款服務課</v>
      </c>
      <c r="AC562" s="272">
        <v>44545</v>
      </c>
      <c r="AD562" s="272" t="s">
        <v>2394</v>
      </c>
      <c r="AE562" s="258">
        <v>44543</v>
      </c>
      <c r="AF562" s="272">
        <v>44543</v>
      </c>
      <c r="AG562" s="209">
        <v>44545</v>
      </c>
      <c r="AH562" s="259"/>
      <c r="AI562" s="259"/>
      <c r="AJ562" s="259"/>
      <c r="AK562" s="259">
        <f>IFERROR(IF(VLOOKUP(功能_33[[#This Row],[功能代號]],E:U,11,FALSE)=0,"",VLOOKUP(功能_33[[#This Row],[功能代號]],E:U,11,FALSE)),"")</f>
        <v>44533</v>
      </c>
      <c r="AL562" s="259"/>
      <c r="AM562" s="259"/>
      <c r="AN562" s="265"/>
      <c r="AP562" s="264" t="s">
        <v>2603</v>
      </c>
      <c r="AQ562" s="264" t="s">
        <v>163</v>
      </c>
      <c r="AR562" s="593" t="s">
        <v>3207</v>
      </c>
      <c r="AS562" s="483" t="str">
        <f>IF(COUNTA(AG562)=1,LEFT(D562,3),"")</f>
        <v>LC.</v>
      </c>
      <c r="AT562" s="485" t="str">
        <f>IF(AND(COUNTA(O562)=1,COUNTA(P562)=1,COUNTA(AC562)=1,COUNTA(AF562)=1,COUNTA(AG562)=0),LEFT(D562,3),"")</f>
        <v/>
      </c>
      <c r="AU562" s="487" t="str">
        <f>IF(AND(COUNTA(O562)=1,COUNTA(P562)=1,COUNTA(AC562)=1,COUNTA(AF562)=0,COUNTA(AG562)=0),LEFT(D562,3),"")</f>
        <v/>
      </c>
      <c r="AV562" s="489" t="str">
        <f>IF(AND(COUNTA(P562)=0,COUNTA(AC562)=1),LEFT(D562,3),"")</f>
        <v/>
      </c>
      <c r="AW562" s="491" t="str">
        <f>IF(AND(COUNTA(P562)=1,COUNTA(AC562)=0),LEFT(D562,3),"")</f>
        <v/>
      </c>
      <c r="AX562" s="493" t="str">
        <f>IF(AND(COUNTA(P562)=0,COUNTA(AC562)=0),LEFT(D562,3),"")</f>
        <v/>
      </c>
      <c r="AY562" s="514" t="str">
        <f>IFERROR(VLOOKUP(功能_33[[#This Row],[功能代號]],SIT_FT_2021tmp!D:D,1,FALSE),"")</f>
        <v>LC009</v>
      </c>
      <c r="AZ562" s="587">
        <v>44516</v>
      </c>
      <c r="BA562" s="587">
        <v>44516</v>
      </c>
      <c r="BB562" s="514" t="s">
        <v>3073</v>
      </c>
      <c r="BC562" s="265" t="s">
        <v>3067</v>
      </c>
      <c r="BD562" s="593"/>
      <c r="BE562" s="264" t="str">
        <f>IF(AND(COUNTIF(AY562,"&gt;&lt;0")=1,COUNTA(M562)=1),LEFT(D562,3),"")</f>
        <v>LC.</v>
      </c>
      <c r="BF562" s="264" t="str">
        <f>IF(AND(COUNTIF(AY562,"&gt;&lt;")=1,COUNTA(M562)=0),LEFT(D562,3),"")</f>
        <v/>
      </c>
      <c r="BG562" s="264" t="str">
        <f>IF(AND(COUNTIF(AY562,"&gt;&lt;0")=0,COUNTA(M562)=1),LEFT(D562,3),"")</f>
        <v/>
      </c>
      <c r="BH562" s="264" t="str">
        <f>IF(AND(COUNTIF(AY562,"&gt;&lt;0")=0,COUNTA(M562)=0),LEFT(D562,3),"")</f>
        <v/>
      </c>
    </row>
    <row r="563" spans="1:61" ht="13.5" x14ac:dyDescent="0.3">
      <c r="C563" s="265" t="s">
        <v>2498</v>
      </c>
      <c r="D563" s="265" t="s">
        <v>2567</v>
      </c>
      <c r="E563" s="264" t="s">
        <v>1377</v>
      </c>
      <c r="F563" s="257" t="s">
        <v>1378</v>
      </c>
      <c r="G563" s="257" t="s">
        <v>1364</v>
      </c>
      <c r="H563" s="264" t="s">
        <v>110</v>
      </c>
      <c r="I563" s="264" t="s">
        <v>110</v>
      </c>
      <c r="J563" s="271" t="s">
        <v>2800</v>
      </c>
      <c r="K563" s="271"/>
      <c r="L563" s="272">
        <v>44582</v>
      </c>
      <c r="M563" s="272">
        <v>44582</v>
      </c>
      <c r="N563" s="209">
        <v>44533</v>
      </c>
      <c r="O563" s="272">
        <v>44533</v>
      </c>
      <c r="P563" s="272">
        <v>44545</v>
      </c>
      <c r="Q563" s="264" t="s">
        <v>1</v>
      </c>
      <c r="R563" s="264" t="s">
        <v>145</v>
      </c>
      <c r="S563" s="264" t="s">
        <v>2799</v>
      </c>
      <c r="X563" s="264"/>
      <c r="Z563" s="264"/>
      <c r="AA563" s="264"/>
      <c r="AB563" s="265" t="str">
        <f>VLOOKUP(功能_33[[#This Row],[User]],SKL放款!A:G,7,FALSE)</f>
        <v>放款服務課</v>
      </c>
      <c r="AC563" s="272">
        <v>44545</v>
      </c>
      <c r="AD563" s="272" t="s">
        <v>2557</v>
      </c>
      <c r="AE563" s="258">
        <v>44543</v>
      </c>
      <c r="AF563" s="272">
        <v>44543</v>
      </c>
      <c r="AG563" s="209">
        <v>44545</v>
      </c>
      <c r="AH563" s="259"/>
      <c r="AI563" s="259"/>
      <c r="AJ563" s="259"/>
      <c r="AK563" s="259">
        <f>IFERROR(IF(VLOOKUP(功能_33[[#This Row],[功能代號]],E:U,11,FALSE)=0,"",VLOOKUP(功能_33[[#This Row],[功能代號]],E:U,11,FALSE)),"")</f>
        <v>44533</v>
      </c>
      <c r="AL563" s="259"/>
      <c r="AM563" s="259"/>
      <c r="AN563" s="265"/>
      <c r="AP563" s="264" t="s">
        <v>2603</v>
      </c>
      <c r="AQ563" s="264" t="s">
        <v>163</v>
      </c>
      <c r="AR563" s="593" t="s">
        <v>3207</v>
      </c>
      <c r="AS563" s="483" t="str">
        <f>IF(COUNTA(AG563)=1,LEFT(D563,3),"")</f>
        <v>LC.</v>
      </c>
      <c r="AT563" s="485" t="str">
        <f>IF(AND(COUNTA(O563)=1,COUNTA(P563)=1,COUNTA(AC563)=1,COUNTA(AF563)=1,COUNTA(AG563)=0),LEFT(D563,3),"")</f>
        <v/>
      </c>
      <c r="AU563" s="487" t="str">
        <f>IF(AND(COUNTA(O563)=1,COUNTA(P563)=1,COUNTA(AC563)=1,COUNTA(AF563)=0,COUNTA(AG563)=0),LEFT(D563,3),"")</f>
        <v/>
      </c>
      <c r="AV563" s="489" t="str">
        <f>IF(AND(COUNTA(P563)=0,COUNTA(AC563)=1),LEFT(D563,3),"")</f>
        <v/>
      </c>
      <c r="AW563" s="491" t="str">
        <f>IF(AND(COUNTA(P563)=1,COUNTA(AC563)=0),LEFT(D563,3),"")</f>
        <v/>
      </c>
      <c r="AX563" s="493" t="str">
        <f>IF(AND(COUNTA(P563)=0,COUNTA(AC563)=0),LEFT(D563,3),"")</f>
        <v/>
      </c>
      <c r="AY563" s="514" t="str">
        <f>IFERROR(VLOOKUP(功能_33[[#This Row],[功能代號]],SIT_FT_2021tmp!D:D,1,FALSE),"")</f>
        <v/>
      </c>
      <c r="AZ563" s="587">
        <v>44610</v>
      </c>
      <c r="BB563" s="514" t="s">
        <v>2453</v>
      </c>
      <c r="BC563" s="265" t="s">
        <v>2453</v>
      </c>
      <c r="BD563" s="593"/>
      <c r="BE563" s="265" t="str">
        <f>IF(AND(COUNTIF(AY563,"&gt;&lt;0")=1,COUNTA(M563)=1),LEFT(D563,3),"")</f>
        <v/>
      </c>
      <c r="BF563" s="265" t="str">
        <f>IF(AND(COUNTIF(AY563,"&gt;&lt;")=1,COUNTA(M563)=0),LEFT(D563,3),"")</f>
        <v/>
      </c>
      <c r="BG563" s="265" t="str">
        <f>IF(AND(COUNTIF(AY563,"&gt;&lt;0")=0,COUNTA(M563)=1),LEFT(D563,3),"")</f>
        <v>LC.</v>
      </c>
      <c r="BH563" s="265" t="str">
        <f>IF(AND(COUNTIF(AY563,"&gt;&lt;0")=0,COUNTA(M563)=0),LEFT(D563,3),"")</f>
        <v/>
      </c>
    </row>
    <row r="564" spans="1:61" ht="13.5" x14ac:dyDescent="0.3">
      <c r="C564" s="265" t="s">
        <v>2498</v>
      </c>
      <c r="D564" s="265" t="s">
        <v>2567</v>
      </c>
      <c r="E564" s="264" t="s">
        <v>1379</v>
      </c>
      <c r="F564" s="257" t="s">
        <v>1380</v>
      </c>
      <c r="G564" s="257" t="s">
        <v>1364</v>
      </c>
      <c r="H564" s="264" t="s">
        <v>110</v>
      </c>
      <c r="I564" s="264" t="s">
        <v>110</v>
      </c>
      <c r="J564" s="271" t="s">
        <v>2800</v>
      </c>
      <c r="K564" s="271"/>
      <c r="L564" s="272">
        <v>44582</v>
      </c>
      <c r="M564" s="272">
        <v>44582</v>
      </c>
      <c r="N564" s="272">
        <v>44533</v>
      </c>
      <c r="O564" s="272">
        <v>44533</v>
      </c>
      <c r="P564" s="272">
        <v>44545</v>
      </c>
      <c r="Q564" s="264" t="s">
        <v>1</v>
      </c>
      <c r="R564" s="264" t="s">
        <v>145</v>
      </c>
      <c r="S564" s="264" t="s">
        <v>2799</v>
      </c>
      <c r="X564" s="264"/>
      <c r="Z564" s="264"/>
      <c r="AA564" s="264"/>
      <c r="AB564" s="265" t="str">
        <f>VLOOKUP(功能_33[[#This Row],[User]],SKL放款!A:G,7,FALSE)</f>
        <v>放款服務課</v>
      </c>
      <c r="AC564" s="272">
        <v>44545</v>
      </c>
      <c r="AD564" s="272" t="s">
        <v>2394</v>
      </c>
      <c r="AE564" s="258">
        <v>44543</v>
      </c>
      <c r="AF564" s="272">
        <v>44543</v>
      </c>
      <c r="AG564" s="209">
        <v>44545</v>
      </c>
      <c r="AH564" s="259"/>
      <c r="AI564" s="259"/>
      <c r="AJ564" s="259"/>
      <c r="AK564" s="259">
        <f>IFERROR(IF(VLOOKUP(功能_33[[#This Row],[功能代號]],E:U,11,FALSE)=0,"",VLOOKUP(功能_33[[#This Row],[功能代號]],E:U,11,FALSE)),"")</f>
        <v>44533</v>
      </c>
      <c r="AL564" s="259"/>
      <c r="AM564" s="259"/>
      <c r="AN564" s="265"/>
      <c r="AP564" s="264" t="s">
        <v>2603</v>
      </c>
      <c r="AQ564" s="264" t="s">
        <v>163</v>
      </c>
      <c r="AR564" s="593" t="s">
        <v>3207</v>
      </c>
      <c r="AS564" s="483" t="str">
        <f>IF(COUNTA(AG564)=1,LEFT(D564,3),"")</f>
        <v>LC.</v>
      </c>
      <c r="AT564" s="485" t="str">
        <f>IF(AND(COUNTA(O564)=1,COUNTA(P564)=1,COUNTA(AC564)=1,COUNTA(AF564)=1,COUNTA(AG564)=0),LEFT(D564,3),"")</f>
        <v/>
      </c>
      <c r="AU564" s="487" t="str">
        <f>IF(AND(COUNTA(O564)=1,COUNTA(P564)=1,COUNTA(AC564)=1,COUNTA(AF564)=0,COUNTA(AG564)=0),LEFT(D564,3),"")</f>
        <v/>
      </c>
      <c r="AV564" s="489" t="str">
        <f>IF(AND(COUNTA(P564)=0,COUNTA(AC564)=1),LEFT(D564,3),"")</f>
        <v/>
      </c>
      <c r="AW564" s="491" t="str">
        <f>IF(AND(COUNTA(P564)=1,COUNTA(AC564)=0),LEFT(D564,3),"")</f>
        <v/>
      </c>
      <c r="AX564" s="493" t="str">
        <f>IF(AND(COUNTA(P564)=0,COUNTA(AC564)=0),LEFT(D564,3),"")</f>
        <v/>
      </c>
      <c r="AY564" s="514" t="str">
        <f>IFERROR(VLOOKUP(功能_33[[#This Row],[功能代號]],SIT_FT_2021tmp!D:D,1,FALSE),"")</f>
        <v>LC011</v>
      </c>
      <c r="AZ564" s="587">
        <v>44547</v>
      </c>
      <c r="BA564" s="587">
        <v>44547</v>
      </c>
      <c r="BB564" s="514" t="s">
        <v>3073</v>
      </c>
      <c r="BC564" s="265" t="s">
        <v>3009</v>
      </c>
      <c r="BD564" s="593"/>
      <c r="BE564" s="264" t="str">
        <f>IF(AND(COUNTIF(AY564,"&gt;&lt;0")=1,COUNTA(M564)=1),LEFT(D564,3),"")</f>
        <v>LC.</v>
      </c>
      <c r="BF564" s="264" t="str">
        <f>IF(AND(COUNTIF(AY564,"&gt;&lt;")=1,COUNTA(M564)=0),LEFT(D564,3),"")</f>
        <v/>
      </c>
      <c r="BG564" s="264" t="str">
        <f>IF(AND(COUNTIF(AY564,"&gt;&lt;0")=0,COUNTA(M564)=1),LEFT(D564,3),"")</f>
        <v/>
      </c>
      <c r="BH564" s="264" t="str">
        <f>IF(AND(COUNTIF(AY564,"&gt;&lt;0")=0,COUNTA(M564)=0),LEFT(D564,3),"")</f>
        <v/>
      </c>
    </row>
    <row r="565" spans="1:61" ht="13.5" x14ac:dyDescent="0.3">
      <c r="A565" s="535"/>
      <c r="B565" s="360"/>
      <c r="C565" s="265" t="s">
        <v>2498</v>
      </c>
      <c r="D565" s="265" t="s">
        <v>2567</v>
      </c>
      <c r="E565" s="264" t="s">
        <v>2779</v>
      </c>
      <c r="F565" s="257" t="s">
        <v>2780</v>
      </c>
      <c r="G565" s="257" t="s">
        <v>2788</v>
      </c>
      <c r="H565" s="264" t="s">
        <v>110</v>
      </c>
      <c r="I565" s="264" t="s">
        <v>110</v>
      </c>
      <c r="J565" s="271" t="s">
        <v>2800</v>
      </c>
      <c r="K565" s="271"/>
      <c r="L565" s="272">
        <v>44582</v>
      </c>
      <c r="M565" s="272">
        <v>44582</v>
      </c>
      <c r="N565" s="272">
        <v>44533</v>
      </c>
      <c r="O565" s="272">
        <v>44545</v>
      </c>
      <c r="P565" s="272">
        <v>44545</v>
      </c>
      <c r="Q565" s="264" t="s">
        <v>1</v>
      </c>
      <c r="R565" s="264" t="s">
        <v>145</v>
      </c>
      <c r="S565" s="264" t="s">
        <v>2799</v>
      </c>
      <c r="X565" s="264"/>
      <c r="Z565" s="264"/>
      <c r="AA565" s="264"/>
      <c r="AB565" s="360" t="str">
        <f>VLOOKUP(功能_33[[#This Row],[User]],SKL放款!A:G,7,FALSE)</f>
        <v>放款服務課</v>
      </c>
      <c r="AC565" s="272">
        <v>44545</v>
      </c>
      <c r="AD565" s="272" t="s">
        <v>2443</v>
      </c>
      <c r="AE565" s="258">
        <v>44543</v>
      </c>
      <c r="AF565" s="272">
        <v>44543</v>
      </c>
      <c r="AG565" s="209">
        <v>44545</v>
      </c>
      <c r="AH565" s="259"/>
      <c r="AI565" s="259"/>
      <c r="AJ565" s="259"/>
      <c r="AK565" s="259">
        <f>IFERROR(IF(VLOOKUP(功能_33[[#This Row],[功能代號]],E:U,11,FALSE)=0,"",VLOOKUP(功能_33[[#This Row],[功能代號]],E:U,11,FALSE)),"")</f>
        <v>44545</v>
      </c>
      <c r="AL565" s="259"/>
      <c r="AM565" s="259"/>
      <c r="AN565" s="360"/>
      <c r="AP565" s="264" t="s">
        <v>2603</v>
      </c>
      <c r="AQ565" s="264" t="s">
        <v>163</v>
      </c>
      <c r="AR565" s="593" t="s">
        <v>3207</v>
      </c>
      <c r="AS565" s="536" t="str">
        <f>IF(COUNTA(AG565)=1,LEFT(D565,3),"")</f>
        <v>LC.</v>
      </c>
      <c r="AT565" s="485" t="str">
        <f>IF(AND(COUNTA(O565)=1,COUNTA(P565)=1,COUNTA(AC565)=1,COUNTA(AF565)=1,COUNTA(AG565)=0),LEFT(D565,3),"")</f>
        <v/>
      </c>
      <c r="AU565" s="487" t="str">
        <f>IF(AND(COUNTA(O565)=1,COUNTA(P565)=1,COUNTA(AC565)=1,COUNTA(AF565)=0,COUNTA(AG565)=0),LEFT(D565,3),"")</f>
        <v/>
      </c>
      <c r="AV565" s="489" t="str">
        <f>IF(AND(COUNTA(P565)=0,COUNTA(AC565)=1),LEFT(D565,3),"")</f>
        <v/>
      </c>
      <c r="AW565" s="491" t="str">
        <f>IF(AND(COUNTA(P565)=1,COUNTA(AC565)=0),LEFT(D565,3),"")</f>
        <v/>
      </c>
      <c r="AX565" s="493" t="str">
        <f>IF(AND(COUNTA(P565)=0,COUNTA(AC565)=0),LEFT(D565,3),"")</f>
        <v/>
      </c>
      <c r="AY565" s="514" t="str">
        <f>IFERROR(VLOOKUP(功能_33[[#This Row],[功能代號]],SIT_FT_2021tmp!D:D,1,FALSE),"")</f>
        <v/>
      </c>
      <c r="AZ565" s="587">
        <v>44610</v>
      </c>
      <c r="BB565" s="514" t="s">
        <v>2453</v>
      </c>
      <c r="BC565" s="265" t="s">
        <v>2453</v>
      </c>
      <c r="BD565" s="593"/>
      <c r="BE565" s="265" t="str">
        <f>IF(AND(COUNTIF(AY565,"&gt;&lt;0")=1,COUNTA(M565)=1),LEFT(D565,3),"")</f>
        <v/>
      </c>
      <c r="BF565" s="265" t="str">
        <f>IF(AND(COUNTIF(AY565,"&gt;&lt;")=1,COUNTA(M565)=0),LEFT(D565,3),"")</f>
        <v/>
      </c>
      <c r="BG565" s="265" t="str">
        <f>IF(AND(COUNTIF(AY565,"&gt;&lt;0")=0,COUNTA(M565)=1),LEFT(D565,3),"")</f>
        <v>LC.</v>
      </c>
      <c r="BH565" s="265" t="str">
        <f>IF(AND(COUNTIF(AY565,"&gt;&lt;0")=0,COUNTA(M565)=0),LEFT(D565,3),"")</f>
        <v/>
      </c>
    </row>
    <row r="566" spans="1:61" ht="13.5" x14ac:dyDescent="0.3">
      <c r="A566" s="535"/>
      <c r="B566" s="360"/>
      <c r="C566" s="265" t="s">
        <v>2498</v>
      </c>
      <c r="D566" s="265" t="s">
        <v>2567</v>
      </c>
      <c r="E566" s="264" t="s">
        <v>2781</v>
      </c>
      <c r="F566" s="257" t="s">
        <v>2782</v>
      </c>
      <c r="G566" s="257" t="s">
        <v>2788</v>
      </c>
      <c r="H566" s="264" t="s">
        <v>110</v>
      </c>
      <c r="I566" s="264" t="s">
        <v>110</v>
      </c>
      <c r="J566" s="271" t="s">
        <v>2800</v>
      </c>
      <c r="K566" s="271"/>
      <c r="L566" s="272">
        <v>44582</v>
      </c>
      <c r="M566" s="272">
        <v>44582</v>
      </c>
      <c r="N566" s="272">
        <v>44533</v>
      </c>
      <c r="O566" s="272">
        <v>44545</v>
      </c>
      <c r="P566" s="272">
        <v>44545</v>
      </c>
      <c r="Q566" s="264" t="s">
        <v>1</v>
      </c>
      <c r="R566" s="264" t="s">
        <v>145</v>
      </c>
      <c r="S566" s="264" t="s">
        <v>2799</v>
      </c>
      <c r="X566" s="264"/>
      <c r="Z566" s="264"/>
      <c r="AA566" s="264"/>
      <c r="AB566" s="360" t="str">
        <f>VLOOKUP(功能_33[[#This Row],[User]],SKL放款!A:G,7,FALSE)</f>
        <v>放款服務課</v>
      </c>
      <c r="AC566" s="272">
        <v>44545</v>
      </c>
      <c r="AD566" s="272" t="s">
        <v>2443</v>
      </c>
      <c r="AE566" s="258">
        <v>44543</v>
      </c>
      <c r="AF566" s="272">
        <v>44543</v>
      </c>
      <c r="AG566" s="209">
        <v>44545</v>
      </c>
      <c r="AH566" s="259"/>
      <c r="AI566" s="259"/>
      <c r="AJ566" s="259"/>
      <c r="AK566" s="259">
        <f>IFERROR(IF(VLOOKUP(功能_33[[#This Row],[功能代號]],E:U,11,FALSE)=0,"",VLOOKUP(功能_33[[#This Row],[功能代號]],E:U,11,FALSE)),"")</f>
        <v>44545</v>
      </c>
      <c r="AL566" s="259"/>
      <c r="AM566" s="259"/>
      <c r="AN566" s="360"/>
      <c r="AP566" s="264" t="s">
        <v>2603</v>
      </c>
      <c r="AQ566" s="264" t="s">
        <v>163</v>
      </c>
      <c r="AR566" s="593" t="s">
        <v>3207</v>
      </c>
      <c r="AS566" s="536" t="str">
        <f>IF(COUNTA(AG566)=1,LEFT(D566,3),"")</f>
        <v>LC.</v>
      </c>
      <c r="AT566" s="485" t="str">
        <f>IF(AND(COUNTA(O566)=1,COUNTA(P566)=1,COUNTA(AC566)=1,COUNTA(AF566)=1,COUNTA(AG566)=0),LEFT(D566,3),"")</f>
        <v/>
      </c>
      <c r="AU566" s="487" t="str">
        <f>IF(AND(COUNTA(O566)=1,COUNTA(P566)=1,COUNTA(AC566)=1,COUNTA(AF566)=0,COUNTA(AG566)=0),LEFT(D566,3),"")</f>
        <v/>
      </c>
      <c r="AV566" s="489" t="str">
        <f>IF(AND(COUNTA(P566)=0,COUNTA(AC566)=1),LEFT(D566,3),"")</f>
        <v/>
      </c>
      <c r="AW566" s="491" t="str">
        <f>IF(AND(COUNTA(P566)=1,COUNTA(AC566)=0),LEFT(D566,3),"")</f>
        <v/>
      </c>
      <c r="AX566" s="493" t="str">
        <f>IF(AND(COUNTA(P566)=0,COUNTA(AC566)=0),LEFT(D566,3),"")</f>
        <v/>
      </c>
      <c r="AY566" s="514" t="str">
        <f>IFERROR(VLOOKUP(功能_33[[#This Row],[功能代號]],SIT_FT_2021tmp!D:D,1,FALSE),"")</f>
        <v/>
      </c>
      <c r="AZ566" s="587">
        <v>44610</v>
      </c>
      <c r="BB566" s="514" t="s">
        <v>2453</v>
      </c>
      <c r="BC566" s="265" t="s">
        <v>2453</v>
      </c>
      <c r="BD566" s="593"/>
      <c r="BE566" s="265" t="str">
        <f>IF(AND(COUNTIF(AY566,"&gt;&lt;0")=1,COUNTA(M566)=1),LEFT(D566,3),"")</f>
        <v/>
      </c>
      <c r="BF566" s="265" t="str">
        <f>IF(AND(COUNTIF(AY566,"&gt;&lt;")=1,COUNTA(M566)=0),LEFT(D566,3),"")</f>
        <v/>
      </c>
      <c r="BG566" s="265" t="str">
        <f>IF(AND(COUNTIF(AY566,"&gt;&lt;0")=0,COUNTA(M566)=1),LEFT(D566,3),"")</f>
        <v>LC.</v>
      </c>
      <c r="BH566" s="265" t="str">
        <f>IF(AND(COUNTIF(AY566,"&gt;&lt;0")=0,COUNTA(M566)=0),LEFT(D566,3),"")</f>
        <v/>
      </c>
    </row>
    <row r="567" spans="1:61" ht="13.5" x14ac:dyDescent="0.3">
      <c r="A567" s="535"/>
      <c r="B567" s="360"/>
      <c r="C567" s="265" t="s">
        <v>2498</v>
      </c>
      <c r="D567" s="265" t="s">
        <v>2567</v>
      </c>
      <c r="E567" s="264" t="s">
        <v>2783</v>
      </c>
      <c r="F567" s="257" t="s">
        <v>2784</v>
      </c>
      <c r="G567" s="257" t="s">
        <v>2788</v>
      </c>
      <c r="H567" s="264" t="s">
        <v>110</v>
      </c>
      <c r="I567" s="264" t="s">
        <v>110</v>
      </c>
      <c r="J567" s="271" t="s">
        <v>2800</v>
      </c>
      <c r="K567" s="271"/>
      <c r="L567" s="272">
        <v>44582</v>
      </c>
      <c r="M567" s="272">
        <v>44582</v>
      </c>
      <c r="N567" s="272">
        <v>44533</v>
      </c>
      <c r="O567" s="272">
        <v>44545</v>
      </c>
      <c r="P567" s="272">
        <v>44545</v>
      </c>
      <c r="Q567" s="264" t="s">
        <v>1</v>
      </c>
      <c r="R567" s="264" t="s">
        <v>145</v>
      </c>
      <c r="S567" s="264" t="s">
        <v>2799</v>
      </c>
      <c r="X567" s="264"/>
      <c r="Z567" s="264"/>
      <c r="AA567" s="264"/>
      <c r="AB567" s="360" t="str">
        <f>VLOOKUP(功能_33[[#This Row],[User]],SKL放款!A:G,7,FALSE)</f>
        <v>放款服務課</v>
      </c>
      <c r="AC567" s="272">
        <v>44545</v>
      </c>
      <c r="AD567" s="272" t="s">
        <v>2443</v>
      </c>
      <c r="AE567" s="258">
        <v>44543</v>
      </c>
      <c r="AF567" s="272">
        <v>44543</v>
      </c>
      <c r="AG567" s="209">
        <v>44545</v>
      </c>
      <c r="AH567" s="259"/>
      <c r="AI567" s="259"/>
      <c r="AJ567" s="259"/>
      <c r="AK567" s="259">
        <f>IFERROR(IF(VLOOKUP(功能_33[[#This Row],[功能代號]],E:U,11,FALSE)=0,"",VLOOKUP(功能_33[[#This Row],[功能代號]],E:U,11,FALSE)),"")</f>
        <v>44545</v>
      </c>
      <c r="AL567" s="259"/>
      <c r="AM567" s="259"/>
      <c r="AN567" s="360"/>
      <c r="AP567" s="264" t="s">
        <v>2603</v>
      </c>
      <c r="AQ567" s="264" t="s">
        <v>163</v>
      </c>
      <c r="AR567" s="593" t="s">
        <v>3207</v>
      </c>
      <c r="AS567" s="536" t="str">
        <f>IF(COUNTA(AG567)=1,LEFT(D567,3),"")</f>
        <v>LC.</v>
      </c>
      <c r="AT567" s="485" t="str">
        <f>IF(AND(COUNTA(O567)=1,COUNTA(P567)=1,COUNTA(AC567)=1,COUNTA(AF567)=1,COUNTA(AG567)=0),LEFT(D567,3),"")</f>
        <v/>
      </c>
      <c r="AU567" s="487" t="str">
        <f>IF(AND(COUNTA(O567)=1,COUNTA(P567)=1,COUNTA(AC567)=1,COUNTA(AF567)=0,COUNTA(AG567)=0),LEFT(D567,3),"")</f>
        <v/>
      </c>
      <c r="AV567" s="489" t="str">
        <f>IF(AND(COUNTA(P567)=0,COUNTA(AC567)=1),LEFT(D567,3),"")</f>
        <v/>
      </c>
      <c r="AW567" s="491" t="str">
        <f>IF(AND(COUNTA(P567)=1,COUNTA(AC567)=0),LEFT(D567,3),"")</f>
        <v/>
      </c>
      <c r="AX567" s="493" t="str">
        <f>IF(AND(COUNTA(P567)=0,COUNTA(AC567)=0),LEFT(D567,3),"")</f>
        <v/>
      </c>
      <c r="AY567" s="514" t="str">
        <f>IFERROR(VLOOKUP(功能_33[[#This Row],[功能代號]],SIT_FT_2021tmp!D:D,1,FALSE),"")</f>
        <v/>
      </c>
      <c r="AZ567" s="587">
        <v>44610</v>
      </c>
      <c r="BB567" s="514" t="s">
        <v>2453</v>
      </c>
      <c r="BC567" s="265" t="s">
        <v>2453</v>
      </c>
      <c r="BD567" s="593"/>
      <c r="BE567" s="265" t="str">
        <f>IF(AND(COUNTIF(AY567,"&gt;&lt;0")=1,COUNTA(M567)=1),LEFT(D567,3),"")</f>
        <v/>
      </c>
      <c r="BF567" s="265" t="str">
        <f>IF(AND(COUNTIF(AY567,"&gt;&lt;")=1,COUNTA(M567)=0),LEFT(D567,3),"")</f>
        <v/>
      </c>
      <c r="BG567" s="265" t="str">
        <f>IF(AND(COUNTIF(AY567,"&gt;&lt;0")=0,COUNTA(M567)=1),LEFT(D567,3),"")</f>
        <v>LC.</v>
      </c>
      <c r="BH567" s="265" t="str">
        <f>IF(AND(COUNTIF(AY567,"&gt;&lt;0")=0,COUNTA(M567)=0),LEFT(D567,3),"")</f>
        <v/>
      </c>
    </row>
    <row r="568" spans="1:61" ht="13.5" x14ac:dyDescent="0.3">
      <c r="A568" s="535"/>
      <c r="B568" s="360"/>
      <c r="C568" s="265" t="s">
        <v>2498</v>
      </c>
      <c r="D568" s="265" t="s">
        <v>2567</v>
      </c>
      <c r="E568" s="264" t="s">
        <v>2785</v>
      </c>
      <c r="F568" s="257" t="s">
        <v>2786</v>
      </c>
      <c r="G568" s="257" t="s">
        <v>2788</v>
      </c>
      <c r="H568" s="264" t="s">
        <v>110</v>
      </c>
      <c r="I568" s="264" t="s">
        <v>110</v>
      </c>
      <c r="J568" s="271" t="s">
        <v>2800</v>
      </c>
      <c r="K568" s="271"/>
      <c r="L568" s="272">
        <v>44582</v>
      </c>
      <c r="M568" s="272">
        <v>44582</v>
      </c>
      <c r="N568" s="272">
        <v>44533</v>
      </c>
      <c r="O568" s="272">
        <v>44545</v>
      </c>
      <c r="P568" s="272">
        <v>44545</v>
      </c>
      <c r="Q568" s="264" t="s">
        <v>1</v>
      </c>
      <c r="R568" s="264" t="s">
        <v>145</v>
      </c>
      <c r="S568" s="264" t="s">
        <v>2799</v>
      </c>
      <c r="X568" s="264"/>
      <c r="Z568" s="264"/>
      <c r="AA568" s="264"/>
      <c r="AB568" s="360" t="str">
        <f>VLOOKUP(功能_33[[#This Row],[User]],SKL放款!A:G,7,FALSE)</f>
        <v>放款服務課</v>
      </c>
      <c r="AC568" s="272">
        <v>44545</v>
      </c>
      <c r="AD568" s="272" t="s">
        <v>2443</v>
      </c>
      <c r="AE568" s="258">
        <v>44543</v>
      </c>
      <c r="AF568" s="272">
        <v>44543</v>
      </c>
      <c r="AG568" s="209">
        <v>44545</v>
      </c>
      <c r="AH568" s="259"/>
      <c r="AI568" s="259"/>
      <c r="AJ568" s="259"/>
      <c r="AK568" s="259">
        <f>IFERROR(IF(VLOOKUP(功能_33[[#This Row],[功能代號]],E:U,11,FALSE)=0,"",VLOOKUP(功能_33[[#This Row],[功能代號]],E:U,11,FALSE)),"")</f>
        <v>44545</v>
      </c>
      <c r="AL568" s="259"/>
      <c r="AM568" s="259"/>
      <c r="AN568" s="360"/>
      <c r="AP568" s="264" t="s">
        <v>2603</v>
      </c>
      <c r="AQ568" s="264" t="s">
        <v>163</v>
      </c>
      <c r="AR568" s="593" t="s">
        <v>3207</v>
      </c>
      <c r="AS568" s="536" t="str">
        <f>IF(COUNTA(AG568)=1,LEFT(D568,3),"")</f>
        <v>LC.</v>
      </c>
      <c r="AT568" s="485" t="str">
        <f>IF(AND(COUNTA(O568)=1,COUNTA(P568)=1,COUNTA(AC568)=1,COUNTA(AF568)=1,COUNTA(AG568)=0),LEFT(D568,3),"")</f>
        <v/>
      </c>
      <c r="AU568" s="487" t="str">
        <f>IF(AND(COUNTA(O568)=1,COUNTA(P568)=1,COUNTA(AC568)=1,COUNTA(AF568)=0,COUNTA(AG568)=0),LEFT(D568,3),"")</f>
        <v/>
      </c>
      <c r="AV568" s="489" t="str">
        <f>IF(AND(COUNTA(P568)=0,COUNTA(AC568)=1),LEFT(D568,3),"")</f>
        <v/>
      </c>
      <c r="AW568" s="491" t="str">
        <f>IF(AND(COUNTA(P568)=1,COUNTA(AC568)=0),LEFT(D568,3),"")</f>
        <v/>
      </c>
      <c r="AX568" s="493" t="str">
        <f>IF(AND(COUNTA(P568)=0,COUNTA(AC568)=0),LEFT(D568,3),"")</f>
        <v/>
      </c>
      <c r="AY568" s="514" t="str">
        <f>IFERROR(VLOOKUP(功能_33[[#This Row],[功能代號]],SIT_FT_2021tmp!D:D,1,FALSE),"")</f>
        <v/>
      </c>
      <c r="AZ568" s="587">
        <v>44610</v>
      </c>
      <c r="BB568" s="514" t="s">
        <v>2453</v>
      </c>
      <c r="BC568" s="265" t="s">
        <v>2453</v>
      </c>
      <c r="BD568" s="593"/>
      <c r="BE568" s="265" t="str">
        <f>IF(AND(COUNTIF(AY568,"&gt;&lt;0")=1,COUNTA(M568)=1),LEFT(D568,3),"")</f>
        <v/>
      </c>
      <c r="BF568" s="265" t="str">
        <f>IF(AND(COUNTIF(AY568,"&gt;&lt;")=1,COUNTA(M568)=0),LEFT(D568,3),"")</f>
        <v/>
      </c>
      <c r="BG568" s="265" t="str">
        <f>IF(AND(COUNTIF(AY568,"&gt;&lt;0")=0,COUNTA(M568)=1),LEFT(D568,3),"")</f>
        <v>LC.</v>
      </c>
      <c r="BH568" s="265" t="str">
        <f>IF(AND(COUNTIF(AY568,"&gt;&lt;0")=0,COUNTA(M568)=0),LEFT(D568,3),"")</f>
        <v/>
      </c>
    </row>
    <row r="569" spans="1:61" x14ac:dyDescent="0.3">
      <c r="A569" s="513"/>
      <c r="B569" s="413"/>
      <c r="C569" s="414"/>
      <c r="D569" s="415"/>
      <c r="E569" s="413"/>
      <c r="F569" s="416"/>
      <c r="G569" s="416"/>
      <c r="H569" s="413"/>
      <c r="I569" s="416"/>
      <c r="J569" s="417"/>
      <c r="K569" s="417"/>
      <c r="L569" s="417"/>
      <c r="M569" s="417"/>
      <c r="N569" s="414"/>
      <c r="O569" s="418"/>
      <c r="P569" s="414"/>
      <c r="Q569" s="413"/>
      <c r="R569" s="414"/>
      <c r="S569" s="414"/>
      <c r="T569" s="413"/>
      <c r="U569" s="414"/>
      <c r="V569" s="414"/>
      <c r="W569" s="414"/>
      <c r="X569" s="418"/>
      <c r="Y569" s="414"/>
      <c r="Z569" s="413"/>
      <c r="AA569" s="413"/>
      <c r="AB569" s="413"/>
      <c r="AC569" s="414"/>
      <c r="AD569" s="414"/>
      <c r="AE569" s="413"/>
      <c r="AF569" s="413"/>
      <c r="AG569" s="419"/>
      <c r="AH569" s="413"/>
      <c r="AI569" s="420"/>
      <c r="AJ569" s="421"/>
      <c r="AK569" s="413"/>
      <c r="AL569" s="416"/>
      <c r="AM569" s="416"/>
      <c r="AN569" s="416"/>
      <c r="AO569" s="422"/>
      <c r="AP569" s="414"/>
      <c r="AQ569" s="413"/>
      <c r="AS569" s="413"/>
      <c r="AT569" s="413"/>
      <c r="AU569" s="413"/>
      <c r="AV569" s="413"/>
      <c r="AW569" s="413"/>
      <c r="AX569" s="413"/>
      <c r="AY569" s="413"/>
      <c r="AZ569" s="413"/>
      <c r="BA569" s="413"/>
      <c r="BB569" s="413"/>
      <c r="BC569" s="413"/>
      <c r="BD569" s="594"/>
      <c r="BE569" s="414"/>
      <c r="BF569" s="414"/>
      <c r="BG569" s="414"/>
      <c r="BH569" s="414"/>
      <c r="BI569" s="413"/>
    </row>
    <row r="570" spans="1:61" ht="13.5" x14ac:dyDescent="0.3">
      <c r="A570" s="272"/>
      <c r="D570" s="265"/>
      <c r="F570" s="265"/>
      <c r="G570" s="265"/>
      <c r="I570" s="265"/>
      <c r="J570" s="271"/>
      <c r="K570" s="271"/>
      <c r="L570" s="271"/>
      <c r="M570" s="271"/>
      <c r="O570" s="264"/>
      <c r="X570" s="264"/>
      <c r="AL570" s="265"/>
      <c r="AM570" s="265"/>
      <c r="AN570" s="265"/>
      <c r="AS570" s="537">
        <f t="shared" ref="AS570:AX570" si="0">COUNTIF(AS2:AS568,"&gt;&lt;")</f>
        <v>561</v>
      </c>
      <c r="AT570" s="407">
        <f t="shared" si="0"/>
        <v>1</v>
      </c>
      <c r="AU570" s="407">
        <f t="shared" si="0"/>
        <v>0</v>
      </c>
      <c r="AV570" s="407">
        <f t="shared" si="0"/>
        <v>0</v>
      </c>
      <c r="AW570" s="407">
        <f t="shared" si="0"/>
        <v>10</v>
      </c>
      <c r="AX570" s="407">
        <f t="shared" si="0"/>
        <v>1</v>
      </c>
      <c r="BD570" s="594"/>
      <c r="BE570" s="264">
        <f>COUNTIF(功能_33[已SIT已FT],"&gt;&lt;0")</f>
        <v>320</v>
      </c>
      <c r="BF570" s="264">
        <f>COUNTIF(功能_33[已SIT待FT],"&gt;&lt;0")</f>
        <v>2</v>
      </c>
      <c r="BG570" s="264">
        <f>COUNTIF(功能_33[待SIT已FT],"&gt;&lt;0")</f>
        <v>193</v>
      </c>
      <c r="BH570" s="264">
        <f>COUNTIF(功能_33[待SIT待FT],"&gt;&lt;0")</f>
        <v>51</v>
      </c>
      <c r="BI570" s="265">
        <f>SUM(BE570:BH570)</f>
        <v>566</v>
      </c>
    </row>
    <row r="571" spans="1:61" x14ac:dyDescent="0.3">
      <c r="AX571" s="518"/>
      <c r="BC571" s="212" t="str">
        <f>"／總交易"</f>
        <v>／總交易</v>
      </c>
      <c r="BD571" s="594"/>
      <c r="BE571" s="598">
        <f>BE570/COUNTA(功能_33[功能代號])</f>
        <v>0.56437389770723101</v>
      </c>
      <c r="BF571" s="598">
        <f>BF570/COUNTA(功能_33[功能代號])</f>
        <v>3.5273368606701938E-3</v>
      </c>
      <c r="BG571" s="598">
        <f>BG570/COUNTA(功能_33[功能代號])</f>
        <v>0.3403880070546737</v>
      </c>
      <c r="BH571" s="598">
        <f>BH570/COUNTA(功能_33[功能代號])</f>
        <v>8.9947089947089942E-2</v>
      </c>
      <c r="BI571" s="595">
        <f>SUM(BE571:BH571)</f>
        <v>0.99823633156966496</v>
      </c>
    </row>
    <row r="572" spans="1:61" x14ac:dyDescent="0.3">
      <c r="BC572" s="212" t="str">
        <f>"／已SIT"</f>
        <v>／已SIT</v>
      </c>
      <c r="BD572" s="594"/>
      <c r="BE572" s="598">
        <f>BE570/COUNTIF(功能_33[SIT進度2021],"&gt;&lt;0")</f>
        <v>0.99378881987577639</v>
      </c>
      <c r="BF572" s="598">
        <f>BF570/COUNTIF(功能_33[SIT進度2021],"&gt;&lt;0")</f>
        <v>6.2111801242236021E-3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31" bestFit="1" customWidth="1"/>
    <col min="4" max="4" width="10.69921875" style="631" bestFit="1" customWidth="1"/>
    <col min="5" max="5" width="24.59765625" style="631" bestFit="1" customWidth="1"/>
    <col min="6" max="6" width="16.19921875" style="631" bestFit="1" customWidth="1"/>
  </cols>
  <sheetData>
    <row r="1" spans="3:7" x14ac:dyDescent="0.3">
      <c r="C1" s="615" t="s">
        <v>75</v>
      </c>
      <c r="D1" s="615" t="s">
        <v>76</v>
      </c>
      <c r="E1" s="615" t="s">
        <v>77</v>
      </c>
      <c r="F1" s="615" t="s">
        <v>78</v>
      </c>
    </row>
    <row r="2" spans="3:7" x14ac:dyDescent="0.3">
      <c r="C2" s="624" t="s">
        <v>340</v>
      </c>
      <c r="D2" s="625" t="s">
        <v>2967</v>
      </c>
      <c r="E2" s="237" t="s">
        <v>2968</v>
      </c>
      <c r="F2" s="153" t="s">
        <v>2443</v>
      </c>
    </row>
    <row r="3" spans="3:7" x14ac:dyDescent="0.3">
      <c r="C3" s="626" t="s">
        <v>2463</v>
      </c>
      <c r="D3" s="625" t="s">
        <v>2850</v>
      </c>
      <c r="E3" s="237" t="s">
        <v>2851</v>
      </c>
      <c r="F3" s="153" t="s">
        <v>2443</v>
      </c>
    </row>
    <row r="4" spans="3:7" x14ac:dyDescent="0.3">
      <c r="C4" s="237" t="s">
        <v>2487</v>
      </c>
      <c r="D4" s="625" t="s">
        <v>2855</v>
      </c>
      <c r="E4" s="627" t="s">
        <v>2856</v>
      </c>
      <c r="F4" s="153" t="s">
        <v>2443</v>
      </c>
    </row>
    <row r="5" spans="3:7" x14ac:dyDescent="0.3">
      <c r="C5" s="626" t="s">
        <v>2466</v>
      </c>
      <c r="D5" s="625" t="s">
        <v>2854</v>
      </c>
      <c r="E5" s="627" t="s">
        <v>140</v>
      </c>
      <c r="F5" s="153" t="s">
        <v>3165</v>
      </c>
    </row>
    <row r="6" spans="3:7" x14ac:dyDescent="0.3">
      <c r="C6" s="237" t="s">
        <v>2487</v>
      </c>
      <c r="D6" s="625" t="s">
        <v>2934</v>
      </c>
      <c r="E6" s="627" t="s">
        <v>3074</v>
      </c>
      <c r="F6" s="153" t="s">
        <v>3166</v>
      </c>
    </row>
    <row r="7" spans="3:7" x14ac:dyDescent="0.3">
      <c r="C7" s="237" t="s">
        <v>2487</v>
      </c>
      <c r="D7" s="625" t="s">
        <v>2935</v>
      </c>
      <c r="E7" s="627" t="s">
        <v>3075</v>
      </c>
      <c r="F7" s="153" t="s">
        <v>3166</v>
      </c>
    </row>
    <row r="8" spans="3:7" x14ac:dyDescent="0.3">
      <c r="C8" s="237" t="s">
        <v>2487</v>
      </c>
      <c r="D8" s="625" t="s">
        <v>3111</v>
      </c>
      <c r="E8" s="627" t="s">
        <v>3112</v>
      </c>
      <c r="F8" s="153" t="s">
        <v>3166</v>
      </c>
    </row>
    <row r="9" spans="3:7" x14ac:dyDescent="0.3">
      <c r="C9" s="237" t="s">
        <v>2487</v>
      </c>
      <c r="D9" s="625" t="s">
        <v>1785</v>
      </c>
      <c r="E9" s="627" t="s">
        <v>3076</v>
      </c>
      <c r="F9" s="153" t="s">
        <v>3166</v>
      </c>
    </row>
    <row r="10" spans="3:7" x14ac:dyDescent="0.3">
      <c r="C10" s="237" t="s">
        <v>2465</v>
      </c>
      <c r="D10" s="625" t="s">
        <v>2961</v>
      </c>
      <c r="E10" s="237" t="s">
        <v>2962</v>
      </c>
      <c r="F10" s="153" t="s">
        <v>3166</v>
      </c>
    </row>
    <row r="11" spans="3:7" x14ac:dyDescent="0.3">
      <c r="C11" s="237" t="s">
        <v>2950</v>
      </c>
      <c r="D11" s="625" t="s">
        <v>2951</v>
      </c>
      <c r="E11" s="237" t="s">
        <v>2960</v>
      </c>
      <c r="F11" s="153" t="s">
        <v>3167</v>
      </c>
      <c r="G11" s="153" t="s">
        <v>3164</v>
      </c>
    </row>
    <row r="12" spans="3:7" x14ac:dyDescent="0.3">
      <c r="C12" s="237" t="s">
        <v>2950</v>
      </c>
      <c r="D12" s="625" t="s">
        <v>2952</v>
      </c>
      <c r="E12" s="237" t="s">
        <v>2956</v>
      </c>
      <c r="F12" s="153" t="s">
        <v>3168</v>
      </c>
      <c r="G12" s="153"/>
    </row>
    <row r="13" spans="3:7" x14ac:dyDescent="0.3">
      <c r="C13" s="237" t="s">
        <v>2950</v>
      </c>
      <c r="D13" s="625" t="s">
        <v>2953</v>
      </c>
      <c r="E13" s="237" t="s">
        <v>2957</v>
      </c>
      <c r="F13" s="153" t="s">
        <v>3169</v>
      </c>
      <c r="G13" s="153" t="s">
        <v>3164</v>
      </c>
    </row>
    <row r="14" spans="3:7" x14ac:dyDescent="0.3">
      <c r="C14" s="237" t="s">
        <v>2950</v>
      </c>
      <c r="D14" s="625" t="s">
        <v>2954</v>
      </c>
      <c r="E14" s="237" t="s">
        <v>2958</v>
      </c>
      <c r="F14" s="153" t="s">
        <v>3170</v>
      </c>
      <c r="G14" s="153" t="s">
        <v>3164</v>
      </c>
    </row>
    <row r="15" spans="3:7" x14ac:dyDescent="0.3">
      <c r="C15" s="237" t="s">
        <v>2950</v>
      </c>
      <c r="D15" s="625" t="s">
        <v>2955</v>
      </c>
      <c r="E15" s="237" t="s">
        <v>2959</v>
      </c>
      <c r="F15" s="153" t="s">
        <v>3171</v>
      </c>
    </row>
    <row r="16" spans="3:7" x14ac:dyDescent="0.3">
      <c r="C16" s="628" t="s">
        <v>2762</v>
      </c>
      <c r="D16" s="625" t="s">
        <v>3096</v>
      </c>
      <c r="E16" s="627" t="s">
        <v>3097</v>
      </c>
      <c r="F16" s="153" t="s">
        <v>3166</v>
      </c>
    </row>
    <row r="17" spans="3:6" x14ac:dyDescent="0.3">
      <c r="C17" s="628" t="s">
        <v>2495</v>
      </c>
      <c r="D17" s="625" t="s">
        <v>3177</v>
      </c>
      <c r="E17" s="629" t="s">
        <v>3178</v>
      </c>
      <c r="F17" s="153" t="s">
        <v>3166</v>
      </c>
    </row>
    <row r="18" spans="3:6" x14ac:dyDescent="0.3">
      <c r="C18" s="628" t="s">
        <v>2495</v>
      </c>
      <c r="D18" s="625" t="s">
        <v>3148</v>
      </c>
      <c r="E18" s="629" t="s">
        <v>3150</v>
      </c>
      <c r="F18" s="153" t="s">
        <v>3166</v>
      </c>
    </row>
    <row r="19" spans="3:6" x14ac:dyDescent="0.3">
      <c r="C19" s="628" t="s">
        <v>2495</v>
      </c>
      <c r="D19" s="625" t="s">
        <v>3149</v>
      </c>
      <c r="E19" s="627" t="s">
        <v>3151</v>
      </c>
      <c r="F19" s="153" t="s">
        <v>3166</v>
      </c>
    </row>
    <row r="20" spans="3:6" x14ac:dyDescent="0.3">
      <c r="C20" s="628" t="s">
        <v>3200</v>
      </c>
      <c r="D20" s="625" t="s">
        <v>3180</v>
      </c>
      <c r="E20" s="627" t="s">
        <v>3183</v>
      </c>
      <c r="F20" s="153" t="s">
        <v>3166</v>
      </c>
    </row>
    <row r="21" spans="3:6" x14ac:dyDescent="0.3">
      <c r="C21" s="628" t="s">
        <v>3200</v>
      </c>
      <c r="D21" s="625" t="s">
        <v>3181</v>
      </c>
      <c r="E21" s="627" t="s">
        <v>3184</v>
      </c>
      <c r="F21" s="153" t="s">
        <v>3166</v>
      </c>
    </row>
    <row r="22" spans="3:6" x14ac:dyDescent="0.3">
      <c r="C22" s="628" t="s">
        <v>3200</v>
      </c>
      <c r="D22" s="625" t="s">
        <v>3182</v>
      </c>
      <c r="E22" s="627" t="s">
        <v>3185</v>
      </c>
      <c r="F22" s="153" t="s">
        <v>3166</v>
      </c>
    </row>
    <row r="23" spans="3:6" x14ac:dyDescent="0.3">
      <c r="C23" s="630"/>
      <c r="D23" s="630"/>
      <c r="E23" s="615" t="s">
        <v>2526</v>
      </c>
      <c r="F23" s="615" t="s">
        <v>3201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Row],[功能代號]],[3]交易清單!$E:$E,1,FALSE)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Row],[功能代號]],[3]交易清單!$E:$E,1,FALSE)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6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Row],[功能代號]],[3]交易清單!$E:$E,1,FALSE)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5" t="str">
        <f>IFERROR(MID(功能_33[[#This Row],[功能代號]],2,1)&amp;"-"&amp;VLOOKUP(功能_33[[#This Row],[功能代號]],#REF!,4,FALSE)&amp;VLOOKUP(功能_33[[#This Row],[功能代號]],#REF!,6,FALSE),"")</f>
        <v/>
      </c>
      <c r="D6" s="265" t="s">
        <v>66</v>
      </c>
      <c r="E6" s="265" t="s">
        <v>233</v>
      </c>
      <c r="F6" s="264" t="s">
        <v>1401</v>
      </c>
      <c r="G6" s="265" t="s">
        <v>1402</v>
      </c>
      <c r="H6" s="134" t="s">
        <v>1403</v>
      </c>
      <c r="I6" s="264" t="s">
        <v>166</v>
      </c>
      <c r="J6" s="264" t="s">
        <v>167</v>
      </c>
      <c r="K6" s="212"/>
      <c r="L6" s="272">
        <v>44432</v>
      </c>
      <c r="M6" s="272">
        <v>44432</v>
      </c>
      <c r="N6" s="272" t="str">
        <f>IFERROR(IF(VLOOKUP(功能_33[[#This Row],[功能代號]],討論項目!B:I,8,FALSE)=0,"",VLOOKUP(功能_33[[#This Row],[功能代號]],討論項目!B:I,8,FALSE)),"")</f>
        <v/>
      </c>
      <c r="O6" s="264" t="s">
        <v>4</v>
      </c>
      <c r="P6" s="264" t="s">
        <v>7</v>
      </c>
      <c r="Q6" s="251" t="s">
        <v>199</v>
      </c>
      <c r="R6" s="264"/>
      <c r="S6" s="264"/>
      <c r="T6" s="264"/>
      <c r="U6" s="264"/>
      <c r="V6" s="264"/>
      <c r="W6" s="264"/>
      <c r="X6" s="264"/>
      <c r="Y6" s="265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2">
        <v>44515</v>
      </c>
      <c r="AC6" s="272" t="s">
        <v>107</v>
      </c>
      <c r="AD6" s="272"/>
      <c r="AE6" s="272"/>
      <c r="AF6" s="272"/>
      <c r="AG6" s="322"/>
      <c r="AH6" s="272" t="str">
        <f>IFERROR(IF(VLOOKUP(功能_33[[#This Row],[功能代號]],F:R,11,FALSE)=0,"",VLOOKUP(功能_33[[#This Row],[功能代號]],F:R,11,FALSE)),"")</f>
        <v/>
      </c>
      <c r="AI6" s="272"/>
      <c r="AJ6" s="272"/>
      <c r="AK6" s="265"/>
      <c r="AL6" s="211"/>
      <c r="AM6" s="264"/>
      <c r="AN6" s="265"/>
      <c r="AO6" s="265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5" t="str">
        <f>IFERROR(MID(功能_33[[#This Row],[功能代號]],2,1)&amp;"-"&amp;VLOOKUP(功能_33[[#This Row],[功能代號]],#REF!,4,FALSE)&amp;VLOOKUP(功能_33[[#This Row],[功能代號]],#REF!,6,FALSE),"")</f>
        <v/>
      </c>
      <c r="D7" s="265" t="s">
        <v>66</v>
      </c>
      <c r="E7" s="265" t="s">
        <v>233</v>
      </c>
      <c r="F7" s="264" t="s">
        <v>1404</v>
      </c>
      <c r="G7" s="265" t="s">
        <v>1405</v>
      </c>
      <c r="H7" s="134" t="s">
        <v>1403</v>
      </c>
      <c r="I7" s="264" t="s">
        <v>166</v>
      </c>
      <c r="J7" s="264" t="s">
        <v>167</v>
      </c>
      <c r="K7" s="212"/>
      <c r="L7" s="272">
        <v>44432</v>
      </c>
      <c r="M7" s="272">
        <v>44432</v>
      </c>
      <c r="N7" s="272" t="str">
        <f>IFERROR(IF(VLOOKUP(功能_33[[#This Row],[功能代號]],討論項目!B:I,8,FALSE)=0,"",VLOOKUP(功能_33[[#This Row],[功能代號]],討論項目!B:I,8,FALSE)),"")</f>
        <v/>
      </c>
      <c r="O7" s="264" t="s">
        <v>4</v>
      </c>
      <c r="P7" s="264" t="s">
        <v>7</v>
      </c>
      <c r="Q7" s="251" t="s">
        <v>199</v>
      </c>
      <c r="R7" s="264"/>
      <c r="S7" s="264"/>
      <c r="T7" s="264"/>
      <c r="U7" s="264"/>
      <c r="V7" s="264"/>
      <c r="W7" s="264"/>
      <c r="X7" s="264"/>
      <c r="Y7" s="265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2">
        <v>44515</v>
      </c>
      <c r="AC7" s="272" t="s">
        <v>107</v>
      </c>
      <c r="AD7" s="272"/>
      <c r="AE7" s="272"/>
      <c r="AF7" s="272"/>
      <c r="AG7" s="322"/>
      <c r="AH7" s="272" t="str">
        <f>IFERROR(IF(VLOOKUP(功能_33[[#This Row],[功能代號]],F:R,11,FALSE)=0,"",VLOOKUP(功能_33[[#This Row],[功能代號]],F:R,11,FALSE)),"")</f>
        <v/>
      </c>
      <c r="AI7" s="272"/>
      <c r="AJ7" s="272"/>
      <c r="AK7" s="265"/>
      <c r="AL7" s="211"/>
      <c r="AM7" s="264"/>
      <c r="AN7" s="265"/>
      <c r="AO7" s="265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5" t="str">
        <f>IFERROR(MID(功能_33[[#This Row],[功能代號]],2,1)&amp;"-"&amp;VLOOKUP(功能_33[[#This Row],[功能代號]],#REF!,4,FALSE)&amp;VLOOKUP(功能_33[[#This Row],[功能代號]],#REF!,6,FALSE),"")</f>
        <v/>
      </c>
      <c r="D8" s="265" t="s">
        <v>66</v>
      </c>
      <c r="E8" s="265" t="s">
        <v>233</v>
      </c>
      <c r="F8" s="264" t="s">
        <v>1406</v>
      </c>
      <c r="G8" s="265" t="s">
        <v>1407</v>
      </c>
      <c r="H8" s="265" t="s">
        <v>1408</v>
      </c>
      <c r="I8" s="264" t="s">
        <v>166</v>
      </c>
      <c r="J8" s="264" t="s">
        <v>167</v>
      </c>
      <c r="K8" s="212"/>
      <c r="L8" s="272">
        <v>44434</v>
      </c>
      <c r="M8" s="272">
        <v>44433</v>
      </c>
      <c r="N8" s="272" t="str">
        <f>IFERROR(IF(VLOOKUP(功能_33[[#This Row],[功能代號]],討論項目!B:I,8,FALSE)=0,"",VLOOKUP(功能_33[[#This Row],[功能代號]],討論項目!B:I,8,FALSE)),"")</f>
        <v/>
      </c>
      <c r="O8" s="264" t="s">
        <v>4</v>
      </c>
      <c r="P8" s="264" t="s">
        <v>7</v>
      </c>
      <c r="Q8" s="251" t="s">
        <v>199</v>
      </c>
      <c r="R8" s="264"/>
      <c r="S8" s="264"/>
      <c r="T8" s="264"/>
      <c r="U8" s="264"/>
      <c r="V8" s="264"/>
      <c r="W8" s="264"/>
      <c r="X8" s="264"/>
      <c r="Y8" s="265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2">
        <v>44515</v>
      </c>
      <c r="AC8" s="272" t="s">
        <v>107</v>
      </c>
      <c r="AD8" s="272"/>
      <c r="AE8" s="272"/>
      <c r="AF8" s="272"/>
      <c r="AG8" s="322"/>
      <c r="AH8" s="272" t="str">
        <f>IFERROR(IF(VLOOKUP(功能_33[[#This Row],[功能代號]],F:R,11,FALSE)=0,"",VLOOKUP(功能_33[[#This Row],[功能代號]],F:R,11,FALSE)),"")</f>
        <v/>
      </c>
      <c r="AI8" s="272"/>
      <c r="AJ8" s="272"/>
      <c r="AK8" s="265"/>
      <c r="AL8" s="211"/>
      <c r="AM8" s="264"/>
      <c r="AN8" s="265"/>
      <c r="AO8" s="265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5" t="str">
        <f>IFERROR(MID(功能_33[[#This Row],[功能代號]],2,1)&amp;"-"&amp;VLOOKUP(功能_33[[#This Row],[功能代號]],#REF!,4,FALSE)&amp;VLOOKUP(功能_33[[#This Row],[功能代號]],#REF!,6,FALSE),"")</f>
        <v/>
      </c>
      <c r="D9" s="265" t="s">
        <v>66</v>
      </c>
      <c r="E9" s="265" t="s">
        <v>233</v>
      </c>
      <c r="F9" s="264" t="s">
        <v>1409</v>
      </c>
      <c r="G9" s="265" t="s">
        <v>1410</v>
      </c>
      <c r="H9" s="265" t="s">
        <v>1411</v>
      </c>
      <c r="I9" s="264" t="s">
        <v>166</v>
      </c>
      <c r="J9" s="264" t="s">
        <v>167</v>
      </c>
      <c r="K9" s="212"/>
      <c r="L9" s="272">
        <v>44433</v>
      </c>
      <c r="M9" s="272">
        <v>44433</v>
      </c>
      <c r="N9" s="272" t="str">
        <f>IFERROR(IF(VLOOKUP(功能_33[[#This Row],[功能代號]],討論項目!B:I,8,FALSE)=0,"",VLOOKUP(功能_33[[#This Row],[功能代號]],討論項目!B:I,8,FALSE)),"")</f>
        <v/>
      </c>
      <c r="O9" s="264" t="s">
        <v>4</v>
      </c>
      <c r="P9" s="264" t="s">
        <v>7</v>
      </c>
      <c r="Q9" s="251" t="s">
        <v>199</v>
      </c>
      <c r="R9" s="264"/>
      <c r="S9" s="264"/>
      <c r="T9" s="264"/>
      <c r="U9" s="264"/>
      <c r="V9" s="264"/>
      <c r="W9" s="264"/>
      <c r="X9" s="264"/>
      <c r="Y9" s="265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2">
        <v>44515</v>
      </c>
      <c r="AC9" s="272" t="s">
        <v>107</v>
      </c>
      <c r="AD9" s="272"/>
      <c r="AE9" s="272"/>
      <c r="AF9" s="272"/>
      <c r="AG9" s="322"/>
      <c r="AH9" s="272" t="str">
        <f>IFERROR(IF(VLOOKUP(功能_33[[#This Row],[功能代號]],F:R,11,FALSE)=0,"",VLOOKUP(功能_33[[#This Row],[功能代號]],F:R,11,FALSE)),"")</f>
        <v/>
      </c>
      <c r="AI9" s="272"/>
      <c r="AJ9" s="272"/>
      <c r="AK9" s="265"/>
      <c r="AL9" s="211"/>
      <c r="AM9" s="264"/>
      <c r="AN9" s="265"/>
      <c r="AO9" s="265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5" t="str">
        <f>IFERROR(MID(功能_33[[#This Row],[功能代號]],2,1)&amp;"-"&amp;VLOOKUP(功能_33[[#This Row],[功能代號]],#REF!,4,FALSE)&amp;VLOOKUP(功能_33[[#This Row],[功能代號]],#REF!,6,FALSE),"")</f>
        <v/>
      </c>
      <c r="D10" s="265" t="s">
        <v>66</v>
      </c>
      <c r="E10" s="265" t="s">
        <v>233</v>
      </c>
      <c r="F10" s="264" t="s">
        <v>1412</v>
      </c>
      <c r="G10" s="265" t="s">
        <v>1413</v>
      </c>
      <c r="H10" s="265" t="s">
        <v>1408</v>
      </c>
      <c r="I10" s="264" t="s">
        <v>166</v>
      </c>
      <c r="J10" s="264" t="s">
        <v>167</v>
      </c>
      <c r="K10" s="212"/>
      <c r="L10" s="272">
        <v>44434</v>
      </c>
      <c r="M10" s="272">
        <v>44433</v>
      </c>
      <c r="N10" s="272" t="str">
        <f>IFERROR(IF(VLOOKUP(功能_33[[#This Row],[功能代號]],討論項目!B:I,8,FALSE)=0,"",VLOOKUP(功能_33[[#This Row],[功能代號]],討論項目!B:I,8,FALSE)),"")</f>
        <v/>
      </c>
      <c r="O10" s="264" t="s">
        <v>4</v>
      </c>
      <c r="P10" s="264" t="s">
        <v>7</v>
      </c>
      <c r="Q10" s="251" t="s">
        <v>199</v>
      </c>
      <c r="R10" s="264"/>
      <c r="S10" s="264"/>
      <c r="T10" s="264"/>
      <c r="U10" s="264"/>
      <c r="V10" s="264"/>
      <c r="W10" s="264"/>
      <c r="X10" s="264"/>
      <c r="Y10" s="265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2">
        <v>44515</v>
      </c>
      <c r="AC10" s="272" t="s">
        <v>107</v>
      </c>
      <c r="AD10" s="272"/>
      <c r="AE10" s="272"/>
      <c r="AF10" s="272"/>
      <c r="AG10" s="322"/>
      <c r="AH10" s="272" t="str">
        <f>IFERROR(IF(VLOOKUP(功能_33[[#This Row],[功能代號]],F:R,11,FALSE)=0,"",VLOOKUP(功能_33[[#This Row],[功能代號]],F:R,11,FALSE)),"")</f>
        <v/>
      </c>
      <c r="AI10" s="272"/>
      <c r="AJ10" s="272"/>
      <c r="AK10" s="265"/>
      <c r="AL10" s="211"/>
      <c r="AM10" s="264"/>
      <c r="AN10" s="265"/>
      <c r="AO10" s="265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5" t="str">
        <f>IFERROR(MID(功能_33[[#This Row],[功能代號]],2,1)&amp;"-"&amp;VLOOKUP(功能_33[[#This Row],[功能代號]],#REF!,4,FALSE)&amp;VLOOKUP(功能_33[[#This Row],[功能代號]],#REF!,6,FALSE),"")</f>
        <v/>
      </c>
      <c r="D11" s="265" t="s">
        <v>66</v>
      </c>
      <c r="E11" s="265" t="s">
        <v>233</v>
      </c>
      <c r="F11" s="264" t="s">
        <v>1414</v>
      </c>
      <c r="G11" s="265" t="s">
        <v>1415</v>
      </c>
      <c r="H11" s="265" t="s">
        <v>1408</v>
      </c>
      <c r="I11" s="264" t="s">
        <v>166</v>
      </c>
      <c r="J11" s="264" t="s">
        <v>167</v>
      </c>
      <c r="K11" s="212"/>
      <c r="L11" s="272">
        <v>44434</v>
      </c>
      <c r="M11" s="272">
        <v>44433</v>
      </c>
      <c r="N11" s="272" t="str">
        <f>IFERROR(IF(VLOOKUP(功能_33[[#This Row],[功能代號]],討論項目!B:I,8,FALSE)=0,"",VLOOKUP(功能_33[[#This Row],[功能代號]],討論項目!B:I,8,FALSE)),"")</f>
        <v/>
      </c>
      <c r="O11" s="264" t="s">
        <v>4</v>
      </c>
      <c r="P11" s="264" t="s">
        <v>7</v>
      </c>
      <c r="Q11" s="251" t="s">
        <v>199</v>
      </c>
      <c r="R11" s="264"/>
      <c r="S11" s="264"/>
      <c r="T11" s="264"/>
      <c r="U11" s="264"/>
      <c r="V11" s="264"/>
      <c r="W11" s="264"/>
      <c r="X11" s="264"/>
      <c r="Y11" s="265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2">
        <v>44515</v>
      </c>
      <c r="AC11" s="272" t="s">
        <v>107</v>
      </c>
      <c r="AD11" s="272"/>
      <c r="AE11" s="272"/>
      <c r="AF11" s="272"/>
      <c r="AG11" s="322"/>
      <c r="AH11" s="272" t="str">
        <f>IFERROR(IF(VLOOKUP(功能_33[[#This Row],[功能代號]],F:R,11,FALSE)=0,"",VLOOKUP(功能_33[[#This Row],[功能代號]],F:R,11,FALSE)),"")</f>
        <v/>
      </c>
      <c r="AI11" s="272"/>
      <c r="AJ11" s="272"/>
      <c r="AK11" s="265"/>
      <c r="AL11" s="211"/>
      <c r="AM11" s="264"/>
      <c r="AN11" s="265"/>
      <c r="AO11" s="265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5" t="str">
        <f>IFERROR(MID(功能_33[[#This Row],[功能代號]],2,1)&amp;"-"&amp;VLOOKUP(功能_33[[#This Row],[功能代號]],#REF!,4,FALSE)&amp;VLOOKUP(功能_33[[#This Row],[功能代號]],#REF!,6,FALSE),"")</f>
        <v/>
      </c>
      <c r="D12" s="265" t="s">
        <v>69</v>
      </c>
      <c r="E12" s="217"/>
      <c r="F12" s="264" t="s">
        <v>1416</v>
      </c>
      <c r="G12" s="265" t="s">
        <v>1417</v>
      </c>
      <c r="H12" s="265" t="s">
        <v>1418</v>
      </c>
      <c r="I12" s="264" t="s">
        <v>110</v>
      </c>
      <c r="J12" s="264" t="s">
        <v>110</v>
      </c>
      <c r="K12" s="271"/>
      <c r="L12" s="244">
        <v>44518</v>
      </c>
      <c r="M12" s="272"/>
      <c r="N12" s="272" t="str">
        <f>IFERROR(IF(VLOOKUP(功能_33[[#This Row],[功能代號]],討論項目!B:I,8,FALSE)=0,"",VLOOKUP(功能_33[[#This Row],[功能代號]],討論項目!B:I,8,FALSE)),"")</f>
        <v/>
      </c>
      <c r="O12" s="264" t="s">
        <v>6</v>
      </c>
      <c r="P12" s="264" t="s">
        <v>7</v>
      </c>
      <c r="Q12" s="251"/>
      <c r="R12" s="264"/>
      <c r="S12" s="264"/>
      <c r="T12" s="264"/>
      <c r="U12" s="264"/>
      <c r="V12" s="264"/>
      <c r="W12" s="264"/>
      <c r="X12" s="264"/>
      <c r="Y12" s="265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2">
        <f>IF(功能_33[[#This Row],[URS交二審]]=0,"",功能_33[[#This Row],[URS交二審]]+7)</f>
        <v>44470</v>
      </c>
      <c r="AC12" s="272"/>
      <c r="AD12" s="272"/>
      <c r="AE12" s="272"/>
      <c r="AF12" s="272"/>
      <c r="AG12" s="322"/>
      <c r="AH12" s="272" t="str">
        <f>IFERROR(IF(VLOOKUP(功能_33[[#This Row],[功能代號]],F:R,11,FALSE)=0,"",VLOOKUP(功能_33[[#This Row],[功能代號]],F:R,11,FALSE)),"")</f>
        <v/>
      </c>
      <c r="AI12" s="272"/>
      <c r="AJ12" s="272"/>
      <c r="AK12" s="265"/>
      <c r="AL12" s="272"/>
      <c r="AM12" s="264"/>
      <c r="AN12" s="265"/>
      <c r="AO12" s="265" t="e">
        <f>VLOOKUP(功能_33[[#This Row],[功能代號]],#REF!,1,FALSE)</f>
        <v>#REF!</v>
      </c>
      <c r="AP12" s="265" t="e">
        <f>VLOOKUP(功能_33[[#This Row],[功能代號]],#REF!,2,FALSE)</f>
        <v>#REF!</v>
      </c>
      <c r="AU12" s="327"/>
      <c r="AV12" s="328"/>
      <c r="AW12" s="329"/>
      <c r="AX12" s="329" t="e">
        <f>VLOOKUP([4]!功能[[#This Row],[功能項目
/代號]],[5]URS確認!$D:$J,6,FALSE)</f>
        <v>#REF!</v>
      </c>
      <c r="AY12" s="329"/>
      <c r="AZ12" s="329"/>
      <c r="BA12" s="328"/>
      <c r="BB12" s="255" t="e">
        <f>LEFT(#REF!,2)</f>
        <v>#REF!</v>
      </c>
      <c r="BC12" s="255"/>
      <c r="BD12" s="255"/>
      <c r="BE12" s="255"/>
    </row>
    <row r="13" spans="1:57" x14ac:dyDescent="0.3">
      <c r="A13" s="155">
        <v>44510</v>
      </c>
      <c r="B13" s="208">
        <v>151</v>
      </c>
      <c r="C13" s="265" t="str">
        <f>IFERROR(MID(功能_33[[#This Row],[功能代號]],2,1)&amp;"-"&amp;VLOOKUP(功能_33[[#This Row],[功能代號]],#REF!,4,FALSE)&amp;VLOOKUP(功能_33[[#This Row],[功能代號]],#REF!,6,FALSE),"")</f>
        <v/>
      </c>
      <c r="D13" s="265" t="s">
        <v>69</v>
      </c>
      <c r="E13" s="217"/>
      <c r="F13" s="264" t="s">
        <v>1419</v>
      </c>
      <c r="G13" s="265" t="s">
        <v>1420</v>
      </c>
      <c r="H13" s="265" t="s">
        <v>1418</v>
      </c>
      <c r="I13" s="264" t="s">
        <v>110</v>
      </c>
      <c r="J13" s="264" t="s">
        <v>110</v>
      </c>
      <c r="K13" s="271"/>
      <c r="L13" s="244">
        <v>44518</v>
      </c>
      <c r="M13" s="272"/>
      <c r="N13" s="272" t="str">
        <f>IFERROR(IF(VLOOKUP(功能_33[[#This Row],[功能代號]],討論項目!B:I,8,FALSE)=0,"",VLOOKUP(功能_33[[#This Row],[功能代號]],討論項目!B:I,8,FALSE)),"")</f>
        <v/>
      </c>
      <c r="O13" s="264" t="s">
        <v>6</v>
      </c>
      <c r="P13" s="264" t="s">
        <v>7</v>
      </c>
      <c r="Q13" s="251"/>
      <c r="R13" s="264"/>
      <c r="S13" s="264"/>
      <c r="T13" s="264"/>
      <c r="U13" s="264"/>
      <c r="V13" s="264"/>
      <c r="W13" s="264"/>
      <c r="X13" s="264"/>
      <c r="Y13" s="265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2">
        <f>IF(功能_33[[#This Row],[URS交二審]]=0,"",功能_33[[#This Row],[URS交二審]]+7)</f>
        <v>44470</v>
      </c>
      <c r="AC13" s="272"/>
      <c r="AD13" s="272"/>
      <c r="AE13" s="272"/>
      <c r="AF13" s="272"/>
      <c r="AG13" s="322"/>
      <c r="AH13" s="272" t="str">
        <f>IFERROR(IF(VLOOKUP(功能_33[[#This Row],[功能代號]],F:R,11,FALSE)=0,"",VLOOKUP(功能_33[[#This Row],[功能代號]],F:R,11,FALSE)),"")</f>
        <v/>
      </c>
      <c r="AI13" s="272"/>
      <c r="AJ13" s="272"/>
      <c r="AK13" s="265"/>
      <c r="AL13" s="272"/>
      <c r="AM13" s="264"/>
      <c r="AN13" s="265"/>
      <c r="AO13" s="265" t="e">
        <f>VLOOKUP(功能_33[[#This Row],[功能代號]],#REF!,1,FALSE)</f>
        <v>#REF!</v>
      </c>
      <c r="AP13" s="265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5" t="str">
        <f>IFERROR(MID(功能_33[[#This Row],[功能代號]],2,1)&amp;"-"&amp;VLOOKUP(功能_33[[#This Row],[功能代號]],#REF!,4,FALSE)&amp;VLOOKUP(功能_33[[#This Row],[功能代號]],#REF!,6,FALSE),"")</f>
        <v/>
      </c>
      <c r="D14" s="265" t="s">
        <v>69</v>
      </c>
      <c r="E14" s="216"/>
      <c r="F14" s="250" t="s">
        <v>1421</v>
      </c>
      <c r="G14" s="265" t="s">
        <v>1422</v>
      </c>
      <c r="H14" s="330" t="s">
        <v>1423</v>
      </c>
      <c r="I14" s="264" t="s">
        <v>110</v>
      </c>
      <c r="J14" s="264" t="s">
        <v>110</v>
      </c>
      <c r="K14" s="271"/>
      <c r="L14" s="244">
        <v>44519</v>
      </c>
      <c r="M14" s="272"/>
      <c r="N14" s="272" t="str">
        <f>IFERROR(IF(VLOOKUP(功能_33[[#This Row],[功能代號]],討論項目!B:I,8,FALSE)=0,"",VLOOKUP(功能_33[[#This Row],[功能代號]],討論項目!B:I,8,FALSE)),"")</f>
        <v/>
      </c>
      <c r="O14" s="264" t="s">
        <v>6</v>
      </c>
      <c r="P14" s="264" t="s">
        <v>10</v>
      </c>
      <c r="Q14" s="251"/>
      <c r="R14" s="264"/>
      <c r="S14" s="264"/>
      <c r="T14" s="264"/>
      <c r="U14" s="264"/>
      <c r="V14" s="264"/>
      <c r="W14" s="264"/>
      <c r="X14" s="264"/>
      <c r="Y14" s="265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2">
        <f>IF(功能_33[[#This Row],[URS交二審]]=0,"",功能_33[[#This Row],[URS交二審]]+7)</f>
        <v>44470</v>
      </c>
      <c r="AC14" s="272"/>
      <c r="AD14" s="272"/>
      <c r="AE14" s="272"/>
      <c r="AF14" s="272"/>
      <c r="AG14" s="322"/>
      <c r="AH14" s="272" t="str">
        <f>IFERROR(IF(VLOOKUP(功能_33[[#This Row],[功能代號]],F:R,11,FALSE)=0,"",VLOOKUP(功能_33[[#This Row],[功能代號]],F:R,11,FALSE)),"")</f>
        <v/>
      </c>
      <c r="AI14" s="272"/>
      <c r="AJ14" s="272"/>
      <c r="AK14" s="265"/>
      <c r="AL14" s="272"/>
      <c r="AM14" s="264"/>
      <c r="AN14" s="265"/>
      <c r="AO14" s="265" t="e">
        <f>VLOOKUP(功能_33[[#This Row],[功能代號]],#REF!,1,FALSE)</f>
        <v>#REF!</v>
      </c>
      <c r="AP14" s="265" t="e">
        <f>VLOOKUP(功能_33[[#This Row],[功能代號]],#REF!,2,FALSE)</f>
        <v>#REF!</v>
      </c>
      <c r="AQ14" s="265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5" t="str">
        <f>IFERROR(MID(功能_33[[#This Row],[功能代號]],2,1)&amp;"-"&amp;VLOOKUP(功能_33[[#This Row],[功能代號]],#REF!,4,FALSE)&amp;VLOOKUP(功能_33[[#This Row],[功能代號]],#REF!,6,FALSE),"")</f>
        <v/>
      </c>
      <c r="D15" s="265" t="s">
        <v>72</v>
      </c>
      <c r="E15" s="265"/>
      <c r="F15" s="264" t="s">
        <v>1424</v>
      </c>
      <c r="G15" s="265" t="s">
        <v>1425</v>
      </c>
      <c r="H15" s="153" t="s">
        <v>1426</v>
      </c>
      <c r="I15" s="264" t="s">
        <v>166</v>
      </c>
      <c r="J15" s="264" t="s">
        <v>287</v>
      </c>
      <c r="K15" s="271"/>
      <c r="L15" s="215">
        <v>44526</v>
      </c>
      <c r="M15" s="272"/>
      <c r="N15" s="272" t="str">
        <f>IFERROR(IF(VLOOKUP(功能_33[[#This Row],[功能代號]],討論項目!B:I,8,FALSE)=0,"",VLOOKUP(功能_33[[#This Row],[功能代號]],討論項目!B:I,8,FALSE)),"")</f>
        <v/>
      </c>
      <c r="O15" s="264" t="s">
        <v>1</v>
      </c>
      <c r="P15" s="264" t="s">
        <v>5</v>
      </c>
      <c r="Q15" s="251"/>
      <c r="R15" s="264"/>
      <c r="S15" s="264"/>
      <c r="T15" s="264"/>
      <c r="U15" s="264"/>
      <c r="V15" s="264"/>
      <c r="W15" s="264"/>
      <c r="X15" s="264"/>
      <c r="Y15" s="265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2">
        <f>IF(功能_33[[#This Row],[URS交二審]]=0,"",功能_33[[#This Row],[URS交二審]]+7)</f>
        <v>44470</v>
      </c>
      <c r="AC15" s="272"/>
      <c r="AD15" s="272"/>
      <c r="AE15" s="272"/>
      <c r="AF15" s="272"/>
      <c r="AG15" s="322"/>
      <c r="AH15" s="272" t="str">
        <f>IFERROR(IF(VLOOKUP(功能_33[[#This Row],[功能代號]],F:R,11,FALSE)=0,"",VLOOKUP(功能_33[[#This Row],[功能代號]],F:R,11,FALSE)),"")</f>
        <v/>
      </c>
      <c r="AI15" s="272"/>
      <c r="AJ15" s="272"/>
      <c r="AK15" s="265"/>
      <c r="AL15" s="272"/>
      <c r="AM15" s="264"/>
      <c r="AN15" s="265"/>
      <c r="AO15" s="265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5" t="str">
        <f>IFERROR(MID(功能_33[[#This Row],[功能代號]],2,1)&amp;"-"&amp;VLOOKUP(功能_33[[#This Row],[功能代號]],#REF!,4,FALSE)&amp;VLOOKUP(功能_33[[#This Row],[功能代號]],#REF!,6,FALSE),"")</f>
        <v/>
      </c>
      <c r="D16" s="265" t="s">
        <v>69</v>
      </c>
      <c r="E16" s="216"/>
      <c r="F16" s="264" t="s">
        <v>1427</v>
      </c>
      <c r="G16" s="265" t="s">
        <v>1428</v>
      </c>
      <c r="H16" s="265" t="s">
        <v>1429</v>
      </c>
      <c r="I16" s="264" t="s">
        <v>110</v>
      </c>
      <c r="J16" s="264" t="s">
        <v>111</v>
      </c>
      <c r="K16" s="271"/>
      <c r="L16" s="244">
        <v>44519</v>
      </c>
      <c r="M16" s="272"/>
      <c r="N16" s="272" t="str">
        <f>IFERROR(IF(VLOOKUP(功能_33[[#This Row],[功能代號]],討論項目!B:I,8,FALSE)=0,"",VLOOKUP(功能_33[[#This Row],[功能代號]],討論項目!B:I,8,FALSE)),"")</f>
        <v/>
      </c>
      <c r="O16" s="264" t="s">
        <v>6</v>
      </c>
      <c r="P16" s="264" t="s">
        <v>507</v>
      </c>
      <c r="Q16" s="251"/>
      <c r="R16" s="264"/>
      <c r="S16" s="264"/>
      <c r="T16" s="264"/>
      <c r="U16" s="264"/>
      <c r="V16" s="264"/>
      <c r="W16" s="264"/>
      <c r="X16" s="264"/>
      <c r="Y16" s="265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2">
        <f>IF(功能_33[[#This Row],[URS交二審]]=0,"",功能_33[[#This Row],[URS交二審]]+7)</f>
        <v>44470</v>
      </c>
      <c r="AC16" s="272"/>
      <c r="AD16" s="272"/>
      <c r="AE16" s="272"/>
      <c r="AF16" s="272"/>
      <c r="AG16" s="322"/>
      <c r="AH16" s="272" t="str">
        <f>IFERROR(IF(VLOOKUP(功能_33[[#This Row],[功能代號]],F:R,11,FALSE)=0,"",VLOOKUP(功能_33[[#This Row],[功能代號]],F:R,11,FALSE)),"")</f>
        <v/>
      </c>
      <c r="AI16" s="272"/>
      <c r="AJ16" s="272"/>
      <c r="AK16" s="265"/>
      <c r="AL16" s="272"/>
      <c r="AM16" s="264"/>
      <c r="AN16" s="265"/>
      <c r="AO16" s="265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5" t="str">
        <f>IFERROR(MID(功能_33[[#This Row],[功能代號]],2,1)&amp;"-"&amp;VLOOKUP(功能_33[[#This Row],[功能代號]],#REF!,4,FALSE)&amp;VLOOKUP(功能_33[[#This Row],[功能代號]],#REF!,6,FALSE),"")</f>
        <v/>
      </c>
      <c r="D17" s="265" t="s">
        <v>69</v>
      </c>
      <c r="E17" s="216"/>
      <c r="F17" s="264" t="s">
        <v>1430</v>
      </c>
      <c r="G17" s="265" t="s">
        <v>1431</v>
      </c>
      <c r="H17" s="265" t="s">
        <v>1429</v>
      </c>
      <c r="I17" s="264" t="s">
        <v>110</v>
      </c>
      <c r="J17" s="264" t="s">
        <v>111</v>
      </c>
      <c r="K17" s="271"/>
      <c r="L17" s="244">
        <v>44519</v>
      </c>
      <c r="M17" s="272"/>
      <c r="N17" s="272" t="str">
        <f>IFERROR(IF(VLOOKUP(功能_33[[#This Row],[功能代號]],討論項目!B:I,8,FALSE)=0,"",VLOOKUP(功能_33[[#This Row],[功能代號]],討論項目!B:I,8,FALSE)),"")</f>
        <v/>
      </c>
      <c r="O17" s="264" t="s">
        <v>6</v>
      </c>
      <c r="P17" s="264" t="s">
        <v>507</v>
      </c>
      <c r="Q17" s="251"/>
      <c r="R17" s="264"/>
      <c r="S17" s="264"/>
      <c r="T17" s="264"/>
      <c r="U17" s="264"/>
      <c r="V17" s="264"/>
      <c r="W17" s="264"/>
      <c r="X17" s="264"/>
      <c r="Y17" s="265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2" t="e">
        <f>IF(功能_33[[#This Row],[URS交二審]]=0,"",功能_33[[#This Row],[URS交二審]]+7)</f>
        <v>#VALUE!</v>
      </c>
      <c r="AC17" s="272"/>
      <c r="AD17" s="272"/>
      <c r="AE17" s="272"/>
      <c r="AF17" s="272"/>
      <c r="AG17" s="322"/>
      <c r="AH17" s="272" t="str">
        <f>IFERROR(IF(VLOOKUP(功能_33[[#This Row],[功能代號]],F:R,11,FALSE)=0,"",VLOOKUP(功能_33[[#This Row],[功能代號]],F:R,11,FALSE)),"")</f>
        <v/>
      </c>
      <c r="AI17" s="272"/>
      <c r="AJ17" s="272"/>
      <c r="AK17" s="265"/>
      <c r="AL17" s="272"/>
      <c r="AM17" s="264"/>
      <c r="AN17" s="265"/>
      <c r="AO17" s="265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5" t="s">
        <v>1432</v>
      </c>
      <c r="D18" s="265" t="s">
        <v>69</v>
      </c>
      <c r="E18" s="265"/>
      <c r="F18" s="264" t="s">
        <v>1433</v>
      </c>
      <c r="G18" s="265" t="s">
        <v>1434</v>
      </c>
      <c r="H18" s="265" t="s">
        <v>1435</v>
      </c>
      <c r="I18" s="264" t="s">
        <v>110</v>
      </c>
      <c r="J18" s="264" t="s">
        <v>111</v>
      </c>
      <c r="K18" s="271"/>
      <c r="L18" s="244">
        <v>44519</v>
      </c>
      <c r="M18" s="272"/>
      <c r="N18" s="272"/>
      <c r="O18" s="264" t="s">
        <v>6</v>
      </c>
      <c r="P18" s="264" t="s">
        <v>507</v>
      </c>
      <c r="Q18" s="251"/>
      <c r="R18" s="264"/>
      <c r="S18" s="264"/>
      <c r="T18" s="264"/>
      <c r="U18" s="264"/>
      <c r="V18" s="264"/>
      <c r="W18" s="264"/>
      <c r="X18" s="264"/>
      <c r="Y18" s="265" t="s">
        <v>1436</v>
      </c>
      <c r="Z18" s="211"/>
      <c r="AA18" s="211"/>
      <c r="AB18" s="272"/>
      <c r="AC18" s="272"/>
      <c r="AD18" s="272"/>
      <c r="AE18" s="272"/>
      <c r="AF18" s="272"/>
      <c r="AG18" s="322"/>
      <c r="AH18" s="272" t="s">
        <v>507</v>
      </c>
      <c r="AI18" s="272"/>
      <c r="AJ18" s="272"/>
      <c r="AK18" s="265"/>
      <c r="AL18" s="272"/>
      <c r="AM18" s="264"/>
      <c r="AN18" s="265"/>
      <c r="AO18" s="265" t="e">
        <v>#REF!</v>
      </c>
    </row>
    <row r="19" spans="1:52" x14ac:dyDescent="0.3">
      <c r="A19" s="155">
        <v>44518</v>
      </c>
      <c r="B19" s="208">
        <v>162</v>
      </c>
      <c r="C19" s="265" t="s">
        <v>2452</v>
      </c>
      <c r="D19" s="265" t="s">
        <v>69</v>
      </c>
      <c r="E19" s="265"/>
      <c r="F19" s="250" t="s">
        <v>1067</v>
      </c>
      <c r="G19" s="251" t="s">
        <v>1068</v>
      </c>
      <c r="H19" s="265" t="s">
        <v>1069</v>
      </c>
      <c r="I19" s="264" t="s">
        <v>110</v>
      </c>
      <c r="J19" s="264" t="s">
        <v>110</v>
      </c>
      <c r="K19" s="271"/>
      <c r="L19" s="272">
        <v>44519</v>
      </c>
      <c r="M19" s="272">
        <v>44518</v>
      </c>
      <c r="N19" s="272" t="s">
        <v>2453</v>
      </c>
      <c r="O19" s="264" t="s">
        <v>6</v>
      </c>
      <c r="P19" s="264" t="s">
        <v>507</v>
      </c>
      <c r="Q19" s="251"/>
      <c r="R19" s="265" t="s">
        <v>1436</v>
      </c>
      <c r="S19" s="211"/>
      <c r="T19" s="272" t="s">
        <v>168</v>
      </c>
      <c r="U19" s="272"/>
      <c r="V19" s="272"/>
      <c r="W19" s="272"/>
      <c r="X19" s="272"/>
      <c r="Y19" s="272"/>
      <c r="Z19" s="322"/>
      <c r="AA19" s="272" t="s">
        <v>507</v>
      </c>
      <c r="AB19" s="272"/>
      <c r="AC19" s="272"/>
      <c r="AD19" s="265"/>
      <c r="AE19" s="272"/>
      <c r="AF19" s="264"/>
      <c r="AG19" s="265"/>
      <c r="AH19" s="265" t="e">
        <v>#N/A</v>
      </c>
      <c r="AI19" s="323"/>
      <c r="AJ19" s="265" t="e">
        <v>#N/A</v>
      </c>
    </row>
    <row r="20" spans="1:52" x14ac:dyDescent="0.3">
      <c r="A20" s="155">
        <v>44523</v>
      </c>
      <c r="B20" s="208">
        <v>135</v>
      </c>
      <c r="C20" s="265" t="str">
        <f>IFERROR(MID(功能_33[[#This Row],[功能代號]],2,1)&amp;"-"&amp;VLOOKUP(功能_33[[#This Row],[功能代號]],#REF!,4,FALSE)&amp;VLOOKUP(功能_33[[#This Row],[功能代號]],#REF!,6,FALSE),"")</f>
        <v/>
      </c>
      <c r="D20" s="265" t="s">
        <v>70</v>
      </c>
      <c r="E20" s="216"/>
      <c r="F20" s="264" t="s">
        <v>1437</v>
      </c>
      <c r="G20" s="265" t="s">
        <v>1438</v>
      </c>
      <c r="H20" s="265" t="s">
        <v>1439</v>
      </c>
      <c r="I20" s="264" t="s">
        <v>166</v>
      </c>
      <c r="J20" s="264" t="s">
        <v>287</v>
      </c>
      <c r="K20" s="271" t="s">
        <v>389</v>
      </c>
      <c r="L20" s="244">
        <v>44397</v>
      </c>
      <c r="M20" s="272">
        <v>44397</v>
      </c>
      <c r="N20" s="272" t="str">
        <f>IFERROR(IF(VLOOKUP(功能_33[[#This Row],[功能代號]],討論項目!B:I,8,FALSE)=0,"",VLOOKUP(功能_33[[#This Row],[功能代號]],討論項目!B:I,8,FALSE)),"")</f>
        <v/>
      </c>
      <c r="O20" s="264" t="s">
        <v>6</v>
      </c>
      <c r="P20" s="264" t="s">
        <v>507</v>
      </c>
      <c r="Q20" s="251"/>
      <c r="R20" s="264">
        <v>1</v>
      </c>
      <c r="S20" s="264" t="s">
        <v>983</v>
      </c>
      <c r="T20" s="264"/>
      <c r="U20" s="264"/>
      <c r="V20" s="264"/>
      <c r="W20" s="264"/>
      <c r="X20" s="264"/>
      <c r="Y20" s="265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2" t="s">
        <v>107</v>
      </c>
      <c r="AB20" s="272"/>
      <c r="AC20" s="272"/>
      <c r="AD20" s="272"/>
      <c r="AE20" s="272"/>
      <c r="AF20" s="272"/>
      <c r="AG20" s="322"/>
      <c r="AH20" s="272" t="str">
        <f>IFERROR(IF(VLOOKUP(功能_33[[#This Row],[功能代號]],F:R,11,FALSE)=0,"",VLOOKUP(功能_33[[#This Row],[功能代號]],F:R,11,FALSE)),"")</f>
        <v/>
      </c>
      <c r="AI20" s="272"/>
      <c r="AJ20" s="272"/>
      <c r="AK20" s="265"/>
      <c r="AL20" s="272"/>
      <c r="AM20" s="276" t="s">
        <v>1440</v>
      </c>
      <c r="AN20" s="277" t="s">
        <v>1441</v>
      </c>
      <c r="AO20" s="265" t="e">
        <f>VLOOKUP(功能_33[[#This Row],[功能代號]],需二審tmp!B:B,1,FALSE)</f>
        <v>#N/A</v>
      </c>
      <c r="AP20" s="265"/>
    </row>
    <row r="21" spans="1:52" x14ac:dyDescent="0.3">
      <c r="A21" s="155">
        <v>44523</v>
      </c>
      <c r="B21" s="208">
        <v>136</v>
      </c>
      <c r="C21" s="265" t="str">
        <f>IFERROR(MID(功能_33[[#This Row],[功能代號]],2,1)&amp;"-"&amp;VLOOKUP(功能_33[[#This Row],[功能代號]],#REF!,4,FALSE)&amp;VLOOKUP(功能_33[[#This Row],[功能代號]],#REF!,6,FALSE),"")</f>
        <v/>
      </c>
      <c r="D21" s="265" t="s">
        <v>70</v>
      </c>
      <c r="E21" s="216"/>
      <c r="F21" s="264" t="s">
        <v>1442</v>
      </c>
      <c r="G21" s="265" t="s">
        <v>1443</v>
      </c>
      <c r="H21" s="265" t="s">
        <v>1439</v>
      </c>
      <c r="I21" s="264" t="s">
        <v>166</v>
      </c>
      <c r="J21" s="264" t="s">
        <v>287</v>
      </c>
      <c r="K21" s="271" t="s">
        <v>389</v>
      </c>
      <c r="L21" s="244">
        <v>44397</v>
      </c>
      <c r="M21" s="272">
        <v>44397</v>
      </c>
      <c r="N21" s="272" t="str">
        <f>IFERROR(IF(VLOOKUP(功能_33[[#This Row],[功能代號]],討論項目!B:I,8,FALSE)=0,"",VLOOKUP(功能_33[[#This Row],[功能代號]],討論項目!B:I,8,FALSE)),"")</f>
        <v/>
      </c>
      <c r="O21" s="264" t="s">
        <v>6</v>
      </c>
      <c r="P21" s="264" t="s">
        <v>507</v>
      </c>
      <c r="Q21" s="251"/>
      <c r="R21" s="264">
        <v>1</v>
      </c>
      <c r="S21" s="264" t="s">
        <v>988</v>
      </c>
      <c r="T21" s="264"/>
      <c r="U21" s="264"/>
      <c r="V21" s="264"/>
      <c r="W21" s="264"/>
      <c r="X21" s="264"/>
      <c r="Y21" s="265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2" t="s">
        <v>107</v>
      </c>
      <c r="AB21" s="272"/>
      <c r="AC21" s="272"/>
      <c r="AD21" s="272"/>
      <c r="AE21" s="272"/>
      <c r="AF21" s="272"/>
      <c r="AG21" s="322"/>
      <c r="AH21" s="272" t="str">
        <f>IFERROR(IF(VLOOKUP(功能_33[[#This Row],[功能代號]],F:R,11,FALSE)=0,"",VLOOKUP(功能_33[[#This Row],[功能代號]],F:R,11,FALSE)),"")</f>
        <v/>
      </c>
      <c r="AI21" s="272"/>
      <c r="AJ21" s="272"/>
      <c r="AK21" s="265"/>
      <c r="AL21" s="272"/>
      <c r="AM21" s="276" t="s">
        <v>1440</v>
      </c>
      <c r="AN21" s="277" t="s">
        <v>1441</v>
      </c>
      <c r="AO21" s="265" t="e">
        <f>VLOOKUP(功能_33[[#This Row],[功能代號]],需二審tmp!B:B,1,FALSE)</f>
        <v>#N/A</v>
      </c>
      <c r="AP21" s="265"/>
    </row>
    <row r="22" spans="1:52" x14ac:dyDescent="0.3">
      <c r="A22" s="155">
        <v>44523</v>
      </c>
      <c r="B22" s="208"/>
      <c r="C22" s="265" t="str">
        <f>IFERROR(MID(功能_33[[#This Row],[功能代號]],2,1)&amp;"-"&amp;VLOOKUP(功能_33[[#This Row],[功能代號]],#REF!,4,FALSE)&amp;VLOOKUP(功能_33[[#This Row],[功能代號]],#REF!,6,FALSE),"")</f>
        <v/>
      </c>
      <c r="D22" s="265" t="s">
        <v>70</v>
      </c>
      <c r="E22" s="213"/>
      <c r="F22" s="264" t="s">
        <v>1444</v>
      </c>
      <c r="G22" s="265" t="s">
        <v>1445</v>
      </c>
      <c r="H22" s="265" t="s">
        <v>1446</v>
      </c>
      <c r="I22" s="264" t="s">
        <v>166</v>
      </c>
      <c r="J22" s="264" t="s">
        <v>167</v>
      </c>
      <c r="K22" s="212"/>
      <c r="L22" s="272">
        <v>44488</v>
      </c>
      <c r="M22" s="272">
        <v>44488</v>
      </c>
      <c r="N22" s="272" t="str">
        <f>IFERROR(IF(VLOOKUP(功能_33[[#This Row],[功能代號]],討論項目!B:I,8,FALSE)=0,"",VLOOKUP(功能_33[[#This Row],[功能代號]],討論項目!B:I,8,FALSE)),"")</f>
        <v/>
      </c>
      <c r="O22" s="264" t="s">
        <v>1</v>
      </c>
      <c r="P22" s="264" t="s">
        <v>15</v>
      </c>
      <c r="Q22" s="251"/>
      <c r="R22" s="264"/>
      <c r="S22" s="264"/>
      <c r="T22" s="264"/>
      <c r="U22" s="264"/>
      <c r="V22" s="264"/>
      <c r="W22" s="264"/>
      <c r="X22" s="264"/>
      <c r="Y22" s="265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2" t="s">
        <v>107</v>
      </c>
      <c r="AB22" s="272"/>
      <c r="AC22" s="272"/>
      <c r="AD22" s="272"/>
      <c r="AE22" s="272"/>
      <c r="AF22" s="272"/>
      <c r="AG22" s="272"/>
      <c r="AH22" s="272" t="str">
        <f>IFERROR(IF(VLOOKUP(功能_33[[#This Row],[功能代號]],F:R,11,FALSE)=0,"",VLOOKUP(功能_33[[#This Row],[功能代號]],F:R,11,FALSE)),"")</f>
        <v/>
      </c>
      <c r="AI22" s="272"/>
      <c r="AJ22" s="272"/>
      <c r="AK22" s="265"/>
      <c r="AL22" s="211"/>
      <c r="AM22" s="264"/>
      <c r="AN22" s="265"/>
      <c r="AO22" s="265" t="e">
        <f>VLOOKUP(功能_33[[#This Row],[功能代號]],需二審tmp!B:B,1,FALSE)</f>
        <v>#N/A</v>
      </c>
    </row>
    <row r="23" spans="1:52" x14ac:dyDescent="0.3">
      <c r="A23" s="155">
        <v>44545</v>
      </c>
      <c r="B23" s="512">
        <v>44547</v>
      </c>
      <c r="C23" s="265"/>
      <c r="D23" s="265" t="s">
        <v>2498</v>
      </c>
      <c r="E23" s="265" t="s">
        <v>2567</v>
      </c>
      <c r="F23" s="264" t="s">
        <v>1381</v>
      </c>
      <c r="G23" s="257" t="s">
        <v>1382</v>
      </c>
      <c r="H23" s="257" t="s">
        <v>2787</v>
      </c>
      <c r="I23" s="264" t="s">
        <v>110</v>
      </c>
      <c r="J23" s="264" t="s">
        <v>110</v>
      </c>
      <c r="K23" s="271"/>
      <c r="L23" s="272">
        <v>44533</v>
      </c>
      <c r="M23" s="272">
        <v>44533</v>
      </c>
      <c r="N23" s="272">
        <v>44545</v>
      </c>
      <c r="O23" s="264"/>
      <c r="P23" s="264"/>
      <c r="Q23" s="251"/>
      <c r="R23" s="264"/>
      <c r="S23" s="264"/>
      <c r="T23" s="264"/>
      <c r="U23" s="264"/>
      <c r="V23" s="264"/>
      <c r="W23" s="264"/>
      <c r="X23" s="264"/>
      <c r="Y23" s="265" t="e">
        <f>VLOOKUP(功能_33[[#This Row],[User]],SKL放款!B:H,7,FALSE)</f>
        <v>#N/A</v>
      </c>
      <c r="Z23" s="272">
        <v>44545</v>
      </c>
      <c r="AA23" s="272" t="s">
        <v>2557</v>
      </c>
      <c r="AB23" s="258"/>
      <c r="AC23" s="272">
        <v>44545</v>
      </c>
      <c r="AD23" s="259"/>
      <c r="AE23" s="259"/>
      <c r="AF23" s="259"/>
      <c r="AG23" s="259"/>
      <c r="AH23" s="259" t="str">
        <f>IFERROR(IF(VLOOKUP(功能_33[[#This Row],[功能代號]],F:R,11,FALSE)=0,"",VLOOKUP(功能_33[[#This Row],[功能代號]],F:R,11,FALSE)),"")</f>
        <v/>
      </c>
      <c r="AI23" s="259"/>
      <c r="AJ23" s="259"/>
      <c r="AK23" s="265"/>
      <c r="AL23" s="211"/>
      <c r="AM23" s="264"/>
      <c r="AN23" s="265"/>
      <c r="AO23" s="265" t="e">
        <f>VLOOKUP(功能_33[[#This Row],[功能代號]],需二審tmp!B:B,1,FALSE)</f>
        <v>#N/A</v>
      </c>
      <c r="AP23" s="323"/>
      <c r="AQ23" s="412"/>
      <c r="AR23" s="483" t="str">
        <f t="shared" ref="AR23" si="0">IF(COUNTA(AD23)=1,LEFT(E23,3),"")</f>
        <v/>
      </c>
      <c r="AS23" s="485" t="str">
        <f t="shared" ref="AS23" si="1">IF(AND(COUNTA(M23)=1,COUNTA(N23)=1,COUNTA(Z23)=1,COUNTA(AC23)=1,COUNTA(AD23)=0),LEFT(E23,3),"")</f>
        <v>LC.</v>
      </c>
      <c r="AT23" s="487" t="str">
        <f t="shared" ref="AT23" si="2">IF(AND(COUNTA(M23)=1,COUNTA(N23)=1,COUNTA(Z23)=1,COUNTA(AC23)=0,COUNTA(AD23)=0),LEFT(E23,3),"")</f>
        <v/>
      </c>
      <c r="AU23" s="489" t="str">
        <f t="shared" ref="AU23" si="3">IF(AND(COUNTA(N23)=0,COUNTA(Z23)=1),LEFT(E23,3),"")</f>
        <v/>
      </c>
      <c r="AV23" s="491" t="str">
        <f t="shared" ref="AV23" si="4">IF(AND(COUNTA(N23)=1,COUNTA(Z23)=0),LEFT(E23,3),"")</f>
        <v/>
      </c>
      <c r="AW23" s="493" t="str">
        <f t="shared" ref="AW23" si="5">IF(AND(COUNTA(N23)=0,COUNTA(Z23)=0),LEFT(E23,3),"")</f>
        <v/>
      </c>
      <c r="AX23" s="514" t="str">
        <f t="shared" ref="AX23" si="6">IF(OR(COUNTA(N23)=0,COUNTA(Z23)=0),J23,"")</f>
        <v/>
      </c>
    </row>
    <row r="24" spans="1:52" x14ac:dyDescent="0.3">
      <c r="A24" s="155">
        <v>44550</v>
      </c>
      <c r="D24" s="265" t="s">
        <v>65</v>
      </c>
      <c r="E24" s="265" t="s">
        <v>2499</v>
      </c>
      <c r="F24" s="576" t="s">
        <v>2496</v>
      </c>
      <c r="G24" s="577" t="s">
        <v>140</v>
      </c>
      <c r="H24" s="265" t="s">
        <v>2922</v>
      </c>
      <c r="I24" s="264" t="s">
        <v>110</v>
      </c>
      <c r="J24" s="264" t="s">
        <v>111</v>
      </c>
      <c r="K24" s="212" t="s">
        <v>112</v>
      </c>
      <c r="L24" s="272">
        <v>44399</v>
      </c>
      <c r="M24" s="272">
        <v>44400</v>
      </c>
      <c r="N24" s="272" t="str">
        <f>IFERROR(IF(VLOOKUP(功能_33[[#This Row],[功能代號]],討論項目!B:I,8,FALSE)=0,"",VLOOKUP(功能_33[[#This Row],[功能代號]],討論項目!B:I,8,FALSE)),"")</f>
        <v/>
      </c>
      <c r="O24" s="264" t="s">
        <v>4</v>
      </c>
      <c r="P24" s="264" t="s">
        <v>5</v>
      </c>
      <c r="Q24" s="251"/>
      <c r="R24" s="264"/>
      <c r="S24" s="264"/>
      <c r="T24" s="264"/>
      <c r="U24" s="264"/>
      <c r="V24" s="264"/>
      <c r="W24" s="264"/>
      <c r="X24" s="264"/>
      <c r="Y24" s="265" t="e">
        <f>VLOOKUP(功能_33[[#This Row],[User]],SKL放款!B:H,7,FALSE)</f>
        <v>#N/A</v>
      </c>
      <c r="Z24" s="272">
        <v>44470</v>
      </c>
      <c r="AA24" s="272">
        <v>44463</v>
      </c>
      <c r="AB24" s="272">
        <v>44468</v>
      </c>
      <c r="AC24" s="272">
        <v>44468</v>
      </c>
      <c r="AD24" s="512">
        <v>44470</v>
      </c>
      <c r="AE24" s="237" t="s">
        <v>1</v>
      </c>
      <c r="AF24" s="322">
        <v>44483.56527777778</v>
      </c>
      <c r="AG24" s="209">
        <v>44487.745833333327</v>
      </c>
      <c r="AH24" s="272" t="str">
        <f>IFERROR(IF(VLOOKUP(功能_33[[#This Row],[功能代號]],F:R,11,FALSE)=0,"",VLOOKUP(功能_33[[#This Row],[功能代號]],F:R,11,FALSE)),"")</f>
        <v/>
      </c>
      <c r="AI24" s="272"/>
      <c r="AJ24" s="272"/>
      <c r="AK24" s="265"/>
      <c r="AL24" s="265"/>
      <c r="AM24" s="264" t="s">
        <v>141</v>
      </c>
      <c r="AN24" s="265" t="s">
        <v>142</v>
      </c>
      <c r="AO24" s="265" t="e">
        <f>VLOOKUP(功能_33[[#This Row],[功能代號]],需二審tmp!B:B,1,FALSE)</f>
        <v>#N/A</v>
      </c>
      <c r="AP24" s="323">
        <v>44470</v>
      </c>
      <c r="AQ24" s="412"/>
      <c r="AR24" s="483" t="str">
        <f t="shared" ref="AR24" si="7">IF(COUNTA(AD24)=1,LEFT(E24,3),"")</f>
        <v>1-4</v>
      </c>
      <c r="AS24" s="485" t="str">
        <f t="shared" ref="AS24" si="8">IF(AND(COUNTA(M24)=1,COUNTA(N24)=1,COUNTA(Z24)=1,COUNTA(AC24)=1,COUNTA(AD24)=0),LEFT(E24,3),"")</f>
        <v/>
      </c>
      <c r="AT24" s="487" t="str">
        <f t="shared" ref="AT24" si="9">IF(AND(COUNTA(M24)=1,COUNTA(N24)=1,COUNTA(Z24)=1,COUNTA(AC24)=0,COUNTA(AD24)=0),LEFT(E24,3),"")</f>
        <v/>
      </c>
      <c r="AU24" s="489" t="str">
        <f t="shared" ref="AU24" si="10">IF(AND(COUNTA(N24)=0,COUNTA(Z24)=1),LEFT(E24,3),"")</f>
        <v/>
      </c>
      <c r="AV24" s="491" t="str">
        <f t="shared" ref="AV24" si="11">IF(AND(COUNTA(N24)=1,COUNTA(Z24)=0),LEFT(E24,3),"")</f>
        <v/>
      </c>
      <c r="AW24" s="493" t="str">
        <f t="shared" ref="AW24" si="12">IF(AND(COUNTA(N24)=0,COUNTA(Z24)=0),LEFT(E24,3),"")</f>
        <v/>
      </c>
      <c r="AX24" s="514" t="str">
        <f t="shared" ref="AX24" si="13">IF(OR(COUNTA(N24)=0,COUNTA(Z24)=0),J24,"")</f>
        <v/>
      </c>
      <c r="AY24" s="558" t="s">
        <v>139</v>
      </c>
      <c r="AZ24" s="493" t="str">
        <f>VLOOKUP(功能_33[[#This Row],[功能代號]],'[6]SIT-LAB-20211230'!$B:$B,1,FALSE)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7" customWidth="1"/>
    <col min="2" max="2" width="23.69921875" style="74" customWidth="1"/>
    <col min="3" max="3" width="4.69921875" style="287" customWidth="1"/>
    <col min="4" max="4" width="124.5" style="74" bestFit="1" customWidth="1"/>
    <col min="5" max="5" width="15.69921875" style="581" customWidth="1"/>
    <col min="6" max="6" width="20.19921875" style="71" bestFit="1" customWidth="1"/>
    <col min="7" max="7" width="16.69921875" style="71" customWidth="1"/>
    <col min="8" max="8" width="15.3984375" style="287" bestFit="1" customWidth="1"/>
    <col min="9" max="9" width="13.3984375" style="287" customWidth="1"/>
    <col min="10" max="10" width="11.3984375" style="287" customWidth="1"/>
    <col min="11" max="11" width="16.59765625" style="287" customWidth="1"/>
    <col min="12" max="12" width="8.19921875" style="287" customWidth="1"/>
    <col min="13" max="13" width="21.59765625" style="287" customWidth="1"/>
    <col min="14" max="15" width="20.09765625" style="287" customWidth="1"/>
    <col min="16" max="16" width="12" style="287" customWidth="1"/>
    <col min="17" max="19" width="9" style="69" customWidth="1"/>
    <col min="20" max="16384" width="9" style="69"/>
  </cols>
  <sheetData>
    <row r="1" spans="1:16" ht="17" customHeight="1" x14ac:dyDescent="0.3">
      <c r="A1" s="647" t="s">
        <v>1447</v>
      </c>
      <c r="B1" s="650" t="s">
        <v>1448</v>
      </c>
      <c r="C1" s="650" t="s">
        <v>1449</v>
      </c>
      <c r="D1" s="650" t="s">
        <v>1450</v>
      </c>
      <c r="E1" s="647" t="s">
        <v>1451</v>
      </c>
      <c r="F1" s="656" t="s">
        <v>1452</v>
      </c>
      <c r="G1" s="656" t="s">
        <v>1453</v>
      </c>
      <c r="H1" s="252" t="s">
        <v>84</v>
      </c>
      <c r="I1" s="647" t="s">
        <v>1454</v>
      </c>
      <c r="J1" s="647" t="s">
        <v>1455</v>
      </c>
      <c r="K1" s="657"/>
      <c r="L1" s="657"/>
      <c r="M1" s="657"/>
      <c r="N1" s="658"/>
      <c r="O1" s="252"/>
      <c r="P1" s="647" t="s">
        <v>1456</v>
      </c>
    </row>
    <row r="2" spans="1:16" x14ac:dyDescent="0.3">
      <c r="A2" s="648"/>
      <c r="B2" s="651"/>
      <c r="C2" s="648"/>
      <c r="D2" s="648"/>
      <c r="E2" s="653"/>
      <c r="F2" s="648"/>
      <c r="G2" s="648"/>
      <c r="H2" s="254" t="s">
        <v>1453</v>
      </c>
      <c r="I2" s="648"/>
      <c r="J2" s="655" t="s">
        <v>1457</v>
      </c>
      <c r="K2" s="655" t="s">
        <v>1458</v>
      </c>
      <c r="L2" s="659" t="s">
        <v>1459</v>
      </c>
      <c r="M2" s="660"/>
      <c r="N2" s="660"/>
      <c r="O2" s="661"/>
      <c r="P2" s="648"/>
    </row>
    <row r="3" spans="1:16" x14ac:dyDescent="0.3">
      <c r="A3" s="649"/>
      <c r="B3" s="652"/>
      <c r="C3" s="649"/>
      <c r="D3" s="649"/>
      <c r="E3" s="654"/>
      <c r="F3" s="649"/>
      <c r="G3" s="649"/>
      <c r="H3" s="253"/>
      <c r="I3" s="649"/>
      <c r="J3" s="649"/>
      <c r="K3" s="649"/>
      <c r="L3" s="286" t="s">
        <v>1460</v>
      </c>
      <c r="M3" s="148" t="s">
        <v>1461</v>
      </c>
      <c r="N3" s="148" t="s">
        <v>1462</v>
      </c>
      <c r="O3" s="149" t="s">
        <v>1463</v>
      </c>
      <c r="P3" s="649"/>
    </row>
    <row r="4" spans="1:16" ht="33" customHeight="1" x14ac:dyDescent="0.3">
      <c r="A4" s="287" t="s">
        <v>981</v>
      </c>
      <c r="B4" s="69" t="str">
        <f>VLOOKUP(A4,URS確認!$E:$F,2,FALSE)</f>
        <v>放款業績工作月查詢</v>
      </c>
      <c r="C4" s="287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7" t="s">
        <v>1465</v>
      </c>
      <c r="P4" s="70"/>
    </row>
    <row r="5" spans="1:16" x14ac:dyDescent="0.3">
      <c r="A5" s="287" t="s">
        <v>981</v>
      </c>
      <c r="B5" s="69" t="str">
        <f>VLOOKUP(A5,URS確認!$E:$F,2,FALSE)</f>
        <v>放款業績工作月查詢</v>
      </c>
      <c r="C5" s="287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7" t="s">
        <v>1465</v>
      </c>
      <c r="P5" s="70"/>
    </row>
    <row r="6" spans="1:16" x14ac:dyDescent="0.3">
      <c r="A6" s="287" t="s">
        <v>981</v>
      </c>
      <c r="B6" s="69" t="str">
        <f>VLOOKUP(A6,URS確認!$E:$F,2,FALSE)</f>
        <v>放款業績工作月查詢</v>
      </c>
      <c r="C6" s="287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7" t="s">
        <v>1465</v>
      </c>
      <c r="P6" s="70"/>
    </row>
    <row r="7" spans="1:16" x14ac:dyDescent="0.3">
      <c r="A7" s="287" t="s">
        <v>986</v>
      </c>
      <c r="B7" s="69" t="str">
        <f>VLOOKUP(A7,URS確認!$E:$F,2,FALSE)</f>
        <v>放款業績工作月維護</v>
      </c>
      <c r="C7" s="287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7" t="s">
        <v>1465</v>
      </c>
      <c r="P7" s="70"/>
    </row>
    <row r="8" spans="1:16" x14ac:dyDescent="0.3">
      <c r="A8" s="287" t="s">
        <v>989</v>
      </c>
      <c r="B8" s="69" t="str">
        <f>VLOOKUP(A8,URS確認!$E:$F,2,FALSE)</f>
        <v xml:space="preserve">年度業績目標更新                    </v>
      </c>
      <c r="C8" s="287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楊智誠</v>
      </c>
      <c r="J8" s="287" t="s">
        <v>1465</v>
      </c>
      <c r="P8" s="70"/>
    </row>
    <row r="9" spans="1:16" x14ac:dyDescent="0.3">
      <c r="A9" s="287" t="s">
        <v>989</v>
      </c>
      <c r="B9" s="69" t="str">
        <f>VLOOKUP(A9,URS確認!$E:$F,2,FALSE)</f>
        <v xml:space="preserve">年度業績目標更新                    </v>
      </c>
      <c r="C9" s="287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7" t="s">
        <v>1472</v>
      </c>
      <c r="P9" s="70" t="s">
        <v>1473</v>
      </c>
    </row>
    <row r="10" spans="1:16" x14ac:dyDescent="0.3">
      <c r="A10" s="287" t="s">
        <v>991</v>
      </c>
      <c r="B10" s="69" t="str">
        <f>VLOOKUP(A10,URS確認!$E:$F,2,FALSE)</f>
        <v xml:space="preserve">房貸專員明細資料查詢                </v>
      </c>
      <c r="C10" s="287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楊智誠</v>
      </c>
      <c r="K10" s="287" t="s">
        <v>1465</v>
      </c>
      <c r="P10" s="70"/>
    </row>
    <row r="11" spans="1:16" x14ac:dyDescent="0.3">
      <c r="A11" s="287" t="s">
        <v>993</v>
      </c>
      <c r="B11" s="69" t="str">
        <f>VLOOKUP(A11,URS確認!$E:$F,2,FALSE)</f>
        <v xml:space="preserve">房貸專員資料維護                    </v>
      </c>
      <c r="C11" s="287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楊智誠</v>
      </c>
      <c r="L11" s="287" t="s">
        <v>1465</v>
      </c>
      <c r="P11" s="70"/>
    </row>
    <row r="12" spans="1:16" ht="33" customHeight="1" x14ac:dyDescent="0.3">
      <c r="A12" s="287" t="s">
        <v>993</v>
      </c>
      <c r="B12" s="69" t="str">
        <f>VLOOKUP(A12,URS確認!$E:$F,2,FALSE)</f>
        <v xml:space="preserve">房貸專員資料維護                    </v>
      </c>
      <c r="C12" s="287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楊智誠</v>
      </c>
      <c r="L12" s="287" t="s">
        <v>1465</v>
      </c>
      <c r="P12" s="70"/>
    </row>
    <row r="13" spans="1:16" x14ac:dyDescent="0.3">
      <c r="A13" s="287" t="s">
        <v>993</v>
      </c>
      <c r="B13" s="69" t="str">
        <f>VLOOKUP(A13,URS確認!$E:$F,2,FALSE)</f>
        <v xml:space="preserve">房貸專員資料維護                    </v>
      </c>
      <c r="C13" s="287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楊智誠</v>
      </c>
      <c r="J13" s="287" t="s">
        <v>1465</v>
      </c>
      <c r="P13" s="70"/>
    </row>
    <row r="14" spans="1:16" x14ac:dyDescent="0.3">
      <c r="A14" s="287" t="s">
        <v>993</v>
      </c>
      <c r="B14" s="69" t="str">
        <f>VLOOKUP(A14,URS確認!$E:$F,2,FALSE)</f>
        <v xml:space="preserve">房貸專員資料維護                    </v>
      </c>
      <c r="C14" s="287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楊智誠</v>
      </c>
      <c r="J14" s="287" t="s">
        <v>1465</v>
      </c>
      <c r="P14" s="70"/>
    </row>
    <row r="15" spans="1:16" x14ac:dyDescent="0.3">
      <c r="A15" s="287" t="s">
        <v>1001</v>
      </c>
      <c r="B15" s="69" t="str">
        <f>VLOOKUP(A15,URS確認!$E:$F,2,FALSE)</f>
        <v xml:space="preserve">更改目標金額、累計目標金額          </v>
      </c>
      <c r="C15" s="287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楊智誠</v>
      </c>
      <c r="N15" s="287" t="s">
        <v>1465</v>
      </c>
      <c r="P15" s="70"/>
    </row>
    <row r="16" spans="1:16" ht="82.5" customHeight="1" x14ac:dyDescent="0.3">
      <c r="A16" s="287" t="s">
        <v>1001</v>
      </c>
      <c r="B16" s="74" t="str">
        <f>VLOOKUP(A16,URS確認!$E:$F,2,FALSE)</f>
        <v xml:space="preserve">更改目標金額、累計目標金額          </v>
      </c>
      <c r="C16" s="287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7" t="s">
        <v>1481</v>
      </c>
      <c r="P16" s="70" t="s">
        <v>1473</v>
      </c>
    </row>
    <row r="17" spans="1:16" ht="33" customHeight="1" x14ac:dyDescent="0.3">
      <c r="A17" s="287" t="s">
        <v>1001</v>
      </c>
      <c r="B17" s="69" t="str">
        <f>VLOOKUP(A17,URS確認!$E:$F,2,FALSE)</f>
        <v xml:space="preserve">更改目標金額、累計目標金額          </v>
      </c>
      <c r="C17" s="287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楊智誠</v>
      </c>
      <c r="L17" s="287" t="s">
        <v>1465</v>
      </c>
      <c r="P17" s="70"/>
    </row>
    <row r="18" spans="1:16" x14ac:dyDescent="0.3">
      <c r="A18" s="287" t="s">
        <v>1001</v>
      </c>
      <c r="B18" s="69" t="str">
        <f>VLOOKUP(A18,URS確認!$E:$F,2,FALSE)</f>
        <v xml:space="preserve">更改目標金額、累計目標金額          </v>
      </c>
      <c r="C18" s="287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楊智誠</v>
      </c>
      <c r="L18" s="287" t="s">
        <v>1465</v>
      </c>
      <c r="P18" s="70"/>
    </row>
    <row r="19" spans="1:16" x14ac:dyDescent="0.3">
      <c r="A19" s="287" t="s">
        <v>995</v>
      </c>
      <c r="B19" s="69" t="str">
        <f>VLOOKUP(A19,URS確認!$E:$F,2,FALSE)</f>
        <v xml:space="preserve">晤談人員明細資料查詢                </v>
      </c>
      <c r="C19" s="287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楊智誠</v>
      </c>
      <c r="K19" s="287" t="s">
        <v>1465</v>
      </c>
      <c r="P19" s="71"/>
    </row>
    <row r="20" spans="1:16" x14ac:dyDescent="0.3">
      <c r="A20" s="358" t="s">
        <v>995</v>
      </c>
      <c r="B20" s="69" t="str">
        <f>VLOOKUP(A20,URS確認!$E:$F,2,FALSE)</f>
        <v xml:space="preserve">晤談人員明細資料查詢                </v>
      </c>
      <c r="C20" s="358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楊智誠</v>
      </c>
      <c r="J20" s="358"/>
      <c r="K20" s="358"/>
      <c r="L20" s="358"/>
      <c r="M20" s="358"/>
      <c r="N20" s="358"/>
      <c r="O20" s="358"/>
      <c r="P20" s="71"/>
    </row>
    <row r="21" spans="1:16" x14ac:dyDescent="0.3">
      <c r="A21" s="287" t="s">
        <v>997</v>
      </c>
      <c r="B21" s="69" t="str">
        <f>VLOOKUP(A21,URS確認!$E:$F,2,FALSE)</f>
        <v xml:space="preserve">晤談人員資料維護                    </v>
      </c>
      <c r="C21" s="287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楊智誠</v>
      </c>
      <c r="J21" s="287" t="s">
        <v>1465</v>
      </c>
      <c r="P21" s="71"/>
    </row>
    <row r="22" spans="1:16" ht="115.5" customHeight="1" x14ac:dyDescent="0.3">
      <c r="A22" s="287" t="s">
        <v>1003</v>
      </c>
      <c r="B22" s="69" t="str">
        <f>VLOOKUP(A22,URS確認!$E:$F,2,FALSE)</f>
        <v xml:space="preserve">協辦人員等級明細資料查詢            </v>
      </c>
      <c r="C22" s="287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楊智誠</v>
      </c>
      <c r="J22" s="287" t="s">
        <v>1465</v>
      </c>
      <c r="P22" s="71"/>
    </row>
    <row r="23" spans="1:16" ht="66" customHeight="1" x14ac:dyDescent="0.3">
      <c r="A23" s="287" t="s">
        <v>1003</v>
      </c>
      <c r="B23" s="69" t="str">
        <f>VLOOKUP(A23,URS確認!$E:$F,2,FALSE)</f>
        <v xml:space="preserve">協辦人員等級明細資料查詢            </v>
      </c>
      <c r="C23" s="287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楊智誠</v>
      </c>
      <c r="J23" s="287" t="s">
        <v>1465</v>
      </c>
      <c r="P23" s="71"/>
    </row>
    <row r="24" spans="1:16" x14ac:dyDescent="0.3">
      <c r="A24" s="287" t="s">
        <v>1003</v>
      </c>
      <c r="B24" s="69" t="str">
        <f>VLOOKUP(A24,URS確認!$E:$F,2,FALSE)</f>
        <v xml:space="preserve">協辦人員等級明細資料查詢            </v>
      </c>
      <c r="C24" s="287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楊智誠</v>
      </c>
      <c r="M24" s="287" t="s">
        <v>1488</v>
      </c>
      <c r="P24" s="71"/>
    </row>
    <row r="25" spans="1:16" x14ac:dyDescent="0.3">
      <c r="A25" s="287" t="s">
        <v>1007</v>
      </c>
      <c r="B25" s="69" t="str">
        <f>VLOOKUP(A25,URS確認!$E:$F,2,FALSE)</f>
        <v xml:space="preserve">房貸協辦人員等級維護                </v>
      </c>
      <c r="C25" s="287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楊智誠</v>
      </c>
      <c r="M25" s="287" t="s">
        <v>1488</v>
      </c>
      <c r="P25" s="71"/>
    </row>
    <row r="26" spans="1:16" ht="66" customHeight="1" x14ac:dyDescent="0.3">
      <c r="A26" s="287" t="s">
        <v>1019</v>
      </c>
      <c r="B26" s="69" t="str">
        <f>VLOOKUP(A26,URS確認!$E:$F,2,FALSE)</f>
        <v>介紹人加碼獎勵津貼標準設定</v>
      </c>
      <c r="C26" s="287">
        <v>1</v>
      </c>
      <c r="D26" s="74" t="s">
        <v>2847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7" t="s">
        <v>1465</v>
      </c>
      <c r="P26" s="71"/>
    </row>
    <row r="27" spans="1:16" ht="33" customHeight="1" x14ac:dyDescent="0.3">
      <c r="A27" s="287" t="s">
        <v>1019</v>
      </c>
      <c r="B27" s="69" t="str">
        <f>VLOOKUP(A27,URS確認!$E:$F,2,FALSE)</f>
        <v>介紹人加碼獎勵津貼標準設定</v>
      </c>
      <c r="C27" s="287">
        <v>2</v>
      </c>
      <c r="D27" s="74" t="s">
        <v>2848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7" t="s">
        <v>1465</v>
      </c>
      <c r="P27" s="71" t="s">
        <v>1491</v>
      </c>
    </row>
    <row r="28" spans="1:16" x14ac:dyDescent="0.3">
      <c r="A28" s="287" t="s">
        <v>1019</v>
      </c>
      <c r="B28" s="69" t="str">
        <f>VLOOKUP(A28,URS確認!$E:$F,2,FALSE)</f>
        <v>介紹人加碼獎勵津貼標準設定</v>
      </c>
      <c r="C28" s="287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7" t="s">
        <v>1465</v>
      </c>
      <c r="P28" s="71"/>
    </row>
    <row r="29" spans="1:16" x14ac:dyDescent="0.3">
      <c r="A29" s="287" t="s">
        <v>1023</v>
      </c>
      <c r="B29" s="69" t="str">
        <f>VLOOKUP(A29,URS確認!$E:$F,2,FALSE)</f>
        <v>協辦獎勵津貼標準設定</v>
      </c>
      <c r="C29" s="287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楊智誠</v>
      </c>
      <c r="J29" s="287" t="s">
        <v>1465</v>
      </c>
      <c r="P29" s="71"/>
    </row>
    <row r="30" spans="1:16" ht="34" customHeight="1" x14ac:dyDescent="0.3">
      <c r="A30" s="287" t="s">
        <v>1023</v>
      </c>
      <c r="B30" s="69" t="str">
        <f>VLOOKUP(A30,URS確認!$E:$F,2,FALSE)</f>
        <v>協辦獎勵津貼標準設定</v>
      </c>
      <c r="C30" s="287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楊智誠</v>
      </c>
      <c r="L30" s="287" t="s">
        <v>1465</v>
      </c>
      <c r="P30" s="71"/>
    </row>
    <row r="31" spans="1:16" x14ac:dyDescent="0.3">
      <c r="A31" s="287" t="s">
        <v>1023</v>
      </c>
      <c r="B31" s="69" t="str">
        <f>VLOOKUP(A31,URS確認!$E:$F,2,FALSE)</f>
        <v>協辦獎勵津貼標準設定</v>
      </c>
      <c r="C31" s="287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楊智誠</v>
      </c>
      <c r="J31" s="287" t="s">
        <v>1465</v>
      </c>
      <c r="P31" s="71"/>
    </row>
    <row r="32" spans="1:16" x14ac:dyDescent="0.3">
      <c r="A32" s="287" t="s">
        <v>1025</v>
      </c>
      <c r="B32" s="69" t="str">
        <f>VLOOKUP(A32,URS確認!$E:$F,2,FALSE)</f>
        <v>系統變數及系統值設定</v>
      </c>
      <c r="C32" s="287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7" t="s">
        <v>1465</v>
      </c>
      <c r="P32" s="71"/>
    </row>
    <row r="33" spans="1:16" ht="49.5" customHeight="1" x14ac:dyDescent="0.3">
      <c r="A33" s="287" t="s">
        <v>1025</v>
      </c>
      <c r="B33" s="69" t="str">
        <f>VLOOKUP(A33,URS確認!$E:$F,2,FALSE)</f>
        <v>系統變數及系統值設定</v>
      </c>
      <c r="C33" s="287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7" t="s">
        <v>1465</v>
      </c>
      <c r="P33" s="71"/>
    </row>
    <row r="34" spans="1:16" ht="49.5" customHeight="1" x14ac:dyDescent="0.3">
      <c r="A34" s="287" t="s">
        <v>1025</v>
      </c>
      <c r="B34" s="74" t="str">
        <f>VLOOKUP(A34,URS確認!$E:$F,2,FALSE)</f>
        <v>系統變數及系統值設定</v>
      </c>
      <c r="C34" s="287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7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7" t="s">
        <v>1013</v>
      </c>
      <c r="B36" s="69" t="str">
        <f>VLOOKUP(A36,URS確認!$E:$F,2,FALSE)</f>
        <v>業績件數及金額核算標準設定</v>
      </c>
      <c r="C36" s="287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7" t="s">
        <v>1465</v>
      </c>
      <c r="P36" s="71"/>
    </row>
    <row r="37" spans="1:16" ht="33" customHeight="1" x14ac:dyDescent="0.3">
      <c r="A37" s="287" t="s">
        <v>1013</v>
      </c>
      <c r="B37" s="69" t="str">
        <f>VLOOKUP(A37,URS確認!$E:$F,2,FALSE)</f>
        <v>業績件數及金額核算標準設定</v>
      </c>
      <c r="C37" s="287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7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7" t="s">
        <v>1015</v>
      </c>
      <c r="B40" s="69" t="str">
        <f>VLOOKUP(A40,URS確認!$E:$F,2,FALSE)</f>
        <v>業績件數及金額核算標準設定(整月)</v>
      </c>
      <c r="C40" s="287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楊智誠</v>
      </c>
      <c r="M40" s="287" t="s">
        <v>1481</v>
      </c>
      <c r="P40" s="71" t="s">
        <v>1473</v>
      </c>
    </row>
    <row r="41" spans="1:16" x14ac:dyDescent="0.3">
      <c r="A41" s="287" t="s">
        <v>1052</v>
      </c>
      <c r="B41" s="69" t="str">
        <f>VLOOKUP(A41,URS確認!$E:$F,2,FALSE)</f>
        <v>工作日業績結算</v>
      </c>
      <c r="C41" s="287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7" t="s">
        <v>1465</v>
      </c>
      <c r="P41" s="71"/>
    </row>
    <row r="42" spans="1:16" ht="30.65" customHeight="1" x14ac:dyDescent="0.3">
      <c r="A42" s="287" t="s">
        <v>1052</v>
      </c>
      <c r="B42" s="74" t="str">
        <f>VLOOKUP(A42,URS確認!$E:$F,2,FALSE)</f>
        <v>工作日業績結算</v>
      </c>
      <c r="C42" s="287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7" t="s">
        <v>298</v>
      </c>
      <c r="B43" s="69" t="str">
        <f>VLOOKUP(A43,URS確認!$E:$F,2,FALSE)</f>
        <v xml:space="preserve">撥款                     </v>
      </c>
      <c r="C43" s="287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7" t="s">
        <v>1465</v>
      </c>
      <c r="P43" s="71"/>
    </row>
    <row r="44" spans="1:16" x14ac:dyDescent="0.3">
      <c r="A44" s="287" t="s">
        <v>1416</v>
      </c>
      <c r="B44" s="69" t="e">
        <f>VLOOKUP(A44,URS確認!$E:$F,2,FALSE)</f>
        <v>#N/A</v>
      </c>
      <c r="C44" s="287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7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7" t="s">
        <v>1481</v>
      </c>
      <c r="P45" s="71"/>
    </row>
    <row r="46" spans="1:16" x14ac:dyDescent="0.3">
      <c r="A46" s="287" t="s">
        <v>1419</v>
      </c>
      <c r="B46" s="69" t="e">
        <f>VLOOKUP(A46,URS確認!$E:$F,2,FALSE)</f>
        <v>#N/A</v>
      </c>
      <c r="C46" s="287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7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7" t="s">
        <v>1481</v>
      </c>
      <c r="P47" s="71"/>
    </row>
    <row r="48" spans="1:16" x14ac:dyDescent="0.3">
      <c r="A48" s="287" t="s">
        <v>1513</v>
      </c>
      <c r="B48" s="69" t="s">
        <v>1514</v>
      </c>
      <c r="C48" s="287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7" t="s">
        <v>1465</v>
      </c>
      <c r="P48" s="71"/>
    </row>
    <row r="49" spans="1:16" x14ac:dyDescent="0.3">
      <c r="A49" s="287" t="s">
        <v>1517</v>
      </c>
      <c r="B49" s="69" t="s">
        <v>1518</v>
      </c>
      <c r="C49" s="287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7" t="s">
        <v>1465</v>
      </c>
      <c r="P49" s="71"/>
    </row>
    <row r="50" spans="1:16" x14ac:dyDescent="0.3">
      <c r="A50" s="287" t="s">
        <v>108</v>
      </c>
      <c r="B50" s="69" t="str">
        <f>VLOOKUP(A50,URS確認!$E:$F,2,FALSE)</f>
        <v>顧客明細資料查詢</v>
      </c>
      <c r="C50" s="287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張金龍</v>
      </c>
      <c r="L50" s="287" t="s">
        <v>1465</v>
      </c>
      <c r="P50" s="71"/>
    </row>
    <row r="51" spans="1:16" ht="66" customHeight="1" x14ac:dyDescent="0.3">
      <c r="A51" s="287" t="s">
        <v>114</v>
      </c>
      <c r="B51" s="69" t="str">
        <f>VLOOKUP(A51,URS確認!$E:$F,2,FALSE)</f>
        <v>顧客基本資料維護-自然人</v>
      </c>
      <c r="C51" s="287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7" t="s">
        <v>1465</v>
      </c>
      <c r="P51" s="71"/>
    </row>
    <row r="52" spans="1:16" ht="82.5" customHeight="1" x14ac:dyDescent="0.3">
      <c r="A52" s="287" t="s">
        <v>114</v>
      </c>
      <c r="B52" s="69" t="str">
        <f>VLOOKUP(A52,URS確認!$E:$F,2,FALSE)</f>
        <v>顧客基本資料維護-自然人</v>
      </c>
      <c r="C52" s="287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7" t="s">
        <v>1465</v>
      </c>
      <c r="P52" s="71"/>
    </row>
    <row r="53" spans="1:16" ht="82.5" customHeight="1" x14ac:dyDescent="0.3">
      <c r="A53" s="287" t="s">
        <v>114</v>
      </c>
      <c r="B53" s="69" t="str">
        <f>VLOOKUP(A53,URS確認!$E:$F,2,FALSE)</f>
        <v>顧客基本資料維護-自然人</v>
      </c>
      <c r="C53" s="287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7" t="s">
        <v>1465</v>
      </c>
      <c r="P53" s="71"/>
    </row>
    <row r="54" spans="1:16" ht="66" customHeight="1" x14ac:dyDescent="0.3">
      <c r="A54" s="287" t="s">
        <v>114</v>
      </c>
      <c r="B54" s="69" t="str">
        <f>VLOOKUP(A54,URS確認!$E:$F,2,FALSE)</f>
        <v>顧客基本資料維護-自然人</v>
      </c>
      <c r="C54" s="287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7" t="s">
        <v>1465</v>
      </c>
      <c r="P54" s="71"/>
    </row>
    <row r="55" spans="1:16" ht="66" customHeight="1" x14ac:dyDescent="0.3">
      <c r="A55" s="287" t="s">
        <v>114</v>
      </c>
      <c r="B55" s="69" t="str">
        <f>VLOOKUP(A55,URS確認!$E:$F,2,FALSE)</f>
        <v>顧客基本資料維護-自然人</v>
      </c>
      <c r="C55" s="287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7" t="s">
        <v>1465</v>
      </c>
      <c r="P55" s="71"/>
    </row>
    <row r="56" spans="1:16" ht="49.5" customHeight="1" x14ac:dyDescent="0.3">
      <c r="A56" s="287" t="s">
        <v>114</v>
      </c>
      <c r="B56" s="69" t="str">
        <f>VLOOKUP(A56,URS確認!$E:$F,2,FALSE)</f>
        <v>顧客基本資料維護-自然人</v>
      </c>
      <c r="C56" s="287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7" t="s">
        <v>1465</v>
      </c>
      <c r="P56" s="71"/>
    </row>
    <row r="57" spans="1:16" x14ac:dyDescent="0.3">
      <c r="A57" s="287" t="s">
        <v>114</v>
      </c>
      <c r="B57" s="69" t="str">
        <f>VLOOKUP(A57,URS確認!$E:$F,2,FALSE)</f>
        <v>顧客基本資料維護-自然人</v>
      </c>
      <c r="C57" s="287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7" t="s">
        <v>1465</v>
      </c>
      <c r="P57" s="71"/>
    </row>
    <row r="58" spans="1:16" x14ac:dyDescent="0.3">
      <c r="A58" s="287" t="s">
        <v>114</v>
      </c>
      <c r="B58" s="69" t="str">
        <f>VLOOKUP(A58,URS確認!$E:$F,2,FALSE)</f>
        <v>顧客基本資料維護-自然人</v>
      </c>
      <c r="C58" s="287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7" t="s">
        <v>1465</v>
      </c>
      <c r="P58" s="71"/>
    </row>
    <row r="59" spans="1:16" x14ac:dyDescent="0.3">
      <c r="A59" s="287" t="s">
        <v>114</v>
      </c>
      <c r="B59" s="69" t="str">
        <f>VLOOKUP(A59,URS確認!$E:$F,2,FALSE)</f>
        <v>顧客基本資料維護-自然人</v>
      </c>
      <c r="C59" s="287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7" t="s">
        <v>1465</v>
      </c>
      <c r="P59" s="71"/>
    </row>
    <row r="60" spans="1:16" ht="33" customHeight="1" x14ac:dyDescent="0.3">
      <c r="A60" s="287" t="s">
        <v>114</v>
      </c>
      <c r="B60" s="69" t="str">
        <f>VLOOKUP(A60,URS確認!$E:$F,2,FALSE)</f>
        <v>顧客基本資料維護-自然人</v>
      </c>
      <c r="C60" s="287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7" t="s">
        <v>1465</v>
      </c>
      <c r="P60" s="71"/>
    </row>
    <row r="61" spans="1:16" ht="33" customHeight="1" x14ac:dyDescent="0.3">
      <c r="A61" s="287" t="s">
        <v>114</v>
      </c>
      <c r="B61" s="69" t="str">
        <f>VLOOKUP(A61,URS確認!$E:$F,2,FALSE)</f>
        <v>顧客基本資料維護-自然人</v>
      </c>
      <c r="C61" s="287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7" t="s">
        <v>1481</v>
      </c>
      <c r="P61" s="71" t="s">
        <v>1473</v>
      </c>
    </row>
    <row r="62" spans="1:16" ht="33" customHeight="1" x14ac:dyDescent="0.3">
      <c r="A62" s="287" t="s">
        <v>114</v>
      </c>
      <c r="B62" s="69" t="str">
        <f>VLOOKUP(A62,URS確認!$E:$F,2,FALSE)</f>
        <v>顧客基本資料維護-自然人</v>
      </c>
      <c r="C62" s="287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7" t="s">
        <v>1465</v>
      </c>
      <c r="P62" s="71"/>
    </row>
    <row r="63" spans="1:16" ht="33" customHeight="1" x14ac:dyDescent="0.3">
      <c r="A63" s="287" t="s">
        <v>114</v>
      </c>
      <c r="B63" s="69" t="str">
        <f>VLOOKUP(A63,URS確認!$E:$F,2,FALSE)</f>
        <v>顧客基本資料維護-自然人</v>
      </c>
      <c r="C63" s="287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7" t="s">
        <v>1481</v>
      </c>
      <c r="P63" s="71"/>
    </row>
    <row r="64" spans="1:16" ht="66" customHeight="1" x14ac:dyDescent="0.3">
      <c r="A64" s="287" t="s">
        <v>121</v>
      </c>
      <c r="B64" s="69" t="str">
        <f>VLOOKUP(A64,URS確認!$E:$F,2,FALSE)</f>
        <v>顧客基本資料修改-自然人</v>
      </c>
      <c r="C64" s="287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7" t="s">
        <v>1533</v>
      </c>
      <c r="M64" s="287" t="s">
        <v>1488</v>
      </c>
      <c r="P64" s="71"/>
    </row>
    <row r="65" spans="1:16" ht="82.5" customHeight="1" x14ac:dyDescent="0.3">
      <c r="A65" s="287" t="s">
        <v>121</v>
      </c>
      <c r="B65" s="69" t="str">
        <f>VLOOKUP(A65,URS確認!$E:$F,2,FALSE)</f>
        <v>顧客基本資料修改-自然人</v>
      </c>
      <c r="C65" s="287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7" t="s">
        <v>1465</v>
      </c>
      <c r="P65" s="71"/>
    </row>
    <row r="66" spans="1:16" ht="33" customHeight="1" x14ac:dyDescent="0.3">
      <c r="A66" s="287" t="s">
        <v>121</v>
      </c>
      <c r="B66" s="69" t="str">
        <f>VLOOKUP(A66,URS確認!$E:$F,2,FALSE)</f>
        <v>顧客基本資料修改-自然人</v>
      </c>
      <c r="C66" s="287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7" t="s">
        <v>1465</v>
      </c>
      <c r="P66" s="71"/>
    </row>
    <row r="67" spans="1:16" x14ac:dyDescent="0.3">
      <c r="A67" s="287" t="s">
        <v>121</v>
      </c>
      <c r="B67" s="69" t="str">
        <f>VLOOKUP(A67,URS確認!$E:$F,2,FALSE)</f>
        <v>顧客基本資料修改-自然人</v>
      </c>
      <c r="C67" s="287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7" t="s">
        <v>1465</v>
      </c>
      <c r="P67" s="71" t="s">
        <v>1537</v>
      </c>
    </row>
    <row r="68" spans="1:16" ht="66" customHeight="1" x14ac:dyDescent="0.3">
      <c r="A68" s="287" t="s">
        <v>121</v>
      </c>
      <c r="B68" s="69" t="str">
        <f>VLOOKUP(A68,URS確認!$E:$F,2,FALSE)</f>
        <v>顧客基本資料修改-自然人</v>
      </c>
      <c r="C68" s="287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7" t="s">
        <v>1465</v>
      </c>
      <c r="P68" s="71" t="s">
        <v>1537</v>
      </c>
    </row>
    <row r="69" spans="1:16" x14ac:dyDescent="0.3">
      <c r="A69" s="287" t="s">
        <v>121</v>
      </c>
      <c r="B69" s="69" t="str">
        <f>VLOOKUP(A69,URS確認!$E:$F,2,FALSE)</f>
        <v>顧客基本資料修改-自然人</v>
      </c>
      <c r="C69" s="287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7" t="s">
        <v>1465</v>
      </c>
      <c r="P69" s="71" t="s">
        <v>1537</v>
      </c>
    </row>
    <row r="70" spans="1:16" x14ac:dyDescent="0.3">
      <c r="A70" s="287" t="s">
        <v>121</v>
      </c>
      <c r="B70" s="69" t="str">
        <f>VLOOKUP(A70,URS確認!$E:$F,2,FALSE)</f>
        <v>顧客基本資料修改-自然人</v>
      </c>
      <c r="C70" s="287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7" t="s">
        <v>1533</v>
      </c>
      <c r="M70" s="287" t="s">
        <v>1481</v>
      </c>
      <c r="P70" s="71" t="s">
        <v>1537</v>
      </c>
    </row>
    <row r="71" spans="1:16" ht="66" customHeight="1" x14ac:dyDescent="0.3">
      <c r="A71" s="287" t="s">
        <v>121</v>
      </c>
      <c r="B71" s="69" t="str">
        <f>VLOOKUP(A71,URS確認!$E:$F,2,FALSE)</f>
        <v>顧客基本資料修改-自然人</v>
      </c>
      <c r="C71" s="287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7" t="s">
        <v>1533</v>
      </c>
      <c r="N71" s="287" t="s">
        <v>1465</v>
      </c>
      <c r="P71" s="71" t="s">
        <v>1537</v>
      </c>
    </row>
    <row r="72" spans="1:16" x14ac:dyDescent="0.3">
      <c r="A72" s="287" t="s">
        <v>121</v>
      </c>
      <c r="B72" s="69" t="str">
        <f>VLOOKUP(A72,URS確認!$E:$F,2,FALSE)</f>
        <v>顧客基本資料修改-自然人</v>
      </c>
      <c r="C72" s="287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7" t="s">
        <v>1465</v>
      </c>
      <c r="P72" s="71"/>
    </row>
    <row r="73" spans="1:16" ht="33" customHeight="1" x14ac:dyDescent="0.3">
      <c r="A73" s="287" t="s">
        <v>121</v>
      </c>
      <c r="B73" s="69" t="str">
        <f>VLOOKUP(A73,URS確認!$E:$F,2,FALSE)</f>
        <v>顧客基本資料修改-自然人</v>
      </c>
      <c r="C73" s="287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7" t="s">
        <v>1465</v>
      </c>
      <c r="P73" s="71"/>
    </row>
    <row r="74" spans="1:16" ht="33" customHeight="1" x14ac:dyDescent="0.3">
      <c r="A74" s="287" t="s">
        <v>137</v>
      </c>
      <c r="B74" s="69" t="str">
        <f>VLOOKUP(A74,URS確認!$E:$F,2,FALSE)</f>
        <v>顧客聯絡電話維護</v>
      </c>
      <c r="C74" s="287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張金龍</v>
      </c>
      <c r="L74" s="287" t="s">
        <v>1465</v>
      </c>
      <c r="P74" s="71"/>
    </row>
    <row r="75" spans="1:16" x14ac:dyDescent="0.3">
      <c r="A75" s="287" t="s">
        <v>137</v>
      </c>
      <c r="B75" s="69" t="str">
        <f>VLOOKUP(A75,URS確認!$E:$F,2,FALSE)</f>
        <v>顧客聯絡電話維護</v>
      </c>
      <c r="C75" s="287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張金龍</v>
      </c>
      <c r="L75" s="287" t="s">
        <v>1465</v>
      </c>
      <c r="P75" s="71"/>
    </row>
    <row r="76" spans="1:16" ht="49.5" customHeight="1" x14ac:dyDescent="0.3">
      <c r="A76" s="287" t="s">
        <v>257</v>
      </c>
      <c r="B76" s="69" t="str">
        <f>VLOOKUP(A76,URS確認!$E:$F,2,FALSE)</f>
        <v xml:space="preserve">額度與擔保品關聯查詢 </v>
      </c>
      <c r="C76" s="287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7" t="s">
        <v>1465</v>
      </c>
      <c r="P76" s="71"/>
    </row>
    <row r="77" spans="1:16" x14ac:dyDescent="0.3">
      <c r="A77" s="287" t="s">
        <v>139</v>
      </c>
      <c r="B77" s="69" t="e">
        <f>VLOOKUP(A77,URS確認!$E:$F,2,FALSE)</f>
        <v>#N/A</v>
      </c>
      <c r="C77" s="287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7" t="s">
        <v>1465</v>
      </c>
      <c r="P77" s="71"/>
    </row>
    <row r="78" spans="1:16" x14ac:dyDescent="0.3">
      <c r="A78" s="287" t="s">
        <v>139</v>
      </c>
      <c r="B78" s="69" t="e">
        <f>VLOOKUP(A78,URS確認!$E:$F,2,FALSE)</f>
        <v>#N/A</v>
      </c>
      <c r="C78" s="287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7" t="s">
        <v>1465</v>
      </c>
      <c r="P78" s="71"/>
    </row>
    <row r="79" spans="1:16" x14ac:dyDescent="0.3">
      <c r="A79" s="287" t="s">
        <v>143</v>
      </c>
      <c r="B79" s="69" t="str">
        <f>VLOOKUP(A79,URS確認!$E:$F,2,FALSE)</f>
        <v>申請不列印書面通知書查詢</v>
      </c>
      <c r="C79" s="287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張金龍</v>
      </c>
      <c r="M79" s="287" t="s">
        <v>1488</v>
      </c>
      <c r="P79" s="71"/>
    </row>
    <row r="80" spans="1:16" x14ac:dyDescent="0.3">
      <c r="A80" s="287" t="s">
        <v>143</v>
      </c>
      <c r="B80" s="69" t="str">
        <f>VLOOKUP(A80,URS確認!$E:$F,2,FALSE)</f>
        <v>申請不列印書面通知書查詢</v>
      </c>
      <c r="C80" s="287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張金龍</v>
      </c>
      <c r="L80" s="287" t="s">
        <v>1465</v>
      </c>
      <c r="P80" s="71"/>
    </row>
    <row r="81" spans="1:16" ht="33" customHeight="1" x14ac:dyDescent="0.3">
      <c r="A81" s="287" t="s">
        <v>148</v>
      </c>
      <c r="B81" s="69" t="str">
        <f>VLOOKUP(A81,URS確認!$E:$F,2,FALSE)</f>
        <v>申請不列印書面通知書維護</v>
      </c>
      <c r="C81" s="287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張金龍</v>
      </c>
      <c r="J81" s="287" t="s">
        <v>1465</v>
      </c>
      <c r="P81" s="71"/>
    </row>
    <row r="82" spans="1:16" ht="99" customHeight="1" x14ac:dyDescent="0.3">
      <c r="A82" s="287" t="s">
        <v>148</v>
      </c>
      <c r="B82" s="69" t="str">
        <f>VLOOKUP(A82,URS確認!$E:$F,2,FALSE)</f>
        <v>申請不列印書面通知書維護</v>
      </c>
      <c r="C82" s="287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張金龍</v>
      </c>
      <c r="J82" s="287" t="s">
        <v>1465</v>
      </c>
      <c r="P82" s="71"/>
    </row>
    <row r="83" spans="1:16" ht="132" customHeight="1" x14ac:dyDescent="0.3">
      <c r="A83" s="287" t="s">
        <v>114</v>
      </c>
      <c r="B83" s="69" t="str">
        <f>VLOOKUP(A83,URS確認!$E:$F,2,FALSE)</f>
        <v>顧客基本資料維護-自然人</v>
      </c>
      <c r="C83" s="287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7" t="s">
        <v>1465</v>
      </c>
      <c r="P83" s="71"/>
    </row>
    <row r="84" spans="1:16" x14ac:dyDescent="0.3">
      <c r="A84" s="287" t="s">
        <v>114</v>
      </c>
      <c r="B84" s="69" t="str">
        <f>VLOOKUP(A84,URS確認!$E:$F,2,FALSE)</f>
        <v>顧客基本資料維護-自然人</v>
      </c>
      <c r="C84" s="287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7" t="s">
        <v>1465</v>
      </c>
      <c r="P84" s="71"/>
    </row>
    <row r="85" spans="1:16" x14ac:dyDescent="0.3">
      <c r="A85" s="287" t="s">
        <v>114</v>
      </c>
      <c r="B85" s="69" t="str">
        <f>VLOOKUP(A85,URS確認!$E:$F,2,FALSE)</f>
        <v>顧客基本資料維護-自然人</v>
      </c>
      <c r="C85" s="287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7" t="s">
        <v>1465</v>
      </c>
      <c r="P85" s="71"/>
    </row>
    <row r="86" spans="1:16" ht="66" customHeight="1" x14ac:dyDescent="0.3">
      <c r="A86" s="287" t="s">
        <v>114</v>
      </c>
      <c r="B86" s="69" t="str">
        <f>VLOOKUP(A86,URS確認!$E:$F,2,FALSE)</f>
        <v>顧客基本資料維護-自然人</v>
      </c>
      <c r="C86" s="287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7" t="s">
        <v>1481</v>
      </c>
      <c r="P86" s="71"/>
    </row>
    <row r="87" spans="1:16" x14ac:dyDescent="0.3">
      <c r="A87" s="287" t="s">
        <v>118</v>
      </c>
      <c r="B87" s="69" t="str">
        <f>VLOOKUP(A87,URS確認!$E:$F,2,FALSE)</f>
        <v>顧客基本資料維護-法人</v>
      </c>
      <c r="C87" s="287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7" t="s">
        <v>1465</v>
      </c>
      <c r="L87" s="287" t="s">
        <v>1465</v>
      </c>
      <c r="P87" s="71"/>
    </row>
    <row r="88" spans="1:16" x14ac:dyDescent="0.3">
      <c r="A88" s="287" t="s">
        <v>118</v>
      </c>
      <c r="B88" s="69" t="str">
        <f>VLOOKUP(A88,URS確認!$E:$F,2,FALSE)</f>
        <v>顧客基本資料維護-法人</v>
      </c>
      <c r="C88" s="287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7" t="s">
        <v>1465</v>
      </c>
      <c r="L88" s="287" t="s">
        <v>1465</v>
      </c>
      <c r="P88" s="71"/>
    </row>
    <row r="89" spans="1:16" x14ac:dyDescent="0.3">
      <c r="A89" s="287" t="s">
        <v>118</v>
      </c>
      <c r="B89" s="69" t="str">
        <f>VLOOKUP(A89,URS確認!$E:$F,2,FALSE)</f>
        <v>顧客基本資料維護-法人</v>
      </c>
      <c r="C89" s="287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7" t="s">
        <v>1465</v>
      </c>
      <c r="L89" s="287" t="s">
        <v>1465</v>
      </c>
      <c r="P89" s="71"/>
    </row>
    <row r="90" spans="1:16" x14ac:dyDescent="0.3">
      <c r="A90" s="287" t="s">
        <v>118</v>
      </c>
      <c r="B90" s="69" t="str">
        <f>VLOOKUP(A90,URS確認!$E:$F,2,FALSE)</f>
        <v>顧客基本資料維護-法人</v>
      </c>
      <c r="C90" s="287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7" t="s">
        <v>1465</v>
      </c>
      <c r="L90" s="287" t="s">
        <v>1465</v>
      </c>
      <c r="P90" s="71"/>
    </row>
    <row r="91" spans="1:16" x14ac:dyDescent="0.3">
      <c r="A91" s="287" t="s">
        <v>118</v>
      </c>
      <c r="B91" s="69" t="str">
        <f>VLOOKUP(A91,URS確認!$E:$F,2,FALSE)</f>
        <v>顧客基本資料維護-法人</v>
      </c>
      <c r="C91" s="287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7" t="s">
        <v>1465</v>
      </c>
      <c r="L91" s="287" t="s">
        <v>1465</v>
      </c>
      <c r="P91" s="71"/>
    </row>
    <row r="92" spans="1:16" x14ac:dyDescent="0.3">
      <c r="A92" s="287" t="s">
        <v>118</v>
      </c>
      <c r="B92" s="69" t="str">
        <f>VLOOKUP(A92,URS確認!$E:$F,2,FALSE)</f>
        <v>顧客基本資料維護-法人</v>
      </c>
      <c r="C92" s="287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7" t="s">
        <v>1465</v>
      </c>
      <c r="L92" s="287" t="s">
        <v>1465</v>
      </c>
      <c r="P92" s="71"/>
    </row>
    <row r="93" spans="1:16" ht="66" customHeight="1" x14ac:dyDescent="0.3">
      <c r="A93" s="287" t="s">
        <v>118</v>
      </c>
      <c r="B93" s="69" t="str">
        <f>VLOOKUP(A93,URS確認!$E:$F,2,FALSE)</f>
        <v>顧客基本資料維護-法人</v>
      </c>
      <c r="C93" s="287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7" t="s">
        <v>1465</v>
      </c>
      <c r="P93" s="71"/>
    </row>
    <row r="94" spans="1:16" ht="82.5" customHeight="1" x14ac:dyDescent="0.3">
      <c r="A94" s="287" t="s">
        <v>118</v>
      </c>
      <c r="B94" s="69" t="str">
        <f>VLOOKUP(A94,URS確認!$E:$F,2,FALSE)</f>
        <v>顧客基本資料維護-法人</v>
      </c>
      <c r="C94" s="287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7" t="s">
        <v>1465</v>
      </c>
      <c r="P94" s="71"/>
    </row>
    <row r="95" spans="1:16" ht="33" customHeight="1" x14ac:dyDescent="0.3">
      <c r="A95" s="287" t="s">
        <v>118</v>
      </c>
      <c r="B95" s="69" t="str">
        <f>VLOOKUP(A95,URS確認!$E:$F,2,FALSE)</f>
        <v>顧客基本資料維護-法人</v>
      </c>
      <c r="C95" s="287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7" t="s">
        <v>1472</v>
      </c>
      <c r="P95" s="71"/>
    </row>
    <row r="96" spans="1:16" x14ac:dyDescent="0.3">
      <c r="A96" s="287" t="s">
        <v>118</v>
      </c>
      <c r="B96" s="69" t="str">
        <f>VLOOKUP(A96,URS確認!$E:$F,2,FALSE)</f>
        <v>顧客基本資料維護-法人</v>
      </c>
      <c r="C96" s="287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7" t="s">
        <v>1481</v>
      </c>
      <c r="P96" s="71"/>
    </row>
    <row r="97" spans="1:16" ht="33" customHeight="1" x14ac:dyDescent="0.3">
      <c r="A97" s="287" t="s">
        <v>118</v>
      </c>
      <c r="B97" s="69" t="str">
        <f>VLOOKUP(A97,URS確認!$E:$F,2,FALSE)</f>
        <v>顧客基本資料維護-法人</v>
      </c>
      <c r="C97" s="287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7" t="s">
        <v>1481</v>
      </c>
      <c r="P97" s="71"/>
    </row>
    <row r="98" spans="1:16" x14ac:dyDescent="0.3">
      <c r="A98" s="287" t="s">
        <v>125</v>
      </c>
      <c r="B98" s="69" t="str">
        <f>VLOOKUP(A98,URS確認!$E:$F,2,FALSE)</f>
        <v>顧客基本資料修改-自然人</v>
      </c>
      <c r="C98" s="287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7" t="s">
        <v>1465</v>
      </c>
      <c r="P98" s="71"/>
    </row>
    <row r="99" spans="1:16" ht="66" customHeight="1" x14ac:dyDescent="0.3">
      <c r="A99" s="287" t="s">
        <v>125</v>
      </c>
      <c r="B99" s="69" t="str">
        <f>VLOOKUP(A99,URS確認!$E:$F,2,FALSE)</f>
        <v>顧客基本資料修改-自然人</v>
      </c>
      <c r="C99" s="287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7" t="s">
        <v>1465</v>
      </c>
      <c r="P99" s="71"/>
    </row>
    <row r="100" spans="1:16" x14ac:dyDescent="0.3">
      <c r="A100" s="287" t="s">
        <v>125</v>
      </c>
      <c r="B100" s="69" t="str">
        <f>VLOOKUP(A100,URS確認!$E:$F,2,FALSE)</f>
        <v>顧客基本資料修改-自然人</v>
      </c>
      <c r="C100" s="287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7" t="s">
        <v>1465</v>
      </c>
      <c r="P100" s="71"/>
    </row>
    <row r="101" spans="1:16" x14ac:dyDescent="0.3">
      <c r="A101" s="287" t="s">
        <v>125</v>
      </c>
      <c r="B101" s="69" t="str">
        <f>VLOOKUP(A101,URS確認!$E:$F,2,FALSE)</f>
        <v>顧客基本資料修改-自然人</v>
      </c>
      <c r="C101" s="287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7" t="s">
        <v>1481</v>
      </c>
      <c r="P101" s="71"/>
    </row>
    <row r="102" spans="1:16" ht="66" customHeight="1" x14ac:dyDescent="0.3">
      <c r="A102" s="287" t="s">
        <v>125</v>
      </c>
      <c r="B102" s="69" t="str">
        <f>VLOOKUP(A102,URS確認!$E:$F,2,FALSE)</f>
        <v>顧客基本資料修改-自然人</v>
      </c>
      <c r="C102" s="287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7" t="s">
        <v>1465</v>
      </c>
      <c r="P102" s="71"/>
    </row>
    <row r="103" spans="1:16" x14ac:dyDescent="0.3">
      <c r="A103" s="287" t="s">
        <v>125</v>
      </c>
      <c r="B103" s="69" t="str">
        <f>VLOOKUP(A103,URS確認!$E:$F,2,FALSE)</f>
        <v>顧客基本資料修改-自然人</v>
      </c>
      <c r="C103" s="287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7" t="s">
        <v>1465</v>
      </c>
      <c r="P103" s="71"/>
    </row>
    <row r="104" spans="1:16" ht="33" customHeight="1" x14ac:dyDescent="0.3">
      <c r="A104" s="287" t="s">
        <v>125</v>
      </c>
      <c r="B104" s="69" t="str">
        <f>VLOOKUP(A104,URS確認!$E:$F,2,FALSE)</f>
        <v>顧客基本資料修改-自然人</v>
      </c>
      <c r="C104" s="287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7" t="s">
        <v>1465</v>
      </c>
      <c r="P104" s="71"/>
    </row>
    <row r="105" spans="1:16" ht="33" customHeight="1" x14ac:dyDescent="0.3">
      <c r="A105" s="287" t="s">
        <v>1390</v>
      </c>
      <c r="B105" s="69" t="e">
        <f>VLOOKUP(A105,URS確認!$E:$F,2,FALSE)</f>
        <v>#N/A</v>
      </c>
      <c r="C105" s="287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7" t="s">
        <v>1465</v>
      </c>
      <c r="P105" s="71"/>
    </row>
    <row r="106" spans="1:16" ht="33" customHeight="1" x14ac:dyDescent="0.3">
      <c r="A106" s="287" t="s">
        <v>1390</v>
      </c>
      <c r="B106" s="69" t="e">
        <f>VLOOKUP(A106,URS確認!$E:$F,2,FALSE)</f>
        <v>#N/A</v>
      </c>
      <c r="C106" s="287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7" t="s">
        <v>1465</v>
      </c>
      <c r="P106" s="71"/>
    </row>
    <row r="107" spans="1:16" ht="33" customHeight="1" x14ac:dyDescent="0.3">
      <c r="A107" s="287" t="s">
        <v>1390</v>
      </c>
      <c r="B107" s="69" t="e">
        <f>VLOOKUP(A107,URS確認!$E:$F,2,FALSE)</f>
        <v>#N/A</v>
      </c>
      <c r="C107" s="287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7" t="s">
        <v>1465</v>
      </c>
      <c r="P107" s="71"/>
    </row>
    <row r="108" spans="1:16" x14ac:dyDescent="0.3">
      <c r="A108" s="287" t="s">
        <v>1569</v>
      </c>
      <c r="B108" s="69" t="s">
        <v>1570</v>
      </c>
      <c r="C108" s="287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7" t="s">
        <v>1465</v>
      </c>
      <c r="P108" s="71"/>
    </row>
    <row r="109" spans="1:16" x14ac:dyDescent="0.3">
      <c r="A109" s="287" t="s">
        <v>1569</v>
      </c>
      <c r="B109" s="69" t="s">
        <v>1570</v>
      </c>
      <c r="C109" s="287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7" t="s">
        <v>1465</v>
      </c>
      <c r="P109" s="71"/>
    </row>
    <row r="110" spans="1:16" x14ac:dyDescent="0.3">
      <c r="A110" s="287" t="s">
        <v>1569</v>
      </c>
      <c r="B110" s="69" t="s">
        <v>1570</v>
      </c>
      <c r="C110" s="287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7" t="s">
        <v>1465</v>
      </c>
      <c r="P110" s="71"/>
    </row>
    <row r="111" spans="1:16" x14ac:dyDescent="0.3">
      <c r="A111" s="287" t="s">
        <v>1569</v>
      </c>
      <c r="B111" s="69" t="s">
        <v>1570</v>
      </c>
      <c r="C111" s="287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7" t="s">
        <v>1465</v>
      </c>
      <c r="P111" s="71"/>
    </row>
    <row r="112" spans="1:16" ht="33" customHeight="1" x14ac:dyDescent="0.3">
      <c r="A112" s="287" t="s">
        <v>1569</v>
      </c>
      <c r="B112" s="69" t="s">
        <v>1570</v>
      </c>
      <c r="C112" s="287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7" t="s">
        <v>818</v>
      </c>
      <c r="B113" s="69" t="str">
        <f>VLOOKUP(A113,URS確認!$E:$F,2,FALSE)</f>
        <v>指標利率種類維護</v>
      </c>
      <c r="C113" s="287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7" t="s">
        <v>1481</v>
      </c>
      <c r="P113" s="71" t="s">
        <v>1577</v>
      </c>
    </row>
    <row r="114" spans="1:16" x14ac:dyDescent="0.3">
      <c r="A114" s="287" t="s">
        <v>820</v>
      </c>
      <c r="B114" s="69" t="str">
        <f>VLOOKUP(A114,URS確認!$E:$F,2,FALSE)</f>
        <v>指標利率登錄/維護</v>
      </c>
      <c r="C114" s="287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7" t="s">
        <v>1465</v>
      </c>
      <c r="P114" s="71"/>
    </row>
    <row r="115" spans="1:16" x14ac:dyDescent="0.3">
      <c r="A115" s="287" t="s">
        <v>172</v>
      </c>
      <c r="B115" s="69" t="str">
        <f>VLOOKUP(A115,URS確認!$E:$F,2,FALSE)</f>
        <v>商品參數維護</v>
      </c>
      <c r="C115" s="287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7" t="s">
        <v>1465</v>
      </c>
      <c r="P115" s="71"/>
    </row>
    <row r="116" spans="1:16" x14ac:dyDescent="0.3">
      <c r="A116" s="287" t="s">
        <v>172</v>
      </c>
      <c r="B116" s="69" t="str">
        <f>VLOOKUP(A116,URS確認!$E:$F,2,FALSE)</f>
        <v>商品參數維護</v>
      </c>
      <c r="C116" s="287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7" t="s">
        <v>1465</v>
      </c>
      <c r="P116" s="71"/>
    </row>
    <row r="117" spans="1:16" x14ac:dyDescent="0.3">
      <c r="A117" s="287" t="s">
        <v>172</v>
      </c>
      <c r="B117" s="69" t="str">
        <f>VLOOKUP(A117,URS確認!$E:$F,2,FALSE)</f>
        <v>商品參數維護</v>
      </c>
      <c r="C117" s="287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7" t="s">
        <v>1481</v>
      </c>
      <c r="P117" s="71" t="s">
        <v>1473</v>
      </c>
    </row>
    <row r="118" spans="1:16" x14ac:dyDescent="0.3">
      <c r="A118" s="287" t="s">
        <v>172</v>
      </c>
      <c r="B118" s="69" t="str">
        <f>VLOOKUP(A118,URS確認!$E:$F,2,FALSE)</f>
        <v>商品參數維護</v>
      </c>
      <c r="C118" s="287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7" t="s">
        <v>1481</v>
      </c>
      <c r="P118" s="71" t="s">
        <v>1473</v>
      </c>
    </row>
    <row r="119" spans="1:16" x14ac:dyDescent="0.3">
      <c r="A119" s="287" t="s">
        <v>172</v>
      </c>
      <c r="B119" s="69" t="str">
        <f>VLOOKUP(A119,URS確認!$E:$F,2,FALSE)</f>
        <v>商品參數維護</v>
      </c>
      <c r="C119" s="287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7" t="s">
        <v>1481</v>
      </c>
      <c r="P119" s="71" t="s">
        <v>1584</v>
      </c>
    </row>
    <row r="120" spans="1:16" x14ac:dyDescent="0.3">
      <c r="A120" s="287" t="s">
        <v>174</v>
      </c>
      <c r="B120" s="69" t="str">
        <f>VLOOKUP(A120,URS確認!$E:$F,2,FALSE)</f>
        <v xml:space="preserve">申請案件明細資料查詢                    </v>
      </c>
      <c r="C120" s="287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7" t="s">
        <v>1465</v>
      </c>
      <c r="P120" s="71"/>
    </row>
    <row r="121" spans="1:16" ht="33" customHeight="1" x14ac:dyDescent="0.3">
      <c r="A121" s="287" t="s">
        <v>174</v>
      </c>
      <c r="B121" s="69" t="str">
        <f>VLOOKUP(A121,URS確認!$E:$F,2,FALSE)</f>
        <v xml:space="preserve">申請案件明細資料查詢                    </v>
      </c>
      <c r="C121" s="287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7" t="s">
        <v>1465</v>
      </c>
      <c r="P121" s="71"/>
    </row>
    <row r="122" spans="1:16" x14ac:dyDescent="0.3">
      <c r="A122" s="287" t="s">
        <v>178</v>
      </c>
      <c r="B122" s="69" t="str">
        <f>VLOOKUP(A122,URS確認!$E:$F,2,FALSE)</f>
        <v>案件申請登錄</v>
      </c>
      <c r="C122" s="287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7" t="s">
        <v>1481</v>
      </c>
      <c r="P122" s="71"/>
    </row>
    <row r="123" spans="1:16" x14ac:dyDescent="0.3">
      <c r="A123" s="287" t="s">
        <v>178</v>
      </c>
      <c r="B123" s="69" t="str">
        <f>VLOOKUP(A123,URS確認!$E:$F,2,FALSE)</f>
        <v>案件申請登錄</v>
      </c>
      <c r="C123" s="287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7" t="s">
        <v>1465</v>
      </c>
      <c r="P123" s="71"/>
    </row>
    <row r="124" spans="1:16" ht="33" customHeight="1" x14ac:dyDescent="0.3">
      <c r="A124" s="287" t="s">
        <v>180</v>
      </c>
      <c r="B124" s="69" t="str">
        <f>VLOOKUP(A124,URS確認!$E:$F,2,FALSE)</f>
        <v>核准額度登錄</v>
      </c>
      <c r="C124" s="287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7" t="s">
        <v>1481</v>
      </c>
      <c r="P124" s="71" t="s">
        <v>1473</v>
      </c>
    </row>
    <row r="125" spans="1:16" ht="33" customHeight="1" x14ac:dyDescent="0.3">
      <c r="A125" s="287" t="s">
        <v>180</v>
      </c>
      <c r="B125" s="69" t="str">
        <f>VLOOKUP(A125,URS確認!$E:$F,2,FALSE)</f>
        <v>核准額度登錄</v>
      </c>
      <c r="C125" s="287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7" t="s">
        <v>1481</v>
      </c>
      <c r="P125" s="71" t="s">
        <v>1473</v>
      </c>
    </row>
    <row r="126" spans="1:16" x14ac:dyDescent="0.3">
      <c r="A126" s="287" t="s">
        <v>178</v>
      </c>
      <c r="B126" s="69" t="str">
        <f>VLOOKUP(A126,URS確認!$E:$F,2,FALSE)</f>
        <v>案件申請登錄</v>
      </c>
      <c r="C126" s="287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7" t="s">
        <v>1481</v>
      </c>
      <c r="P126" s="71" t="s">
        <v>1473</v>
      </c>
    </row>
    <row r="127" spans="1:16" x14ac:dyDescent="0.3">
      <c r="A127" s="287" t="s">
        <v>178</v>
      </c>
      <c r="B127" s="69" t="str">
        <f>VLOOKUP(A127,URS確認!$E:$F,2,FALSE)</f>
        <v>案件申請登錄</v>
      </c>
      <c r="C127" s="287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7" t="s">
        <v>178</v>
      </c>
      <c r="B128" s="69" t="str">
        <f>VLOOKUP(A128,URS確認!$E:$F,2,FALSE)</f>
        <v>案件申請登錄</v>
      </c>
      <c r="C128" s="287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7" t="s">
        <v>178</v>
      </c>
      <c r="B129" s="69" t="str">
        <f>VLOOKUP(A129,URS確認!$E:$F,2,FALSE)</f>
        <v>案件申請登錄</v>
      </c>
      <c r="C129" s="287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7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7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7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7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7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7" t="s">
        <v>1465</v>
      </c>
      <c r="P132" s="71"/>
    </row>
    <row r="133" spans="1:16" x14ac:dyDescent="0.3">
      <c r="A133" s="287" t="s">
        <v>180</v>
      </c>
      <c r="B133" s="69" t="str">
        <f>VLOOKUP(A133,URS確認!$E:$F,2,FALSE)</f>
        <v>核准額度登錄</v>
      </c>
      <c r="C133" s="287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7" t="s">
        <v>1465</v>
      </c>
      <c r="P133" s="71"/>
    </row>
    <row r="134" spans="1:16" ht="33" customHeight="1" x14ac:dyDescent="0.3">
      <c r="A134" s="287" t="s">
        <v>180</v>
      </c>
      <c r="B134" s="69" t="str">
        <f>VLOOKUP(A134,URS確認!$E:$F,2,FALSE)</f>
        <v>核准額度登錄</v>
      </c>
      <c r="C134" s="287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7" t="s">
        <v>1465</v>
      </c>
      <c r="P134" s="70"/>
    </row>
    <row r="135" spans="1:16" x14ac:dyDescent="0.3">
      <c r="A135" s="287" t="s">
        <v>180</v>
      </c>
      <c r="B135" s="69" t="str">
        <f>VLOOKUP(A135,URS確認!$E:$F,2,FALSE)</f>
        <v>核准額度登錄</v>
      </c>
      <c r="C135" s="287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7" t="s">
        <v>1481</v>
      </c>
      <c r="P135" s="71" t="s">
        <v>1473</v>
      </c>
    </row>
    <row r="136" spans="1:16" ht="34" customHeight="1" x14ac:dyDescent="0.3">
      <c r="A136" s="287" t="s">
        <v>180</v>
      </c>
      <c r="B136" s="69" t="str">
        <f>VLOOKUP(A136,URS確認!$E:$F,2,FALSE)</f>
        <v>核准額度登錄</v>
      </c>
      <c r="C136" s="287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7" t="s">
        <v>1465</v>
      </c>
      <c r="P136" s="71" t="s">
        <v>1584</v>
      </c>
    </row>
    <row r="137" spans="1:16" x14ac:dyDescent="0.3">
      <c r="A137" s="287" t="s">
        <v>180</v>
      </c>
      <c r="B137" s="69" t="str">
        <f>VLOOKUP(A137,URS確認!$E:$F,2,FALSE)</f>
        <v>核准額度登錄</v>
      </c>
      <c r="C137" s="287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7" t="s">
        <v>1465</v>
      </c>
      <c r="P137" s="70"/>
    </row>
    <row r="138" spans="1:16" x14ac:dyDescent="0.3">
      <c r="A138" s="287" t="s">
        <v>180</v>
      </c>
      <c r="B138" s="69" t="str">
        <f>VLOOKUP(A138,URS確認!$E:$F,2,FALSE)</f>
        <v>核准額度登錄</v>
      </c>
      <c r="C138" s="287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7" t="s">
        <v>1465</v>
      </c>
      <c r="P138" s="70"/>
    </row>
    <row r="139" spans="1:16" x14ac:dyDescent="0.3">
      <c r="A139" s="287" t="s">
        <v>180</v>
      </c>
      <c r="B139" s="69" t="str">
        <f>VLOOKUP(A139,URS確認!$E:$F,2,FALSE)</f>
        <v>核准額度登錄</v>
      </c>
      <c r="C139" s="287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7" t="s">
        <v>1481</v>
      </c>
      <c r="P139" s="71"/>
    </row>
    <row r="140" spans="1:16" x14ac:dyDescent="0.3">
      <c r="A140" s="287" t="s">
        <v>180</v>
      </c>
      <c r="B140" s="69" t="str">
        <f>VLOOKUP(A140,URS確認!$E:$F,2,FALSE)</f>
        <v>核准額度登錄</v>
      </c>
      <c r="C140" s="287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7" t="s">
        <v>180</v>
      </c>
      <c r="B141" s="69" t="str">
        <f>VLOOKUP(A141,URS確認!$E:$F,2,FALSE)</f>
        <v>核准額度登錄</v>
      </c>
      <c r="C141" s="287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7" t="s">
        <v>188</v>
      </c>
      <c r="B142" s="69" t="str">
        <f>VLOOKUP(A142,URS確認!$E:$F,2,FALSE)</f>
        <v xml:space="preserve">額度明細資料查詢                        </v>
      </c>
      <c r="C142" s="287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7" t="s">
        <v>1465</v>
      </c>
      <c r="P142" s="71"/>
    </row>
    <row r="143" spans="1:16" ht="66" customHeight="1" x14ac:dyDescent="0.3">
      <c r="A143" s="287" t="s">
        <v>191</v>
      </c>
      <c r="B143" s="69" t="str">
        <f>VLOOKUP(A143,URS確認!$E:$F,2,FALSE)</f>
        <v xml:space="preserve">額度資料維護                            </v>
      </c>
      <c r="C143" s="287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7" t="s">
        <v>1481</v>
      </c>
      <c r="P143" s="71" t="s">
        <v>1577</v>
      </c>
    </row>
    <row r="144" spans="1:16" x14ac:dyDescent="0.3">
      <c r="A144" s="287" t="s">
        <v>191</v>
      </c>
      <c r="B144" s="69" t="str">
        <f>VLOOKUP(A144,URS確認!$E:$F,2,FALSE)</f>
        <v xml:space="preserve">額度資料維護                            </v>
      </c>
      <c r="C144" s="287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7" t="s">
        <v>1465</v>
      </c>
      <c r="P144" s="70"/>
    </row>
    <row r="145" spans="1:16" x14ac:dyDescent="0.3">
      <c r="A145" s="287" t="s">
        <v>191</v>
      </c>
      <c r="B145" s="69" t="str">
        <f>VLOOKUP(A145,URS確認!$E:$F,2,FALSE)</f>
        <v xml:space="preserve">額度資料維護                            </v>
      </c>
      <c r="C145" s="287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7" t="s">
        <v>1465</v>
      </c>
      <c r="P145" s="71"/>
    </row>
    <row r="146" spans="1:16" x14ac:dyDescent="0.3">
      <c r="A146" s="287" t="s">
        <v>191</v>
      </c>
      <c r="B146" s="69" t="str">
        <f>VLOOKUP(A146,URS確認!$E:$F,2,FALSE)</f>
        <v xml:space="preserve">額度資料維護                            </v>
      </c>
      <c r="C146" s="287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7" t="s">
        <v>1465</v>
      </c>
      <c r="P146" s="70"/>
    </row>
    <row r="147" spans="1:16" x14ac:dyDescent="0.3">
      <c r="A147" s="287" t="s">
        <v>191</v>
      </c>
      <c r="B147" s="69" t="str">
        <f>VLOOKUP(A147,URS確認!$E:$F,2,FALSE)</f>
        <v xml:space="preserve">額度資料維護                            </v>
      </c>
      <c r="C147" s="287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7" t="s">
        <v>1465</v>
      </c>
      <c r="P147" s="71"/>
    </row>
    <row r="148" spans="1:16" x14ac:dyDescent="0.3">
      <c r="A148" s="287" t="s">
        <v>191</v>
      </c>
      <c r="B148" s="69" t="str">
        <f>VLOOKUP(A148,URS確認!$E:$F,2,FALSE)</f>
        <v xml:space="preserve">額度資料維護                            </v>
      </c>
      <c r="C148" s="287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7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7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7" t="s">
        <v>1465</v>
      </c>
      <c r="P150" s="70"/>
    </row>
    <row r="151" spans="1:16" ht="99" customHeight="1" x14ac:dyDescent="0.3">
      <c r="A151" s="287" t="s">
        <v>298</v>
      </c>
      <c r="B151" s="69" t="str">
        <f>VLOOKUP(A151,URS確認!$E:$F,2,FALSE)</f>
        <v xml:space="preserve">撥款                     </v>
      </c>
      <c r="C151" s="287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7" t="s">
        <v>1465</v>
      </c>
      <c r="P151" s="71" t="s">
        <v>1501</v>
      </c>
    </row>
    <row r="152" spans="1:16" x14ac:dyDescent="0.3">
      <c r="A152" s="287" t="s">
        <v>1379</v>
      </c>
      <c r="B152" s="69" t="s">
        <v>1380</v>
      </c>
      <c r="C152" s="287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7" t="s">
        <v>1465</v>
      </c>
      <c r="P152" s="71"/>
    </row>
    <row r="153" spans="1:16" ht="34" customHeight="1" x14ac:dyDescent="0.3">
      <c r="A153" s="287" t="s">
        <v>209</v>
      </c>
      <c r="B153" s="69" t="str">
        <f>VLOOKUP(A153,URS確認!$E:$F,2,FALSE)</f>
        <v>未齊件代碼維護</v>
      </c>
      <c r="C153" s="287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7" t="s">
        <v>1465</v>
      </c>
      <c r="P153" s="71"/>
    </row>
    <row r="154" spans="1:16" x14ac:dyDescent="0.3">
      <c r="A154" s="287" t="s">
        <v>209</v>
      </c>
      <c r="B154" s="69" t="str">
        <f>VLOOKUP(A154,URS確認!$E:$F,2,FALSE)</f>
        <v>未齊件代碼維護</v>
      </c>
      <c r="C154" s="287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7" t="s">
        <v>1465</v>
      </c>
      <c r="P154" s="71"/>
    </row>
    <row r="155" spans="1:16" ht="66" customHeight="1" x14ac:dyDescent="0.3">
      <c r="A155" s="287" t="s">
        <v>209</v>
      </c>
      <c r="B155" s="69" t="str">
        <f>VLOOKUP(A155,URS確認!$E:$F,2,FALSE)</f>
        <v>未齊件代碼維護</v>
      </c>
      <c r="C155" s="287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7" t="s">
        <v>1481</v>
      </c>
      <c r="P155" s="71"/>
    </row>
    <row r="156" spans="1:16" ht="49.5" customHeight="1" x14ac:dyDescent="0.3">
      <c r="A156" s="287" t="s">
        <v>211</v>
      </c>
      <c r="B156" s="69" t="str">
        <f>VLOOKUP(A156,URS確認!$E:$F,2,FALSE)</f>
        <v xml:space="preserve">未齊件資料查詢                          </v>
      </c>
      <c r="C156" s="287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7" t="s">
        <v>1465</v>
      </c>
      <c r="P156" s="71"/>
    </row>
    <row r="157" spans="1:16" ht="82.5" customHeight="1" x14ac:dyDescent="0.3">
      <c r="A157" s="287" t="s">
        <v>211</v>
      </c>
      <c r="B157" s="69" t="str">
        <f>VLOOKUP(A157,URS確認!$E:$F,2,FALSE)</f>
        <v xml:space="preserve">未齊件資料查詢                          </v>
      </c>
      <c r="C157" s="287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7" t="s">
        <v>1465</v>
      </c>
      <c r="P157" s="71"/>
    </row>
    <row r="158" spans="1:16" x14ac:dyDescent="0.3">
      <c r="A158" s="287" t="s">
        <v>214</v>
      </c>
      <c r="B158" s="69" t="str">
        <f>VLOOKUP(A158,URS確認!$E:$F,2,FALSE)</f>
        <v xml:space="preserve">未齊案件管理             </v>
      </c>
      <c r="C158" s="287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7" t="s">
        <v>1465</v>
      </c>
      <c r="P158" s="71"/>
    </row>
    <row r="159" spans="1:16" x14ac:dyDescent="0.3">
      <c r="A159" s="287" t="s">
        <v>214</v>
      </c>
      <c r="B159" s="69" t="str">
        <f>VLOOKUP(A159,URS確認!$E:$F,2,FALSE)</f>
        <v xml:space="preserve">未齊案件管理             </v>
      </c>
      <c r="C159" s="287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7" t="s">
        <v>1465</v>
      </c>
      <c r="P159" s="71"/>
    </row>
    <row r="160" spans="1:16" x14ac:dyDescent="0.3">
      <c r="A160" s="287" t="s">
        <v>214</v>
      </c>
      <c r="B160" s="69" t="str">
        <f>VLOOKUP(A160,URS確認!$E:$F,2,FALSE)</f>
        <v xml:space="preserve">未齊案件管理             </v>
      </c>
      <c r="C160" s="287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7" t="s">
        <v>1465</v>
      </c>
      <c r="P160" s="71"/>
    </row>
    <row r="161" spans="1:16" ht="49.5" customHeight="1" x14ac:dyDescent="0.3">
      <c r="A161" s="287" t="s">
        <v>214</v>
      </c>
      <c r="B161" s="69" t="str">
        <f>VLOOKUP(A161,URS確認!$E:$F,2,FALSE)</f>
        <v xml:space="preserve">未齊案件管理             </v>
      </c>
      <c r="C161" s="287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7" t="s">
        <v>1481</v>
      </c>
      <c r="P161" s="71" t="s">
        <v>1577</v>
      </c>
    </row>
    <row r="162" spans="1:16" x14ac:dyDescent="0.3">
      <c r="A162" s="287" t="s">
        <v>197</v>
      </c>
      <c r="B162" s="69" t="str">
        <f>VLOOKUP(A162,URS確認!$E:$F,2,FALSE)</f>
        <v xml:space="preserve">保證人明細資料查詢                      </v>
      </c>
      <c r="C162" s="287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7" t="s">
        <v>1465</v>
      </c>
      <c r="P162" s="71"/>
    </row>
    <row r="163" spans="1:16" x14ac:dyDescent="0.3">
      <c r="A163" s="287" t="s">
        <v>197</v>
      </c>
      <c r="B163" s="69" t="str">
        <f>VLOOKUP(A163,URS確認!$E:$F,2,FALSE)</f>
        <v xml:space="preserve">保證人明細資料查詢                      </v>
      </c>
      <c r="C163" s="287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7" t="s">
        <v>1465</v>
      </c>
      <c r="P163" s="71"/>
    </row>
    <row r="164" spans="1:16" x14ac:dyDescent="0.3">
      <c r="A164" s="287" t="s">
        <v>197</v>
      </c>
      <c r="B164" s="69" t="str">
        <f>VLOOKUP(A164,URS確認!$E:$F,2,FALSE)</f>
        <v xml:space="preserve">保證人明細資料查詢                      </v>
      </c>
      <c r="C164" s="287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7" t="s">
        <v>1465</v>
      </c>
      <c r="P164" s="71" t="s">
        <v>1473</v>
      </c>
    </row>
    <row r="165" spans="1:16" x14ac:dyDescent="0.3">
      <c r="A165" s="287" t="s">
        <v>201</v>
      </c>
      <c r="B165" s="69" t="str">
        <f>VLOOKUP(A165,URS確認!$E:$F,2,FALSE)</f>
        <v>保證人資料登錄</v>
      </c>
      <c r="C165" s="287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7" t="s">
        <v>1465</v>
      </c>
      <c r="P165" s="71"/>
    </row>
    <row r="166" spans="1:16" x14ac:dyDescent="0.3">
      <c r="A166" s="287" t="s">
        <v>201</v>
      </c>
      <c r="B166" s="69" t="str">
        <f>VLOOKUP(A166,URS確認!$E:$F,2,FALSE)</f>
        <v>保證人資料登錄</v>
      </c>
      <c r="C166" s="287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7" t="s">
        <v>1465</v>
      </c>
      <c r="P166" s="71"/>
    </row>
    <row r="167" spans="1:16" ht="33" customHeight="1" x14ac:dyDescent="0.3">
      <c r="A167" s="287" t="s">
        <v>201</v>
      </c>
      <c r="B167" s="69" t="str">
        <f>VLOOKUP(A167,URS確認!$E:$F,2,FALSE)</f>
        <v>保證人資料登錄</v>
      </c>
      <c r="C167" s="287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7" t="s">
        <v>1465</v>
      </c>
      <c r="P167" s="71"/>
    </row>
    <row r="168" spans="1:16" ht="49.5" customHeight="1" x14ac:dyDescent="0.3">
      <c r="A168" s="287" t="s">
        <v>201</v>
      </c>
      <c r="B168" s="69" t="str">
        <f>VLOOKUP(A168,URS確認!$E:$F,2,FALSE)</f>
        <v>保證人資料登錄</v>
      </c>
      <c r="C168" s="287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7" t="s">
        <v>1481</v>
      </c>
      <c r="P168" s="71" t="s">
        <v>1584</v>
      </c>
    </row>
    <row r="169" spans="1:16" ht="66" customHeight="1" x14ac:dyDescent="0.3">
      <c r="A169" s="287" t="s">
        <v>201</v>
      </c>
      <c r="B169" s="69" t="str">
        <f>VLOOKUP(A169,URS確認!$E:$F,2,FALSE)</f>
        <v>保證人資料登錄</v>
      </c>
      <c r="C169" s="287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7" t="s">
        <v>1481</v>
      </c>
      <c r="P169" s="71" t="s">
        <v>1577</v>
      </c>
    </row>
    <row r="170" spans="1:16" ht="33" customHeight="1" x14ac:dyDescent="0.3">
      <c r="A170" s="287" t="s">
        <v>201</v>
      </c>
      <c r="B170" s="69" t="str">
        <f>VLOOKUP(A170,URS確認!$E:$F,2,FALSE)</f>
        <v>保證人資料登錄</v>
      </c>
      <c r="C170" s="287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7" t="s">
        <v>1481</v>
      </c>
      <c r="P170" s="71" t="s">
        <v>1577</v>
      </c>
    </row>
    <row r="171" spans="1:16" x14ac:dyDescent="0.3">
      <c r="A171" s="287" t="s">
        <v>203</v>
      </c>
      <c r="B171" s="69" t="str">
        <f>VLOOKUP(A171,URS確認!$E:$F,2,FALSE)</f>
        <v xml:space="preserve">保證人保證資料查詢                      </v>
      </c>
      <c r="C171" s="287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7" t="s">
        <v>1465</v>
      </c>
      <c r="P171" s="71"/>
    </row>
    <row r="172" spans="1:16" x14ac:dyDescent="0.3">
      <c r="A172" s="287" t="s">
        <v>203</v>
      </c>
      <c r="B172" s="69" t="str">
        <f>VLOOKUP(A172,URS確認!$E:$F,2,FALSE)</f>
        <v xml:space="preserve">保證人保證資料查詢                      </v>
      </c>
      <c r="C172" s="287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7" t="s">
        <v>1465</v>
      </c>
      <c r="P172" s="71"/>
    </row>
    <row r="173" spans="1:16" ht="115.5" customHeight="1" x14ac:dyDescent="0.3">
      <c r="A173" s="287" t="s">
        <v>178</v>
      </c>
      <c r="B173" s="69" t="str">
        <f>VLOOKUP(A173,URS確認!$E:$F,2,FALSE)</f>
        <v>案件申請登錄</v>
      </c>
      <c r="C173" s="287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7" t="s">
        <v>167</v>
      </c>
      <c r="M173" s="287" t="s">
        <v>1481</v>
      </c>
      <c r="P173" s="287" t="s">
        <v>1473</v>
      </c>
    </row>
    <row r="174" spans="1:16" ht="99" customHeight="1" x14ac:dyDescent="0.3">
      <c r="A174" s="287" t="s">
        <v>178</v>
      </c>
      <c r="B174" s="74" t="str">
        <f>VLOOKUP(A174,URS確認!$E:$F,2,FALSE)</f>
        <v>案件申請登錄</v>
      </c>
      <c r="C174" s="287">
        <v>2</v>
      </c>
      <c r="D174" s="74" t="s">
        <v>1639</v>
      </c>
      <c r="E174" s="71">
        <v>44431</v>
      </c>
      <c r="F174" s="287"/>
      <c r="G174" s="287"/>
      <c r="I174" s="125" t="s">
        <v>1640</v>
      </c>
      <c r="O174" s="287" t="s">
        <v>1465</v>
      </c>
    </row>
    <row r="175" spans="1:16" ht="49.5" customHeight="1" x14ac:dyDescent="0.3">
      <c r="A175" s="287" t="s">
        <v>178</v>
      </c>
      <c r="B175" s="74" t="str">
        <f>VLOOKUP(A175,URS確認!$E:$F,2,FALSE)</f>
        <v>案件申請登錄</v>
      </c>
      <c r="C175" s="287">
        <v>3</v>
      </c>
      <c r="D175" s="74" t="s">
        <v>1641</v>
      </c>
      <c r="E175" s="71">
        <v>44431</v>
      </c>
      <c r="F175" s="287"/>
      <c r="G175" s="287"/>
      <c r="I175" s="125" t="s">
        <v>1640</v>
      </c>
      <c r="O175" s="287" t="s">
        <v>1465</v>
      </c>
    </row>
    <row r="176" spans="1:16" ht="33" customHeight="1" x14ac:dyDescent="0.3">
      <c r="A176" s="287" t="s">
        <v>231</v>
      </c>
      <c r="B176" s="69" t="str">
        <f>VLOOKUP(A176,URS確認!$E:$F,2,FALSE)</f>
        <v>交易關係人維護</v>
      </c>
      <c r="C176" s="287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7" t="s">
        <v>110</v>
      </c>
      <c r="M176" s="287" t="s">
        <v>1481</v>
      </c>
    </row>
    <row r="177" spans="1:13" ht="49.5" customHeight="1" x14ac:dyDescent="0.3">
      <c r="B177" s="74" t="s">
        <v>1643</v>
      </c>
      <c r="C177" s="287">
        <v>1</v>
      </c>
      <c r="D177" s="74" t="s">
        <v>1644</v>
      </c>
      <c r="E177" s="71">
        <v>44432</v>
      </c>
      <c r="F177" s="71">
        <v>44620</v>
      </c>
      <c r="G177" s="287"/>
      <c r="I177" s="287" t="s">
        <v>110</v>
      </c>
      <c r="M177" s="287" t="s">
        <v>1481</v>
      </c>
    </row>
    <row r="178" spans="1:13" ht="49.5" customHeight="1" x14ac:dyDescent="0.3">
      <c r="B178" s="74" t="s">
        <v>1643</v>
      </c>
      <c r="C178" s="287">
        <v>2</v>
      </c>
      <c r="D178" s="74" t="s">
        <v>1645</v>
      </c>
      <c r="E178" s="71">
        <v>44432</v>
      </c>
      <c r="F178" s="71">
        <v>44620</v>
      </c>
      <c r="G178" s="287"/>
      <c r="I178" s="287" t="s">
        <v>110</v>
      </c>
      <c r="M178" s="287" t="s">
        <v>1481</v>
      </c>
    </row>
    <row r="179" spans="1:13" ht="49.5" customHeight="1" x14ac:dyDescent="0.3">
      <c r="B179" s="74" t="s">
        <v>1643</v>
      </c>
      <c r="C179" s="287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7" t="s">
        <v>110</v>
      </c>
      <c r="L179" s="287" t="s">
        <v>1465</v>
      </c>
    </row>
    <row r="180" spans="1:13" ht="49.5" customHeight="1" x14ac:dyDescent="0.3">
      <c r="B180" s="74" t="s">
        <v>1643</v>
      </c>
      <c r="C180" s="287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7" t="s">
        <v>110</v>
      </c>
      <c r="L180" s="287" t="s">
        <v>1465</v>
      </c>
    </row>
    <row r="181" spans="1:13" ht="49.5" customHeight="1" x14ac:dyDescent="0.3">
      <c r="B181" s="74" t="s">
        <v>1643</v>
      </c>
      <c r="C181" s="287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7" t="s">
        <v>176</v>
      </c>
      <c r="L181" s="287" t="s">
        <v>1465</v>
      </c>
    </row>
    <row r="182" spans="1:13" x14ac:dyDescent="0.3">
      <c r="A182" s="287" t="s">
        <v>234</v>
      </c>
      <c r="B182" s="69" t="str">
        <f>VLOOKUP(A182,URS確認!$E:$F,2,FALSE)</f>
        <v xml:space="preserve">擔保品明細資料查詢                      </v>
      </c>
      <c r="C182" s="287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7" t="s">
        <v>176</v>
      </c>
      <c r="L182" s="287" t="s">
        <v>1465</v>
      </c>
    </row>
    <row r="183" spans="1:13" ht="74" customHeight="1" x14ac:dyDescent="0.3">
      <c r="A183" s="287" t="s">
        <v>236</v>
      </c>
      <c r="B183" s="69" t="str">
        <f>VLOOKUP(A183,URS確認!$E:$F,2,FALSE)</f>
        <v>不動產擔保品資料登錄</v>
      </c>
      <c r="C183" s="287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7" t="s">
        <v>1481</v>
      </c>
    </row>
    <row r="184" spans="1:13" x14ac:dyDescent="0.3">
      <c r="A184" s="287" t="s">
        <v>236</v>
      </c>
      <c r="B184" s="69" t="str">
        <f>VLOOKUP(A184,URS確認!$E:$F,2,FALSE)</f>
        <v>不動產擔保品資料登錄</v>
      </c>
      <c r="C184" s="287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7" t="s">
        <v>110</v>
      </c>
      <c r="L184" s="287" t="s">
        <v>1465</v>
      </c>
    </row>
    <row r="185" spans="1:13" ht="33" customHeight="1" x14ac:dyDescent="0.3">
      <c r="A185" s="287" t="s">
        <v>236</v>
      </c>
      <c r="B185" s="69" t="str">
        <f>VLOOKUP(A185,URS確認!$E:$F,2,FALSE)</f>
        <v>不動產擔保品資料登錄</v>
      </c>
      <c r="C185" s="287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7" t="s">
        <v>110</v>
      </c>
      <c r="L185" s="287" t="s">
        <v>1465</v>
      </c>
    </row>
    <row r="186" spans="1:13" x14ac:dyDescent="0.3">
      <c r="A186" s="287" t="s">
        <v>244</v>
      </c>
      <c r="B186" s="69" t="str">
        <f>VLOOKUP(A186,URS確認!$E:$F,2,FALSE)</f>
        <v>不動產建物擔保品資料登錄</v>
      </c>
      <c r="C186" s="287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7" t="s">
        <v>110</v>
      </c>
      <c r="L186" s="287" t="s">
        <v>1465</v>
      </c>
    </row>
    <row r="187" spans="1:13" x14ac:dyDescent="0.3">
      <c r="A187" s="287" t="s">
        <v>244</v>
      </c>
      <c r="B187" s="69" t="str">
        <f>VLOOKUP(A187,URS確認!$E:$F,2,FALSE)</f>
        <v>不動產建物擔保品資料登錄</v>
      </c>
      <c r="C187" s="287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7" t="s">
        <v>110</v>
      </c>
      <c r="L187" s="287" t="s">
        <v>1465</v>
      </c>
    </row>
    <row r="188" spans="1:13" ht="33" customHeight="1" x14ac:dyDescent="0.3">
      <c r="A188" s="287" t="s">
        <v>241</v>
      </c>
      <c r="B188" s="69" t="str">
        <f>VLOOKUP(A188,URS確認!$E:$F,2,FALSE)</f>
        <v xml:space="preserve">不動產擔保品資料查詢                    </v>
      </c>
      <c r="C188" s="287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7" t="s">
        <v>110</v>
      </c>
      <c r="L188" s="287" t="s">
        <v>1465</v>
      </c>
    </row>
    <row r="189" spans="1:13" x14ac:dyDescent="0.3">
      <c r="A189" s="287" t="s">
        <v>1401</v>
      </c>
      <c r="B189" s="69" t="e">
        <f>VLOOKUP(A189,URS確認!$E:$F,2,FALSE)</f>
        <v>#N/A</v>
      </c>
      <c r="C189" s="287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7" t="s">
        <v>110</v>
      </c>
      <c r="L189" s="287" t="s">
        <v>1465</v>
      </c>
    </row>
    <row r="190" spans="1:13" x14ac:dyDescent="0.3">
      <c r="A190" s="287" t="s">
        <v>1404</v>
      </c>
      <c r="B190" s="69" t="e">
        <f>VLOOKUP(A190,URS確認!$E:$F,2,FALSE)</f>
        <v>#N/A</v>
      </c>
      <c r="C190" s="287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7" t="s">
        <v>110</v>
      </c>
      <c r="L190" s="287" t="s">
        <v>1465</v>
      </c>
    </row>
    <row r="191" spans="1:13" ht="33" customHeight="1" x14ac:dyDescent="0.3">
      <c r="A191" s="287" t="s">
        <v>231</v>
      </c>
      <c r="B191" s="69" t="str">
        <f>VLOOKUP(A191,URS確認!$E:$F,2,FALSE)</f>
        <v>交易關係人維護</v>
      </c>
      <c r="C191" s="287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7" t="s">
        <v>110</v>
      </c>
      <c r="M191" s="287" t="s">
        <v>1481</v>
      </c>
    </row>
    <row r="192" spans="1:13" ht="15.65" customHeight="1" x14ac:dyDescent="0.3">
      <c r="A192" s="287" t="s">
        <v>261</v>
      </c>
      <c r="B192" s="69" t="str">
        <f>VLOOKUP(A192,URS確認!$E:$F,2,FALSE)</f>
        <v>動產擔保品資料登錄</v>
      </c>
      <c r="C192" s="287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7" t="s">
        <v>110</v>
      </c>
      <c r="L192" s="287" t="s">
        <v>1465</v>
      </c>
    </row>
    <row r="193" spans="1:13" x14ac:dyDescent="0.3">
      <c r="A193" s="287" t="s">
        <v>261</v>
      </c>
      <c r="B193" s="69" t="str">
        <f>VLOOKUP(A193,URS確認!$E:$F,2,FALSE)</f>
        <v>動產擔保品資料登錄</v>
      </c>
      <c r="C193" s="287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7" t="s">
        <v>110</v>
      </c>
      <c r="L193" s="287" t="s">
        <v>1465</v>
      </c>
    </row>
    <row r="194" spans="1:13" ht="33" customHeight="1" x14ac:dyDescent="0.3">
      <c r="A194" s="287" t="s">
        <v>261</v>
      </c>
      <c r="B194" s="69" t="str">
        <f>VLOOKUP(A194,URS確認!$E:$F,2,FALSE)</f>
        <v>動產擔保品資料登錄</v>
      </c>
      <c r="C194" s="287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7" t="s">
        <v>110</v>
      </c>
      <c r="L194" s="287" t="s">
        <v>1465</v>
      </c>
    </row>
    <row r="195" spans="1:13" ht="66" customHeight="1" x14ac:dyDescent="0.3">
      <c r="A195" s="287" t="s">
        <v>1409</v>
      </c>
      <c r="B195" s="69" t="e">
        <f>VLOOKUP(A195,URS確認!$E:$F,2,FALSE)</f>
        <v>#N/A</v>
      </c>
      <c r="C195" s="287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7" t="s">
        <v>1533</v>
      </c>
      <c r="M195" s="287" t="s">
        <v>1481</v>
      </c>
    </row>
    <row r="196" spans="1:13" ht="66" customHeight="1" x14ac:dyDescent="0.3">
      <c r="A196" s="287" t="s">
        <v>1412</v>
      </c>
      <c r="B196" s="69" t="e">
        <f>VLOOKUP(A196,URS確認!$E:$F,2,FALSE)</f>
        <v>#N/A</v>
      </c>
      <c r="C196" s="287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7" t="s">
        <v>1481</v>
      </c>
    </row>
    <row r="197" spans="1:13" ht="66" customHeight="1" x14ac:dyDescent="0.3">
      <c r="A197" s="287" t="s">
        <v>1414</v>
      </c>
      <c r="B197" s="69" t="e">
        <f>VLOOKUP(A197,URS確認!$E:$F,2,FALSE)</f>
        <v>#N/A</v>
      </c>
      <c r="C197" s="287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7" t="s">
        <v>1481</v>
      </c>
    </row>
    <row r="198" spans="1:13" ht="66" customHeight="1" x14ac:dyDescent="0.3">
      <c r="A198" s="287" t="s">
        <v>1406</v>
      </c>
      <c r="B198" s="69" t="e">
        <f>VLOOKUP(A198,URS確認!$E:$F,2,FALSE)</f>
        <v>#N/A</v>
      </c>
      <c r="C198" s="287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7" t="s">
        <v>1481</v>
      </c>
    </row>
    <row r="199" spans="1:13" x14ac:dyDescent="0.3">
      <c r="A199" s="287" t="s">
        <v>234</v>
      </c>
      <c r="B199" s="69" t="str">
        <f>VLOOKUP(A199,URS確認!$E:$F,2,FALSE)</f>
        <v xml:space="preserve">擔保品明細資料查詢                      </v>
      </c>
      <c r="C199" s="287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7" t="s">
        <v>176</v>
      </c>
      <c r="L199" s="287" t="s">
        <v>1465</v>
      </c>
    </row>
    <row r="200" spans="1:13" x14ac:dyDescent="0.3">
      <c r="A200" s="287" t="s">
        <v>234</v>
      </c>
      <c r="B200" s="69" t="str">
        <f>VLOOKUP(A200,URS確認!$E:$F,2,FALSE)</f>
        <v xml:space="preserve">擔保品明細資料查詢                      </v>
      </c>
      <c r="C200" s="287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7" t="s">
        <v>176</v>
      </c>
      <c r="L200" s="287" t="s">
        <v>1465</v>
      </c>
    </row>
    <row r="201" spans="1:13" x14ac:dyDescent="0.3">
      <c r="A201" s="287" t="s">
        <v>234</v>
      </c>
      <c r="B201" s="69" t="str">
        <f>VLOOKUP(A201,URS確認!$E:$F,2,FALSE)</f>
        <v xml:space="preserve">擔保品明細資料查詢                      </v>
      </c>
      <c r="C201" s="287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7" t="s">
        <v>176</v>
      </c>
      <c r="L201" s="287" t="s">
        <v>1465</v>
      </c>
    </row>
    <row r="202" spans="1:13" x14ac:dyDescent="0.3">
      <c r="A202" s="287" t="s">
        <v>234</v>
      </c>
      <c r="B202" s="69" t="str">
        <f>VLOOKUP(A202,URS確認!$E:$F,2,FALSE)</f>
        <v xml:space="preserve">擔保品明細資料查詢                      </v>
      </c>
      <c r="C202" s="287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7" t="s">
        <v>176</v>
      </c>
      <c r="L202" s="287" t="s">
        <v>1465</v>
      </c>
    </row>
    <row r="203" spans="1:13" ht="79.25" customHeight="1" x14ac:dyDescent="0.3">
      <c r="A203" s="287" t="s">
        <v>234</v>
      </c>
      <c r="B203" s="69" t="str">
        <f>VLOOKUP(A203,URS確認!$E:$F,2,FALSE)</f>
        <v xml:space="preserve">擔保品明細資料查詢                      </v>
      </c>
      <c r="C203" s="287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7" t="s">
        <v>176</v>
      </c>
      <c r="L203" s="287" t="s">
        <v>1465</v>
      </c>
    </row>
    <row r="204" spans="1:13" ht="37.25" customHeight="1" x14ac:dyDescent="0.3">
      <c r="B204" s="74" t="s">
        <v>1670</v>
      </c>
      <c r="C204" s="287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7" t="s">
        <v>110</v>
      </c>
      <c r="L204" s="287" t="s">
        <v>1465</v>
      </c>
    </row>
    <row r="205" spans="1:13" x14ac:dyDescent="0.3">
      <c r="A205" s="287" t="s">
        <v>244</v>
      </c>
      <c r="B205" s="69" t="str">
        <f>VLOOKUP(A205,URS確認!$E:$F,2,FALSE)</f>
        <v>不動產建物擔保品資料登錄</v>
      </c>
      <c r="C205" s="287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7" t="s">
        <v>110</v>
      </c>
      <c r="M205" s="287" t="s">
        <v>1481</v>
      </c>
    </row>
    <row r="206" spans="1:13" x14ac:dyDescent="0.3">
      <c r="A206" s="287" t="s">
        <v>265</v>
      </c>
      <c r="B206" s="69" t="str">
        <f>VLOOKUP(A206,URS確認!$E:$F,2,FALSE)</f>
        <v>股票擔保品資料登錄</v>
      </c>
      <c r="C206" s="287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7" t="s">
        <v>110</v>
      </c>
      <c r="L206" s="287" t="s">
        <v>1465</v>
      </c>
    </row>
    <row r="207" spans="1:13" x14ac:dyDescent="0.3">
      <c r="A207" s="287" t="s">
        <v>265</v>
      </c>
      <c r="B207" s="69" t="str">
        <f>VLOOKUP(A207,URS確認!$E:$F,2,FALSE)</f>
        <v>股票擔保品資料登錄</v>
      </c>
      <c r="C207" s="287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7" t="s">
        <v>110</v>
      </c>
      <c r="L207" s="287" t="s">
        <v>1465</v>
      </c>
    </row>
    <row r="208" spans="1:13" ht="49.5" customHeight="1" x14ac:dyDescent="0.3">
      <c r="A208" s="287" t="s">
        <v>265</v>
      </c>
      <c r="B208" s="69" t="str">
        <f>VLOOKUP(A208,URS確認!$E:$F,2,FALSE)</f>
        <v>股票擔保品資料登錄</v>
      </c>
      <c r="C208" s="287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7" t="s">
        <v>110</v>
      </c>
      <c r="J208" s="287" t="s">
        <v>1465</v>
      </c>
    </row>
    <row r="209" spans="1:13" ht="66" customHeight="1" x14ac:dyDescent="0.3">
      <c r="A209" s="287" t="s">
        <v>265</v>
      </c>
      <c r="B209" s="69" t="str">
        <f>VLOOKUP(A209,URS確認!$E:$F,2,FALSE)</f>
        <v>股票擔保品資料登錄</v>
      </c>
      <c r="C209" s="287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7" t="s">
        <v>110</v>
      </c>
      <c r="M209" s="287" t="s">
        <v>1481</v>
      </c>
    </row>
    <row r="210" spans="1:13" ht="33" customHeight="1" x14ac:dyDescent="0.3">
      <c r="A210" s="287" t="s">
        <v>265</v>
      </c>
      <c r="B210" s="69" t="str">
        <f>VLOOKUP(A210,URS確認!$E:$F,2,FALSE)</f>
        <v>股票擔保品資料登錄</v>
      </c>
      <c r="C210" s="287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7" t="s">
        <v>110</v>
      </c>
      <c r="L210" s="287" t="s">
        <v>1465</v>
      </c>
    </row>
    <row r="211" spans="1:13" ht="33" customHeight="1" x14ac:dyDescent="0.3">
      <c r="A211" s="287" t="s">
        <v>268</v>
      </c>
      <c r="B211" s="69" t="str">
        <f>VLOOKUP(A211,URS確認!$E:$F,2,FALSE)</f>
        <v xml:space="preserve">股票擔保品資料查詢                      </v>
      </c>
      <c r="C211" s="287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7" t="s">
        <v>176</v>
      </c>
      <c r="L211" s="287" t="s">
        <v>1465</v>
      </c>
    </row>
    <row r="212" spans="1:13" x14ac:dyDescent="0.3">
      <c r="A212" s="287" t="s">
        <v>270</v>
      </c>
      <c r="B212" s="69" t="str">
        <f>VLOOKUP(A212,URS確認!$E:$F,2,FALSE)</f>
        <v>其他擔保品資料登錄</v>
      </c>
      <c r="C212" s="287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7" t="s">
        <v>110</v>
      </c>
      <c r="L212" s="287" t="s">
        <v>1465</v>
      </c>
    </row>
    <row r="213" spans="1:13" ht="33" customHeight="1" x14ac:dyDescent="0.3">
      <c r="A213" s="287" t="s">
        <v>274</v>
      </c>
      <c r="B213" s="69" t="str">
        <f>VLOOKUP(A213,URS確認!$E:$F,2,FALSE)</f>
        <v xml:space="preserve">顧客控管警訊資料維護                    </v>
      </c>
      <c r="C213" s="287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7" t="s">
        <v>110</v>
      </c>
      <c r="M213" s="287" t="s">
        <v>1481</v>
      </c>
    </row>
    <row r="214" spans="1:13" ht="33" customHeight="1" x14ac:dyDescent="0.3">
      <c r="A214" s="287" t="s">
        <v>274</v>
      </c>
      <c r="B214" s="69" t="str">
        <f>VLOOKUP(A214,URS確認!$E:$F,2,FALSE)</f>
        <v xml:space="preserve">顧客控管警訊資料維護                    </v>
      </c>
      <c r="C214" s="287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7" t="s">
        <v>176</v>
      </c>
      <c r="M214" s="287" t="s">
        <v>1481</v>
      </c>
    </row>
    <row r="215" spans="1:13" ht="33" customHeight="1" x14ac:dyDescent="0.3">
      <c r="A215" s="287" t="s">
        <v>274</v>
      </c>
      <c r="B215" s="69" t="str">
        <f>VLOOKUP(A215,URS確認!$E:$F,2,FALSE)</f>
        <v xml:space="preserve">顧客控管警訊資料維護                    </v>
      </c>
      <c r="C215" s="287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7" t="s">
        <v>287</v>
      </c>
      <c r="M215" s="287" t="s">
        <v>1481</v>
      </c>
    </row>
    <row r="216" spans="1:13" x14ac:dyDescent="0.3">
      <c r="A216" s="287" t="s">
        <v>274</v>
      </c>
      <c r="B216" s="69" t="str">
        <f>VLOOKUP(A216,URS確認!$E:$F,2,FALSE)</f>
        <v xml:space="preserve">顧客控管警訊資料維護                    </v>
      </c>
      <c r="C216" s="287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7" t="s">
        <v>176</v>
      </c>
      <c r="M216" s="287" t="s">
        <v>1481</v>
      </c>
    </row>
    <row r="217" spans="1:13" x14ac:dyDescent="0.3">
      <c r="A217" s="287" t="s">
        <v>278</v>
      </c>
      <c r="B217" s="69" t="str">
        <f>VLOOKUP(A217,URS確認!$E:$F,2,FALSE)</f>
        <v xml:space="preserve">顧客控管警訊明細資料查詢                </v>
      </c>
      <c r="C217" s="287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7" t="s">
        <v>110</v>
      </c>
      <c r="L217" s="287" t="s">
        <v>1465</v>
      </c>
    </row>
    <row r="218" spans="1:13" ht="82.5" customHeight="1" x14ac:dyDescent="0.3">
      <c r="A218" s="287" t="s">
        <v>278</v>
      </c>
      <c r="B218" s="69" t="str">
        <f>VLOOKUP(A218,URS確認!$E:$F,2,FALSE)</f>
        <v xml:space="preserve">顧客控管警訊明細資料查詢                </v>
      </c>
      <c r="C218" s="287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7" t="s">
        <v>110</v>
      </c>
      <c r="L218" s="287" t="s">
        <v>1465</v>
      </c>
    </row>
    <row r="219" spans="1:13" x14ac:dyDescent="0.3">
      <c r="A219" s="287" t="s">
        <v>285</v>
      </c>
      <c r="B219" s="69" t="str">
        <f>VLOOKUP(A219,URS確認!$E:$F,2,FALSE)</f>
        <v>首次撥款審核資料表</v>
      </c>
      <c r="C219" s="287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7" t="s">
        <v>1516</v>
      </c>
      <c r="L219" s="287" t="s">
        <v>1465</v>
      </c>
    </row>
    <row r="220" spans="1:13" x14ac:dyDescent="0.3">
      <c r="A220" s="287" t="s">
        <v>285</v>
      </c>
      <c r="B220" s="69" t="str">
        <f>VLOOKUP(A220,URS確認!$E:$F,2,FALSE)</f>
        <v>首次撥款審核資料表</v>
      </c>
      <c r="C220" s="287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7" t="s">
        <v>1516</v>
      </c>
      <c r="L220" s="287" t="s">
        <v>1465</v>
      </c>
    </row>
    <row r="221" spans="1:13" x14ac:dyDescent="0.3">
      <c r="A221" s="287" t="s">
        <v>285</v>
      </c>
      <c r="B221" s="69" t="str">
        <f>VLOOKUP(A221,URS確認!$E:$F,2,FALSE)</f>
        <v>首次撥款審核資料表</v>
      </c>
      <c r="C221" s="287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7" t="s">
        <v>1516</v>
      </c>
      <c r="L221" s="287" t="s">
        <v>1465</v>
      </c>
    </row>
    <row r="222" spans="1:13" x14ac:dyDescent="0.3">
      <c r="A222" s="287" t="s">
        <v>285</v>
      </c>
      <c r="B222" s="69" t="str">
        <f>VLOOKUP(A222,URS確認!$E:$F,2,FALSE)</f>
        <v>首次撥款審核資料表</v>
      </c>
      <c r="C222" s="287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7" t="s">
        <v>1516</v>
      </c>
      <c r="L222" s="287" t="s">
        <v>1465</v>
      </c>
    </row>
    <row r="223" spans="1:13" x14ac:dyDescent="0.3">
      <c r="A223" s="287" t="s">
        <v>285</v>
      </c>
      <c r="B223" s="69" t="str">
        <f>VLOOKUP(A223,URS確認!$E:$F,2,FALSE)</f>
        <v>首次撥款審核資料表</v>
      </c>
      <c r="C223" s="287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7" t="s">
        <v>1516</v>
      </c>
      <c r="L223" s="287" t="s">
        <v>1465</v>
      </c>
    </row>
    <row r="224" spans="1:13" x14ac:dyDescent="0.3">
      <c r="A224" s="287" t="s">
        <v>285</v>
      </c>
      <c r="B224" s="69" t="str">
        <f>VLOOKUP(A224,URS確認!$E:$F,2,FALSE)</f>
        <v>首次撥款審核資料表</v>
      </c>
      <c r="C224" s="287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7" t="s">
        <v>1516</v>
      </c>
      <c r="L224" s="287" t="s">
        <v>1465</v>
      </c>
    </row>
    <row r="225" spans="1:12" x14ac:dyDescent="0.3">
      <c r="A225" s="287" t="s">
        <v>285</v>
      </c>
      <c r="B225" s="69" t="str">
        <f>VLOOKUP(A225,URS確認!$E:$F,2,FALSE)</f>
        <v>首次撥款審核資料表</v>
      </c>
      <c r="C225" s="287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7" t="s">
        <v>1516</v>
      </c>
      <c r="L225" s="287" t="s">
        <v>1465</v>
      </c>
    </row>
    <row r="226" spans="1:12" x14ac:dyDescent="0.3">
      <c r="A226" s="287" t="s">
        <v>285</v>
      </c>
      <c r="B226" s="69" t="str">
        <f>VLOOKUP(A226,URS確認!$E:$F,2,FALSE)</f>
        <v>首次撥款審核資料表</v>
      </c>
      <c r="C226" s="287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7" t="s">
        <v>1516</v>
      </c>
      <c r="L226" s="287" t="s">
        <v>1465</v>
      </c>
    </row>
    <row r="227" spans="1:12" x14ac:dyDescent="0.3">
      <c r="A227" s="287" t="s">
        <v>285</v>
      </c>
      <c r="B227" s="69" t="str">
        <f>VLOOKUP(A227,URS確認!$E:$F,2,FALSE)</f>
        <v>首次撥款審核資料表</v>
      </c>
      <c r="C227" s="287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7" t="s">
        <v>1516</v>
      </c>
      <c r="L227" s="287" t="s">
        <v>1465</v>
      </c>
    </row>
    <row r="228" spans="1:12" x14ac:dyDescent="0.3">
      <c r="A228" s="287" t="s">
        <v>285</v>
      </c>
      <c r="B228" s="69" t="str">
        <f>VLOOKUP(A228,URS確認!$E:$F,2,FALSE)</f>
        <v>首次撥款審核資料表</v>
      </c>
      <c r="C228" s="287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7" t="s">
        <v>1516</v>
      </c>
      <c r="L228" s="287" t="s">
        <v>1465</v>
      </c>
    </row>
    <row r="229" spans="1:12" x14ac:dyDescent="0.3">
      <c r="A229" s="287" t="s">
        <v>285</v>
      </c>
      <c r="B229" s="69" t="str">
        <f>VLOOKUP(A229,URS確認!$E:$F,2,FALSE)</f>
        <v>首次撥款審核資料表</v>
      </c>
      <c r="C229" s="287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7" t="s">
        <v>1516</v>
      </c>
      <c r="L229" s="287" t="s">
        <v>1465</v>
      </c>
    </row>
    <row r="230" spans="1:12" x14ac:dyDescent="0.3">
      <c r="A230" s="287" t="s">
        <v>285</v>
      </c>
      <c r="B230" s="69" t="str">
        <f>VLOOKUP(A230,URS確認!$E:$F,2,FALSE)</f>
        <v>首次撥款審核資料表</v>
      </c>
      <c r="C230" s="287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7" t="s">
        <v>1516</v>
      </c>
      <c r="L230" s="287" t="s">
        <v>1465</v>
      </c>
    </row>
    <row r="231" spans="1:12" x14ac:dyDescent="0.3">
      <c r="A231" s="287" t="s">
        <v>285</v>
      </c>
      <c r="B231" s="69" t="str">
        <f>VLOOKUP(A231,URS確認!$E:$F,2,FALSE)</f>
        <v>首次撥款審核資料表</v>
      </c>
      <c r="C231" s="287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7" t="s">
        <v>1516</v>
      </c>
      <c r="L231" s="287" t="s">
        <v>1465</v>
      </c>
    </row>
    <row r="232" spans="1:12" x14ac:dyDescent="0.3">
      <c r="A232" s="287" t="s">
        <v>285</v>
      </c>
      <c r="B232" s="69" t="str">
        <f>VLOOKUP(A232,URS確認!$E:$F,2,FALSE)</f>
        <v>首次撥款審核資料表</v>
      </c>
      <c r="C232" s="287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7" t="s">
        <v>1516</v>
      </c>
      <c r="L232" s="287" t="s">
        <v>1465</v>
      </c>
    </row>
    <row r="233" spans="1:12" x14ac:dyDescent="0.3">
      <c r="A233" s="287" t="s">
        <v>285</v>
      </c>
      <c r="B233" s="69" t="str">
        <f>VLOOKUP(A233,URS確認!$E:$F,2,FALSE)</f>
        <v>首次撥款審核資料表</v>
      </c>
      <c r="C233" s="287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7" t="s">
        <v>1516</v>
      </c>
      <c r="L233" s="287" t="s">
        <v>1465</v>
      </c>
    </row>
    <row r="234" spans="1:12" ht="33" customHeight="1" x14ac:dyDescent="0.3">
      <c r="A234" s="287" t="s">
        <v>285</v>
      </c>
      <c r="B234" s="69" t="str">
        <f>VLOOKUP(A234,URS確認!$E:$F,2,FALSE)</f>
        <v>首次撥款審核資料表</v>
      </c>
      <c r="C234" s="287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7" t="s">
        <v>1516</v>
      </c>
      <c r="L234" s="287" t="s">
        <v>1465</v>
      </c>
    </row>
    <row r="235" spans="1:12" x14ac:dyDescent="0.3">
      <c r="A235" s="287" t="s">
        <v>285</v>
      </c>
      <c r="B235" s="69" t="str">
        <f>VLOOKUP(A235,URS確認!$E:$F,2,FALSE)</f>
        <v>首次撥款審核資料表</v>
      </c>
      <c r="C235" s="287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7" t="s">
        <v>1516</v>
      </c>
      <c r="L235" s="287" t="s">
        <v>1465</v>
      </c>
    </row>
    <row r="236" spans="1:12" x14ac:dyDescent="0.3">
      <c r="A236" s="287" t="s">
        <v>285</v>
      </c>
      <c r="B236" s="69" t="str">
        <f>VLOOKUP(A236,URS確認!$E:$F,2,FALSE)</f>
        <v>首次撥款審核資料表</v>
      </c>
      <c r="C236" s="287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7" t="s">
        <v>1516</v>
      </c>
      <c r="L236" s="287" t="s">
        <v>1465</v>
      </c>
    </row>
    <row r="237" spans="1:12" x14ac:dyDescent="0.3">
      <c r="A237" s="287" t="s">
        <v>285</v>
      </c>
      <c r="B237" s="69" t="str">
        <f>VLOOKUP(A237,URS確認!$E:$F,2,FALSE)</f>
        <v>首次撥款審核資料表</v>
      </c>
      <c r="C237" s="287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7" t="s">
        <v>1516</v>
      </c>
      <c r="L237" s="287" t="s">
        <v>1465</v>
      </c>
    </row>
    <row r="238" spans="1:12" x14ac:dyDescent="0.3">
      <c r="A238" s="287" t="s">
        <v>285</v>
      </c>
      <c r="B238" s="69" t="str">
        <f>VLOOKUP(A238,URS確認!$E:$F,2,FALSE)</f>
        <v>首次撥款審核資料表</v>
      </c>
      <c r="C238" s="287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7" t="s">
        <v>1516</v>
      </c>
      <c r="J238" s="287" t="s">
        <v>1465</v>
      </c>
      <c r="L238" s="287" t="s">
        <v>1465</v>
      </c>
    </row>
    <row r="239" spans="1:12" ht="33" customHeight="1" x14ac:dyDescent="0.3">
      <c r="A239" s="287" t="s">
        <v>298</v>
      </c>
      <c r="B239" s="69" t="str">
        <f>VLOOKUP(A239,URS確認!$E:$F,2,FALSE)</f>
        <v xml:space="preserve">撥款                     </v>
      </c>
      <c r="C239" s="287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7" t="s">
        <v>167</v>
      </c>
      <c r="L239" s="287" t="s">
        <v>1465</v>
      </c>
    </row>
    <row r="240" spans="1:12" x14ac:dyDescent="0.3">
      <c r="A240" s="287" t="s">
        <v>298</v>
      </c>
      <c r="B240" s="69" t="str">
        <f>VLOOKUP(A240,URS確認!$E:$F,2,FALSE)</f>
        <v xml:space="preserve">撥款                     </v>
      </c>
      <c r="C240" s="287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7" t="s">
        <v>167</v>
      </c>
      <c r="L240" s="287" t="s">
        <v>1465</v>
      </c>
    </row>
    <row r="241" spans="1:13" x14ac:dyDescent="0.3">
      <c r="A241" s="287" t="s">
        <v>298</v>
      </c>
      <c r="B241" s="69" t="str">
        <f>VLOOKUP(A241,URS確認!$E:$F,2,FALSE)</f>
        <v xml:space="preserve">撥款                     </v>
      </c>
      <c r="C241" s="287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7" t="s">
        <v>167</v>
      </c>
      <c r="J241" s="287" t="s">
        <v>1465</v>
      </c>
    </row>
    <row r="242" spans="1:13" x14ac:dyDescent="0.3">
      <c r="A242" s="287" t="s">
        <v>298</v>
      </c>
      <c r="B242" s="69" t="str">
        <f>VLOOKUP(A242,URS確認!$E:$F,2,FALSE)</f>
        <v xml:space="preserve">撥款                     </v>
      </c>
      <c r="C242" s="287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7" t="s">
        <v>167</v>
      </c>
      <c r="L242" s="287" t="s">
        <v>1465</v>
      </c>
    </row>
    <row r="243" spans="1:13" x14ac:dyDescent="0.3">
      <c r="A243" s="287" t="s">
        <v>302</v>
      </c>
      <c r="B243" s="69" t="str">
        <f>VLOOKUP(A243,URS確認!$E:$F,2,FALSE)</f>
        <v xml:space="preserve">撥款明細資料查詢         </v>
      </c>
      <c r="C243" s="287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7" t="s">
        <v>167</v>
      </c>
      <c r="L243" s="287" t="s">
        <v>1465</v>
      </c>
    </row>
    <row r="244" spans="1:13" x14ac:dyDescent="0.3">
      <c r="A244" s="287" t="s">
        <v>302</v>
      </c>
      <c r="B244" s="69" t="str">
        <f>VLOOKUP(A244,URS確認!$E:$F,2,FALSE)</f>
        <v xml:space="preserve">撥款明細資料查詢         </v>
      </c>
      <c r="C244" s="287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7" t="s">
        <v>167</v>
      </c>
      <c r="L244" s="287" t="s">
        <v>1465</v>
      </c>
    </row>
    <row r="245" spans="1:13" x14ac:dyDescent="0.3">
      <c r="A245" s="287" t="s">
        <v>305</v>
      </c>
      <c r="B245" s="69" t="str">
        <f>VLOOKUP(A245,URS確認!$E:$F,2,FALSE)</f>
        <v xml:space="preserve">撥款內容查詢             </v>
      </c>
      <c r="C245" s="287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7" t="s">
        <v>167</v>
      </c>
      <c r="J245" s="287" t="s">
        <v>1465</v>
      </c>
    </row>
    <row r="246" spans="1:13" x14ac:dyDescent="0.3">
      <c r="A246" s="287" t="s">
        <v>305</v>
      </c>
      <c r="B246" s="69" t="str">
        <f>VLOOKUP(A246,URS確認!$E:$F,2,FALSE)</f>
        <v xml:space="preserve">撥款內容查詢             </v>
      </c>
      <c r="C246" s="287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7" t="s">
        <v>167</v>
      </c>
      <c r="J246" s="287" t="s">
        <v>1465</v>
      </c>
    </row>
    <row r="247" spans="1:13" x14ac:dyDescent="0.3">
      <c r="A247" s="287" t="s">
        <v>341</v>
      </c>
      <c r="B247" s="69" t="str">
        <f>VLOOKUP(A247,URS確認!$E:$F,2,FALSE)</f>
        <v>撥款退款作業</v>
      </c>
      <c r="C247" s="287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7" t="s">
        <v>167</v>
      </c>
      <c r="M247" s="287" t="s">
        <v>1481</v>
      </c>
    </row>
    <row r="248" spans="1:13" x14ac:dyDescent="0.3">
      <c r="A248" s="287" t="s">
        <v>891</v>
      </c>
      <c r="B248" s="69" t="str">
        <f>VLOOKUP(A248,URS確認!$E:$F,2,FALSE)</f>
        <v>AML姓名檢核查詢</v>
      </c>
      <c r="C248" s="287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7" t="s">
        <v>167</v>
      </c>
      <c r="L248" s="287" t="s">
        <v>1465</v>
      </c>
    </row>
    <row r="249" spans="1:13" ht="33" customHeight="1" x14ac:dyDescent="0.3">
      <c r="A249" s="287" t="s">
        <v>293</v>
      </c>
      <c r="B249" s="69" t="str">
        <f>VLOOKUP(A249,URS確認!$E:$F,2,FALSE)</f>
        <v xml:space="preserve">預約撥款                 </v>
      </c>
      <c r="C249" s="287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7" t="str">
        <f>VLOOKUP(A249,URS確認!E:I,5,FALSE)</f>
        <v>余家興</v>
      </c>
      <c r="L249" s="287" t="s">
        <v>1465</v>
      </c>
    </row>
    <row r="250" spans="1:13" x14ac:dyDescent="0.3">
      <c r="A250" s="287" t="s">
        <v>293</v>
      </c>
      <c r="B250" s="69" t="str">
        <f>VLOOKUP(A250,URS確認!$E:$F,2,FALSE)</f>
        <v xml:space="preserve">預約撥款                 </v>
      </c>
      <c r="C250" s="287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7" t="str">
        <f>VLOOKUP(A250,URS確認!E:I,5,FALSE)</f>
        <v>余家興</v>
      </c>
      <c r="L250" s="287" t="s">
        <v>1465</v>
      </c>
    </row>
    <row r="251" spans="1:13" x14ac:dyDescent="0.3">
      <c r="A251" s="287" t="s">
        <v>296</v>
      </c>
      <c r="B251" s="69" t="str">
        <f>VLOOKUP(A251,URS確認!$E:$F,2,FALSE)</f>
        <v>預約撥款到期作業</v>
      </c>
      <c r="C251" s="287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7" t="str">
        <f>VLOOKUP(A251,URS確認!E:I,5,FALSE)</f>
        <v>余家興</v>
      </c>
      <c r="L251" s="287" t="s">
        <v>1465</v>
      </c>
    </row>
    <row r="252" spans="1:13" x14ac:dyDescent="0.3">
      <c r="A252" s="287" t="s">
        <v>326</v>
      </c>
      <c r="B252" s="69" t="str">
        <f>VLOOKUP(A252,URS確認!$E:$F,2,FALSE)</f>
        <v xml:space="preserve">交易內容查詢             </v>
      </c>
      <c r="C252" s="287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7" t="str">
        <f>VLOOKUP(A252,URS確認!E:I,5,FALSE)</f>
        <v>余家興</v>
      </c>
      <c r="L252" s="287" t="s">
        <v>1465</v>
      </c>
    </row>
    <row r="253" spans="1:13" x14ac:dyDescent="0.3">
      <c r="A253" s="287" t="s">
        <v>329</v>
      </c>
      <c r="B253" s="69" t="str">
        <f>VLOOKUP(A253,URS確認!$E:$F,2,FALSE)</f>
        <v xml:space="preserve">交易明細資料查詢         </v>
      </c>
      <c r="C253" s="287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7" t="str">
        <f>VLOOKUP(A253,URS確認!E:I,5,FALSE)</f>
        <v>余家興</v>
      </c>
      <c r="L253" s="287" t="s">
        <v>1465</v>
      </c>
    </row>
    <row r="254" spans="1:13" x14ac:dyDescent="0.3">
      <c r="A254" s="287" t="s">
        <v>334</v>
      </c>
      <c r="B254" s="69" t="str">
        <f>VLOOKUP(A254,URS確認!$E:$F,2,FALSE)</f>
        <v xml:space="preserve">借戶利率變更             </v>
      </c>
      <c r="C254" s="287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7" t="str">
        <f>VLOOKUP(A254,URS確認!E:I,5,FALSE)</f>
        <v>余家興</v>
      </c>
      <c r="L254" s="287" t="s">
        <v>1465</v>
      </c>
    </row>
    <row r="255" spans="1:13" x14ac:dyDescent="0.3">
      <c r="A255" s="287" t="s">
        <v>309</v>
      </c>
      <c r="B255" s="69" t="s">
        <v>1720</v>
      </c>
      <c r="C255" s="287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7" t="str">
        <f>VLOOKUP(A255,URS確認!E:I,5,FALSE)</f>
        <v>余家興</v>
      </c>
      <c r="L255" s="287" t="s">
        <v>1465</v>
      </c>
    </row>
    <row r="256" spans="1:13" x14ac:dyDescent="0.3">
      <c r="A256" s="287" t="s">
        <v>312</v>
      </c>
      <c r="B256" s="69" t="s">
        <v>1722</v>
      </c>
      <c r="C256" s="287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7" t="str">
        <f>VLOOKUP(A256,URS確認!E:I,5,FALSE)</f>
        <v>余家興</v>
      </c>
      <c r="L256" s="287" t="s">
        <v>1465</v>
      </c>
    </row>
    <row r="257" spans="1:12" x14ac:dyDescent="0.3">
      <c r="A257" s="287" t="s">
        <v>312</v>
      </c>
      <c r="B257" s="69" t="s">
        <v>1722</v>
      </c>
      <c r="C257" s="287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7" t="str">
        <f>VLOOKUP(A257,URS確認!E:I,5,FALSE)</f>
        <v>余家興</v>
      </c>
      <c r="L257" s="287" t="s">
        <v>1465</v>
      </c>
    </row>
    <row r="258" spans="1:12" x14ac:dyDescent="0.3">
      <c r="A258" s="287" t="s">
        <v>312</v>
      </c>
      <c r="B258" s="69" t="s">
        <v>1722</v>
      </c>
      <c r="C258" s="287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7" t="str">
        <f>VLOOKUP(A258,URS確認!E:I,5,FALSE)</f>
        <v>余家興</v>
      </c>
      <c r="L258" s="287" t="s">
        <v>1465</v>
      </c>
    </row>
    <row r="259" spans="1:12" ht="49.5" customHeight="1" x14ac:dyDescent="0.3">
      <c r="A259" s="287" t="s">
        <v>312</v>
      </c>
      <c r="B259" s="69" t="s">
        <v>1722</v>
      </c>
      <c r="C259" s="287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7" t="str">
        <f>VLOOKUP(A259,URS確認!E:I,5,FALSE)</f>
        <v>余家興</v>
      </c>
      <c r="L259" s="287" t="s">
        <v>1465</v>
      </c>
    </row>
    <row r="260" spans="1:12" x14ac:dyDescent="0.3">
      <c r="A260" s="287" t="s">
        <v>351</v>
      </c>
      <c r="B260" s="69" t="str">
        <f>VLOOKUP(A260,URS確認!$E:$F,2,FALSE)</f>
        <v xml:space="preserve">ACH授權資料查詢                      </v>
      </c>
      <c r="C260" s="287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7" t="str">
        <f>VLOOKUP(A260,URS確認!E:I,5,FALSE)</f>
        <v>余家興</v>
      </c>
      <c r="L260" s="287" t="s">
        <v>1465</v>
      </c>
    </row>
    <row r="261" spans="1:12" ht="33" customHeight="1" x14ac:dyDescent="0.3">
      <c r="A261" s="287" t="s">
        <v>351</v>
      </c>
      <c r="B261" s="69" t="str">
        <f>VLOOKUP(A261,URS確認!$E:$F,2,FALSE)</f>
        <v xml:space="preserve">ACH授權資料查詢                      </v>
      </c>
      <c r="C261" s="287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7" t="str">
        <f>VLOOKUP(A261,URS確認!E:I,5,FALSE)</f>
        <v>余家興</v>
      </c>
      <c r="L261" s="287" t="s">
        <v>1465</v>
      </c>
    </row>
    <row r="262" spans="1:12" x14ac:dyDescent="0.3">
      <c r="A262" s="287" t="s">
        <v>353</v>
      </c>
      <c r="B262" s="69" t="str">
        <f>VLOOKUP(A262,URS確認!$E:$F,2,FALSE)</f>
        <v xml:space="preserve">ACH授權資料建檔                      </v>
      </c>
      <c r="C262" s="287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7" t="str">
        <f>VLOOKUP(A262,URS確認!E:I,5,FALSE)</f>
        <v>余家興</v>
      </c>
      <c r="L262" s="287" t="s">
        <v>1465</v>
      </c>
    </row>
    <row r="263" spans="1:12" ht="33" customHeight="1" x14ac:dyDescent="0.3">
      <c r="A263" s="287" t="s">
        <v>353</v>
      </c>
      <c r="B263" s="69" t="str">
        <f>VLOOKUP(A263,URS確認!$E:$F,2,FALSE)</f>
        <v xml:space="preserve">ACH授權資料建檔                      </v>
      </c>
      <c r="C263" s="287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7" t="str">
        <f>VLOOKUP(A263,URS確認!E:I,5,FALSE)</f>
        <v>余家興</v>
      </c>
      <c r="L263" s="287" t="s">
        <v>1465</v>
      </c>
    </row>
    <row r="264" spans="1:12" x14ac:dyDescent="0.3">
      <c r="A264" s="287" t="s">
        <v>359</v>
      </c>
      <c r="B264" s="69" t="str">
        <f>VLOOKUP(A264,URS確認!$E:$F,2,FALSE)</f>
        <v>帳號授權檔查詢</v>
      </c>
      <c r="C264" s="287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7" t="str">
        <f>VLOOKUP(A264,URS確認!E:I,5,FALSE)</f>
        <v>余家興</v>
      </c>
      <c r="L264" s="287" t="s">
        <v>1465</v>
      </c>
    </row>
    <row r="265" spans="1:12" x14ac:dyDescent="0.3">
      <c r="A265" s="287" t="s">
        <v>361</v>
      </c>
      <c r="B265" s="69" t="str">
        <f>VLOOKUP(A265,URS確認!$E:$F,2,FALSE)</f>
        <v>ACH授權資料歷史紀錄查詢</v>
      </c>
      <c r="C265" s="287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7" t="str">
        <f>VLOOKUP(A265,URS確認!E:I,5,FALSE)</f>
        <v>余家興</v>
      </c>
      <c r="L265" s="287" t="s">
        <v>1465</v>
      </c>
    </row>
    <row r="266" spans="1:12" x14ac:dyDescent="0.3">
      <c r="A266" s="287" t="s">
        <v>361</v>
      </c>
      <c r="B266" s="69" t="str">
        <f>VLOOKUP(A266,URS確認!$E:$F,2,FALSE)</f>
        <v>ACH授權資料歷史紀錄查詢</v>
      </c>
      <c r="C266" s="287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7" t="str">
        <f>VLOOKUP(A266,URS確認!E:I,5,FALSE)</f>
        <v>余家興</v>
      </c>
      <c r="L266" s="287" t="s">
        <v>1465</v>
      </c>
    </row>
    <row r="267" spans="1:12" x14ac:dyDescent="0.3">
      <c r="A267" s="287" t="s">
        <v>361</v>
      </c>
      <c r="B267" s="69" t="str">
        <f>VLOOKUP(A267,URS確認!$E:$F,2,FALSE)</f>
        <v>ACH授權資料歷史紀錄查詢</v>
      </c>
      <c r="C267" s="287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7" t="str">
        <f>VLOOKUP(A267,URS確認!E:I,5,FALSE)</f>
        <v>余家興</v>
      </c>
      <c r="L267" s="287" t="s">
        <v>1465</v>
      </c>
    </row>
    <row r="268" spans="1:12" x14ac:dyDescent="0.3">
      <c r="B268" s="69" t="s">
        <v>1735</v>
      </c>
      <c r="C268" s="287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7" t="s">
        <v>167</v>
      </c>
      <c r="L268" s="287" t="s">
        <v>1465</v>
      </c>
    </row>
    <row r="269" spans="1:12" ht="33" customHeight="1" x14ac:dyDescent="0.3">
      <c r="A269" s="287" t="s">
        <v>191</v>
      </c>
      <c r="B269" s="69" t="str">
        <f>VLOOKUP(A269,URS確認!$E:$F,2,FALSE)</f>
        <v xml:space="preserve">額度資料維護                            </v>
      </c>
      <c r="C269" s="287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7" t="str">
        <f>VLOOKUP(A269,URS確認!E:I,5,FALSE)</f>
        <v>余家興</v>
      </c>
      <c r="L269" s="287" t="s">
        <v>1465</v>
      </c>
    </row>
    <row r="270" spans="1:12" x14ac:dyDescent="0.3">
      <c r="A270" s="287" t="s">
        <v>191</v>
      </c>
      <c r="B270" s="69" t="str">
        <f>VLOOKUP(A270,URS確認!$E:$F,2,FALSE)</f>
        <v xml:space="preserve">額度資料維護                            </v>
      </c>
      <c r="C270" s="287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7" t="str">
        <f>VLOOKUP(A270,URS確認!E:I,5,FALSE)</f>
        <v>余家興</v>
      </c>
      <c r="L270" s="287" t="s">
        <v>1465</v>
      </c>
    </row>
    <row r="271" spans="1:12" x14ac:dyDescent="0.3">
      <c r="A271" s="287" t="s">
        <v>363</v>
      </c>
      <c r="B271" s="69" t="str">
        <f>VLOOKUP(A271,URS確認!$E:$F,2,FALSE)</f>
        <v xml:space="preserve">郵局授權資料查詢                     </v>
      </c>
      <c r="C271" s="287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7" t="str">
        <f>VLOOKUP(A271,URS確認!E:I,5,FALSE)</f>
        <v>余家興</v>
      </c>
      <c r="L271" s="287" t="s">
        <v>1465</v>
      </c>
    </row>
    <row r="272" spans="1:12" x14ac:dyDescent="0.3">
      <c r="A272" s="287" t="s">
        <v>365</v>
      </c>
      <c r="B272" s="69" t="str">
        <f>VLOOKUP(A272,URS確認!$E:$F,2,FALSE)</f>
        <v xml:space="preserve">郵局授權資料建檔                     </v>
      </c>
      <c r="C272" s="287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7" t="str">
        <f>VLOOKUP(A272,URS確認!E:I,5,FALSE)</f>
        <v>余家興</v>
      </c>
      <c r="L272" s="287" t="s">
        <v>1465</v>
      </c>
    </row>
    <row r="273" spans="1:13" ht="33" customHeight="1" x14ac:dyDescent="0.3">
      <c r="A273" s="287" t="s">
        <v>359</v>
      </c>
      <c r="B273" s="69" t="str">
        <f>VLOOKUP(A273,URS確認!$E:$F,2,FALSE)</f>
        <v>帳號授權檔查詢</v>
      </c>
      <c r="C273" s="287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7" t="str">
        <f>VLOOKUP(A273,URS確認!E:I,5,FALSE)</f>
        <v>余家興</v>
      </c>
      <c r="L273" s="287" t="s">
        <v>1465</v>
      </c>
    </row>
    <row r="274" spans="1:13" x14ac:dyDescent="0.3">
      <c r="A274" s="287" t="s">
        <v>374</v>
      </c>
      <c r="B274" s="69" t="str">
        <f>VLOOKUP(A274,URS確認!$E:$F,2,FALSE)</f>
        <v xml:space="preserve">暫收款退還               </v>
      </c>
      <c r="C274" s="287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7" t="str">
        <f>VLOOKUP(A274,URS確認!E:I,5,FALSE)</f>
        <v>余家興</v>
      </c>
      <c r="L274" s="287" t="s">
        <v>1465</v>
      </c>
    </row>
    <row r="275" spans="1:13" x14ac:dyDescent="0.3">
      <c r="A275" s="287" t="s">
        <v>374</v>
      </c>
      <c r="B275" s="69" t="str">
        <f>VLOOKUP(A275,URS確認!$E:$F,2,FALSE)</f>
        <v xml:space="preserve">暫收款退還               </v>
      </c>
      <c r="C275" s="287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7" t="str">
        <f>VLOOKUP(A275,URS確認!E:I,5,FALSE)</f>
        <v>余家興</v>
      </c>
      <c r="L275" s="287" t="s">
        <v>1465</v>
      </c>
    </row>
    <row r="276" spans="1:13" ht="33" customHeight="1" x14ac:dyDescent="0.3">
      <c r="A276" s="287" t="s">
        <v>387</v>
      </c>
      <c r="B276" s="69" t="str">
        <f>VLOOKUP(A276,URS確認!$E:$F,2,FALSE)</f>
        <v>業務關帳作業</v>
      </c>
      <c r="C276" s="287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7" t="str">
        <f>VLOOKUP(A276,URS確認!E:I,5,FALSE)</f>
        <v>楊智誠</v>
      </c>
      <c r="L276" s="287" t="s">
        <v>1465</v>
      </c>
    </row>
    <row r="277" spans="1:13" x14ac:dyDescent="0.3">
      <c r="A277" s="287" t="s">
        <v>387</v>
      </c>
      <c r="B277" s="69" t="str">
        <f>VLOOKUP(A277,URS確認!$E:$F,2,FALSE)</f>
        <v>業務關帳作業</v>
      </c>
      <c r="C277" s="287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7" t="str">
        <f>VLOOKUP(A277,URS確認!E:I,5,FALSE)</f>
        <v>楊智誠</v>
      </c>
      <c r="L277" s="287" t="s">
        <v>1465</v>
      </c>
    </row>
    <row r="278" spans="1:13" x14ac:dyDescent="0.3">
      <c r="A278" s="287" t="s">
        <v>394</v>
      </c>
      <c r="B278" s="69" t="str">
        <f>VLOOKUP(A278,URS確認!$E:$F,2,FALSE)</f>
        <v xml:space="preserve">暫收支票明細資料查詢     </v>
      </c>
      <c r="C278" s="287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7" t="str">
        <f>VLOOKUP(A278,URS確認!E:I,5,FALSE)</f>
        <v>余家興</v>
      </c>
      <c r="L278" s="287" t="s">
        <v>1465</v>
      </c>
    </row>
    <row r="279" spans="1:13" ht="33" customHeight="1" x14ac:dyDescent="0.3">
      <c r="A279" s="287" t="s">
        <v>394</v>
      </c>
      <c r="B279" s="69" t="str">
        <f>VLOOKUP(A279,URS確認!$E:$F,2,FALSE)</f>
        <v xml:space="preserve">暫收支票明細資料查詢     </v>
      </c>
      <c r="C279" s="287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7" t="str">
        <f>VLOOKUP(A279,URS確認!E:I,5,FALSE)</f>
        <v>余家興</v>
      </c>
      <c r="M279" s="287" t="s">
        <v>1481</v>
      </c>
    </row>
    <row r="280" spans="1:13" x14ac:dyDescent="0.3">
      <c r="A280" s="287" t="s">
        <v>1397</v>
      </c>
      <c r="B280" s="69" t="e">
        <f>VLOOKUP(A280,URS確認!$E:$F,2,FALSE)</f>
        <v>#N/A</v>
      </c>
      <c r="C280" s="287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7" t="e">
        <f>VLOOKUP(A280,URS確認!E:I,5,FALSE)</f>
        <v>#N/A</v>
      </c>
      <c r="L280" s="287" t="s">
        <v>1465</v>
      </c>
    </row>
    <row r="281" spans="1:13" ht="33" customHeight="1" x14ac:dyDescent="0.3">
      <c r="A281" s="287" t="s">
        <v>397</v>
      </c>
      <c r="B281" s="69" t="str">
        <f>VLOOKUP(A281,URS確認!$E:$F,2,FALSE)</f>
        <v>支票明細資料查詢-全部</v>
      </c>
      <c r="C281" s="287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7" t="str">
        <f>VLOOKUP(A281,URS確認!E:I,5,FALSE)</f>
        <v>余家興</v>
      </c>
      <c r="M281" s="287" t="s">
        <v>1481</v>
      </c>
    </row>
    <row r="282" spans="1:13" x14ac:dyDescent="0.3">
      <c r="A282" s="287" t="s">
        <v>399</v>
      </c>
      <c r="B282" s="69" t="str">
        <f>VLOOKUP(A282,URS確認!$E:$F,2,FALSE)</f>
        <v xml:space="preserve">支票內容查詢             </v>
      </c>
      <c r="C282" s="287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7" t="str">
        <f>VLOOKUP(A282,URS確認!E:I,5,FALSE)</f>
        <v>余家興</v>
      </c>
      <c r="M282" s="287" t="s">
        <v>1481</v>
      </c>
    </row>
    <row r="283" spans="1:13" ht="33" customHeight="1" x14ac:dyDescent="0.3">
      <c r="A283" s="287" t="s">
        <v>685</v>
      </c>
      <c r="B283" s="69" t="str">
        <f>VLOOKUP(A283,URS確認!$E:$F,2,FALSE)</f>
        <v>暫收款銷帳</v>
      </c>
      <c r="C283" s="287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7" t="str">
        <f>VLOOKUP(A283,URS確認!E:I,5,FALSE)</f>
        <v>余家興</v>
      </c>
      <c r="M283" s="287" t="s">
        <v>1481</v>
      </c>
    </row>
    <row r="284" spans="1:13" ht="82.5" customHeight="1" x14ac:dyDescent="0.3">
      <c r="A284" s="287" t="s">
        <v>401</v>
      </c>
      <c r="B284" s="69" t="str">
        <f>VLOOKUP(A284,URS確認!$E:$F,2,FALSE)</f>
        <v>貸後契變手續費明細資料查詢(未入帳)</v>
      </c>
      <c r="C284" s="287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7" t="str">
        <f>VLOOKUP(A284,URS確認!E:I,5,FALSE)</f>
        <v>陳昱衡</v>
      </c>
      <c r="L284" s="287" t="s">
        <v>1465</v>
      </c>
    </row>
    <row r="285" spans="1:13" x14ac:dyDescent="0.3">
      <c r="A285" s="287" t="s">
        <v>405</v>
      </c>
      <c r="B285" s="69" t="str">
        <f>VLOOKUP(A285,URS確認!$E:$F,2,FALSE)</f>
        <v xml:space="preserve">貸後契變手續費維護                      </v>
      </c>
      <c r="C285" s="287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7" t="str">
        <f>VLOOKUP(A285,URS確認!E:I,5,FALSE)</f>
        <v>陳昱衡</v>
      </c>
      <c r="L285" s="287" t="s">
        <v>1465</v>
      </c>
    </row>
    <row r="286" spans="1:13" x14ac:dyDescent="0.3">
      <c r="A286" s="287" t="s">
        <v>405</v>
      </c>
      <c r="B286" s="69" t="str">
        <f>VLOOKUP(A286,URS確認!$E:$F,2,FALSE)</f>
        <v xml:space="preserve">貸後契變手續費維護                      </v>
      </c>
      <c r="C286" s="287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7" t="str">
        <f>VLOOKUP(A286,URS確認!E:I,5,FALSE)</f>
        <v>陳昱衡</v>
      </c>
      <c r="L286" s="287" t="s">
        <v>1465</v>
      </c>
    </row>
    <row r="287" spans="1:13" x14ac:dyDescent="0.3">
      <c r="A287" s="287" t="s">
        <v>405</v>
      </c>
      <c r="B287" s="69" t="str">
        <f>VLOOKUP(A287,URS確認!$E:$F,2,FALSE)</f>
        <v xml:space="preserve">貸後契變手續費維護                      </v>
      </c>
      <c r="C287" s="287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7" t="str">
        <f>VLOOKUP(A287,URS確認!E:I,5,FALSE)</f>
        <v>陳昱衡</v>
      </c>
      <c r="L287" s="287" t="s">
        <v>1465</v>
      </c>
    </row>
    <row r="288" spans="1:13" x14ac:dyDescent="0.3">
      <c r="A288" s="287" t="s">
        <v>405</v>
      </c>
      <c r="B288" s="69" t="str">
        <f>VLOOKUP(A288,URS確認!$E:$F,2,FALSE)</f>
        <v xml:space="preserve">貸後契變手續費維護                      </v>
      </c>
      <c r="C288" s="287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7" t="str">
        <f>VLOOKUP(A288,URS確認!E:I,5,FALSE)</f>
        <v>陳昱衡</v>
      </c>
      <c r="L288" s="287" t="s">
        <v>1465</v>
      </c>
    </row>
    <row r="289" spans="1:13" x14ac:dyDescent="0.3">
      <c r="A289" s="287" t="s">
        <v>408</v>
      </c>
      <c r="B289" s="69" t="str">
        <f>VLOOKUP(A289,URS確認!$E:$F,2,FALSE)</f>
        <v>貸後契變手續費明細資料查詢</v>
      </c>
      <c r="C289" s="287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7" t="str">
        <f>VLOOKUP(A289,URS確認!E:I,5,FALSE)</f>
        <v>陳昱衡</v>
      </c>
      <c r="L289" s="287" t="s">
        <v>1465</v>
      </c>
    </row>
    <row r="290" spans="1:13" x14ac:dyDescent="0.3">
      <c r="A290" s="287" t="s">
        <v>771</v>
      </c>
      <c r="B290" s="69" t="str">
        <f>VLOOKUP(A290,URS確認!$E:$F,2,FALSE)</f>
        <v>銷帳歷史明細查詢</v>
      </c>
      <c r="C290" s="287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7" t="str">
        <f>VLOOKUP(A290,URS確認!E:I,5,FALSE)</f>
        <v>楊智誠</v>
      </c>
      <c r="L290" s="287" t="s">
        <v>1465</v>
      </c>
    </row>
    <row r="291" spans="1:13" ht="33" customHeight="1" x14ac:dyDescent="0.3">
      <c r="A291" s="287" t="s">
        <v>416</v>
      </c>
      <c r="B291" s="69" t="str">
        <f>VLOOKUP(A291,URS確認!$E:$F,2,FALSE)</f>
        <v xml:space="preserve">火險到期檔產生作業         </v>
      </c>
      <c r="C291" s="287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7" t="s">
        <v>166</v>
      </c>
      <c r="L291" s="287" t="s">
        <v>1465</v>
      </c>
    </row>
    <row r="292" spans="1:13" x14ac:dyDescent="0.3">
      <c r="A292" s="287" t="s">
        <v>416</v>
      </c>
      <c r="B292" s="69" t="str">
        <f>VLOOKUP(A292,URS確認!$E:$F,2,FALSE)</f>
        <v xml:space="preserve">火險到期檔產生作業         </v>
      </c>
      <c r="C292" s="287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7" t="s">
        <v>166</v>
      </c>
      <c r="L292" s="287" t="s">
        <v>1465</v>
      </c>
    </row>
    <row r="293" spans="1:13" ht="33" customHeight="1" x14ac:dyDescent="0.3">
      <c r="A293" s="287" t="s">
        <v>420</v>
      </c>
      <c r="B293" s="69" t="str">
        <f>VLOOKUP(A293,URS確認!$E:$F,2,FALSE)</f>
        <v xml:space="preserve">續約保單資料維護           </v>
      </c>
      <c r="C293" s="287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7" t="s">
        <v>166</v>
      </c>
      <c r="L293" s="287" t="s">
        <v>1465</v>
      </c>
    </row>
    <row r="294" spans="1:13" ht="66" customHeight="1" x14ac:dyDescent="0.3">
      <c r="A294" s="287" t="s">
        <v>420</v>
      </c>
      <c r="B294" s="69" t="str">
        <f>VLOOKUP(A294,URS確認!$E:$F,2,FALSE)</f>
        <v xml:space="preserve">續約保單資料維護           </v>
      </c>
      <c r="C294" s="287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7" t="s">
        <v>166</v>
      </c>
      <c r="L294" s="287" t="s">
        <v>1465</v>
      </c>
    </row>
    <row r="295" spans="1:13" x14ac:dyDescent="0.3">
      <c r="A295" s="287" t="s">
        <v>420</v>
      </c>
      <c r="B295" s="69" t="str">
        <f>VLOOKUP(A295,URS確認!$E:$F,2,FALSE)</f>
        <v xml:space="preserve">續約保單資料維護           </v>
      </c>
      <c r="C295" s="287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7" t="s">
        <v>166</v>
      </c>
      <c r="L295" s="287" t="s">
        <v>1465</v>
      </c>
    </row>
    <row r="296" spans="1:13" ht="49.5" customHeight="1" x14ac:dyDescent="0.3">
      <c r="A296" s="287" t="s">
        <v>418</v>
      </c>
      <c r="B296" s="69" t="str">
        <f>VLOOKUP(A296,URS確認!$E:$F,2,FALSE)</f>
        <v xml:space="preserve">火險詢價作業               </v>
      </c>
      <c r="C296" s="287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7" t="s">
        <v>166</v>
      </c>
      <c r="M296" s="287" t="s">
        <v>1481</v>
      </c>
    </row>
    <row r="297" spans="1:13" ht="49.5" customHeight="1" x14ac:dyDescent="0.3">
      <c r="A297" s="287" t="s">
        <v>424</v>
      </c>
      <c r="B297" s="69" t="str">
        <f>VLOOKUP(A297,URS確認!$E:$F,2,FALSE)</f>
        <v xml:space="preserve">火險通知作業               </v>
      </c>
      <c r="C297" s="287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7" t="s">
        <v>166</v>
      </c>
      <c r="M297" s="287" t="s">
        <v>1481</v>
      </c>
    </row>
    <row r="298" spans="1:13" x14ac:dyDescent="0.3">
      <c r="A298" s="287" t="s">
        <v>424</v>
      </c>
      <c r="B298" s="69" t="str">
        <f>VLOOKUP(A298,URS確認!$E:$F,2,FALSE)</f>
        <v xml:space="preserve">火險通知作業               </v>
      </c>
      <c r="C298" s="287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7" t="s">
        <v>166</v>
      </c>
      <c r="L298" s="287" t="s">
        <v>1465</v>
      </c>
    </row>
    <row r="299" spans="1:13" x14ac:dyDescent="0.3">
      <c r="B299" s="69" t="s">
        <v>1766</v>
      </c>
      <c r="C299" s="287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7" t="s">
        <v>166</v>
      </c>
      <c r="M299" s="287" t="s">
        <v>1481</v>
      </c>
    </row>
    <row r="300" spans="1:13" ht="33" customHeight="1" x14ac:dyDescent="0.3">
      <c r="B300" s="69" t="s">
        <v>1768</v>
      </c>
      <c r="C300" s="287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7" t="s">
        <v>166</v>
      </c>
      <c r="M300" s="287" t="s">
        <v>1481</v>
      </c>
    </row>
    <row r="301" spans="1:13" ht="33" customHeight="1" x14ac:dyDescent="0.3">
      <c r="A301" s="287" t="s">
        <v>438</v>
      </c>
      <c r="B301" s="69" t="str">
        <f>VLOOKUP(A301,URS確認!$E:$F,2,FALSE)</f>
        <v xml:space="preserve">產出銀行扣帳檔                       </v>
      </c>
      <c r="C301" s="287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7" t="s">
        <v>166</v>
      </c>
      <c r="L301" s="287" t="s">
        <v>1465</v>
      </c>
    </row>
    <row r="302" spans="1:13" ht="66" customHeight="1" x14ac:dyDescent="0.3">
      <c r="A302" s="287" t="s">
        <v>438</v>
      </c>
      <c r="B302" s="69" t="str">
        <f>VLOOKUP(A302,URS確認!$E:$F,2,FALSE)</f>
        <v xml:space="preserve">產出銀行扣帳檔                       </v>
      </c>
      <c r="C302" s="287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7" t="s">
        <v>166</v>
      </c>
      <c r="L302" s="287" t="s">
        <v>1465</v>
      </c>
    </row>
    <row r="303" spans="1:13" x14ac:dyDescent="0.3">
      <c r="A303" s="287" t="s">
        <v>438</v>
      </c>
      <c r="B303" s="69" t="str">
        <f>VLOOKUP(A303,URS確認!$E:$F,2,FALSE)</f>
        <v xml:space="preserve">產出銀行扣帳檔                       </v>
      </c>
      <c r="C303" s="287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7" t="s">
        <v>166</v>
      </c>
      <c r="M303" s="287" t="s">
        <v>1481</v>
      </c>
    </row>
    <row r="304" spans="1:13" x14ac:dyDescent="0.3">
      <c r="A304" s="287" t="s">
        <v>444</v>
      </c>
      <c r="B304" s="69" t="str">
        <f>VLOOKUP(A304,URS確認!$E:$F,2,FALSE)</f>
        <v xml:space="preserve">銀行扣款檔資料維護                   </v>
      </c>
      <c r="C304" s="287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7" t="s">
        <v>166</v>
      </c>
      <c r="M304" s="287" t="s">
        <v>1481</v>
      </c>
    </row>
    <row r="305" spans="1:16" ht="33" customHeight="1" x14ac:dyDescent="0.3">
      <c r="A305" s="287" t="s">
        <v>444</v>
      </c>
      <c r="B305" s="69" t="str">
        <f>VLOOKUP(A305,URS確認!$E:$F,2,FALSE)</f>
        <v xml:space="preserve">銀行扣款檔資料維護                   </v>
      </c>
      <c r="C305" s="287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7" t="s">
        <v>166</v>
      </c>
      <c r="M305" s="287" t="s">
        <v>1481</v>
      </c>
    </row>
    <row r="306" spans="1:16" ht="33" customHeight="1" x14ac:dyDescent="0.3">
      <c r="A306" s="287" t="s">
        <v>446</v>
      </c>
      <c r="B306" s="69" t="str">
        <f>VLOOKUP(A306,URS確認!$E:$F,2,FALSE)</f>
        <v xml:space="preserve">銀行扣款(媒體製作)                   </v>
      </c>
      <c r="C306" s="287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7" t="s">
        <v>166</v>
      </c>
      <c r="L306" s="287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7" t="s">
        <v>166</v>
      </c>
      <c r="J307" s="143"/>
      <c r="K307" s="143"/>
      <c r="L307" s="143"/>
      <c r="M307" s="287" t="s">
        <v>1481</v>
      </c>
      <c r="N307" s="143"/>
      <c r="O307" s="143"/>
      <c r="P307" s="143"/>
    </row>
    <row r="308" spans="1:16" ht="33" customHeight="1" x14ac:dyDescent="0.3">
      <c r="A308" s="287" t="s">
        <v>446</v>
      </c>
      <c r="B308" s="69" t="str">
        <f>VLOOKUP(A308,URS確認!$E:$F,2,FALSE)</f>
        <v xml:space="preserve">銀行扣款(媒體製作)                   </v>
      </c>
      <c r="C308" s="287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7" t="s">
        <v>166</v>
      </c>
      <c r="L308" s="287" t="s">
        <v>1465</v>
      </c>
    </row>
    <row r="309" spans="1:16" x14ac:dyDescent="0.3">
      <c r="A309" s="287" t="s">
        <v>448</v>
      </c>
      <c r="B309" s="69" t="str">
        <f>VLOOKUP(A309,URS確認!$E:$F,2,FALSE)</f>
        <v>銀扣扣款前通知</v>
      </c>
      <c r="C309" s="287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7" t="s">
        <v>166</v>
      </c>
      <c r="L309" s="287" t="s">
        <v>1465</v>
      </c>
    </row>
    <row r="310" spans="1:16" ht="33" customHeight="1" x14ac:dyDescent="0.3">
      <c r="A310" s="287" t="s">
        <v>441</v>
      </c>
      <c r="B310" s="69" t="str">
        <f>VLOOKUP(A310,URS確認!$E:$F,2,FALSE)</f>
        <v xml:space="preserve">銀行扣款檔資料查詢                   </v>
      </c>
      <c r="C310" s="287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7" t="s">
        <v>166</v>
      </c>
      <c r="L310" s="287" t="s">
        <v>1465</v>
      </c>
    </row>
    <row r="311" spans="1:16" x14ac:dyDescent="0.3">
      <c r="A311" s="287" t="s">
        <v>441</v>
      </c>
      <c r="B311" s="69" t="str">
        <f>VLOOKUP(A311,URS確認!$E:$F,2,FALSE)</f>
        <v xml:space="preserve">銀行扣款檔資料查詢                   </v>
      </c>
      <c r="C311" s="287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7" t="s">
        <v>166</v>
      </c>
      <c r="L311" s="287" t="s">
        <v>1465</v>
      </c>
    </row>
    <row r="312" spans="1:16" x14ac:dyDescent="0.3">
      <c r="A312" s="287" t="s">
        <v>441</v>
      </c>
      <c r="B312" s="69" t="str">
        <f>VLOOKUP(A312,URS確認!$E:$F,2,FALSE)</f>
        <v xml:space="preserve">銀行扣款檔資料查詢                   </v>
      </c>
      <c r="C312" s="287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7" t="s">
        <v>166</v>
      </c>
      <c r="L312" s="287" t="s">
        <v>1465</v>
      </c>
    </row>
    <row r="313" spans="1:16" ht="33" customHeight="1" x14ac:dyDescent="0.3">
      <c r="A313" s="287" t="s">
        <v>441</v>
      </c>
      <c r="B313" s="69" t="str">
        <f>VLOOKUP(A313,URS確認!$E:$F,2,FALSE)</f>
        <v xml:space="preserve">銀行扣款檔資料查詢                   </v>
      </c>
      <c r="C313" s="287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7" t="s">
        <v>166</v>
      </c>
      <c r="M313" s="287" t="s">
        <v>1488</v>
      </c>
    </row>
    <row r="314" spans="1:16" ht="99" customHeight="1" x14ac:dyDescent="0.3">
      <c r="A314" s="287" t="s">
        <v>441</v>
      </c>
      <c r="B314" s="69" t="str">
        <f>VLOOKUP(A314,URS確認!$E:$F,2,FALSE)</f>
        <v xml:space="preserve">銀行扣款檔資料查詢                   </v>
      </c>
      <c r="C314" s="287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7" t="s">
        <v>166</v>
      </c>
      <c r="L314" s="287" t="s">
        <v>1465</v>
      </c>
    </row>
    <row r="315" spans="1:16" x14ac:dyDescent="0.3">
      <c r="B315" s="69" t="s">
        <v>1782</v>
      </c>
      <c r="C315" s="287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7" t="s">
        <v>166</v>
      </c>
      <c r="M315" s="287" t="s">
        <v>1488</v>
      </c>
    </row>
    <row r="316" spans="1:16" ht="33" customHeight="1" x14ac:dyDescent="0.3">
      <c r="B316" s="69" t="s">
        <v>1782</v>
      </c>
      <c r="C316" s="287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7" t="s">
        <v>166</v>
      </c>
      <c r="M316" s="287" t="s">
        <v>1488</v>
      </c>
    </row>
    <row r="317" spans="1:16" x14ac:dyDescent="0.3">
      <c r="A317" s="287" t="s">
        <v>1785</v>
      </c>
      <c r="B317" s="69" t="s">
        <v>1768</v>
      </c>
      <c r="C317" s="287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7" t="s">
        <v>166</v>
      </c>
      <c r="L317" s="287" t="s">
        <v>1465</v>
      </c>
    </row>
    <row r="318" spans="1:16" x14ac:dyDescent="0.3">
      <c r="A318" s="287" t="s">
        <v>1785</v>
      </c>
      <c r="B318" s="69" t="s">
        <v>1768</v>
      </c>
      <c r="C318" s="287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7" t="s">
        <v>166</v>
      </c>
      <c r="M318" s="287" t="s">
        <v>1488</v>
      </c>
    </row>
    <row r="319" spans="1:16" x14ac:dyDescent="0.3">
      <c r="A319" s="287" t="s">
        <v>458</v>
      </c>
      <c r="B319" s="69" t="str">
        <f>VLOOKUP(A319,URS確認!$E:$F,2,FALSE)</f>
        <v>債權維護</v>
      </c>
      <c r="C319" s="287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7" t="str">
        <f>VLOOKUP(A319,URS確認!E:I,5,FALSE)</f>
        <v>蘇曉玲</v>
      </c>
      <c r="L319" s="287" t="s">
        <v>1465</v>
      </c>
    </row>
    <row r="320" spans="1:16" ht="34" customHeight="1" x14ac:dyDescent="0.3">
      <c r="A320" s="287" t="s">
        <v>458</v>
      </c>
      <c r="B320" s="69" t="str">
        <f>VLOOKUP(A320,URS確認!$E:$F,2,FALSE)</f>
        <v>債權維護</v>
      </c>
      <c r="C320" s="287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7" t="str">
        <f>VLOOKUP(A320,URS確認!E:I,5,FALSE)</f>
        <v>蘇曉玲</v>
      </c>
      <c r="L320" s="287" t="s">
        <v>1465</v>
      </c>
    </row>
    <row r="321" spans="1:13" x14ac:dyDescent="0.3">
      <c r="A321" s="287" t="s">
        <v>458</v>
      </c>
      <c r="B321" s="69" t="str">
        <f>VLOOKUP(A321,URS確認!$E:$F,2,FALSE)</f>
        <v>債權維護</v>
      </c>
      <c r="C321" s="287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7" t="str">
        <f>VLOOKUP(A321,URS確認!E:I,5,FALSE)</f>
        <v>蘇曉玲</v>
      </c>
      <c r="L321" s="287" t="s">
        <v>1465</v>
      </c>
    </row>
    <row r="322" spans="1:13" x14ac:dyDescent="0.3">
      <c r="A322" s="287" t="s">
        <v>458</v>
      </c>
      <c r="B322" s="69" t="str">
        <f>VLOOKUP(A322,URS確認!$E:$F,2,FALSE)</f>
        <v>債權維護</v>
      </c>
      <c r="C322" s="287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7" t="str">
        <f>VLOOKUP(A322,URS確認!E:I,5,FALSE)</f>
        <v>蘇曉玲</v>
      </c>
      <c r="L322" s="287" t="s">
        <v>1465</v>
      </c>
    </row>
    <row r="323" spans="1:13" x14ac:dyDescent="0.3">
      <c r="A323" s="287" t="s">
        <v>458</v>
      </c>
      <c r="B323" s="69" t="str">
        <f>VLOOKUP(A323,URS確認!$E:$F,2,FALSE)</f>
        <v>債權維護</v>
      </c>
      <c r="C323" s="287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7" t="str">
        <f>VLOOKUP(A323,URS確認!E:I,5,FALSE)</f>
        <v>蘇曉玲</v>
      </c>
      <c r="L323" s="287" t="s">
        <v>1465</v>
      </c>
    </row>
    <row r="324" spans="1:13" x14ac:dyDescent="0.3">
      <c r="A324" s="287" t="s">
        <v>458</v>
      </c>
      <c r="B324" s="69" t="str">
        <f>VLOOKUP(A324,URS確認!$E:$F,2,FALSE)</f>
        <v>債權維護</v>
      </c>
      <c r="C324" s="287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7" t="str">
        <f>VLOOKUP(A324,URS確認!E:I,5,FALSE)</f>
        <v>蘇曉玲</v>
      </c>
      <c r="L324" s="287" t="s">
        <v>1465</v>
      </c>
    </row>
    <row r="325" spans="1:13" x14ac:dyDescent="0.3">
      <c r="A325" s="287" t="s">
        <v>462</v>
      </c>
      <c r="B325" s="69" t="str">
        <f>VLOOKUP(A325,URS確認!$E:$F,2,FALSE)</f>
        <v xml:space="preserve">債務協商滯繳/應繳明細查詢             </v>
      </c>
      <c r="C325" s="287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7" t="str">
        <f>VLOOKUP(A325,URS確認!E:I,5,FALSE)</f>
        <v>蘇曉玲</v>
      </c>
      <c r="L325" s="287" t="s">
        <v>1465</v>
      </c>
    </row>
    <row r="326" spans="1:13" ht="33" customHeight="1" x14ac:dyDescent="0.3">
      <c r="A326" s="287" t="s">
        <v>462</v>
      </c>
      <c r="B326" s="69" t="str">
        <f>VLOOKUP(A326,URS確認!$E:$F,2,FALSE)</f>
        <v xml:space="preserve">債務協商滯繳/應繳明細查詢             </v>
      </c>
      <c r="C326" s="287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1">
        <v>44489</v>
      </c>
      <c r="I326" s="287" t="str">
        <f>VLOOKUP(A326,URS確認!E:I,5,FALSE)</f>
        <v>蘇曉玲</v>
      </c>
      <c r="M326" s="287" t="s">
        <v>1481</v>
      </c>
    </row>
    <row r="327" spans="1:13" x14ac:dyDescent="0.3">
      <c r="A327" s="287" t="s">
        <v>462</v>
      </c>
      <c r="B327" s="69" t="str">
        <f>VLOOKUP(A327,URS確認!$E:$F,2,FALSE)</f>
        <v xml:space="preserve">債務協商滯繳/應繳明細查詢             </v>
      </c>
      <c r="C327" s="287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7" t="str">
        <f>VLOOKUP(A327,URS確認!E:I,5,FALSE)</f>
        <v>蘇曉玲</v>
      </c>
      <c r="L327" s="287" t="s">
        <v>1465</v>
      </c>
    </row>
    <row r="328" spans="1:13" x14ac:dyDescent="0.3">
      <c r="A328" s="287" t="s">
        <v>456</v>
      </c>
      <c r="B328" s="69" t="str">
        <f>VLOOKUP(A328,URS確認!$E:$F,2,FALSE)</f>
        <v>債權案件明細查詢</v>
      </c>
      <c r="C328" s="287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7" t="str">
        <f>VLOOKUP(A328,URS確認!E:I,5,FALSE)</f>
        <v>蘇曉玲</v>
      </c>
      <c r="L328" s="287" t="s">
        <v>1465</v>
      </c>
    </row>
    <row r="329" spans="1:13" x14ac:dyDescent="0.3">
      <c r="A329" s="287" t="s">
        <v>468</v>
      </c>
      <c r="B329" s="69" t="str">
        <f>VLOOKUP(A329,URS確認!$E:$F,2,FALSE)</f>
        <v xml:space="preserve">期款試算                              </v>
      </c>
      <c r="C329" s="287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7" t="str">
        <f>VLOOKUP(A329,URS確認!E:I,5,FALSE)</f>
        <v>蘇曉玲</v>
      </c>
      <c r="L329" s="287" t="s">
        <v>1465</v>
      </c>
    </row>
    <row r="330" spans="1:13" ht="33" customHeight="1" x14ac:dyDescent="0.3">
      <c r="A330" s="287" t="s">
        <v>472</v>
      </c>
      <c r="B330" s="69" t="str">
        <f>VLOOKUP(A330,URS確認!$E:$F,2,FALSE)</f>
        <v>債務協商作業-整批處理</v>
      </c>
      <c r="C330" s="287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7" t="str">
        <f>VLOOKUP(A330,URS確認!E:I,5,FALSE)</f>
        <v>蘇曉玲</v>
      </c>
      <c r="M330" s="287" t="s">
        <v>1481</v>
      </c>
    </row>
    <row r="331" spans="1:13" x14ac:dyDescent="0.3">
      <c r="A331" s="287" t="s">
        <v>501</v>
      </c>
      <c r="B331" s="69" t="str">
        <f>VLOOKUP(A331,URS確認!$E:$F,2,FALSE)</f>
        <v xml:space="preserve">最大債權撥付回覆檔檢核                </v>
      </c>
      <c r="C331" s="287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7" t="str">
        <f>VLOOKUP(A331,URS確認!E:I,5,FALSE)</f>
        <v>蘇曉玲</v>
      </c>
      <c r="L331" s="287" t="s">
        <v>1465</v>
      </c>
    </row>
    <row r="332" spans="1:13" x14ac:dyDescent="0.3">
      <c r="A332" s="287" t="s">
        <v>503</v>
      </c>
      <c r="B332" s="69" t="str">
        <f>VLOOKUP(A332,URS確認!$E:$F,2,FALSE)</f>
        <v xml:space="preserve">一般債權撥付資料檢核                  </v>
      </c>
      <c r="C332" s="287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7" t="str">
        <f>VLOOKUP(A332,URS確認!E:I,5,FALSE)</f>
        <v>蘇曉玲</v>
      </c>
      <c r="L332" s="287" t="s">
        <v>1465</v>
      </c>
    </row>
    <row r="333" spans="1:13" ht="33" customHeight="1" x14ac:dyDescent="0.3">
      <c r="A333" s="287" t="s">
        <v>456</v>
      </c>
      <c r="B333" s="69" t="str">
        <f>VLOOKUP(A333,URS確認!$E:$F,2,FALSE)</f>
        <v>債權案件明細查詢</v>
      </c>
      <c r="C333" s="287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7" t="str">
        <f>VLOOKUP(A333,URS確認!E:I,5,FALSE)</f>
        <v>蘇曉玲</v>
      </c>
      <c r="M333" s="287" t="s">
        <v>1481</v>
      </c>
    </row>
    <row r="334" spans="1:13" x14ac:dyDescent="0.3">
      <c r="A334" s="287" t="s">
        <v>479</v>
      </c>
      <c r="B334" s="69" t="str">
        <f>VLOOKUP(A334,URS確認!$E:$F,2,FALSE)</f>
        <v xml:space="preserve">債務協商交易資料查詢                  </v>
      </c>
      <c r="C334" s="287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7" t="str">
        <f>VLOOKUP(A334,URS確認!E:I,5,FALSE)</f>
        <v>蘇曉玲</v>
      </c>
      <c r="L334" s="287" t="s">
        <v>1465</v>
      </c>
    </row>
    <row r="335" spans="1:13" ht="66" customHeight="1" x14ac:dyDescent="0.3">
      <c r="A335" s="287" t="s">
        <v>479</v>
      </c>
      <c r="B335" s="69" t="str">
        <f>VLOOKUP(A335,URS確認!$E:$F,2,FALSE)</f>
        <v xml:space="preserve">債務協商交易資料查詢                  </v>
      </c>
      <c r="C335" s="287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7" t="str">
        <f>VLOOKUP(A335,URS確認!E:I,5,FALSE)</f>
        <v>蘇曉玲</v>
      </c>
      <c r="M335" s="287" t="s">
        <v>1481</v>
      </c>
    </row>
    <row r="336" spans="1:13" x14ac:dyDescent="0.3">
      <c r="A336" s="287" t="s">
        <v>510</v>
      </c>
      <c r="B336" s="69" t="str">
        <f>VLOOKUP(A336,URS確認!$E:$F,2,FALSE)</f>
        <v>單位及主管代號維護</v>
      </c>
      <c r="C336" s="287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7" t="str">
        <f>VLOOKUP(A336,URS確認!E:I,5,FALSE)</f>
        <v>楊智誠</v>
      </c>
      <c r="L336" s="287" t="s">
        <v>1465</v>
      </c>
    </row>
    <row r="337" spans="1:12" x14ac:dyDescent="0.3">
      <c r="A337" s="287" t="s">
        <v>510</v>
      </c>
      <c r="B337" s="69" t="str">
        <f>VLOOKUP(A337,URS確認!$E:$F,2,FALSE)</f>
        <v>單位及主管代號維護</v>
      </c>
      <c r="C337" s="287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7" t="str">
        <f>VLOOKUP(A337,URS確認!E:I,5,FALSE)</f>
        <v>楊智誠</v>
      </c>
      <c r="L337" s="287" t="s">
        <v>1465</v>
      </c>
    </row>
    <row r="338" spans="1:12" x14ac:dyDescent="0.3">
      <c r="A338" s="287" t="s">
        <v>505</v>
      </c>
      <c r="B338" s="69" t="str">
        <f>VLOOKUP(A338,URS確認!$E:$F,2,FALSE)</f>
        <v>單位及主管代號查詢</v>
      </c>
      <c r="C338" s="287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7" t="str">
        <f>VLOOKUP(A338,URS確認!E:I,5,FALSE)</f>
        <v>楊智誠</v>
      </c>
      <c r="L338" s="287" t="s">
        <v>1465</v>
      </c>
    </row>
    <row r="339" spans="1:12" x14ac:dyDescent="0.3">
      <c r="A339" s="287" t="s">
        <v>505</v>
      </c>
      <c r="B339" s="69" t="str">
        <f>VLOOKUP(A339,URS確認!$E:$F,2,FALSE)</f>
        <v>單位及主管代號查詢</v>
      </c>
      <c r="C339" s="287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7" t="str">
        <f>VLOOKUP(A339,URS確認!E:I,5,FALSE)</f>
        <v>楊智誠</v>
      </c>
      <c r="L339" s="287" t="s">
        <v>1465</v>
      </c>
    </row>
    <row r="340" spans="1:12" x14ac:dyDescent="0.3">
      <c r="A340" s="287" t="s">
        <v>505</v>
      </c>
      <c r="B340" s="69" t="str">
        <f>VLOOKUP(A340,URS確認!$E:$F,2,FALSE)</f>
        <v>單位及主管代號查詢</v>
      </c>
      <c r="C340" s="287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7" t="str">
        <f>VLOOKUP(A340,URS確認!E:I,5,FALSE)</f>
        <v>楊智誠</v>
      </c>
      <c r="L340" s="287" t="s">
        <v>1465</v>
      </c>
    </row>
    <row r="341" spans="1:12" ht="49.5" customHeight="1" x14ac:dyDescent="0.3">
      <c r="A341" s="287" t="s">
        <v>512</v>
      </c>
      <c r="B341" s="69" t="str">
        <f>VLOOKUP(A341,URS確認!$E:$F,2,FALSE)</f>
        <v>單位代號查詢</v>
      </c>
      <c r="C341" s="287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7" t="str">
        <f>VLOOKUP(A341,URS確認!E:I,5,FALSE)</f>
        <v>楊智誠</v>
      </c>
      <c r="L341" s="287" t="s">
        <v>1465</v>
      </c>
    </row>
    <row r="342" spans="1:12" x14ac:dyDescent="0.3">
      <c r="A342" s="287" t="s">
        <v>518</v>
      </c>
      <c r="B342" s="69" t="str">
        <f>VLOOKUP(A342,URS確認!$E:$F,2,FALSE)</f>
        <v>各類代碼檔查詢</v>
      </c>
      <c r="C342" s="287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7" t="str">
        <f>VLOOKUP(A342,URS確認!E:I,5,FALSE)</f>
        <v>楊智誠</v>
      </c>
      <c r="L342" s="287" t="s">
        <v>1465</v>
      </c>
    </row>
    <row r="343" spans="1:12" x14ac:dyDescent="0.3">
      <c r="A343" s="287" t="s">
        <v>518</v>
      </c>
      <c r="B343" s="69" t="str">
        <f>VLOOKUP(A343,URS確認!$E:$F,2,FALSE)</f>
        <v>各類代碼檔查詢</v>
      </c>
      <c r="C343" s="287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7" t="str">
        <f>VLOOKUP(A343,URS確認!E:I,5,FALSE)</f>
        <v>楊智誠</v>
      </c>
      <c r="L343" s="287" t="s">
        <v>1465</v>
      </c>
    </row>
    <row r="344" spans="1:12" x14ac:dyDescent="0.3">
      <c r="A344" s="287" t="s">
        <v>520</v>
      </c>
      <c r="B344" s="69" t="str">
        <f>VLOOKUP(A344,URS確認!$E:$F,2,FALSE)</f>
        <v>各類代碼檔維護</v>
      </c>
      <c r="C344" s="287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7" t="str">
        <f>VLOOKUP(A344,URS確認!E:I,5,FALSE)</f>
        <v>楊智誠</v>
      </c>
      <c r="L344" s="287" t="s">
        <v>1465</v>
      </c>
    </row>
    <row r="345" spans="1:12" x14ac:dyDescent="0.3">
      <c r="A345" s="287" t="s">
        <v>514</v>
      </c>
      <c r="B345" s="69" t="str">
        <f>VLOOKUP(A345,URS確認!$E:$F,2,FALSE)</f>
        <v>特殊/例假日查詢</v>
      </c>
      <c r="C345" s="287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7" t="str">
        <f>VLOOKUP(A345,URS確認!E:I,5,FALSE)</f>
        <v>楊智誠</v>
      </c>
      <c r="L345" s="287" t="s">
        <v>1465</v>
      </c>
    </row>
    <row r="346" spans="1:12" x14ac:dyDescent="0.3">
      <c r="A346" s="287" t="s">
        <v>560</v>
      </c>
      <c r="B346" s="69" t="str">
        <f>VLOOKUP(A346,URS確認!$E:$F,2,FALSE)</f>
        <v>地區別資料查詢</v>
      </c>
      <c r="C346" s="287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7" t="str">
        <f>VLOOKUP(A346,URS確認!E:I,5,FALSE)</f>
        <v>楊智誠</v>
      </c>
      <c r="L346" s="287" t="s">
        <v>1465</v>
      </c>
    </row>
    <row r="347" spans="1:12" x14ac:dyDescent="0.3">
      <c r="A347" s="287" t="s">
        <v>562</v>
      </c>
      <c r="B347" s="69" t="str">
        <f>VLOOKUP(A347,URS確認!$E:$F,2,FALSE)</f>
        <v>地區別資料維護</v>
      </c>
      <c r="C347" s="287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7" t="str">
        <f>VLOOKUP(A347,URS確認!E:I,5,FALSE)</f>
        <v>楊智誠</v>
      </c>
      <c r="L347" s="287" t="s">
        <v>1465</v>
      </c>
    </row>
    <row r="348" spans="1:12" x14ac:dyDescent="0.3">
      <c r="A348" s="287" t="s">
        <v>550</v>
      </c>
      <c r="B348" s="69" t="str">
        <f>VLOOKUP(A348,URS確認!$E:$F,2,FALSE)</f>
        <v>聯徵報送-地區別資料查詢</v>
      </c>
      <c r="C348" s="287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7" t="str">
        <f>VLOOKUP(A348,URS確認!E:I,5,FALSE)</f>
        <v>楊智誠</v>
      </c>
      <c r="L348" s="287" t="s">
        <v>1465</v>
      </c>
    </row>
    <row r="349" spans="1:12" x14ac:dyDescent="0.3">
      <c r="A349" s="287" t="s">
        <v>550</v>
      </c>
      <c r="B349" s="69" t="str">
        <f>VLOOKUP(A349,URS確認!$E:$F,2,FALSE)</f>
        <v>聯徵報送-地區別資料查詢</v>
      </c>
      <c r="C349" s="287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7" t="str">
        <f>VLOOKUP(A349,URS確認!E:I,5,FALSE)</f>
        <v>楊智誠</v>
      </c>
      <c r="L349" s="287" t="s">
        <v>1465</v>
      </c>
    </row>
    <row r="350" spans="1:12" x14ac:dyDescent="0.3">
      <c r="A350" s="287" t="s">
        <v>554</v>
      </c>
      <c r="B350" s="69" t="str">
        <f>VLOOKUP(A350,URS確認!$E:$F,2,FALSE)</f>
        <v>聯徵報送-地區別資料維護</v>
      </c>
      <c r="C350" s="287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7" t="str">
        <f>VLOOKUP(A350,URS確認!E:I,5,FALSE)</f>
        <v>楊智誠</v>
      </c>
      <c r="L350" s="287" t="s">
        <v>1465</v>
      </c>
    </row>
    <row r="351" spans="1:12" x14ac:dyDescent="0.3">
      <c r="A351" s="287" t="s">
        <v>554</v>
      </c>
      <c r="B351" s="69" t="str">
        <f>VLOOKUP(A351,URS確認!$E:$F,2,FALSE)</f>
        <v>聯徵報送-地區別資料維護</v>
      </c>
      <c r="C351" s="287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7" t="str">
        <f>VLOOKUP(A351,URS確認!E:I,5,FALSE)</f>
        <v>楊智誠</v>
      </c>
      <c r="L351" s="287" t="s">
        <v>1465</v>
      </c>
    </row>
    <row r="352" spans="1:12" x14ac:dyDescent="0.3">
      <c r="A352" s="287" t="s">
        <v>554</v>
      </c>
      <c r="B352" s="69" t="str">
        <f>VLOOKUP(A352,URS確認!$E:$F,2,FALSE)</f>
        <v>聯徵報送-地區別資料維護</v>
      </c>
      <c r="C352" s="287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7" t="str">
        <f>VLOOKUP(A352,URS確認!E:I,5,FALSE)</f>
        <v>楊智誠</v>
      </c>
      <c r="L352" s="287" t="s">
        <v>1465</v>
      </c>
    </row>
    <row r="353" spans="1:13" x14ac:dyDescent="0.3">
      <c r="A353" s="287" t="s">
        <v>554</v>
      </c>
      <c r="B353" s="69" t="str">
        <f>VLOOKUP(A353,URS確認!$E:$F,2,FALSE)</f>
        <v>聯徵報送-地區別資料維護</v>
      </c>
      <c r="C353" s="287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7" t="str">
        <f>VLOOKUP(A353,URS確認!E:I,5,FALSE)</f>
        <v>楊智誠</v>
      </c>
      <c r="L353" s="287" t="s">
        <v>1465</v>
      </c>
    </row>
    <row r="354" spans="1:13" x14ac:dyDescent="0.3">
      <c r="A354" s="287" t="s">
        <v>108</v>
      </c>
      <c r="B354" s="69" t="str">
        <f>VLOOKUP(A354,URS確認!$E:$F,2,FALSE)</f>
        <v>顧客明細資料查詢</v>
      </c>
      <c r="C354" s="287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7" t="str">
        <f>VLOOKUP(A354,URS確認!E:I,5,FALSE)</f>
        <v>張金龍</v>
      </c>
      <c r="L354" s="287" t="s">
        <v>1465</v>
      </c>
    </row>
    <row r="355" spans="1:13" ht="33" customHeight="1" x14ac:dyDescent="0.3">
      <c r="A355" s="287" t="s">
        <v>1095</v>
      </c>
      <c r="B355" s="69" t="str">
        <f>VLOOKUP(A355,URS確認!$E:$F,2,FALSE)</f>
        <v>使用者資料維護</v>
      </c>
      <c r="C355" s="287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7" t="str">
        <f>VLOOKUP(A355,URS確認!E:I,5,FALSE)</f>
        <v>楊智誠</v>
      </c>
      <c r="L355" s="287" t="s">
        <v>1465</v>
      </c>
    </row>
    <row r="356" spans="1:13" x14ac:dyDescent="0.3">
      <c r="A356" s="287" t="s">
        <v>584</v>
      </c>
      <c r="B356" s="69" t="str">
        <f>VLOOKUP(A356,URS確認!$E:$F,2,FALSE)</f>
        <v>保險/鑑定公司資料維護</v>
      </c>
      <c r="C356" s="287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7" t="str">
        <f>VLOOKUP(A356,URS確認!E:I,5,FALSE)</f>
        <v>楊智誠</v>
      </c>
      <c r="L356" s="287" t="s">
        <v>1465</v>
      </c>
    </row>
    <row r="357" spans="1:13" x14ac:dyDescent="0.3">
      <c r="A357" s="287" t="s">
        <v>592</v>
      </c>
      <c r="B357" s="69" t="str">
        <f>VLOOKUP(A357,URS確認!$E:$F,2,FALSE)</f>
        <v>會計變動數值設定查詢</v>
      </c>
      <c r="C357" s="287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7" t="str">
        <f>VLOOKUP(A357,URS確認!E:I,5,FALSE)</f>
        <v>楊智誠</v>
      </c>
      <c r="L357" s="287" t="s">
        <v>1465</v>
      </c>
    </row>
    <row r="358" spans="1:13" x14ac:dyDescent="0.3">
      <c r="A358" s="287" t="s">
        <v>594</v>
      </c>
      <c r="B358" s="69" t="str">
        <f>VLOOKUP(A358,URS確認!$E:$F,2,FALSE)</f>
        <v>會計變動數值設定</v>
      </c>
      <c r="C358" s="287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7" t="str">
        <f>VLOOKUP(A358,URS確認!E:I,5,FALSE)</f>
        <v>楊智誠</v>
      </c>
      <c r="L358" s="287" t="s">
        <v>1465</v>
      </c>
    </row>
    <row r="359" spans="1:13" ht="66" customHeight="1" x14ac:dyDescent="0.3">
      <c r="A359" s="287" t="s">
        <v>601</v>
      </c>
      <c r="B359" s="69" t="str">
        <f>VLOOKUP(A359,URS確認!$E:$F,2,FALSE)</f>
        <v>產出員工扣薪明細檔</v>
      </c>
      <c r="C359" s="287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7" t="s">
        <v>166</v>
      </c>
      <c r="M359" s="287" t="s">
        <v>1481</v>
      </c>
    </row>
    <row r="360" spans="1:13" x14ac:dyDescent="0.3">
      <c r="A360" s="287" t="s">
        <v>601</v>
      </c>
      <c r="B360" s="69" t="str">
        <f>VLOOKUP(A360,URS確認!$E:$F,2,FALSE)</f>
        <v>產出員工扣薪明細檔</v>
      </c>
      <c r="C360" s="287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7" t="s">
        <v>166</v>
      </c>
      <c r="L360" s="287" t="s">
        <v>1465</v>
      </c>
    </row>
    <row r="361" spans="1:13" ht="49.5" customHeight="1" x14ac:dyDescent="0.3">
      <c r="A361" s="287" t="s">
        <v>601</v>
      </c>
      <c r="B361" s="69" t="str">
        <f>VLOOKUP(A361,URS確認!$E:$F,2,FALSE)</f>
        <v>產出員工扣薪明細檔</v>
      </c>
      <c r="C361" s="287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7" t="s">
        <v>166</v>
      </c>
      <c r="L361" s="287" t="s">
        <v>1465</v>
      </c>
    </row>
    <row r="362" spans="1:13" x14ac:dyDescent="0.3">
      <c r="A362" s="287" t="s">
        <v>601</v>
      </c>
      <c r="B362" s="69" t="str">
        <f>VLOOKUP(A362,URS確認!$E:$F,2,FALSE)</f>
        <v>產出員工扣薪明細檔</v>
      </c>
      <c r="C362" s="287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7" t="s">
        <v>166</v>
      </c>
      <c r="L362" s="287" t="s">
        <v>1465</v>
      </c>
    </row>
    <row r="363" spans="1:13" ht="33" customHeight="1" x14ac:dyDescent="0.3">
      <c r="A363" s="287" t="s">
        <v>609</v>
      </c>
      <c r="B363" s="69" t="str">
        <f>VLOOKUP(A363,URS確認!$E:$F,2,FALSE)</f>
        <v xml:space="preserve">入帳檔上傳作業                       </v>
      </c>
      <c r="C363" s="287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7" t="s">
        <v>166</v>
      </c>
      <c r="L363" s="287" t="s">
        <v>1465</v>
      </c>
    </row>
    <row r="364" spans="1:13" ht="115.5" customHeight="1" x14ac:dyDescent="0.3">
      <c r="A364" s="287" t="s">
        <v>609</v>
      </c>
      <c r="B364" s="69" t="str">
        <f>VLOOKUP(A364,URS確認!$E:$F,2,FALSE)</f>
        <v xml:space="preserve">入帳檔上傳作業                       </v>
      </c>
      <c r="C364" s="287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7" t="s">
        <v>166</v>
      </c>
      <c r="L364" s="287" t="s">
        <v>1465</v>
      </c>
    </row>
    <row r="365" spans="1:13" ht="49.5" customHeight="1" x14ac:dyDescent="0.3">
      <c r="A365" s="287" t="s">
        <v>607</v>
      </c>
      <c r="B365" s="69" t="str">
        <f>VLOOKUP(A365,URS確認!$E:$F,2,FALSE)</f>
        <v>產出員工扣薪媒體檔</v>
      </c>
      <c r="C365" s="287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7" t="s">
        <v>166</v>
      </c>
      <c r="L365" s="287" t="s">
        <v>1465</v>
      </c>
    </row>
    <row r="366" spans="1:13" x14ac:dyDescent="0.3">
      <c r="A366" s="287" t="s">
        <v>612</v>
      </c>
      <c r="B366" s="69" t="str">
        <f>VLOOKUP(A366,URS確認!$E:$F,2,FALSE)</f>
        <v>產生員工扣薪報表</v>
      </c>
      <c r="C366" s="287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7" t="s">
        <v>166</v>
      </c>
      <c r="L366" s="287" t="s">
        <v>1465</v>
      </c>
    </row>
    <row r="367" spans="1:13" ht="49.5" customHeight="1" x14ac:dyDescent="0.3">
      <c r="A367" s="287" t="s">
        <v>612</v>
      </c>
      <c r="B367" s="74" t="str">
        <f>VLOOKUP(A367,URS確認!$E:$F,2,FALSE)</f>
        <v>產生員工扣薪報表</v>
      </c>
      <c r="C367" s="287">
        <v>2</v>
      </c>
      <c r="D367" s="74" t="s">
        <v>1831</v>
      </c>
      <c r="E367" s="71">
        <v>44468</v>
      </c>
      <c r="F367" s="71">
        <v>44545</v>
      </c>
      <c r="I367" s="287" t="s">
        <v>166</v>
      </c>
      <c r="M367" s="287" t="s">
        <v>1481</v>
      </c>
    </row>
    <row r="368" spans="1:13" x14ac:dyDescent="0.3">
      <c r="A368" s="287" t="s">
        <v>764</v>
      </c>
      <c r="B368" s="69" t="str">
        <f>VLOOKUP(A368,URS確認!$E:$F,2,FALSE)</f>
        <v>日結明細查詢</v>
      </c>
      <c r="C368" s="287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7" t="str">
        <f>VLOOKUP(A368,URS確認!E:I,5,FALSE)</f>
        <v>楊智誠</v>
      </c>
      <c r="L368" s="287" t="s">
        <v>1465</v>
      </c>
    </row>
    <row r="369" spans="1:13" ht="33" customHeight="1" x14ac:dyDescent="0.3">
      <c r="B369" s="69" t="s">
        <v>1833</v>
      </c>
      <c r="C369" s="287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7" t="s">
        <v>166</v>
      </c>
      <c r="L369" s="287" t="s">
        <v>1465</v>
      </c>
    </row>
    <row r="370" spans="1:13" ht="49.5" customHeight="1" x14ac:dyDescent="0.3">
      <c r="B370" s="69" t="s">
        <v>1833</v>
      </c>
      <c r="C370" s="287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7" t="s">
        <v>166</v>
      </c>
      <c r="L370" s="287" t="s">
        <v>1465</v>
      </c>
    </row>
    <row r="371" spans="1:13" x14ac:dyDescent="0.3">
      <c r="A371" s="287" t="s">
        <v>609</v>
      </c>
      <c r="B371" s="69" t="str">
        <f>VLOOKUP(A371,URS確認!$E:$F,2,FALSE)</f>
        <v xml:space="preserve">入帳檔上傳作業                       </v>
      </c>
      <c r="C371" s="287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7" t="s">
        <v>166</v>
      </c>
    </row>
    <row r="372" spans="1:13" x14ac:dyDescent="0.3">
      <c r="A372" s="287" t="s">
        <v>347</v>
      </c>
      <c r="B372" s="69" t="str">
        <f>VLOOKUP(A372,URS確認!$E:$F,2,FALSE)</f>
        <v xml:space="preserve">應處理清單      </v>
      </c>
      <c r="C372" s="287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7" t="str">
        <f>VLOOKUP(A372,URS確認!E:I,5,FALSE)</f>
        <v>余家興</v>
      </c>
      <c r="L372" s="287" t="s">
        <v>1465</v>
      </c>
    </row>
    <row r="373" spans="1:13" x14ac:dyDescent="0.3">
      <c r="A373" s="287" t="s">
        <v>347</v>
      </c>
      <c r="B373" s="69" t="str">
        <f>VLOOKUP(A373,URS確認!$E:$F,2,FALSE)</f>
        <v xml:space="preserve">應處理清單      </v>
      </c>
      <c r="C373" s="287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7" t="str">
        <f>VLOOKUP(A373,URS確認!E:I,5,FALSE)</f>
        <v>余家興</v>
      </c>
      <c r="L373" s="287" t="s">
        <v>1465</v>
      </c>
    </row>
    <row r="374" spans="1:13" x14ac:dyDescent="0.3">
      <c r="A374" s="287" t="s">
        <v>704</v>
      </c>
      <c r="B374" s="69" t="str">
        <f>VLOOKUP(A374,URS確認!$E:$F,2,FALSE)</f>
        <v xml:space="preserve">法拍費用明細資料查詢              </v>
      </c>
      <c r="C374" s="287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7" t="str">
        <f>VLOOKUP(A374,URS確認!E:I,5,FALSE)</f>
        <v>陳昱衡</v>
      </c>
      <c r="L374" s="287" t="s">
        <v>1465</v>
      </c>
    </row>
    <row r="375" spans="1:13" ht="33" customHeight="1" x14ac:dyDescent="0.3">
      <c r="A375" s="287" t="s">
        <v>680</v>
      </c>
      <c r="B375" s="69" t="str">
        <f>VLOOKUP(A375,URS確認!$E:$F,2,FALSE)</f>
        <v xml:space="preserve">約定部分償還登錄         </v>
      </c>
      <c r="C375" s="287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7" t="str">
        <f>VLOOKUP(A375,URS確認!E:I,5,FALSE)</f>
        <v>余家興</v>
      </c>
      <c r="M375" s="287" t="s">
        <v>1481</v>
      </c>
    </row>
    <row r="376" spans="1:13" x14ac:dyDescent="0.4">
      <c r="A376" s="287" t="s">
        <v>680</v>
      </c>
      <c r="B376" s="69" t="str">
        <f>VLOOKUP(A376,URS確認!$E:$F,2,FALSE)</f>
        <v xml:space="preserve">約定部分償還登錄         </v>
      </c>
      <c r="C376" s="287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7" t="str">
        <f>VLOOKUP(A376,URS確認!E:I,5,FALSE)</f>
        <v>余家興</v>
      </c>
      <c r="M376" s="287" t="s">
        <v>1481</v>
      </c>
    </row>
    <row r="377" spans="1:13" ht="33" customHeight="1" x14ac:dyDescent="0.4">
      <c r="A377" s="287" t="s">
        <v>680</v>
      </c>
      <c r="B377" s="69" t="str">
        <f>VLOOKUP(A377,URS確認!$E:$F,2,FALSE)</f>
        <v xml:space="preserve">約定部分償還登錄         </v>
      </c>
      <c r="C377" s="287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7" t="str">
        <f>VLOOKUP(A377,URS確認!E:I,5,FALSE)</f>
        <v>余家興</v>
      </c>
      <c r="M377" s="287" t="s">
        <v>1481</v>
      </c>
    </row>
    <row r="378" spans="1:13" ht="264" customHeight="1" x14ac:dyDescent="0.4">
      <c r="A378" s="287" t="s">
        <v>680</v>
      </c>
      <c r="B378" s="69" t="str">
        <f>VLOOKUP(A378,URS確認!$E:$F,2,FALSE)</f>
        <v xml:space="preserve">約定部分償還登錄         </v>
      </c>
      <c r="C378" s="287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7" t="str">
        <f>VLOOKUP(A378,URS確認!E:I,5,FALSE)</f>
        <v>余家興</v>
      </c>
      <c r="M378" s="287" t="s">
        <v>1481</v>
      </c>
    </row>
    <row r="379" spans="1:13" ht="66" customHeight="1" x14ac:dyDescent="0.4">
      <c r="A379" s="287" t="s">
        <v>619</v>
      </c>
      <c r="B379" s="69" t="str">
        <f>VLOOKUP(A379,URS確認!$E:$F,2,FALSE)</f>
        <v xml:space="preserve">整批入帳作業                         </v>
      </c>
      <c r="C379" s="287">
        <v>1</v>
      </c>
      <c r="D379" s="204" t="s">
        <v>2874</v>
      </c>
      <c r="E379" s="71">
        <v>44481</v>
      </c>
      <c r="F379" s="71">
        <v>44512</v>
      </c>
      <c r="G379" s="71">
        <v>44512</v>
      </c>
      <c r="H379" s="71">
        <v>44512</v>
      </c>
      <c r="I379" s="287" t="s">
        <v>166</v>
      </c>
      <c r="M379" s="287" t="s">
        <v>1481</v>
      </c>
    </row>
    <row r="380" spans="1:13" x14ac:dyDescent="0.4">
      <c r="A380" s="287" t="s">
        <v>619</v>
      </c>
      <c r="B380" s="69" t="str">
        <f>VLOOKUP(A380,URS確認!$E:$F,2,FALSE)</f>
        <v xml:space="preserve">整批入帳作業                         </v>
      </c>
      <c r="C380" s="287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7" t="s">
        <v>166</v>
      </c>
      <c r="L380" s="287" t="s">
        <v>1465</v>
      </c>
    </row>
    <row r="381" spans="1:13" x14ac:dyDescent="0.4">
      <c r="A381" s="287" t="s">
        <v>619</v>
      </c>
      <c r="B381" s="69" t="str">
        <f>VLOOKUP(A381,URS確認!$E:$F,2,FALSE)</f>
        <v xml:space="preserve">整批入帳作業                         </v>
      </c>
      <c r="C381" s="287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7" t="s">
        <v>166</v>
      </c>
      <c r="L381" s="287" t="s">
        <v>1465</v>
      </c>
    </row>
    <row r="382" spans="1:13" ht="33" customHeight="1" x14ac:dyDescent="0.4">
      <c r="A382" s="287" t="s">
        <v>647</v>
      </c>
      <c r="B382" s="69" t="str">
        <f>VLOOKUP(A382,URS確認!$E:$F,2,FALSE)</f>
        <v xml:space="preserve">其他還款來源建檔                     </v>
      </c>
      <c r="C382" s="287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7" t="s">
        <v>166</v>
      </c>
      <c r="L382" s="287" t="s">
        <v>1465</v>
      </c>
    </row>
    <row r="383" spans="1:13" x14ac:dyDescent="0.4">
      <c r="A383" s="287" t="s">
        <v>651</v>
      </c>
      <c r="B383" s="69" t="str">
        <f>VLOOKUP(A383,URS確認!$E:$F,2,FALSE)</f>
        <v>匯款轉帳-明細維護</v>
      </c>
      <c r="C383" s="287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7" t="s">
        <v>166</v>
      </c>
      <c r="L383" s="287" t="s">
        <v>1465</v>
      </c>
    </row>
    <row r="384" spans="1:13" x14ac:dyDescent="0.4">
      <c r="A384" s="287" t="s">
        <v>651</v>
      </c>
      <c r="B384" s="69" t="str">
        <f>VLOOKUP(A384,URS確認!$E:$F,2,FALSE)</f>
        <v>匯款轉帳-明細維護</v>
      </c>
      <c r="C384" s="287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7" t="s">
        <v>166</v>
      </c>
      <c r="L384" s="287" t="s">
        <v>1465</v>
      </c>
    </row>
    <row r="385" spans="1:13" x14ac:dyDescent="0.4">
      <c r="A385" s="287" t="s">
        <v>626</v>
      </c>
      <c r="B385" s="69" t="str">
        <f>VLOOKUP(A385,URS確認!$E:$F,2,FALSE)</f>
        <v>整批入帳明細查詢</v>
      </c>
      <c r="C385" s="287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7" t="s">
        <v>166</v>
      </c>
      <c r="L385" s="287" t="s">
        <v>1465</v>
      </c>
    </row>
    <row r="386" spans="1:13" x14ac:dyDescent="0.4">
      <c r="A386" s="287" t="s">
        <v>626</v>
      </c>
      <c r="B386" s="69" t="str">
        <f>VLOOKUP(A386,URS確認!$E:$F,2,FALSE)</f>
        <v>整批入帳明細查詢</v>
      </c>
      <c r="C386" s="287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7" t="s">
        <v>166</v>
      </c>
      <c r="L386" s="287" t="s">
        <v>1465</v>
      </c>
    </row>
    <row r="387" spans="1:13" ht="34" x14ac:dyDescent="0.4">
      <c r="A387" s="287" t="s">
        <v>655</v>
      </c>
      <c r="B387" s="74" t="str">
        <f>VLOOKUP(A387,URS確認!$E:$F,2,FALSE)</f>
        <v xml:space="preserve">產生放款本息攤還表暨繳息通知單       </v>
      </c>
      <c r="C387" s="287">
        <v>1</v>
      </c>
      <c r="D387" s="204" t="s">
        <v>1851</v>
      </c>
      <c r="E387" s="71">
        <v>44481</v>
      </c>
      <c r="F387" s="71">
        <v>44554</v>
      </c>
      <c r="G387" s="287"/>
      <c r="I387" s="287" t="s">
        <v>1852</v>
      </c>
      <c r="L387" s="287" t="s">
        <v>1465</v>
      </c>
    </row>
    <row r="388" spans="1:13" ht="34" x14ac:dyDescent="0.4">
      <c r="A388" s="287" t="s">
        <v>655</v>
      </c>
      <c r="B388" s="74" t="str">
        <f>VLOOKUP(A388,URS確認!$E:$F,2,FALSE)</f>
        <v xml:space="preserve">產生放款本息攤還表暨繳息通知單       </v>
      </c>
      <c r="C388" s="287">
        <v>2</v>
      </c>
      <c r="D388" s="68" t="s">
        <v>1853</v>
      </c>
      <c r="E388" s="71">
        <v>44481</v>
      </c>
      <c r="F388" s="71">
        <v>44554</v>
      </c>
      <c r="G388" s="287"/>
      <c r="I388" s="287" t="s">
        <v>1852</v>
      </c>
      <c r="M388" s="287" t="s">
        <v>1481</v>
      </c>
    </row>
    <row r="389" spans="1:13" x14ac:dyDescent="0.4">
      <c r="A389" s="287" t="s">
        <v>657</v>
      </c>
      <c r="B389" s="74" t="str">
        <f>VLOOKUP(A389,URS確認!$E:$F,2,FALSE)</f>
        <v xml:space="preserve">產生滯繳通知單                       </v>
      </c>
      <c r="C389" s="287">
        <v>1</v>
      </c>
      <c r="D389" s="204" t="s">
        <v>1851</v>
      </c>
      <c r="E389" s="71">
        <v>44481</v>
      </c>
      <c r="F389" s="71">
        <v>44554</v>
      </c>
      <c r="G389" s="287"/>
      <c r="I389" s="287" t="s">
        <v>1852</v>
      </c>
      <c r="L389" s="287" t="s">
        <v>1465</v>
      </c>
    </row>
    <row r="390" spans="1:13" x14ac:dyDescent="0.4">
      <c r="A390" s="287" t="s">
        <v>657</v>
      </c>
      <c r="B390" s="74" t="str">
        <f>VLOOKUP(A390,URS確認!$E:$F,2,FALSE)</f>
        <v xml:space="preserve">產生滯繳通知單                       </v>
      </c>
      <c r="C390" s="287">
        <v>2</v>
      </c>
      <c r="D390" s="204" t="s">
        <v>1853</v>
      </c>
      <c r="E390" s="71">
        <v>44481</v>
      </c>
      <c r="F390" s="71">
        <v>44554</v>
      </c>
      <c r="G390" s="287"/>
      <c r="I390" s="287" t="s">
        <v>1852</v>
      </c>
      <c r="M390" s="287" t="s">
        <v>1481</v>
      </c>
    </row>
    <row r="391" spans="1:13" ht="49.5" customHeight="1" x14ac:dyDescent="0.4">
      <c r="A391" s="287" t="s">
        <v>2872</v>
      </c>
      <c r="B391" s="69" t="s">
        <v>1854</v>
      </c>
      <c r="C391" s="287">
        <v>1</v>
      </c>
      <c r="D391" s="204" t="s">
        <v>2873</v>
      </c>
      <c r="E391" s="71">
        <v>44481</v>
      </c>
      <c r="F391" s="71">
        <v>44512</v>
      </c>
      <c r="G391" s="71">
        <v>44512</v>
      </c>
      <c r="H391" s="71">
        <v>44512</v>
      </c>
      <c r="I391" s="287" t="s">
        <v>166</v>
      </c>
      <c r="L391" s="287" t="s">
        <v>1856</v>
      </c>
    </row>
    <row r="392" spans="1:13" ht="66" customHeight="1" x14ac:dyDescent="0.4">
      <c r="A392" s="566" t="s">
        <v>2703</v>
      </c>
      <c r="B392" s="74" t="s">
        <v>1854</v>
      </c>
      <c r="C392" s="287">
        <v>2</v>
      </c>
      <c r="D392" s="204" t="s">
        <v>1857</v>
      </c>
      <c r="E392" s="71">
        <v>44481</v>
      </c>
      <c r="F392" s="71">
        <v>44554</v>
      </c>
      <c r="G392" s="287"/>
      <c r="I392" s="287" t="s">
        <v>166</v>
      </c>
      <c r="L392" s="287" t="s">
        <v>1465</v>
      </c>
    </row>
    <row r="393" spans="1:13" ht="33" customHeight="1" x14ac:dyDescent="0.4">
      <c r="A393" s="566" t="s">
        <v>2703</v>
      </c>
      <c r="B393" s="74" t="s">
        <v>1854</v>
      </c>
      <c r="C393" s="287">
        <v>3</v>
      </c>
      <c r="D393" s="204" t="s">
        <v>1858</v>
      </c>
      <c r="E393" s="71">
        <v>44481</v>
      </c>
      <c r="F393" s="71">
        <v>44554</v>
      </c>
      <c r="G393" s="287"/>
      <c r="I393" s="287" t="s">
        <v>166</v>
      </c>
      <c r="L393" s="287" t="s">
        <v>1465</v>
      </c>
    </row>
    <row r="394" spans="1:13" ht="33" customHeight="1" x14ac:dyDescent="0.4">
      <c r="B394" s="69" t="s">
        <v>1859</v>
      </c>
      <c r="C394" s="287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7" t="s">
        <v>166</v>
      </c>
      <c r="L394" s="287" t="s">
        <v>1465</v>
      </c>
    </row>
    <row r="395" spans="1:13" x14ac:dyDescent="0.4">
      <c r="A395" s="287" t="s">
        <v>680</v>
      </c>
      <c r="B395" s="69" t="str">
        <f>VLOOKUP(A395,URS確認!$E:$F,2,FALSE)</f>
        <v xml:space="preserve">約定部分償還登錄         </v>
      </c>
      <c r="C395" s="287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7" t="str">
        <f>VLOOKUP(A395,URS確認!E:I,5,FALSE)</f>
        <v>余家興</v>
      </c>
      <c r="L395" s="287" t="s">
        <v>1465</v>
      </c>
    </row>
    <row r="396" spans="1:13" ht="33" customHeight="1" x14ac:dyDescent="0.4">
      <c r="A396" s="287" t="s">
        <v>680</v>
      </c>
      <c r="B396" s="69" t="str">
        <f>VLOOKUP(A396,URS確認!$E:$F,2,FALSE)</f>
        <v xml:space="preserve">約定部分償還登錄         </v>
      </c>
      <c r="C396" s="287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7" t="str">
        <f>VLOOKUP(A396,URS確認!E:I,5,FALSE)</f>
        <v>余家興</v>
      </c>
      <c r="L396" s="287" t="s">
        <v>1465</v>
      </c>
    </row>
    <row r="397" spans="1:13" x14ac:dyDescent="0.4">
      <c r="A397" s="287" t="s">
        <v>680</v>
      </c>
      <c r="B397" s="69" t="str">
        <f>VLOOKUP(A397,URS確認!$E:$F,2,FALSE)</f>
        <v xml:space="preserve">約定部分償還登錄         </v>
      </c>
      <c r="C397" s="287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7" t="str">
        <f>VLOOKUP(A397,URS確認!E:I,5,FALSE)</f>
        <v>余家興</v>
      </c>
      <c r="M397" s="287" t="s">
        <v>1481</v>
      </c>
    </row>
    <row r="398" spans="1:13" x14ac:dyDescent="0.4">
      <c r="A398" s="287" t="s">
        <v>680</v>
      </c>
      <c r="B398" s="69" t="str">
        <f>VLOOKUP(A398,URS確認!$E:$F,2,FALSE)</f>
        <v xml:space="preserve">約定部分償還登錄         </v>
      </c>
      <c r="C398" s="287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7" t="str">
        <f>VLOOKUP(A398,URS確認!E:I,5,FALSE)</f>
        <v>余家興</v>
      </c>
      <c r="M398" s="287" t="s">
        <v>1481</v>
      </c>
    </row>
    <row r="399" spans="1:13" x14ac:dyDescent="0.4">
      <c r="A399" s="287" t="s">
        <v>680</v>
      </c>
      <c r="B399" s="69" t="str">
        <f>VLOOKUP(A399,URS確認!$E:$F,2,FALSE)</f>
        <v xml:space="preserve">約定部分償還登錄         </v>
      </c>
      <c r="C399" s="287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7" t="str">
        <f>VLOOKUP(A399,URS確認!E:I,5,FALSE)</f>
        <v>余家興</v>
      </c>
      <c r="M399" s="287" t="s">
        <v>1481</v>
      </c>
    </row>
    <row r="400" spans="1:13" ht="33" customHeight="1" x14ac:dyDescent="0.4">
      <c r="A400" s="287" t="s">
        <v>680</v>
      </c>
      <c r="B400" s="69" t="str">
        <f>VLOOKUP(A400,URS確認!$E:$F,2,FALSE)</f>
        <v xml:space="preserve">約定部分償還登錄         </v>
      </c>
      <c r="C400" s="287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7" t="str">
        <f>VLOOKUP(A400,URS確認!E:I,5,FALSE)</f>
        <v>余家興</v>
      </c>
      <c r="L400" s="287" t="s">
        <v>1465</v>
      </c>
    </row>
    <row r="401" spans="1:13" x14ac:dyDescent="0.4">
      <c r="A401" s="287" t="s">
        <v>680</v>
      </c>
      <c r="B401" s="69" t="str">
        <f>VLOOKUP(A401,URS確認!$E:$F,2,FALSE)</f>
        <v xml:space="preserve">約定部分償還登錄         </v>
      </c>
      <c r="C401" s="287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7" t="str">
        <f>VLOOKUP(A401,URS確認!E:I,5,FALSE)</f>
        <v>余家興</v>
      </c>
      <c r="L401" s="287" t="s">
        <v>1465</v>
      </c>
    </row>
    <row r="402" spans="1:13" x14ac:dyDescent="0.4">
      <c r="A402" s="287" t="s">
        <v>929</v>
      </c>
      <c r="B402" s="69" t="str">
        <f>VLOOKUP(A402,URS確認!$E:$F,2,FALSE)</f>
        <v>疑似洗錢交易訪談記錄維護</v>
      </c>
      <c r="C402" s="287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7" t="str">
        <f>VLOOKUP(A402,URS確認!E:I,5,FALSE)</f>
        <v>楊智誠</v>
      </c>
      <c r="L402" s="287" t="s">
        <v>1465</v>
      </c>
    </row>
    <row r="403" spans="1:13" ht="49.5" customHeight="1" x14ac:dyDescent="0.4">
      <c r="A403" s="287" t="s">
        <v>929</v>
      </c>
      <c r="B403" s="69" t="str">
        <f>VLOOKUP(A403,URS確認!$E:$F,2,FALSE)</f>
        <v>疑似洗錢交易訪談記錄維護</v>
      </c>
      <c r="C403" s="287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7" t="str">
        <f>VLOOKUP(A403,URS確認!E:I,5,FALSE)</f>
        <v>楊智誠</v>
      </c>
      <c r="L403" s="287" t="s">
        <v>1465</v>
      </c>
    </row>
    <row r="404" spans="1:13" ht="49.5" customHeight="1" x14ac:dyDescent="0.4">
      <c r="A404" s="287" t="s">
        <v>929</v>
      </c>
      <c r="B404" s="69" t="str">
        <f>VLOOKUP(A404,URS確認!$E:$F,2,FALSE)</f>
        <v>疑似洗錢交易訪談記錄維護</v>
      </c>
      <c r="C404" s="287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7" t="str">
        <f>VLOOKUP(A404,URS確認!E:I,5,FALSE)</f>
        <v>楊智誠</v>
      </c>
      <c r="L404" s="287" t="s">
        <v>1465</v>
      </c>
    </row>
    <row r="405" spans="1:13" x14ac:dyDescent="0.4">
      <c r="A405" s="287" t="s">
        <v>675</v>
      </c>
      <c r="B405" s="69" t="str">
        <f>VLOOKUP(A405,URS確認!$E:$F,2,FALSE)</f>
        <v xml:space="preserve">變更期款試算             </v>
      </c>
      <c r="C405" s="287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7" t="str">
        <f>VLOOKUP(A405,URS確認!E:I,5,FALSE)</f>
        <v>余家興</v>
      </c>
      <c r="L405" s="287" t="s">
        <v>1465</v>
      </c>
    </row>
    <row r="406" spans="1:13" ht="49.5" customHeight="1" x14ac:dyDescent="0.4">
      <c r="A406" s="287" t="s">
        <v>675</v>
      </c>
      <c r="B406" s="69" t="str">
        <f>VLOOKUP(A406,URS確認!$E:$F,2,FALSE)</f>
        <v xml:space="preserve">變更期款試算             </v>
      </c>
      <c r="C406" s="287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7" t="str">
        <f>VLOOKUP(A406,URS確認!E:I,5,FALSE)</f>
        <v>余家興</v>
      </c>
      <c r="M406" s="287" t="s">
        <v>1481</v>
      </c>
    </row>
    <row r="407" spans="1:13" x14ac:dyDescent="0.4">
      <c r="A407" s="287" t="s">
        <v>685</v>
      </c>
      <c r="B407" s="69" t="str">
        <f>VLOOKUP(A407,URS確認!$E:$F,2,FALSE)</f>
        <v>暫收款銷帳</v>
      </c>
      <c r="C407" s="287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7" t="str">
        <f>VLOOKUP(A407,URS確認!E:I,5,FALSE)</f>
        <v>余家興</v>
      </c>
      <c r="L407" s="287" t="s">
        <v>1465</v>
      </c>
    </row>
    <row r="408" spans="1:13" ht="34" customHeight="1" x14ac:dyDescent="0.4">
      <c r="B408" s="69" t="s">
        <v>1874</v>
      </c>
      <c r="C408" s="287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7" t="s">
        <v>111</v>
      </c>
      <c r="L408" s="287" t="s">
        <v>1533</v>
      </c>
    </row>
    <row r="409" spans="1:13" x14ac:dyDescent="0.4">
      <c r="B409" s="69" t="s">
        <v>1874</v>
      </c>
      <c r="C409" s="287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7" t="s">
        <v>111</v>
      </c>
      <c r="L409" s="287" t="s">
        <v>1533</v>
      </c>
    </row>
    <row r="410" spans="1:13" x14ac:dyDescent="0.4">
      <c r="B410" s="69" t="s">
        <v>1874</v>
      </c>
      <c r="C410" s="287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7" t="s">
        <v>111</v>
      </c>
      <c r="L410" s="287" t="s">
        <v>1533</v>
      </c>
    </row>
    <row r="411" spans="1:13" ht="33" customHeight="1" x14ac:dyDescent="0.4">
      <c r="B411" s="69" t="s">
        <v>1874</v>
      </c>
      <c r="C411" s="287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7" t="s">
        <v>111</v>
      </c>
    </row>
    <row r="412" spans="1:13" x14ac:dyDescent="0.4">
      <c r="B412" s="69" t="s">
        <v>1874</v>
      </c>
      <c r="C412" s="287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7" t="s">
        <v>111</v>
      </c>
    </row>
    <row r="413" spans="1:13" x14ac:dyDescent="0.4">
      <c r="A413" s="287" t="s">
        <v>1108</v>
      </c>
      <c r="B413" s="69" t="str">
        <f>VLOOKUP(A413,URS確認!$E:$F,2,FALSE)</f>
        <v>消債條列JCIC報送資料歷程查詢(041)</v>
      </c>
      <c r="C413" s="287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7" t="s">
        <v>111</v>
      </c>
    </row>
    <row r="414" spans="1:13" ht="33" customHeight="1" x14ac:dyDescent="0.4">
      <c r="A414" s="287" t="s">
        <v>1120</v>
      </c>
      <c r="B414" s="69" t="str">
        <f>VLOOKUP(A414,URS確認!$E:$F,2,FALSE)</f>
        <v>消債條列JCIC報送資料歷程查詢(047)</v>
      </c>
      <c r="C414" s="287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7" t="s">
        <v>111</v>
      </c>
    </row>
    <row r="415" spans="1:13" x14ac:dyDescent="0.4">
      <c r="A415" s="287" t="s">
        <v>1122</v>
      </c>
      <c r="B415" s="69" t="str">
        <f>VLOOKUP(A415,URS確認!$E:$F,2,FALSE)</f>
        <v>消債條列JCIC報送資料歷程查詢(048)</v>
      </c>
      <c r="C415" s="287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7" t="s">
        <v>111</v>
      </c>
    </row>
    <row r="416" spans="1:13" x14ac:dyDescent="0.4">
      <c r="A416" s="287" t="s">
        <v>1168</v>
      </c>
      <c r="B416" s="69" t="str">
        <f>VLOOKUP(A416,URS確認!$E:$F,2,FALSE)</f>
        <v>消債條列JCIC報送資料歷程查詢(570)</v>
      </c>
      <c r="C416" s="287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7" t="s">
        <v>111</v>
      </c>
    </row>
    <row r="417" spans="1:13" x14ac:dyDescent="0.4">
      <c r="A417" s="287" t="s">
        <v>609</v>
      </c>
      <c r="B417" s="69" t="str">
        <f>VLOOKUP(A417,URS確認!$E:$F,2,FALSE)</f>
        <v xml:space="preserve">入帳檔上傳作業                       </v>
      </c>
      <c r="C417" s="287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7" t="str">
        <f>VLOOKUP(A417,URS確認!E:I,5,FALSE)</f>
        <v>陳昱衡</v>
      </c>
    </row>
    <row r="418" spans="1:13" ht="49.5" customHeight="1" x14ac:dyDescent="0.4">
      <c r="A418" s="287" t="s">
        <v>636</v>
      </c>
      <c r="B418" s="69" t="str">
        <f>VLOOKUP(A418,URS確認!$E:$F,2,FALSE)</f>
        <v>產生銀扣失敗通知</v>
      </c>
      <c r="C418" s="287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7" t="s">
        <v>166</v>
      </c>
    </row>
    <row r="419" spans="1:13" x14ac:dyDescent="0.4">
      <c r="A419" s="287" t="s">
        <v>630</v>
      </c>
      <c r="B419" s="69" t="str">
        <f>VLOOKUP(A419,URS確認!$E:$F,2,FALSE)</f>
        <v>整批勾選處理</v>
      </c>
      <c r="C419" s="287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7" t="s">
        <v>166</v>
      </c>
    </row>
    <row r="420" spans="1:13" ht="33" customHeight="1" x14ac:dyDescent="0.4">
      <c r="A420" s="287" t="s">
        <v>619</v>
      </c>
      <c r="B420" s="69" t="str">
        <f>VLOOKUP(A420,URS確認!$E:$F,2,FALSE)</f>
        <v xml:space="preserve">整批入帳作業                         </v>
      </c>
      <c r="C420" s="287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7" t="s">
        <v>166</v>
      </c>
    </row>
    <row r="421" spans="1:13" x14ac:dyDescent="0.4">
      <c r="A421" s="287" t="s">
        <v>619</v>
      </c>
      <c r="B421" s="69" t="str">
        <f>VLOOKUP(A421,URS確認!$E:$F,2,FALSE)</f>
        <v xml:space="preserve">整批入帳作業                         </v>
      </c>
      <c r="C421" s="287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7" t="s">
        <v>166</v>
      </c>
    </row>
    <row r="422" spans="1:13" x14ac:dyDescent="0.4">
      <c r="A422" s="287" t="s">
        <v>628</v>
      </c>
      <c r="B422" s="69" t="str">
        <f>VLOOKUP(A422,URS確認!$E:$F,2,FALSE)</f>
        <v xml:space="preserve">整批入帳明細查詢(By日期區間)         </v>
      </c>
      <c r="C422" s="287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7" t="s">
        <v>166</v>
      </c>
    </row>
    <row r="423" spans="1:13" ht="49.5" customHeight="1" x14ac:dyDescent="0.4">
      <c r="A423" s="287" t="s">
        <v>441</v>
      </c>
      <c r="B423" s="69" t="str">
        <f>VLOOKUP(A423,URS確認!$E:$F,2,FALSE)</f>
        <v xml:space="preserve">銀行扣款檔資料查詢                   </v>
      </c>
      <c r="C423" s="287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7" t="s">
        <v>166</v>
      </c>
    </row>
    <row r="424" spans="1:13" x14ac:dyDescent="0.4">
      <c r="B424" s="69" t="s">
        <v>1854</v>
      </c>
      <c r="C424" s="287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7" t="s">
        <v>166</v>
      </c>
    </row>
    <row r="425" spans="1:13" x14ac:dyDescent="0.4">
      <c r="B425" s="69" t="s">
        <v>1854</v>
      </c>
      <c r="C425" s="287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7" t="s">
        <v>166</v>
      </c>
    </row>
    <row r="426" spans="1:13" ht="87.75" customHeight="1" x14ac:dyDescent="0.3">
      <c r="A426" s="287" t="s">
        <v>693</v>
      </c>
      <c r="B426" s="69" t="s">
        <v>1893</v>
      </c>
      <c r="C426" s="287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7" t="str">
        <f>VLOOKUP(A426,URS確認!E:I,5,FALSE)</f>
        <v>余家興</v>
      </c>
      <c r="L426" s="287" t="s">
        <v>1465</v>
      </c>
    </row>
    <row r="427" spans="1:13" ht="34" x14ac:dyDescent="0.3">
      <c r="A427" s="287" t="s">
        <v>1895</v>
      </c>
      <c r="B427" s="74" t="s">
        <v>1896</v>
      </c>
      <c r="C427" s="287">
        <v>1</v>
      </c>
      <c r="D427" s="74" t="s">
        <v>1897</v>
      </c>
      <c r="E427" s="71">
        <v>44487</v>
      </c>
      <c r="F427" s="71">
        <v>44545</v>
      </c>
      <c r="G427" s="287"/>
      <c r="I427" s="287" t="s">
        <v>1516</v>
      </c>
    </row>
    <row r="428" spans="1:13" x14ac:dyDescent="0.3">
      <c r="A428" s="287" t="s">
        <v>773</v>
      </c>
      <c r="B428" s="69" t="str">
        <f>VLOOKUP(A428,URS確認!$E:$F,2,FALSE)</f>
        <v>核心傳票相關單獨作業</v>
      </c>
      <c r="C428" s="287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7" t="str">
        <f>VLOOKUP(A428,URS確認!E:I,5,FALSE)</f>
        <v>楊智誠</v>
      </c>
      <c r="L428" s="287" t="s">
        <v>1465</v>
      </c>
    </row>
    <row r="429" spans="1:13" ht="33" customHeight="1" x14ac:dyDescent="0.3">
      <c r="B429" s="69" t="s">
        <v>1899</v>
      </c>
      <c r="C429" s="287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7" t="s">
        <v>166</v>
      </c>
      <c r="M429" s="287" t="s">
        <v>1481</v>
      </c>
    </row>
    <row r="430" spans="1:13" x14ac:dyDescent="0.3">
      <c r="B430" s="69" t="s">
        <v>1901</v>
      </c>
      <c r="C430" s="287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7" t="s">
        <v>166</v>
      </c>
      <c r="M430" s="287" t="s">
        <v>1481</v>
      </c>
    </row>
    <row r="431" spans="1:13" x14ac:dyDescent="0.3">
      <c r="A431" s="287" t="s">
        <v>435</v>
      </c>
      <c r="B431" s="69" t="str">
        <f>VLOOKUP(A431,URS確認!$E:$F,2,FALSE)</f>
        <v xml:space="preserve">保險單明細資料查詢       </v>
      </c>
      <c r="C431" s="287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7" t="s">
        <v>166</v>
      </c>
      <c r="L431" s="287" t="s">
        <v>1465</v>
      </c>
    </row>
    <row r="432" spans="1:13" ht="33" customHeight="1" x14ac:dyDescent="0.3">
      <c r="A432" s="287" t="s">
        <v>435</v>
      </c>
      <c r="B432" s="69" t="str">
        <f>VLOOKUP(A432,URS確認!$E:$F,2,FALSE)</f>
        <v xml:space="preserve">保險單明細資料查詢       </v>
      </c>
      <c r="C432" s="287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7" t="s">
        <v>166</v>
      </c>
      <c r="L432" s="287" t="s">
        <v>1465</v>
      </c>
    </row>
    <row r="433" spans="1:13" ht="66" customHeight="1" x14ac:dyDescent="0.3">
      <c r="A433" s="287" t="s">
        <v>729</v>
      </c>
      <c r="B433" s="69" t="str">
        <f>VLOOKUP(A433,URS確認!$E:$F,2,FALSE)</f>
        <v xml:space="preserve">火險保費未繳轉借支作業     </v>
      </c>
      <c r="C433" s="287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7" t="s">
        <v>166</v>
      </c>
      <c r="L433" s="287" t="s">
        <v>1465</v>
      </c>
    </row>
    <row r="434" spans="1:13" ht="33" customHeight="1" x14ac:dyDescent="0.3">
      <c r="A434" s="287" t="s">
        <v>733</v>
      </c>
      <c r="B434" s="69" t="str">
        <f>VLOOKUP(A434,URS確認!$E:$F,2,FALSE)</f>
        <v xml:space="preserve">火險佣金作業               </v>
      </c>
      <c r="C434" s="287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7" t="s">
        <v>166</v>
      </c>
      <c r="L434" s="287" t="s">
        <v>1465</v>
      </c>
    </row>
    <row r="435" spans="1:13" ht="33" customHeight="1" x14ac:dyDescent="0.3">
      <c r="A435" s="287" t="s">
        <v>733</v>
      </c>
      <c r="B435" s="69" t="str">
        <f>VLOOKUP(A435,URS確認!$E:$F,2,FALSE)</f>
        <v xml:space="preserve">火險佣金作業               </v>
      </c>
      <c r="C435" s="287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7" t="s">
        <v>166</v>
      </c>
      <c r="L435" s="287" t="s">
        <v>1465</v>
      </c>
    </row>
    <row r="436" spans="1:13" ht="33" customHeight="1" x14ac:dyDescent="0.3">
      <c r="B436" s="69" t="s">
        <v>1908</v>
      </c>
      <c r="C436" s="287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7" t="s">
        <v>166</v>
      </c>
      <c r="L436" s="287" t="s">
        <v>1465</v>
      </c>
    </row>
    <row r="437" spans="1:13" ht="33" customHeight="1" x14ac:dyDescent="0.3">
      <c r="B437" s="69" t="s">
        <v>1908</v>
      </c>
      <c r="C437" s="287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7" t="s">
        <v>166</v>
      </c>
      <c r="L437" s="287" t="s">
        <v>1465</v>
      </c>
    </row>
    <row r="438" spans="1:13" ht="49.5" customHeight="1" x14ac:dyDescent="0.3">
      <c r="B438" s="69" t="s">
        <v>1908</v>
      </c>
      <c r="C438" s="287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7" t="s">
        <v>166</v>
      </c>
      <c r="L438" s="287" t="s">
        <v>1465</v>
      </c>
    </row>
    <row r="439" spans="1:13" x14ac:dyDescent="0.3">
      <c r="A439" s="287" t="s">
        <v>1444</v>
      </c>
      <c r="B439" s="69" t="e">
        <f>VLOOKUP(A439,URS確認!$E:$F,2,FALSE)</f>
        <v>#N/A</v>
      </c>
      <c r="C439" s="287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7" t="e">
        <f>VLOOKUP(A439,URS確認!E:I,5,FALSE)</f>
        <v>#N/A</v>
      </c>
      <c r="L439" s="287" t="s">
        <v>1465</v>
      </c>
    </row>
    <row r="440" spans="1:13" x14ac:dyDescent="0.3">
      <c r="A440" s="287" t="s">
        <v>685</v>
      </c>
      <c r="B440" s="69" t="str">
        <f>VLOOKUP(A440,URS確認!$E:$F,2,FALSE)</f>
        <v>暫收款銷帳</v>
      </c>
      <c r="C440" s="287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7" t="str">
        <f>VLOOKUP(A440,URS確認!E:I,5,FALSE)</f>
        <v>余家興</v>
      </c>
      <c r="L440" s="287" t="s">
        <v>1465</v>
      </c>
    </row>
    <row r="441" spans="1:13" ht="61.5" customHeight="1" x14ac:dyDescent="0.3">
      <c r="A441" s="287" t="s">
        <v>685</v>
      </c>
      <c r="B441" s="69" t="str">
        <f>VLOOKUP(A441,URS確認!$E:$F,2,FALSE)</f>
        <v>暫收款銷帳</v>
      </c>
      <c r="C441" s="287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7" t="str">
        <f>VLOOKUP(A441,URS確認!E:I,5,FALSE)</f>
        <v>余家興</v>
      </c>
      <c r="L441" s="287" t="s">
        <v>1465</v>
      </c>
    </row>
    <row r="442" spans="1:13" x14ac:dyDescent="0.3">
      <c r="A442" s="287" t="s">
        <v>347</v>
      </c>
      <c r="B442" s="69" t="str">
        <f>VLOOKUP(A442,URS確認!$E:$F,2,FALSE)</f>
        <v xml:space="preserve">應處理清單      </v>
      </c>
      <c r="C442" s="287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7" t="str">
        <f>VLOOKUP(A442,URS確認!E:I,5,FALSE)</f>
        <v>余家興</v>
      </c>
      <c r="M442" s="287" t="s">
        <v>1481</v>
      </c>
    </row>
    <row r="443" spans="1:13" ht="33" customHeight="1" x14ac:dyDescent="0.3">
      <c r="A443" s="287" t="s">
        <v>2865</v>
      </c>
      <c r="B443" s="69" t="s">
        <v>1916</v>
      </c>
      <c r="C443" s="287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59" t="str">
        <f>VLOOKUP(A443,URS確認!E:I,5,FALSE)</f>
        <v>楊智誠</v>
      </c>
      <c r="M443" s="287" t="s">
        <v>1481</v>
      </c>
    </row>
    <row r="444" spans="1:13" x14ac:dyDescent="0.3">
      <c r="A444" s="287" t="s">
        <v>814</v>
      </c>
      <c r="B444" s="69" t="str">
        <f>VLOOKUP(A444,URS確認!$E:$F,2,FALSE)</f>
        <v>指標利率種類查詢</v>
      </c>
      <c r="C444" s="287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7" t="str">
        <f>VLOOKUP(A444,URS確認!E:I,5,FALSE)</f>
        <v>楊智誠</v>
      </c>
      <c r="L444" s="287" t="s">
        <v>1465</v>
      </c>
    </row>
    <row r="445" spans="1:13" ht="66" customHeight="1" x14ac:dyDescent="0.3">
      <c r="A445" s="287" t="s">
        <v>816</v>
      </c>
      <c r="B445" s="69" t="str">
        <f>VLOOKUP(A445,URS確認!$E:$F,2,FALSE)</f>
        <v>指標利率資料查詢</v>
      </c>
      <c r="C445" s="287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7" t="str">
        <f>VLOOKUP(A445,URS確認!E:I,5,FALSE)</f>
        <v>楊智誠</v>
      </c>
      <c r="L445" s="287" t="s">
        <v>1465</v>
      </c>
    </row>
    <row r="446" spans="1:13" ht="99" customHeight="1" x14ac:dyDescent="0.3">
      <c r="A446" s="287" t="s">
        <v>816</v>
      </c>
      <c r="B446" s="69" t="str">
        <f>VLOOKUP(A446,URS確認!$E:$F,2,FALSE)</f>
        <v>指標利率資料查詢</v>
      </c>
      <c r="C446" s="287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7" t="str">
        <f>VLOOKUP(A446,URS確認!E:I,5,FALSE)</f>
        <v>楊智誠</v>
      </c>
      <c r="L446" s="287" t="s">
        <v>1465</v>
      </c>
    </row>
    <row r="447" spans="1:13" x14ac:dyDescent="0.3">
      <c r="A447" s="287" t="s">
        <v>820</v>
      </c>
      <c r="B447" s="69" t="str">
        <f>VLOOKUP(A447,URS確認!$E:$F,2,FALSE)</f>
        <v>指標利率登錄/維護</v>
      </c>
      <c r="C447" s="287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7" t="str">
        <f>VLOOKUP(A447,URS確認!E:I,5,FALSE)</f>
        <v>楊智誠</v>
      </c>
      <c r="L447" s="287" t="s">
        <v>1465</v>
      </c>
    </row>
    <row r="448" spans="1:13" ht="66" customHeight="1" x14ac:dyDescent="0.3">
      <c r="A448" s="287" t="s">
        <v>820</v>
      </c>
      <c r="B448" s="69" t="str">
        <f>VLOOKUP(A448,URS確認!$E:$F,2,FALSE)</f>
        <v>指標利率登錄/維護</v>
      </c>
      <c r="C448" s="287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7" t="str">
        <f>VLOOKUP(A448,URS確認!E:I,5,FALSE)</f>
        <v>楊智誠</v>
      </c>
      <c r="L448" s="287" t="s">
        <v>1465</v>
      </c>
    </row>
    <row r="449" spans="1:13" ht="66" customHeight="1" x14ac:dyDescent="0.3">
      <c r="A449" s="287" t="s">
        <v>820</v>
      </c>
      <c r="B449" s="69" t="str">
        <f>VLOOKUP(A449,URS確認!$E:$F,2,FALSE)</f>
        <v>指標利率登錄/維護</v>
      </c>
      <c r="C449" s="287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7" t="str">
        <f>VLOOKUP(A449,URS確認!E:I,5,FALSE)</f>
        <v>楊智誠</v>
      </c>
      <c r="L449" s="287" t="s">
        <v>1465</v>
      </c>
    </row>
    <row r="450" spans="1:13" ht="33" customHeight="1" x14ac:dyDescent="0.3">
      <c r="A450" s="287" t="s">
        <v>799</v>
      </c>
      <c r="B450" s="69" t="str">
        <f>VLOOKUP(A450,URS確認!$E:$F,2,FALSE)</f>
        <v xml:space="preserve">產生利率即將變動資料                 </v>
      </c>
      <c r="C450" s="287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7" t="s">
        <v>166</v>
      </c>
      <c r="L450" s="287" t="s">
        <v>1465</v>
      </c>
    </row>
    <row r="451" spans="1:13" ht="82.5" customHeight="1" x14ac:dyDescent="0.3">
      <c r="A451" s="287" t="s">
        <v>799</v>
      </c>
      <c r="B451" s="69" t="str">
        <f>VLOOKUP(A451,URS確認!$E:$F,2,FALSE)</f>
        <v xml:space="preserve">產生利率即將變動資料                 </v>
      </c>
      <c r="C451" s="287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7" t="s">
        <v>166</v>
      </c>
      <c r="L451" s="287" t="s">
        <v>1465</v>
      </c>
    </row>
    <row r="452" spans="1:13" ht="33" customHeight="1" x14ac:dyDescent="0.3">
      <c r="A452" s="287" t="s">
        <v>799</v>
      </c>
      <c r="B452" s="69" t="str">
        <f>VLOOKUP(A452,URS確認!$E:$F,2,FALSE)</f>
        <v xml:space="preserve">產生利率即將變動資料                 </v>
      </c>
      <c r="C452" s="287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7" t="s">
        <v>1852</v>
      </c>
      <c r="M452" s="287" t="s">
        <v>1481</v>
      </c>
    </row>
    <row r="453" spans="1:13" x14ac:dyDescent="0.3">
      <c r="A453" s="287" t="s">
        <v>801</v>
      </c>
      <c r="B453" s="69" t="str">
        <f>VLOOKUP(A453,URS確認!$E:$F,2,FALSE)</f>
        <v>利率調整清單</v>
      </c>
      <c r="C453" s="287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7" t="s">
        <v>166</v>
      </c>
      <c r="L453" s="287" t="s">
        <v>1465</v>
      </c>
    </row>
    <row r="454" spans="1:13" ht="33" customHeight="1" x14ac:dyDescent="0.3">
      <c r="A454" s="287" t="s">
        <v>801</v>
      </c>
      <c r="B454" s="69" t="str">
        <f>VLOOKUP(A454,URS確認!$E:$F,2,FALSE)</f>
        <v>利率調整清單</v>
      </c>
      <c r="C454" s="287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7" t="s">
        <v>166</v>
      </c>
      <c r="L454" s="287" t="s">
        <v>1465</v>
      </c>
    </row>
    <row r="455" spans="1:13" x14ac:dyDescent="0.3">
      <c r="A455" s="287" t="s">
        <v>801</v>
      </c>
      <c r="B455" s="69" t="str">
        <f>VLOOKUP(A455,URS確認!$E:$F,2,FALSE)</f>
        <v>利率調整清單</v>
      </c>
      <c r="C455" s="287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7" t="s">
        <v>166</v>
      </c>
      <c r="L455" s="287" t="s">
        <v>1465</v>
      </c>
    </row>
    <row r="456" spans="1:13" ht="33" customHeight="1" x14ac:dyDescent="0.3">
      <c r="A456" s="287" t="s">
        <v>801</v>
      </c>
      <c r="B456" s="69" t="str">
        <f>VLOOKUP(A456,URS確認!$E:$F,2,FALSE)</f>
        <v>利率調整清單</v>
      </c>
      <c r="C456" s="287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7" t="s">
        <v>166</v>
      </c>
      <c r="L456" s="287" t="s">
        <v>1465</v>
      </c>
    </row>
    <row r="457" spans="1:13" x14ac:dyDescent="0.3">
      <c r="A457" s="287" t="s">
        <v>808</v>
      </c>
      <c r="B457" s="69" t="str">
        <f>VLOOKUP(A457,URS確認!$E:$F,2,FALSE)</f>
        <v>個別利率調整作業</v>
      </c>
      <c r="C457" s="287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7" t="s">
        <v>166</v>
      </c>
      <c r="L457" s="287" t="s">
        <v>1465</v>
      </c>
    </row>
    <row r="458" spans="1:13" x14ac:dyDescent="0.3">
      <c r="A458" s="287" t="s">
        <v>808</v>
      </c>
      <c r="B458" s="69" t="str">
        <f>VLOOKUP(A458,URS確認!$E:$F,2,FALSE)</f>
        <v>個別利率調整作業</v>
      </c>
      <c r="C458" s="287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7" t="s">
        <v>166</v>
      </c>
      <c r="L458" s="287" t="s">
        <v>1465</v>
      </c>
    </row>
    <row r="459" spans="1:13" x14ac:dyDescent="0.3">
      <c r="A459" s="287" t="s">
        <v>803</v>
      </c>
      <c r="B459" s="69" t="str">
        <f>VLOOKUP(A459,URS確認!$E:$F,2,FALSE)</f>
        <v>利率調整確認作業</v>
      </c>
      <c r="C459" s="287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7" t="s">
        <v>166</v>
      </c>
      <c r="L459" s="287" t="s">
        <v>1465</v>
      </c>
    </row>
    <row r="460" spans="1:13" ht="367.5" customHeight="1" x14ac:dyDescent="0.3">
      <c r="A460" s="287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7" t="s">
        <v>166</v>
      </c>
      <c r="L460" s="287" t="s">
        <v>1465</v>
      </c>
    </row>
    <row r="461" spans="1:13" x14ac:dyDescent="0.3">
      <c r="A461" s="287" t="s">
        <v>847</v>
      </c>
      <c r="B461" s="69" t="str">
        <f>VLOOKUP(A461,URS確認!$E:$F,2,FALSE)</f>
        <v>個人房貸調整作業</v>
      </c>
      <c r="C461" s="287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7" t="str">
        <f>VLOOKUP(A461,URS確認!E:I,5,FALSE)</f>
        <v>陳昱衡</v>
      </c>
      <c r="L461" s="287" t="s">
        <v>1465</v>
      </c>
    </row>
    <row r="462" spans="1:13" ht="66" customHeight="1" x14ac:dyDescent="0.3">
      <c r="A462" s="287" t="s">
        <v>847</v>
      </c>
      <c r="B462" s="69" t="str">
        <f>VLOOKUP(A462,URS確認!$E:$F,2,FALSE)</f>
        <v>個人房貸調整作業</v>
      </c>
      <c r="C462" s="287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7" t="str">
        <f>VLOOKUP(A462,URS確認!E:I,5,FALSE)</f>
        <v>陳昱衡</v>
      </c>
      <c r="L462" s="287" t="s">
        <v>1465</v>
      </c>
    </row>
    <row r="463" spans="1:13" x14ac:dyDescent="0.3">
      <c r="A463" s="287" t="s">
        <v>641</v>
      </c>
      <c r="B463" s="69" t="str">
        <f>VLOOKUP(A463,URS確認!$E:$F,2,FALSE)</f>
        <v xml:space="preserve">繳息情形查詢             </v>
      </c>
      <c r="C463" s="287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7" t="str">
        <f>VLOOKUP(A463,URS確認!E:I,5,FALSE)</f>
        <v>余家興</v>
      </c>
      <c r="L463" s="287" t="s">
        <v>1465</v>
      </c>
    </row>
    <row r="464" spans="1:13" x14ac:dyDescent="0.3">
      <c r="A464" s="287" t="s">
        <v>641</v>
      </c>
      <c r="B464" s="69" t="str">
        <f>VLOOKUP(A464,URS確認!$E:$F,2,FALSE)</f>
        <v xml:space="preserve">繳息情形查詢             </v>
      </c>
      <c r="C464" s="287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7" t="str">
        <f>VLOOKUP(A464,URS確認!E:I,5,FALSE)</f>
        <v>余家興</v>
      </c>
      <c r="L464" s="287" t="s">
        <v>1465</v>
      </c>
    </row>
    <row r="465" spans="1:13" x14ac:dyDescent="0.3">
      <c r="A465" s="287" t="s">
        <v>644</v>
      </c>
      <c r="B465" s="69" t="str">
        <f>VLOOKUP(A465,URS確認!$E:$F,2,FALSE)</f>
        <v>計息明細查詢</v>
      </c>
      <c r="C465" s="287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7" t="str">
        <f>VLOOKUP(A465,URS確認!E:I,5,FALSE)</f>
        <v>余家興</v>
      </c>
      <c r="L465" s="287" t="s">
        <v>1465</v>
      </c>
    </row>
    <row r="466" spans="1:13" x14ac:dyDescent="0.3">
      <c r="A466" s="287" t="s">
        <v>644</v>
      </c>
      <c r="B466" s="69" t="str">
        <f>VLOOKUP(A466,URS確認!$E:$F,2,FALSE)</f>
        <v>計息明細查詢</v>
      </c>
      <c r="C466" s="287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7" t="str">
        <f>VLOOKUP(A466,URS確認!E:I,5,FALSE)</f>
        <v>余家興</v>
      </c>
      <c r="L466" s="287" t="s">
        <v>1465</v>
      </c>
    </row>
    <row r="467" spans="1:13" x14ac:dyDescent="0.3">
      <c r="A467" s="287" t="s">
        <v>326</v>
      </c>
      <c r="B467" s="69" t="str">
        <f>VLOOKUP(A467,URS確認!$E:$F,2,FALSE)</f>
        <v xml:space="preserve">交易內容查詢             </v>
      </c>
      <c r="C467" s="287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7" t="str">
        <f>VLOOKUP(A467,URS確認!E:I,5,FALSE)</f>
        <v>余家興</v>
      </c>
      <c r="L467" s="287" t="s">
        <v>1465</v>
      </c>
    </row>
    <row r="468" spans="1:13" ht="34" customHeight="1" x14ac:dyDescent="0.3">
      <c r="A468" s="287" t="s">
        <v>781</v>
      </c>
      <c r="B468" s="69" t="str">
        <f>VLOOKUP(A468,URS確認!$E:$F,2,FALSE)</f>
        <v xml:space="preserve">清償作業                                </v>
      </c>
      <c r="C468" s="287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7" t="str">
        <f>VLOOKUP(A468,URS確認!E:I,5,FALSE)</f>
        <v>余家興</v>
      </c>
      <c r="L468" s="287" t="s">
        <v>1465</v>
      </c>
    </row>
    <row r="469" spans="1:13" x14ac:dyDescent="0.3">
      <c r="A469" s="287" t="s">
        <v>838</v>
      </c>
      <c r="B469" s="69" t="str">
        <f>VLOOKUP(A469,URS確認!$E:$F,2,FALSE)</f>
        <v>ID所有人案件關係查詢</v>
      </c>
      <c r="C469" s="287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7" t="s">
        <v>1481</v>
      </c>
    </row>
    <row r="470" spans="1:13" x14ac:dyDescent="0.3">
      <c r="A470" s="287" t="s">
        <v>852</v>
      </c>
      <c r="B470" s="69" t="str">
        <f>VLOOKUP(A470,URS確認!$E:$F,2,FALSE)</f>
        <v>結清客戶申請個人資料控管維護</v>
      </c>
      <c r="C470" s="287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7" t="str">
        <f>VLOOKUP(A470,URS確認!E:I,5,FALSE)</f>
        <v>陳昱衡</v>
      </c>
      <c r="L470" s="287" t="s">
        <v>1465</v>
      </c>
    </row>
    <row r="471" spans="1:13" x14ac:dyDescent="0.3">
      <c r="A471" s="287" t="s">
        <v>852</v>
      </c>
      <c r="B471" s="69" t="str">
        <f>VLOOKUP(A471,URS確認!$E:$F,2,FALSE)</f>
        <v>結清客戶申請個人資料控管維護</v>
      </c>
      <c r="C471" s="287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7" t="str">
        <f>VLOOKUP(A471,URS確認!E:I,5,FALSE)</f>
        <v>陳昱衡</v>
      </c>
      <c r="L471" s="287" t="s">
        <v>1465</v>
      </c>
    </row>
    <row r="472" spans="1:13" x14ac:dyDescent="0.3">
      <c r="A472" s="287" t="s">
        <v>852</v>
      </c>
      <c r="B472" s="69" t="str">
        <f>VLOOKUP(A472,URS確認!$E:$F,2,FALSE)</f>
        <v>結清客戶申請個人資料控管維護</v>
      </c>
      <c r="C472" s="287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7" t="str">
        <f>VLOOKUP(A472,URS確認!E:I,5,FALSE)</f>
        <v>陳昱衡</v>
      </c>
      <c r="L472" s="287" t="s">
        <v>1465</v>
      </c>
    </row>
    <row r="473" spans="1:13" x14ac:dyDescent="0.3">
      <c r="A473" s="287" t="s">
        <v>852</v>
      </c>
      <c r="B473" s="69" t="str">
        <f>VLOOKUP(A473,URS確認!$E:$F,2,FALSE)</f>
        <v>結清客戶申請個人資料控管維護</v>
      </c>
      <c r="C473" s="287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7" t="str">
        <f>VLOOKUP(A473,URS確認!E:I,5,FALSE)</f>
        <v>陳昱衡</v>
      </c>
      <c r="L473" s="287" t="s">
        <v>1465</v>
      </c>
    </row>
    <row r="474" spans="1:13" x14ac:dyDescent="0.3">
      <c r="A474" s="287" t="s">
        <v>852</v>
      </c>
      <c r="B474" s="69" t="str">
        <f>VLOOKUP(A474,URS確認!$E:$F,2,FALSE)</f>
        <v>結清客戶申請個人資料控管維護</v>
      </c>
      <c r="C474" s="287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7" t="str">
        <f>VLOOKUP(A474,URS確認!E:I,5,FALSE)</f>
        <v>陳昱衡</v>
      </c>
      <c r="M474" s="287" t="s">
        <v>1481</v>
      </c>
    </row>
    <row r="475" spans="1:13" x14ac:dyDescent="0.3">
      <c r="A475" s="287" t="s">
        <v>855</v>
      </c>
      <c r="B475" s="69" t="str">
        <f>VLOOKUP(A475,URS確認!$E:$F,2,FALSE)</f>
        <v xml:space="preserve">擔保品重評明細資料查詢                  </v>
      </c>
      <c r="C475" s="287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7" t="str">
        <f>VLOOKUP(A475,URS確認!E:I,5,FALSE)</f>
        <v>陳昱衡</v>
      </c>
      <c r="L475" s="287" t="s">
        <v>1465</v>
      </c>
    </row>
    <row r="476" spans="1:13" ht="33" customHeight="1" x14ac:dyDescent="0.3">
      <c r="A476" s="287" t="s">
        <v>855</v>
      </c>
      <c r="B476" s="69" t="str">
        <f>VLOOKUP(A476,URS確認!$E:$F,2,FALSE)</f>
        <v xml:space="preserve">擔保品重評明細資料查詢                  </v>
      </c>
      <c r="C476" s="287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7" t="str">
        <f>VLOOKUP(A476,URS確認!E:I,5,FALSE)</f>
        <v>陳昱衡</v>
      </c>
      <c r="L476" s="287" t="s">
        <v>1465</v>
      </c>
    </row>
    <row r="477" spans="1:13" x14ac:dyDescent="0.3">
      <c r="A477" s="287" t="s">
        <v>855</v>
      </c>
      <c r="B477" s="69" t="str">
        <f>VLOOKUP(A477,URS確認!$E:$F,2,FALSE)</f>
        <v xml:space="preserve">擔保品重評明細資料查詢                  </v>
      </c>
      <c r="C477" s="287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7" t="str">
        <f>VLOOKUP(A477,URS確認!E:I,5,FALSE)</f>
        <v>陳昱衡</v>
      </c>
      <c r="L477" s="287" t="s">
        <v>1465</v>
      </c>
    </row>
    <row r="478" spans="1:13" x14ac:dyDescent="0.3">
      <c r="A478" s="287" t="s">
        <v>241</v>
      </c>
      <c r="B478" s="69" t="str">
        <f>VLOOKUP(A478,URS確認!$E:$F,2,FALSE)</f>
        <v xml:space="preserve">不動產擔保品資料查詢                    </v>
      </c>
      <c r="C478" s="287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7" t="str">
        <f>VLOOKUP(A478,URS確認!E:I,5,FALSE)</f>
        <v>陳昱衡</v>
      </c>
      <c r="L478" s="287" t="s">
        <v>1465</v>
      </c>
    </row>
    <row r="479" spans="1:13" x14ac:dyDescent="0.3">
      <c r="A479" s="287" t="s">
        <v>257</v>
      </c>
      <c r="B479" s="69" t="str">
        <f>VLOOKUP(A479,URS確認!$E:$F,2,FALSE)</f>
        <v xml:space="preserve">額度與擔保品關聯查詢 </v>
      </c>
      <c r="C479" s="287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7" t="str">
        <f>VLOOKUP(A479,URS確認!E:I,5,FALSE)</f>
        <v>陳昱衡</v>
      </c>
      <c r="L479" s="287" t="s">
        <v>1465</v>
      </c>
    </row>
    <row r="480" spans="1:13" x14ac:dyDescent="0.3">
      <c r="A480" s="287" t="s">
        <v>857</v>
      </c>
      <c r="B480" s="69" t="str">
        <f>VLOOKUP(A480,URS確認!$E:$F,2,FALSE)</f>
        <v xml:space="preserve">擔保品重評資料登錄                      </v>
      </c>
      <c r="C480" s="287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7" t="str">
        <f>VLOOKUP(A480,URS確認!E:I,5,FALSE)</f>
        <v>陳昱衡</v>
      </c>
      <c r="L480" s="287" t="s">
        <v>1465</v>
      </c>
    </row>
    <row r="481" spans="1:13" ht="49.5" customHeight="1" x14ac:dyDescent="0.3">
      <c r="A481" s="287" t="s">
        <v>857</v>
      </c>
      <c r="B481" s="69" t="str">
        <f>VLOOKUP(A481,URS確認!$E:$F,2,FALSE)</f>
        <v xml:space="preserve">擔保品重評資料登錄                      </v>
      </c>
      <c r="C481" s="287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7" t="str">
        <f>VLOOKUP(A481,URS確認!E:I,5,FALSE)</f>
        <v>陳昱衡</v>
      </c>
      <c r="M481" s="287" t="s">
        <v>1481</v>
      </c>
    </row>
    <row r="482" spans="1:13" x14ac:dyDescent="0.3">
      <c r="A482" s="287" t="s">
        <v>387</v>
      </c>
      <c r="B482" s="69" t="str">
        <f>VLOOKUP(A482,URS確認!$E:$F,2,FALSE)</f>
        <v>業務關帳作業</v>
      </c>
      <c r="C482" s="287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7" t="str">
        <f>VLOOKUP(A482,URS確認!E:I,5,FALSE)</f>
        <v>楊智誠</v>
      </c>
      <c r="M482" s="287" t="s">
        <v>1481</v>
      </c>
    </row>
    <row r="483" spans="1:13" x14ac:dyDescent="0.3">
      <c r="A483" s="287" t="s">
        <v>387</v>
      </c>
      <c r="B483" s="69" t="str">
        <f>VLOOKUP(A483,URS確認!$E:$F,2,FALSE)</f>
        <v>業務關帳作業</v>
      </c>
      <c r="C483" s="287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7" t="str">
        <f>VLOOKUP(A483,URS確認!E:I,5,FALSE)</f>
        <v>楊智誠</v>
      </c>
      <c r="M483" s="287" t="s">
        <v>1481</v>
      </c>
    </row>
    <row r="484" spans="1:13" ht="34" customHeight="1" x14ac:dyDescent="0.3">
      <c r="A484" s="287" t="s">
        <v>859</v>
      </c>
      <c r="B484" s="69" t="str">
        <f>VLOOKUP(A484,URS確認!$E:$F,2,FALSE)</f>
        <v xml:space="preserve">案件處理清單         </v>
      </c>
      <c r="C484" s="287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7" t="str">
        <f>VLOOKUP(A484,URS確認!E:I,5,FALSE)</f>
        <v>蘇曉玲</v>
      </c>
      <c r="M484" s="287" t="s">
        <v>1481</v>
      </c>
    </row>
    <row r="485" spans="1:13" x14ac:dyDescent="0.3">
      <c r="A485" s="287" t="s">
        <v>863</v>
      </c>
      <c r="B485" s="69" t="str">
        <f>VLOOKUP(A485,URS確認!$E:$F,2,FALSE)</f>
        <v xml:space="preserve">電催明細資料查詢     </v>
      </c>
      <c r="C485" s="287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7" t="str">
        <f>VLOOKUP(A485,URS確認!E:I,5,FALSE)</f>
        <v>蘇曉玲</v>
      </c>
      <c r="L485" s="287" t="s">
        <v>1465</v>
      </c>
    </row>
    <row r="486" spans="1:13" x14ac:dyDescent="0.3">
      <c r="A486" s="287" t="s">
        <v>863</v>
      </c>
      <c r="B486" s="69" t="str">
        <f>VLOOKUP(A486,URS確認!$E:$F,2,FALSE)</f>
        <v xml:space="preserve">電催明細資料查詢     </v>
      </c>
      <c r="C486" s="287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7" t="str">
        <f>VLOOKUP(A486,URS確認!E:I,5,FALSE)</f>
        <v>蘇曉玲</v>
      </c>
      <c r="L486" s="287" t="s">
        <v>1465</v>
      </c>
    </row>
    <row r="487" spans="1:13" x14ac:dyDescent="0.3">
      <c r="A487" s="287" t="s">
        <v>867</v>
      </c>
      <c r="B487" s="69" t="str">
        <f>VLOOKUP(A487,URS確認!$E:$F,2,FALSE)</f>
        <v xml:space="preserve">面催明細資料查詢     </v>
      </c>
      <c r="C487" s="287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7" t="str">
        <f>VLOOKUP(A487,URS確認!E:I,5,FALSE)</f>
        <v>蘇曉玲</v>
      </c>
      <c r="L487" s="287" t="s">
        <v>1465</v>
      </c>
    </row>
    <row r="488" spans="1:13" x14ac:dyDescent="0.3">
      <c r="A488" s="287" t="s">
        <v>867</v>
      </c>
      <c r="B488" s="69" t="str">
        <f>VLOOKUP(A488,URS確認!$E:$F,2,FALSE)</f>
        <v xml:space="preserve">面催明細資料查詢     </v>
      </c>
      <c r="C488" s="287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7" t="str">
        <f>VLOOKUP(A488,URS確認!E:I,5,FALSE)</f>
        <v>蘇曉玲</v>
      </c>
      <c r="L488" s="287" t="s">
        <v>1465</v>
      </c>
    </row>
    <row r="489" spans="1:13" x14ac:dyDescent="0.3">
      <c r="A489" s="287" t="s">
        <v>867</v>
      </c>
      <c r="B489" s="69" t="str">
        <f>VLOOKUP(A489,URS確認!$E:$F,2,FALSE)</f>
        <v xml:space="preserve">面催明細資料查詢     </v>
      </c>
      <c r="C489" s="287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7" t="str">
        <f>VLOOKUP(A489,URS確認!E:I,5,FALSE)</f>
        <v>蘇曉玲</v>
      </c>
      <c r="L489" s="287" t="s">
        <v>1465</v>
      </c>
    </row>
    <row r="490" spans="1:13" x14ac:dyDescent="0.3">
      <c r="A490" s="287" t="s">
        <v>871</v>
      </c>
      <c r="B490" s="69" t="str">
        <f>VLOOKUP(A490,URS確認!$E:$F,2,FALSE)</f>
        <v xml:space="preserve">函催明細資料查詢     </v>
      </c>
      <c r="C490" s="287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7" t="str">
        <f>VLOOKUP(A490,URS確認!E:I,5,FALSE)</f>
        <v>蘇曉玲</v>
      </c>
      <c r="L490" s="287" t="s">
        <v>1465</v>
      </c>
    </row>
    <row r="491" spans="1:13" x14ac:dyDescent="0.3">
      <c r="A491" s="287" t="s">
        <v>871</v>
      </c>
      <c r="B491" s="69" t="str">
        <f>VLOOKUP(A491,URS確認!$E:$F,2,FALSE)</f>
        <v xml:space="preserve">函催明細資料查詢     </v>
      </c>
      <c r="C491" s="287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7" t="str">
        <f>VLOOKUP(A491,URS確認!E:I,5,FALSE)</f>
        <v>蘇曉玲</v>
      </c>
      <c r="L491" s="287" t="s">
        <v>1465</v>
      </c>
    </row>
    <row r="492" spans="1:13" x14ac:dyDescent="0.3">
      <c r="A492" s="287" t="s">
        <v>875</v>
      </c>
      <c r="B492" s="69" t="str">
        <f>VLOOKUP(A492,URS確認!$E:$F,2,FALSE)</f>
        <v xml:space="preserve">法務進度明細資料查詢 </v>
      </c>
      <c r="C492" s="287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7" t="str">
        <f>VLOOKUP(A492,URS確認!E:I,5,FALSE)</f>
        <v>蘇曉玲</v>
      </c>
      <c r="L492" s="287" t="s">
        <v>1465</v>
      </c>
    </row>
    <row r="493" spans="1:13" x14ac:dyDescent="0.3">
      <c r="A493" s="287" t="s">
        <v>875</v>
      </c>
      <c r="B493" s="69" t="str">
        <f>VLOOKUP(A493,URS確認!$E:$F,2,FALSE)</f>
        <v xml:space="preserve">法務進度明細資料查詢 </v>
      </c>
      <c r="C493" s="287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7" t="str">
        <f>VLOOKUP(A493,URS確認!E:I,5,FALSE)</f>
        <v>蘇曉玲</v>
      </c>
      <c r="L493" s="287" t="s">
        <v>1465</v>
      </c>
    </row>
    <row r="494" spans="1:13" x14ac:dyDescent="0.3">
      <c r="A494" s="287" t="s">
        <v>875</v>
      </c>
      <c r="B494" s="69" t="str">
        <f>VLOOKUP(A494,URS確認!$E:$F,2,FALSE)</f>
        <v xml:space="preserve">法務進度明細資料查詢 </v>
      </c>
      <c r="C494" s="287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7" t="str">
        <f>VLOOKUP(A494,URS確認!E:I,5,FALSE)</f>
        <v>蘇曉玲</v>
      </c>
      <c r="L494" s="287" t="s">
        <v>1465</v>
      </c>
    </row>
    <row r="495" spans="1:13" x14ac:dyDescent="0.4">
      <c r="A495" s="287" t="s">
        <v>879</v>
      </c>
      <c r="B495" s="69" t="str">
        <f>VLOOKUP(A495,URS確認!$E:$F,2,FALSE)</f>
        <v xml:space="preserve">提醒事項查詢         </v>
      </c>
      <c r="C495" s="287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7" t="str">
        <f>VLOOKUP(A495,URS確認!E:I,5,FALSE)</f>
        <v>蘇曉玲</v>
      </c>
      <c r="L495" s="287" t="s">
        <v>1465</v>
      </c>
    </row>
    <row r="496" spans="1:13" x14ac:dyDescent="0.4">
      <c r="A496" s="287" t="s">
        <v>879</v>
      </c>
      <c r="B496" s="69" t="str">
        <f>VLOOKUP(A496,URS確認!$E:$F,2,FALSE)</f>
        <v xml:space="preserve">提醒事項查詢         </v>
      </c>
      <c r="C496" s="287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7" t="str">
        <f>VLOOKUP(A496,URS確認!E:I,5,FALSE)</f>
        <v>蘇曉玲</v>
      </c>
      <c r="L496" s="287" t="s">
        <v>1465</v>
      </c>
    </row>
    <row r="497" spans="1:13" x14ac:dyDescent="0.3">
      <c r="A497" s="287" t="s">
        <v>879</v>
      </c>
      <c r="B497" s="69" t="str">
        <f>VLOOKUP(A497,URS確認!$E:$F,2,FALSE)</f>
        <v xml:space="preserve">提醒事項查詢         </v>
      </c>
      <c r="C497" s="287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7" t="str">
        <f>VLOOKUP(A497,URS確認!E:I,5,FALSE)</f>
        <v>蘇曉玲</v>
      </c>
      <c r="L497" s="287" t="s">
        <v>1465</v>
      </c>
    </row>
    <row r="498" spans="1:13" x14ac:dyDescent="0.3">
      <c r="A498" s="287" t="s">
        <v>865</v>
      </c>
      <c r="B498" s="69" t="str">
        <f>VLOOKUP(A498,URS確認!$E:$F,2,FALSE)</f>
        <v xml:space="preserve">電催登錄             </v>
      </c>
      <c r="C498" s="287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7" t="str">
        <f>VLOOKUP(A498,URS確認!E:I,5,FALSE)</f>
        <v>蘇曉玲</v>
      </c>
      <c r="L498" s="287" t="s">
        <v>1465</v>
      </c>
    </row>
    <row r="499" spans="1:13" x14ac:dyDescent="0.3">
      <c r="A499" s="287" t="s">
        <v>865</v>
      </c>
      <c r="B499" s="69" t="str">
        <f>VLOOKUP(A499,URS確認!$E:$F,2,FALSE)</f>
        <v xml:space="preserve">電催登錄             </v>
      </c>
      <c r="C499" s="287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7" t="str">
        <f>VLOOKUP(A499,URS確認!E:I,5,FALSE)</f>
        <v>蘇曉玲</v>
      </c>
      <c r="L499" s="287" t="s">
        <v>1465</v>
      </c>
    </row>
    <row r="500" spans="1:13" ht="33" customHeight="1" x14ac:dyDescent="0.3">
      <c r="A500" s="287" t="s">
        <v>869</v>
      </c>
      <c r="B500" s="69" t="str">
        <f>VLOOKUP(A500,URS確認!$E:$F,2,FALSE)</f>
        <v xml:space="preserve">面催登錄             </v>
      </c>
      <c r="C500" s="287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7" t="str">
        <f>VLOOKUP(A500,URS確認!E:I,5,FALSE)</f>
        <v>蘇曉玲</v>
      </c>
      <c r="L500" s="287" t="s">
        <v>1465</v>
      </c>
    </row>
    <row r="501" spans="1:13" x14ac:dyDescent="0.3">
      <c r="A501" s="287" t="s">
        <v>869</v>
      </c>
      <c r="B501" s="69" t="str">
        <f>VLOOKUP(A501,URS確認!$E:$F,2,FALSE)</f>
        <v xml:space="preserve">面催登錄             </v>
      </c>
      <c r="C501" s="287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7" t="str">
        <f>VLOOKUP(A501,URS確認!E:I,5,FALSE)</f>
        <v>蘇曉玲</v>
      </c>
      <c r="L501" s="287" t="s">
        <v>1465</v>
      </c>
    </row>
    <row r="502" spans="1:13" x14ac:dyDescent="0.3">
      <c r="A502" s="287" t="s">
        <v>869</v>
      </c>
      <c r="B502" s="69" t="str">
        <f>VLOOKUP(A502,URS確認!$E:$F,2,FALSE)</f>
        <v xml:space="preserve">面催登錄             </v>
      </c>
      <c r="C502" s="287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7" t="str">
        <f>VLOOKUP(A502,URS確認!E:I,5,FALSE)</f>
        <v>蘇曉玲</v>
      </c>
      <c r="L502" s="287" t="s">
        <v>1465</v>
      </c>
    </row>
    <row r="503" spans="1:13" ht="33" customHeight="1" x14ac:dyDescent="0.4">
      <c r="A503" s="287" t="s">
        <v>869</v>
      </c>
      <c r="B503" s="69" t="str">
        <f>VLOOKUP(A503,URS確認!$E:$F,2,FALSE)</f>
        <v xml:space="preserve">面催登錄             </v>
      </c>
      <c r="C503" s="287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7" t="str">
        <f>VLOOKUP(A503,URS確認!E:I,5,FALSE)</f>
        <v>蘇曉玲</v>
      </c>
      <c r="M503" s="287" t="s">
        <v>1481</v>
      </c>
    </row>
    <row r="504" spans="1:13" x14ac:dyDescent="0.3">
      <c r="A504" s="287" t="s">
        <v>869</v>
      </c>
      <c r="B504" s="69" t="str">
        <f>VLOOKUP(A504,URS確認!$E:$F,2,FALSE)</f>
        <v xml:space="preserve">面催登錄             </v>
      </c>
      <c r="C504" s="287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7" t="str">
        <f>VLOOKUP(A504,URS確認!E:I,5,FALSE)</f>
        <v>蘇曉玲</v>
      </c>
      <c r="L504" s="287" t="s">
        <v>1465</v>
      </c>
    </row>
    <row r="505" spans="1:13" x14ac:dyDescent="0.3">
      <c r="A505" s="287" t="s">
        <v>873</v>
      </c>
      <c r="B505" s="69" t="str">
        <f>VLOOKUP(A505,URS確認!$E:$F,2,FALSE)</f>
        <v xml:space="preserve">函催登錄             </v>
      </c>
      <c r="C505" s="287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7" t="str">
        <f>VLOOKUP(A505,URS確認!E:I,5,FALSE)</f>
        <v>蘇曉玲</v>
      </c>
      <c r="L505" s="287" t="s">
        <v>1465</v>
      </c>
    </row>
    <row r="506" spans="1:13" x14ac:dyDescent="0.3">
      <c r="A506" s="287" t="s">
        <v>873</v>
      </c>
      <c r="B506" s="69" t="str">
        <f>VLOOKUP(A506,URS確認!$E:$F,2,FALSE)</f>
        <v xml:space="preserve">函催登錄             </v>
      </c>
      <c r="C506" s="287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7" t="str">
        <f>VLOOKUP(A506,URS確認!E:I,5,FALSE)</f>
        <v>蘇曉玲</v>
      </c>
      <c r="L506" s="287" t="s">
        <v>1465</v>
      </c>
    </row>
    <row r="507" spans="1:13" x14ac:dyDescent="0.3">
      <c r="A507" s="287" t="s">
        <v>877</v>
      </c>
      <c r="B507" s="69" t="str">
        <f>VLOOKUP(A507,URS確認!$E:$F,2,FALSE)</f>
        <v xml:space="preserve">法務進度登錄         </v>
      </c>
      <c r="C507" s="287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7" t="str">
        <f>VLOOKUP(A507,URS確認!E:I,5,FALSE)</f>
        <v>蘇曉玲</v>
      </c>
      <c r="L507" s="287" t="s">
        <v>1465</v>
      </c>
    </row>
    <row r="508" spans="1:13" x14ac:dyDescent="0.3">
      <c r="A508" s="287" t="s">
        <v>877</v>
      </c>
      <c r="B508" s="69" t="str">
        <f>VLOOKUP(A508,URS確認!$E:$F,2,FALSE)</f>
        <v xml:space="preserve">法務進度登錄         </v>
      </c>
      <c r="C508" s="287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7" t="str">
        <f>VLOOKUP(A508,URS確認!E:I,5,FALSE)</f>
        <v>蘇曉玲</v>
      </c>
      <c r="L508" s="287" t="s">
        <v>1465</v>
      </c>
    </row>
    <row r="509" spans="1:13" x14ac:dyDescent="0.3">
      <c r="A509" s="287" t="s">
        <v>877</v>
      </c>
      <c r="B509" s="69" t="str">
        <f>VLOOKUP(A509,URS確認!$E:$F,2,FALSE)</f>
        <v xml:space="preserve">法務進度登錄         </v>
      </c>
      <c r="C509" s="287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7" t="str">
        <f>VLOOKUP(A509,URS確認!E:I,5,FALSE)</f>
        <v>蘇曉玲</v>
      </c>
      <c r="M509" s="287" t="s">
        <v>1481</v>
      </c>
    </row>
    <row r="510" spans="1:13" x14ac:dyDescent="0.3">
      <c r="A510" s="287" t="s">
        <v>877</v>
      </c>
      <c r="B510" s="69" t="str">
        <f>VLOOKUP(A510,URS確認!$E:$F,2,FALSE)</f>
        <v xml:space="preserve">法務進度登錄         </v>
      </c>
      <c r="C510" s="287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7" t="str">
        <f>VLOOKUP(A510,URS確認!E:I,5,FALSE)</f>
        <v>蘇曉玲</v>
      </c>
      <c r="M510" s="287" t="s">
        <v>1481</v>
      </c>
    </row>
    <row r="511" spans="1:13" x14ac:dyDescent="0.3">
      <c r="A511" s="287" t="s">
        <v>881</v>
      </c>
      <c r="B511" s="69" t="str">
        <f>VLOOKUP(A511,URS確認!$E:$F,2,FALSE)</f>
        <v xml:space="preserve">提醒事項登錄         </v>
      </c>
      <c r="C511" s="287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7" t="str">
        <f>VLOOKUP(A511,URS確認!E:I,5,FALSE)</f>
        <v>蘇曉玲</v>
      </c>
      <c r="L511" s="287" t="s">
        <v>1465</v>
      </c>
    </row>
    <row r="512" spans="1:13" x14ac:dyDescent="0.3">
      <c r="A512" s="287" t="s">
        <v>881</v>
      </c>
      <c r="B512" s="69" t="str">
        <f>VLOOKUP(A512,URS確認!$E:$F,2,FALSE)</f>
        <v xml:space="preserve">提醒事項登錄         </v>
      </c>
      <c r="C512" s="287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7" t="str">
        <f>VLOOKUP(A512,URS確認!E:I,5,FALSE)</f>
        <v>蘇曉玲</v>
      </c>
      <c r="L512" s="287" t="s">
        <v>1465</v>
      </c>
    </row>
    <row r="513" spans="1:13" x14ac:dyDescent="0.3">
      <c r="A513" s="287" t="s">
        <v>881</v>
      </c>
      <c r="B513" s="69" t="str">
        <f>VLOOKUP(A513,URS確認!$E:$F,2,FALSE)</f>
        <v xml:space="preserve">提醒事項登錄         </v>
      </c>
      <c r="C513" s="287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7" t="str">
        <f>VLOOKUP(A513,URS確認!E:I,5,FALSE)</f>
        <v>蘇曉玲</v>
      </c>
      <c r="L513" s="287" t="s">
        <v>1465</v>
      </c>
    </row>
    <row r="514" spans="1:13" x14ac:dyDescent="0.3">
      <c r="A514" s="287" t="s">
        <v>883</v>
      </c>
      <c r="B514" s="69" t="str">
        <f>VLOOKUP(A514,URS確認!$E:$F,2,FALSE)</f>
        <v>催收催繳明細</v>
      </c>
      <c r="C514" s="287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7" t="str">
        <f>VLOOKUP(A514,URS確認!E:I,5,FALSE)</f>
        <v>蘇曉玲</v>
      </c>
      <c r="M514" s="287" t="s">
        <v>1481</v>
      </c>
    </row>
    <row r="515" spans="1:13" x14ac:dyDescent="0.3">
      <c r="A515" s="287" t="s">
        <v>948</v>
      </c>
      <c r="B515" s="69" t="str">
        <f>VLOOKUP(A515,URS確認!$E:$F,2,FALSE)</f>
        <v>授信審議委員會會議紀錄明細資料查詢</v>
      </c>
      <c r="C515" s="287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7" t="s">
        <v>111</v>
      </c>
    </row>
    <row r="516" spans="1:13" x14ac:dyDescent="0.3">
      <c r="A516" s="287" t="s">
        <v>948</v>
      </c>
      <c r="B516" s="69" t="str">
        <f>VLOOKUP(A516,URS確認!$E:$F,2,FALSE)</f>
        <v>授信審議委員會會議紀錄明細資料查詢</v>
      </c>
      <c r="C516" s="287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7" t="s">
        <v>111</v>
      </c>
    </row>
    <row r="517" spans="1:13" x14ac:dyDescent="0.3">
      <c r="A517" s="287" t="s">
        <v>948</v>
      </c>
      <c r="B517" s="69" t="str">
        <f>VLOOKUP(A517,URS確認!$E:$F,2,FALSE)</f>
        <v>授信審議委員會會議紀錄明細資料查詢</v>
      </c>
      <c r="C517" s="287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7" t="s">
        <v>111</v>
      </c>
    </row>
    <row r="518" spans="1:13" x14ac:dyDescent="0.3">
      <c r="A518" s="287" t="s">
        <v>952</v>
      </c>
      <c r="B518" s="69" t="str">
        <f>VLOOKUP(A518,URS確認!$E:$F,2,FALSE)</f>
        <v>授信審議委員會會議紀錄維護</v>
      </c>
      <c r="C518" s="287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7" t="s">
        <v>111</v>
      </c>
    </row>
    <row r="519" spans="1:13" x14ac:dyDescent="0.3">
      <c r="A519" s="287" t="s">
        <v>952</v>
      </c>
      <c r="B519" s="69" t="str">
        <f>VLOOKUP(A519,URS確認!$E:$F,2,FALSE)</f>
        <v>授信審議委員會會議紀錄維護</v>
      </c>
      <c r="C519" s="287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7" t="s">
        <v>111</v>
      </c>
    </row>
    <row r="520" spans="1:13" x14ac:dyDescent="0.3">
      <c r="A520" s="287" t="s">
        <v>952</v>
      </c>
      <c r="B520" s="69" t="str">
        <f>VLOOKUP(A520,URS確認!$E:$F,2,FALSE)</f>
        <v>授信審議委員會會議紀錄維護</v>
      </c>
      <c r="C520" s="287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7" t="s">
        <v>111</v>
      </c>
    </row>
    <row r="521" spans="1:13" ht="34" customHeight="1" x14ac:dyDescent="0.3">
      <c r="A521" s="287" t="s">
        <v>964</v>
      </c>
      <c r="B521" s="69" t="str">
        <f>VLOOKUP(A521,URS確認!$E:$F,2,FALSE)</f>
        <v>覆審案件明細檔查詢</v>
      </c>
      <c r="C521" s="287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7" t="str">
        <f>VLOOKUP(A521,URS確認!E:I,5,FALSE)</f>
        <v>楊智誠</v>
      </c>
    </row>
    <row r="522" spans="1:13" x14ac:dyDescent="0.3">
      <c r="A522" s="287" t="s">
        <v>964</v>
      </c>
      <c r="B522" s="69" t="str">
        <f>VLOOKUP(A522,URS確認!$E:$F,2,FALSE)</f>
        <v>覆審案件明細檔查詢</v>
      </c>
      <c r="C522" s="287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7" t="str">
        <f>VLOOKUP(A522,URS確認!E:I,5,FALSE)</f>
        <v>楊智誠</v>
      </c>
    </row>
    <row r="523" spans="1:13" x14ac:dyDescent="0.3">
      <c r="A523" s="287" t="s">
        <v>964</v>
      </c>
      <c r="B523" s="69" t="str">
        <f>VLOOKUP(A523,URS確認!$E:$F,2,FALSE)</f>
        <v>覆審案件明細檔查詢</v>
      </c>
      <c r="C523" s="287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7" t="str">
        <f>VLOOKUP(A523,URS確認!E:I,5,FALSE)</f>
        <v>楊智誠</v>
      </c>
    </row>
    <row r="524" spans="1:13" x14ac:dyDescent="0.3">
      <c r="A524" s="287" t="s">
        <v>965</v>
      </c>
      <c r="B524" s="69" t="str">
        <f>VLOOKUP(A524,URS確認!$E:$F,2,FALSE)</f>
        <v>覆審案件明細檔維護</v>
      </c>
      <c r="C524" s="287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7" t="str">
        <f>VLOOKUP(A524,URS確認!E:I,5,FALSE)</f>
        <v>楊智誠</v>
      </c>
    </row>
    <row r="525" spans="1:13" x14ac:dyDescent="0.3">
      <c r="A525" s="287" t="s">
        <v>965</v>
      </c>
      <c r="B525" s="69" t="str">
        <f>VLOOKUP(A525,URS確認!$E:$F,2,FALSE)</f>
        <v>覆審案件明細檔維護</v>
      </c>
      <c r="C525" s="287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7" t="str">
        <f>VLOOKUP(A525,URS確認!E:I,5,FALSE)</f>
        <v>楊智誠</v>
      </c>
    </row>
    <row r="526" spans="1:13" x14ac:dyDescent="0.3">
      <c r="A526" s="287" t="s">
        <v>911</v>
      </c>
      <c r="B526" s="69" t="str">
        <f>VLOOKUP(A526,URS確認!$E:$F,2,FALSE)</f>
        <v>疑似洗錢樣態條件設定</v>
      </c>
      <c r="C526" s="287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7" t="str">
        <f>VLOOKUP(A526,URS確認!E:I,5,FALSE)</f>
        <v>楊智誠</v>
      </c>
    </row>
    <row r="527" spans="1:13" x14ac:dyDescent="0.4">
      <c r="A527" s="287" t="s">
        <v>917</v>
      </c>
      <c r="B527" s="69" t="str">
        <f>VLOOKUP(A527,URS確認!$E:$F,2,FALSE)</f>
        <v>疑似洗錢樣態資料產生</v>
      </c>
      <c r="C527" s="287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7" t="str">
        <f>VLOOKUP(A527,URS確認!E:I,5,FALSE)</f>
        <v>楊智誠</v>
      </c>
    </row>
    <row r="528" spans="1:13" x14ac:dyDescent="0.3">
      <c r="A528" s="287" t="s">
        <v>924</v>
      </c>
      <c r="B528" s="69" t="str">
        <f>VLOOKUP(A528,URS確認!$E:$F,2,FALSE)</f>
        <v>疑似洗錢交易合理性維護</v>
      </c>
      <c r="C528" s="287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7" t="str">
        <f>VLOOKUP(A528,URS確認!E:I,5,FALSE)</f>
        <v>楊智誠</v>
      </c>
    </row>
    <row r="529" spans="1:9" x14ac:dyDescent="0.3">
      <c r="A529" s="287" t="s">
        <v>924</v>
      </c>
      <c r="B529" s="69" t="str">
        <f>VLOOKUP(A529,URS確認!$E:$F,2,FALSE)</f>
        <v>疑似洗錢交易合理性維護</v>
      </c>
      <c r="C529" s="287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7" t="str">
        <f>VLOOKUP(A529,URS確認!E:I,5,FALSE)</f>
        <v>楊智誠</v>
      </c>
    </row>
    <row r="530" spans="1:9" x14ac:dyDescent="0.3">
      <c r="A530" s="287" t="s">
        <v>924</v>
      </c>
      <c r="B530" s="69" t="str">
        <f>VLOOKUP(A530,URS確認!$E:$F,2,FALSE)</f>
        <v>疑似洗錢交易合理性維護</v>
      </c>
      <c r="C530" s="287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7" t="str">
        <f>VLOOKUP(A530,URS確認!E:I,5,FALSE)</f>
        <v>楊智誠</v>
      </c>
    </row>
    <row r="531" spans="1:9" x14ac:dyDescent="0.3">
      <c r="A531" s="287" t="s">
        <v>924</v>
      </c>
      <c r="B531" s="69" t="str">
        <f>VLOOKUP(A531,URS確認!$E:$F,2,FALSE)</f>
        <v>疑似洗錢交易合理性維護</v>
      </c>
      <c r="C531" s="287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7" t="str">
        <f>VLOOKUP(A531,URS確認!E:I,5,FALSE)</f>
        <v>楊智誠</v>
      </c>
    </row>
    <row r="532" spans="1:9" x14ac:dyDescent="0.3">
      <c r="A532" s="287" t="s">
        <v>924</v>
      </c>
      <c r="B532" s="69" t="str">
        <f>VLOOKUP(A532,URS確認!$E:$F,2,FALSE)</f>
        <v>疑似洗錢交易合理性維護</v>
      </c>
      <c r="C532" s="287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7" t="str">
        <f>VLOOKUP(A532,URS確認!E:I,5,FALSE)</f>
        <v>楊智誠</v>
      </c>
    </row>
    <row r="533" spans="1:9" x14ac:dyDescent="0.3">
      <c r="A533" s="287" t="s">
        <v>924</v>
      </c>
      <c r="B533" s="69" t="str">
        <f>VLOOKUP(A533,URS確認!$E:$F,2,FALSE)</f>
        <v>疑似洗錢交易合理性維護</v>
      </c>
      <c r="C533" s="287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7" t="str">
        <f>VLOOKUP(A533,URS確認!E:I,5,FALSE)</f>
        <v>楊智誠</v>
      </c>
    </row>
    <row r="534" spans="1:9" x14ac:dyDescent="0.3">
      <c r="A534" s="287" t="s">
        <v>924</v>
      </c>
      <c r="B534" s="69" t="str">
        <f>VLOOKUP(A534,URS確認!$E:$F,2,FALSE)</f>
        <v>疑似洗錢交易合理性維護</v>
      </c>
      <c r="C534" s="287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7" t="str">
        <f>VLOOKUP(A534,URS確認!E:I,5,FALSE)</f>
        <v>楊智誠</v>
      </c>
    </row>
    <row r="535" spans="1:9" x14ac:dyDescent="0.3">
      <c r="A535" s="287" t="s">
        <v>929</v>
      </c>
      <c r="B535" s="69" t="str">
        <f>VLOOKUP(A535,URS確認!$E:$F,2,FALSE)</f>
        <v>疑似洗錢交易訪談記錄維護</v>
      </c>
      <c r="C535" s="287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7" t="str">
        <f>VLOOKUP(A535,URS確認!E:I,5,FALSE)</f>
        <v>楊智誠</v>
      </c>
    </row>
    <row r="536" spans="1:9" x14ac:dyDescent="0.3">
      <c r="A536" s="287" t="s">
        <v>929</v>
      </c>
      <c r="B536" s="69" t="str">
        <f>VLOOKUP(A536,URS確認!$E:$F,2,FALSE)</f>
        <v>疑似洗錢交易訪談記錄維護</v>
      </c>
      <c r="C536" s="287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7" t="str">
        <f>VLOOKUP(A536,URS確認!E:I,5,FALSE)</f>
        <v>楊智誠</v>
      </c>
    </row>
    <row r="537" spans="1:9" x14ac:dyDescent="0.3">
      <c r="A537" s="287" t="s">
        <v>925</v>
      </c>
      <c r="B537" s="69" t="str">
        <f>VLOOKUP(A537,URS確認!$E:$F,2,FALSE)</f>
        <v>疑似洗錢交易訪談記錄查詢</v>
      </c>
      <c r="C537" s="287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7" t="str">
        <f>VLOOKUP(A537,URS確認!E:I,5,FALSE)</f>
        <v>楊智誠</v>
      </c>
    </row>
    <row r="538" spans="1:9" x14ac:dyDescent="0.3">
      <c r="A538" s="287" t="s">
        <v>915</v>
      </c>
      <c r="B538" s="69" t="str">
        <f>VLOOKUP(A538,URS確認!$E:$F,2,FALSE)</f>
        <v>疑似洗錢資料變更查詢</v>
      </c>
      <c r="C538" s="287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7" t="str">
        <f>VLOOKUP(A538,URS確認!E:I,5,FALSE)</f>
        <v>楊智誠</v>
      </c>
    </row>
    <row r="539" spans="1:9" x14ac:dyDescent="0.3">
      <c r="A539" s="287" t="s">
        <v>915</v>
      </c>
      <c r="B539" s="69" t="str">
        <f>VLOOKUP(A539,URS確認!$E:$F,2,FALSE)</f>
        <v>疑似洗錢資料變更查詢</v>
      </c>
      <c r="C539" s="287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7" t="str">
        <f>VLOOKUP(A539,URS確認!E:I,5,FALSE)</f>
        <v>楊智誠</v>
      </c>
    </row>
    <row r="540" spans="1:9" ht="34" customHeight="1" x14ac:dyDescent="0.3">
      <c r="A540" s="287" t="s">
        <v>937</v>
      </c>
      <c r="B540" s="69" t="str">
        <f>VLOOKUP(A540,URS確認!$E:$F,2,FALSE)</f>
        <v>產生國稅局申報檢核檔</v>
      </c>
      <c r="C540" s="287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7" t="str">
        <f>VLOOKUP(A540,URS確認!E:I,5,FALSE)</f>
        <v>楊智誠</v>
      </c>
    </row>
    <row r="541" spans="1:9" x14ac:dyDescent="0.4">
      <c r="A541" s="287" t="s">
        <v>937</v>
      </c>
      <c r="B541" s="69" t="str">
        <f>VLOOKUP(A541,URS確認!$E:$F,2,FALSE)</f>
        <v>產生國稅局申報檢核檔</v>
      </c>
      <c r="C541" s="287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7" t="str">
        <f>VLOOKUP(A541,URS確認!E:I,5,FALSE)</f>
        <v>楊智誠</v>
      </c>
    </row>
    <row r="542" spans="1:9" x14ac:dyDescent="0.4">
      <c r="A542" s="287" t="s">
        <v>937</v>
      </c>
      <c r="B542" s="69" t="str">
        <f>VLOOKUP(A542,URS確認!$E:$F,2,FALSE)</f>
        <v>產生國稅局申報檢核檔</v>
      </c>
      <c r="C542" s="287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7" t="str">
        <f>VLOOKUP(A542,URS確認!E:I,5,FALSE)</f>
        <v>楊智誠</v>
      </c>
    </row>
    <row r="543" spans="1:9" x14ac:dyDescent="0.4">
      <c r="A543" s="287" t="s">
        <v>933</v>
      </c>
      <c r="B543" s="69" t="str">
        <f>VLOOKUP(A543,URS確認!$E:$F,2,FALSE)</f>
        <v>國稅局申報檔查詢</v>
      </c>
      <c r="C543" s="287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7" t="str">
        <f>VLOOKUP(A543,URS確認!E:I,5,FALSE)</f>
        <v>楊智誠</v>
      </c>
    </row>
    <row r="544" spans="1:9" x14ac:dyDescent="0.4">
      <c r="A544" s="287" t="s">
        <v>935</v>
      </c>
      <c r="B544" s="69" t="str">
        <f>VLOOKUP(A544,URS確認!$E:$F,2,FALSE)</f>
        <v>國稅局申報檔維護</v>
      </c>
      <c r="C544" s="287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7" t="str">
        <f>VLOOKUP(A544,URS確認!E:I,5,FALSE)</f>
        <v>楊智誠</v>
      </c>
    </row>
    <row r="545" spans="1:9" x14ac:dyDescent="0.4">
      <c r="A545" s="287" t="s">
        <v>939</v>
      </c>
      <c r="B545" s="69" t="str">
        <f>VLOOKUP(A545,URS確認!$E:$F,2,FALSE)</f>
        <v>產生國稅局申報媒體檔</v>
      </c>
      <c r="C545" s="287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7" t="str">
        <f>VLOOKUP(A545,URS確認!E:I,5,FALSE)</f>
        <v>楊智誠</v>
      </c>
    </row>
    <row r="546" spans="1:9" x14ac:dyDescent="0.4">
      <c r="A546" s="287" t="s">
        <v>939</v>
      </c>
      <c r="B546" s="69" t="str">
        <f>VLOOKUP(A546,URS確認!$E:$F,2,FALSE)</f>
        <v>產生國稅局申報媒體檔</v>
      </c>
      <c r="C546" s="287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7" t="str">
        <f>VLOOKUP(A546,URS確認!E:I,5,FALSE)</f>
        <v>楊智誠</v>
      </c>
    </row>
    <row r="547" spans="1:9" ht="34" customHeight="1" x14ac:dyDescent="0.3">
      <c r="A547" s="287" t="s">
        <v>905</v>
      </c>
      <c r="B547" s="69" t="str">
        <f>VLOOKUP(A547,URS確認!$E:$F,2,FALSE)</f>
        <v>產製公務人員報送資料</v>
      </c>
      <c r="C547" s="287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7" t="str">
        <f>VLOOKUP(A547,URS確認!E:I,5,FALSE)</f>
        <v>楊智誠</v>
      </c>
    </row>
    <row r="548" spans="1:9" x14ac:dyDescent="0.3">
      <c r="A548" s="287" t="s">
        <v>905</v>
      </c>
      <c r="B548" s="69" t="str">
        <f>VLOOKUP(A548,URS確認!$E:$F,2,FALSE)</f>
        <v>產製公務人員報送資料</v>
      </c>
      <c r="C548" s="287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7" t="str">
        <f>VLOOKUP(A548,URS確認!E:I,5,FALSE)</f>
        <v>楊智誠</v>
      </c>
    </row>
    <row r="549" spans="1:9" x14ac:dyDescent="0.3">
      <c r="A549" s="287" t="s">
        <v>945</v>
      </c>
      <c r="B549" s="69" t="str">
        <f>VLOOKUP(A549,URS確認!$E:$F,2,FALSE)</f>
        <v xml:space="preserve">資金運用概況維護                      </v>
      </c>
      <c r="C549" s="287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7" t="str">
        <f>VLOOKUP(A549,URS確認!E:I,5,FALSE)</f>
        <v>楊智誠</v>
      </c>
    </row>
    <row r="550" spans="1:9" x14ac:dyDescent="0.3">
      <c r="A550" s="287" t="s">
        <v>954</v>
      </c>
      <c r="B550" s="69" t="str">
        <f>VLOOKUP(A550,URS確認!$E:$F,2,FALSE)</f>
        <v xml:space="preserve">檔案借閱明細資料查詢                  </v>
      </c>
      <c r="C550" s="287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7" t="str">
        <f>VLOOKUP(A550,URS確認!E:I,5,FALSE)</f>
        <v>楊智誠</v>
      </c>
    </row>
    <row r="551" spans="1:9" x14ac:dyDescent="0.3">
      <c r="A551" s="287" t="s">
        <v>954</v>
      </c>
      <c r="B551" s="69" t="str">
        <f>VLOOKUP(A551,URS確認!$E:$F,2,FALSE)</f>
        <v xml:space="preserve">檔案借閱明細資料查詢                  </v>
      </c>
      <c r="C551" s="287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7" t="str">
        <f>VLOOKUP(A551,URS確認!E:I,5,FALSE)</f>
        <v>楊智誠</v>
      </c>
    </row>
    <row r="552" spans="1:9" x14ac:dyDescent="0.3">
      <c r="A552" s="287" t="s">
        <v>958</v>
      </c>
      <c r="B552" s="69" t="str">
        <f>VLOOKUP(A552,URS確認!$E:$F,2,FALSE)</f>
        <v xml:space="preserve">檔案借閱維護                          </v>
      </c>
      <c r="C552" s="287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7" t="str">
        <f>VLOOKUP(A552,URS確認!E:I,5,FALSE)</f>
        <v>楊智誠</v>
      </c>
    </row>
    <row r="553" spans="1:9" x14ac:dyDescent="0.3">
      <c r="A553" s="287" t="s">
        <v>958</v>
      </c>
      <c r="B553" s="69" t="str">
        <f>VLOOKUP(A553,URS確認!$E:$F,2,FALSE)</f>
        <v xml:space="preserve">檔案借閱維護                          </v>
      </c>
      <c r="C553" s="287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7" t="str">
        <f>VLOOKUP(A553,URS確認!E:I,5,FALSE)</f>
        <v>楊智誠</v>
      </c>
    </row>
    <row r="554" spans="1:9" x14ac:dyDescent="0.3">
      <c r="A554" s="287" t="s">
        <v>960</v>
      </c>
      <c r="B554" s="69" t="str">
        <f>VLOOKUP(A554,URS確認!$E:$F,2,FALSE)</f>
        <v xml:space="preserve">檔案借閱報表作業(列印)                </v>
      </c>
      <c r="C554" s="287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7" t="str">
        <f>VLOOKUP(A554,URS確認!E:I,5,FALSE)</f>
        <v>楊智誠</v>
      </c>
    </row>
    <row r="555" spans="1:9" x14ac:dyDescent="0.3">
      <c r="A555" s="287" t="s">
        <v>960</v>
      </c>
      <c r="B555" s="69" t="str">
        <f>VLOOKUP(A555,URS確認!$E:$F,2,FALSE)</f>
        <v xml:space="preserve">檔案借閱報表作業(列印)                </v>
      </c>
      <c r="C555" s="287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7" t="str">
        <f>VLOOKUP(A555,URS確認!E:I,5,FALSE)</f>
        <v>楊智誠</v>
      </c>
    </row>
    <row r="556" spans="1:9" x14ac:dyDescent="0.3">
      <c r="A556" s="287" t="s">
        <v>960</v>
      </c>
      <c r="B556" s="69" t="str">
        <f>VLOOKUP(A556,URS確認!$E:$F,2,FALSE)</f>
        <v xml:space="preserve">檔案借閱報表作業(列印)                </v>
      </c>
      <c r="C556" s="287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7" t="str">
        <f>VLOOKUP(A556,URS確認!E:I,5,FALSE)</f>
        <v>楊智誠</v>
      </c>
    </row>
    <row r="557" spans="1:9" ht="34" customHeight="1" x14ac:dyDescent="0.3">
      <c r="A557" s="287" t="s">
        <v>960</v>
      </c>
      <c r="B557" s="69" t="str">
        <f>VLOOKUP(A557,URS確認!$E:$F,2,FALSE)</f>
        <v xml:space="preserve">檔案借閱報表作業(列印)                </v>
      </c>
      <c r="C557" s="287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7" t="str">
        <f>VLOOKUP(A557,URS確認!E:I,5,FALSE)</f>
        <v>楊智誠</v>
      </c>
    </row>
    <row r="558" spans="1:9" x14ac:dyDescent="0.3">
      <c r="A558" s="287" t="s">
        <v>960</v>
      </c>
      <c r="B558" s="69" t="str">
        <f>VLOOKUP(A558,URS確認!$E:$F,2,FALSE)</f>
        <v xml:space="preserve">檔案借閱報表作業(列印)                </v>
      </c>
      <c r="C558" s="287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7" t="str">
        <f>VLOOKUP(A558,URS確認!E:I,5,FALSE)</f>
        <v>楊智誠</v>
      </c>
    </row>
    <row r="559" spans="1:9" x14ac:dyDescent="0.3">
      <c r="A559" s="287" t="s">
        <v>960</v>
      </c>
      <c r="B559" s="69" t="str">
        <f>VLOOKUP(A559,URS確認!$E:$F,2,FALSE)</f>
        <v xml:space="preserve">檔案借閱報表作業(列印)                </v>
      </c>
      <c r="C559" s="287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7" t="str">
        <f>VLOOKUP(A559,URS確認!E:I,5,FALSE)</f>
        <v>楊智誠</v>
      </c>
    </row>
    <row r="560" spans="1:9" x14ac:dyDescent="0.3">
      <c r="A560" s="287" t="s">
        <v>1368</v>
      </c>
      <c r="B560" s="69" t="s">
        <v>2019</v>
      </c>
      <c r="C560" s="287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49" t="str">
        <f>VLOOKUP(A560,URS確認!E:I,5,FALSE)</f>
        <v>張金龍</v>
      </c>
    </row>
    <row r="561" spans="1:16" x14ac:dyDescent="0.3">
      <c r="A561" s="287" t="s">
        <v>776</v>
      </c>
      <c r="B561" s="69" t="str">
        <f>VLOOKUP(A561,URS確認!$E:$F,2,FALSE)</f>
        <v>領取清償證明作業</v>
      </c>
      <c r="C561" s="287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7" t="str">
        <f>VLOOKUP(A561,URS確認!E:I,5,FALSE)</f>
        <v>余家興</v>
      </c>
    </row>
    <row r="562" spans="1:16" x14ac:dyDescent="0.4">
      <c r="A562" s="287" t="s">
        <v>1250</v>
      </c>
      <c r="B562" s="69" t="str">
        <f>VLOOKUP(A562,URS確認!$E:$F,2,FALSE)</f>
        <v>(574)更生款項統一收付結案通知資料</v>
      </c>
      <c r="C562" s="287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7" t="str">
        <f>VLOOKUP(A562,URS確認!E:I,5,FALSE)</f>
        <v>張金龍</v>
      </c>
      <c r="L562" s="287" t="s">
        <v>2395</v>
      </c>
    </row>
    <row r="563" spans="1:16" x14ac:dyDescent="0.3">
      <c r="A563" s="287" t="s">
        <v>2023</v>
      </c>
      <c r="B563" s="69" t="s">
        <v>2024</v>
      </c>
      <c r="C563" s="287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7" t="s">
        <v>111</v>
      </c>
      <c r="L563" s="287" t="s">
        <v>2395</v>
      </c>
    </row>
    <row r="564" spans="1:16" x14ac:dyDescent="0.3">
      <c r="A564" s="349" t="s">
        <v>2023</v>
      </c>
      <c r="B564" s="69" t="s">
        <v>2024</v>
      </c>
      <c r="C564" s="287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7" t="s">
        <v>111</v>
      </c>
      <c r="L564" s="287" t="s">
        <v>2395</v>
      </c>
    </row>
    <row r="565" spans="1:16" x14ac:dyDescent="0.3">
      <c r="A565" s="349" t="s">
        <v>2023</v>
      </c>
      <c r="B565" s="69" t="s">
        <v>2024</v>
      </c>
      <c r="C565" s="287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7" t="s">
        <v>111</v>
      </c>
      <c r="L565" s="287" t="s">
        <v>2395</v>
      </c>
    </row>
    <row r="566" spans="1:16" x14ac:dyDescent="0.3">
      <c r="A566" s="349" t="s">
        <v>2023</v>
      </c>
      <c r="B566" s="69" t="s">
        <v>2024</v>
      </c>
      <c r="C566" s="287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7" t="s">
        <v>111</v>
      </c>
      <c r="L566" s="287" t="s">
        <v>2395</v>
      </c>
    </row>
    <row r="567" spans="1:16" ht="102" x14ac:dyDescent="0.3">
      <c r="A567" s="287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7" t="s">
        <v>2425</v>
      </c>
      <c r="L567" s="287" t="s">
        <v>2395</v>
      </c>
    </row>
    <row r="568" spans="1:16" ht="51" x14ac:dyDescent="0.3">
      <c r="A568" s="375" t="s">
        <v>2533</v>
      </c>
      <c r="B568" s="69" t="s">
        <v>2534</v>
      </c>
      <c r="C568" s="375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5" t="s">
        <v>2425</v>
      </c>
      <c r="J568" s="375"/>
      <c r="K568" s="375"/>
      <c r="L568" s="375" t="s">
        <v>2395</v>
      </c>
      <c r="M568" s="375"/>
      <c r="N568" s="375"/>
      <c r="O568" s="375"/>
      <c r="P568" s="375"/>
    </row>
    <row r="569" spans="1:16" ht="85" x14ac:dyDescent="0.3">
      <c r="A569" s="287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6" t="s">
        <v>2425</v>
      </c>
      <c r="M569" s="287" t="s">
        <v>2428</v>
      </c>
    </row>
    <row r="570" spans="1:16" x14ac:dyDescent="0.3">
      <c r="A570" s="287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1">
        <v>44533</v>
      </c>
      <c r="I570" s="356" t="s">
        <v>2425</v>
      </c>
      <c r="L570" s="287" t="s">
        <v>2395</v>
      </c>
    </row>
    <row r="571" spans="1:16" x14ac:dyDescent="0.3">
      <c r="A571" s="287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1">
        <v>44533</v>
      </c>
      <c r="I571" s="356" t="s">
        <v>2425</v>
      </c>
      <c r="L571" s="287" t="s">
        <v>2395</v>
      </c>
    </row>
    <row r="572" spans="1:16" x14ac:dyDescent="0.3">
      <c r="A572" s="287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1">
        <v>44533</v>
      </c>
      <c r="I572" s="356" t="s">
        <v>2425</v>
      </c>
      <c r="L572" s="287" t="s">
        <v>2395</v>
      </c>
    </row>
    <row r="573" spans="1:16" x14ac:dyDescent="0.3">
      <c r="A573" s="400" t="s">
        <v>2558</v>
      </c>
      <c r="B573" s="69" t="s">
        <v>2559</v>
      </c>
      <c r="C573" s="400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0" t="s">
        <v>2425</v>
      </c>
      <c r="J573" s="400"/>
      <c r="K573" s="400"/>
      <c r="L573" s="400"/>
      <c r="M573" s="400" t="s">
        <v>2428</v>
      </c>
      <c r="N573" s="400"/>
      <c r="O573" s="400"/>
      <c r="P573" s="400"/>
    </row>
    <row r="574" spans="1:16" x14ac:dyDescent="0.3">
      <c r="A574" s="287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1">
        <v>44539</v>
      </c>
      <c r="I574" s="356" t="s">
        <v>2425</v>
      </c>
      <c r="L574" s="287" t="s">
        <v>2395</v>
      </c>
    </row>
    <row r="575" spans="1:16" x14ac:dyDescent="0.3">
      <c r="A575" s="357" t="s">
        <v>2430</v>
      </c>
      <c r="B575" s="74" t="s">
        <v>2431</v>
      </c>
      <c r="C575" s="357">
        <v>2</v>
      </c>
      <c r="D575" s="74" t="s">
        <v>2432</v>
      </c>
      <c r="E575" s="71">
        <v>44484</v>
      </c>
      <c r="F575" s="71">
        <v>44554</v>
      </c>
      <c r="H575" s="357"/>
      <c r="I575" s="357" t="s">
        <v>2433</v>
      </c>
      <c r="J575" s="357"/>
      <c r="K575" s="357"/>
      <c r="L575" s="357"/>
      <c r="M575" s="357"/>
      <c r="N575" s="357"/>
      <c r="O575" s="357"/>
      <c r="P575" s="357"/>
    </row>
    <row r="576" spans="1:16" x14ac:dyDescent="0.3">
      <c r="A576" s="357" t="s">
        <v>2434</v>
      </c>
      <c r="B576" s="69" t="s">
        <v>2435</v>
      </c>
      <c r="C576" s="357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7" t="s">
        <v>2433</v>
      </c>
      <c r="J576" s="357"/>
      <c r="K576" s="357"/>
      <c r="L576" s="357"/>
      <c r="M576" s="357"/>
      <c r="N576" s="357"/>
      <c r="O576" s="357"/>
      <c r="P576" s="357"/>
    </row>
    <row r="577" spans="1:16" ht="34" x14ac:dyDescent="0.3">
      <c r="A577" s="375" t="s">
        <v>2537</v>
      </c>
      <c r="B577" s="69" t="s">
        <v>2538</v>
      </c>
      <c r="C577" s="375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5" t="s">
        <v>2425</v>
      </c>
      <c r="J577" s="375"/>
      <c r="K577" s="375"/>
      <c r="L577" s="375" t="s">
        <v>2395</v>
      </c>
      <c r="M577" s="375"/>
      <c r="N577" s="375"/>
      <c r="O577" s="375"/>
      <c r="P577" s="375"/>
    </row>
    <row r="578" spans="1:16" ht="51" x14ac:dyDescent="0.3">
      <c r="A578" s="375" t="s">
        <v>2539</v>
      </c>
      <c r="B578" s="69" t="s">
        <v>2540</v>
      </c>
      <c r="C578" s="375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5" t="s">
        <v>2425</v>
      </c>
      <c r="J578" s="375"/>
      <c r="K578" s="375"/>
      <c r="L578" s="375" t="s">
        <v>2395</v>
      </c>
      <c r="M578" s="375"/>
      <c r="N578" s="375"/>
      <c r="O578" s="375"/>
      <c r="P578" s="375"/>
    </row>
    <row r="579" spans="1:16" s="528" customFormat="1" x14ac:dyDescent="0.4">
      <c r="A579" s="527" t="s">
        <v>781</v>
      </c>
      <c r="B579" s="68" t="s">
        <v>784</v>
      </c>
      <c r="C579" s="527"/>
      <c r="D579" s="529" t="s">
        <v>2706</v>
      </c>
      <c r="E579" s="582">
        <v>44498</v>
      </c>
      <c r="F579" s="530"/>
      <c r="G579" s="530">
        <v>44543</v>
      </c>
      <c r="H579" s="71">
        <f t="shared" ref="H579:H585" si="10">G579</f>
        <v>44543</v>
      </c>
      <c r="I579" s="527" t="str">
        <f>VLOOKUP(A579,URS確認!E:I,5,FALSE)</f>
        <v>余家興</v>
      </c>
      <c r="J579" s="527"/>
      <c r="K579" s="527"/>
      <c r="L579" s="527"/>
      <c r="M579" s="527"/>
      <c r="N579" s="527"/>
      <c r="O579" s="527"/>
      <c r="P579" s="527"/>
    </row>
    <row r="580" spans="1:16" ht="34" x14ac:dyDescent="0.3">
      <c r="A580" s="581" t="s">
        <v>776</v>
      </c>
      <c r="B580" s="69" t="s">
        <v>2705</v>
      </c>
      <c r="C580" s="581"/>
      <c r="D580" s="74" t="s">
        <v>2944</v>
      </c>
      <c r="E580" s="582">
        <v>44498</v>
      </c>
      <c r="G580" s="530">
        <v>44543</v>
      </c>
      <c r="H580" s="71">
        <f t="shared" ref="H580" si="11">G580</f>
        <v>44543</v>
      </c>
      <c r="I580" s="527" t="str">
        <f>VLOOKUP(A580,URS確認!E:I,5,FALSE)</f>
        <v>余家興</v>
      </c>
      <c r="J580" s="581"/>
      <c r="K580" s="581"/>
      <c r="L580" s="581"/>
      <c r="M580" s="581"/>
      <c r="N580" s="581"/>
      <c r="O580" s="581"/>
      <c r="P580" s="581"/>
    </row>
    <row r="581" spans="1:16" ht="68" x14ac:dyDescent="0.3">
      <c r="A581" s="287" t="s">
        <v>776</v>
      </c>
      <c r="B581" s="69" t="s">
        <v>2705</v>
      </c>
      <c r="D581" s="74" t="s">
        <v>2945</v>
      </c>
      <c r="E581" s="582">
        <v>44543</v>
      </c>
      <c r="G581" s="530"/>
      <c r="H581" s="71"/>
      <c r="I581" s="527" t="str">
        <f>VLOOKUP(A581,URS確認!E:I,5,FALSE)</f>
        <v>余家興</v>
      </c>
    </row>
    <row r="582" spans="1:16" x14ac:dyDescent="0.4">
      <c r="A582" s="287" t="s">
        <v>255</v>
      </c>
      <c r="B582" s="69" t="s">
        <v>2709</v>
      </c>
      <c r="C582" s="287">
        <v>1</v>
      </c>
      <c r="D582" s="68" t="s">
        <v>2710</v>
      </c>
      <c r="E582" s="582">
        <v>44498</v>
      </c>
      <c r="G582" s="530">
        <v>44543</v>
      </c>
      <c r="H582" s="71">
        <f t="shared" si="10"/>
        <v>44543</v>
      </c>
      <c r="I582" s="527" t="str">
        <f>VLOOKUP(A582,URS確認!E:I,5,FALSE)</f>
        <v>余家興</v>
      </c>
    </row>
    <row r="583" spans="1:16" x14ac:dyDescent="0.4">
      <c r="A583" s="559" t="s">
        <v>255</v>
      </c>
      <c r="B583" s="69" t="s">
        <v>2709</v>
      </c>
      <c r="C583" s="287">
        <v>2</v>
      </c>
      <c r="D583" s="68" t="s">
        <v>2711</v>
      </c>
      <c r="E583" s="582">
        <v>44498</v>
      </c>
      <c r="G583" s="530">
        <v>44543</v>
      </c>
      <c r="H583" s="71">
        <f t="shared" si="10"/>
        <v>44543</v>
      </c>
      <c r="I583" s="527" t="str">
        <f>VLOOKUP(A583,URS確認!E:I,5,FALSE)</f>
        <v>余家興</v>
      </c>
    </row>
    <row r="584" spans="1:16" x14ac:dyDescent="0.4">
      <c r="A584" s="68" t="s">
        <v>793</v>
      </c>
      <c r="B584" s="68" t="s">
        <v>2712</v>
      </c>
      <c r="D584" s="68" t="s">
        <v>2713</v>
      </c>
      <c r="E584" s="582">
        <v>44498</v>
      </c>
      <c r="G584" s="530">
        <v>44543</v>
      </c>
      <c r="H584" s="71">
        <f t="shared" si="10"/>
        <v>44543</v>
      </c>
      <c r="I584" s="527" t="str">
        <f>VLOOKUP(A584,URS確認!E:I,5,FALSE)</f>
        <v>余家興</v>
      </c>
    </row>
    <row r="585" spans="1:16" x14ac:dyDescent="0.4">
      <c r="A585" s="287" t="s">
        <v>788</v>
      </c>
      <c r="B585" s="68" t="s">
        <v>2715</v>
      </c>
      <c r="D585" s="74" t="s">
        <v>2714</v>
      </c>
      <c r="E585" s="582">
        <v>44498</v>
      </c>
      <c r="G585" s="530">
        <v>44543</v>
      </c>
      <c r="H585" s="71">
        <f t="shared" si="10"/>
        <v>44543</v>
      </c>
      <c r="I585" s="527" t="str">
        <f>VLOOKUP(A585,URS確認!E:I,5,FALSE)</f>
        <v>余家興</v>
      </c>
    </row>
    <row r="586" spans="1:16" x14ac:dyDescent="0.4">
      <c r="A586" s="68" t="s">
        <v>1331</v>
      </c>
      <c r="B586" s="69" t="s">
        <v>2716</v>
      </c>
      <c r="C586" s="287">
        <v>1</v>
      </c>
      <c r="D586" s="68" t="s">
        <v>2717</v>
      </c>
      <c r="E586" s="582">
        <v>44525</v>
      </c>
      <c r="F586" s="71">
        <v>44540</v>
      </c>
      <c r="G586" s="71">
        <v>44540</v>
      </c>
      <c r="H586" s="71">
        <v>44540</v>
      </c>
      <c r="I586" s="527" t="str">
        <f>VLOOKUP(A586,URS確認!E:I,5,FALSE)</f>
        <v>張金龍</v>
      </c>
    </row>
    <row r="587" spans="1:16" x14ac:dyDescent="0.4">
      <c r="A587" s="68" t="s">
        <v>1331</v>
      </c>
      <c r="B587" s="69" t="s">
        <v>2716</v>
      </c>
      <c r="C587" s="287">
        <v>2</v>
      </c>
      <c r="D587" s="74" t="s">
        <v>2718</v>
      </c>
      <c r="E587" s="582">
        <v>44525</v>
      </c>
      <c r="F587" s="71">
        <v>44540</v>
      </c>
      <c r="G587" s="71">
        <v>44540</v>
      </c>
      <c r="H587" s="71">
        <v>44540</v>
      </c>
      <c r="I587" s="527" t="str">
        <f>VLOOKUP(A587,URS確認!E:I,5,FALSE)</f>
        <v>張金龍</v>
      </c>
    </row>
    <row r="588" spans="1:16" x14ac:dyDescent="0.4">
      <c r="A588" s="68" t="s">
        <v>1331</v>
      </c>
      <c r="B588" s="69" t="s">
        <v>2716</v>
      </c>
      <c r="C588" s="287">
        <v>3</v>
      </c>
      <c r="D588" s="68" t="s">
        <v>2719</v>
      </c>
      <c r="E588" s="582">
        <v>44525</v>
      </c>
      <c r="F588" s="71">
        <v>44540</v>
      </c>
      <c r="G588" s="71">
        <v>44540</v>
      </c>
      <c r="H588" s="71">
        <v>44540</v>
      </c>
      <c r="I588" s="527" t="str">
        <f>VLOOKUP(A588,URS確認!E:I,5,FALSE)</f>
        <v>張金龍</v>
      </c>
    </row>
    <row r="589" spans="1:16" x14ac:dyDescent="0.4">
      <c r="A589" s="68" t="s">
        <v>1333</v>
      </c>
      <c r="B589" s="68" t="s">
        <v>1334</v>
      </c>
      <c r="C589" s="287">
        <v>1</v>
      </c>
      <c r="D589" s="68" t="s">
        <v>2720</v>
      </c>
      <c r="E589" s="582">
        <v>44525</v>
      </c>
      <c r="F589" s="71">
        <v>44540</v>
      </c>
      <c r="G589" s="71">
        <v>44540</v>
      </c>
      <c r="H589" s="71">
        <v>44540</v>
      </c>
      <c r="I589" s="527" t="str">
        <f>VLOOKUP(A589,URS確認!E:I,5,FALSE)</f>
        <v>張金龍</v>
      </c>
    </row>
    <row r="590" spans="1:16" x14ac:dyDescent="0.4">
      <c r="A590" s="68" t="s">
        <v>1333</v>
      </c>
      <c r="B590" s="68" t="s">
        <v>1334</v>
      </c>
      <c r="C590" s="287">
        <v>2</v>
      </c>
      <c r="D590" s="68" t="s">
        <v>2721</v>
      </c>
      <c r="E590" s="582">
        <v>44525</v>
      </c>
      <c r="F590" s="71">
        <v>44540</v>
      </c>
      <c r="G590" s="71">
        <v>44540</v>
      </c>
      <c r="H590" s="71">
        <v>44540</v>
      </c>
      <c r="I590" s="527" t="str">
        <f>VLOOKUP(A590,URS確認!E:I,5,FALSE)</f>
        <v>張金龍</v>
      </c>
    </row>
    <row r="591" spans="1:16" ht="34" x14ac:dyDescent="0.4">
      <c r="A591" s="68" t="s">
        <v>1328</v>
      </c>
      <c r="B591" s="69" t="s">
        <v>2722</v>
      </c>
      <c r="C591" s="287">
        <v>1</v>
      </c>
      <c r="D591" s="74" t="s">
        <v>2724</v>
      </c>
      <c r="E591" s="582">
        <v>44525</v>
      </c>
      <c r="F591" s="71">
        <v>44540</v>
      </c>
      <c r="G591" s="71">
        <v>44540</v>
      </c>
      <c r="H591" s="71">
        <v>44540</v>
      </c>
      <c r="I591" s="527" t="str">
        <f>VLOOKUP(A591,URS確認!E:I,5,FALSE)</f>
        <v>張金龍</v>
      </c>
    </row>
    <row r="592" spans="1:16" x14ac:dyDescent="0.4">
      <c r="A592" s="68" t="s">
        <v>1328</v>
      </c>
      <c r="B592" s="69" t="s">
        <v>2722</v>
      </c>
      <c r="C592" s="287">
        <v>2</v>
      </c>
      <c r="D592" s="74" t="s">
        <v>2723</v>
      </c>
      <c r="E592" s="582">
        <v>44525</v>
      </c>
      <c r="F592" s="71">
        <v>44540</v>
      </c>
      <c r="G592" s="71">
        <v>44540</v>
      </c>
      <c r="H592" s="71">
        <v>44540</v>
      </c>
      <c r="I592" s="527" t="str">
        <f>VLOOKUP(A592,URS確認!E:I,5,FALSE)</f>
        <v>張金龍</v>
      </c>
    </row>
    <row r="593" spans="1:16" x14ac:dyDescent="0.4">
      <c r="A593" s="68" t="s">
        <v>1335</v>
      </c>
      <c r="B593" s="69" t="s">
        <v>2747</v>
      </c>
      <c r="C593" s="526">
        <v>1</v>
      </c>
      <c r="D593" s="74" t="s">
        <v>2748</v>
      </c>
      <c r="E593" s="582">
        <v>44525</v>
      </c>
      <c r="F593" s="71">
        <v>44529</v>
      </c>
      <c r="G593" s="71">
        <v>44544</v>
      </c>
      <c r="H593" s="71">
        <v>44544</v>
      </c>
      <c r="I593" s="527" t="str">
        <f>VLOOKUP(A593,URS確認!E:I,5,FALSE)</f>
        <v>蘇曉玲</v>
      </c>
      <c r="J593" s="526"/>
      <c r="K593" s="526"/>
      <c r="L593" s="526"/>
      <c r="M593" s="526"/>
      <c r="N593" s="526"/>
      <c r="O593" s="526"/>
      <c r="P593" s="526"/>
    </row>
    <row r="594" spans="1:16" x14ac:dyDescent="0.4">
      <c r="A594" s="68" t="s">
        <v>931</v>
      </c>
      <c r="B594" s="68" t="s">
        <v>932</v>
      </c>
      <c r="C594" s="287">
        <v>1</v>
      </c>
      <c r="D594" s="531" t="s">
        <v>2725</v>
      </c>
      <c r="E594" s="582">
        <v>44524</v>
      </c>
      <c r="F594" s="532">
        <v>44524</v>
      </c>
      <c r="G594" s="532">
        <v>44524</v>
      </c>
      <c r="H594" s="532">
        <v>44524</v>
      </c>
      <c r="I594" s="527" t="str">
        <f>VLOOKUP(A594,URS確認!E:I,5,FALSE)</f>
        <v>陳昱衡</v>
      </c>
      <c r="J594" s="526"/>
      <c r="K594" s="526"/>
      <c r="L594" s="526"/>
      <c r="M594" s="526"/>
      <c r="N594" s="526"/>
      <c r="O594" s="526"/>
      <c r="P594" s="526"/>
    </row>
    <row r="595" spans="1:16" x14ac:dyDescent="0.4">
      <c r="A595" s="68" t="s">
        <v>931</v>
      </c>
      <c r="B595" s="68" t="s">
        <v>932</v>
      </c>
      <c r="C595" s="287">
        <v>2</v>
      </c>
      <c r="D595" s="531" t="s">
        <v>2726</v>
      </c>
      <c r="E595" s="582">
        <v>44524</v>
      </c>
      <c r="F595" s="532">
        <v>44524</v>
      </c>
      <c r="G595" s="532">
        <v>44524</v>
      </c>
      <c r="H595" s="532">
        <v>44524</v>
      </c>
      <c r="I595" s="527" t="str">
        <f>VLOOKUP(A595,URS確認!E:I,5,FALSE)</f>
        <v>陳昱衡</v>
      </c>
      <c r="J595" s="526"/>
      <c r="K595" s="526"/>
      <c r="L595" s="526"/>
      <c r="M595" s="526"/>
      <c r="N595" s="526"/>
      <c r="O595" s="526"/>
      <c r="P595" s="526"/>
    </row>
    <row r="596" spans="1:16" x14ac:dyDescent="0.4">
      <c r="A596" s="68" t="s">
        <v>685</v>
      </c>
      <c r="B596" s="69" t="s">
        <v>2727</v>
      </c>
      <c r="C596" s="287">
        <v>1</v>
      </c>
      <c r="D596" s="74" t="s">
        <v>2728</v>
      </c>
      <c r="E596" s="582">
        <v>44524</v>
      </c>
      <c r="G596" s="530">
        <v>44543</v>
      </c>
      <c r="H596" s="71">
        <f>G596</f>
        <v>44543</v>
      </c>
      <c r="I596" s="527" t="str">
        <f>VLOOKUP(A596,URS確認!E:I,5,FALSE)</f>
        <v>余家興</v>
      </c>
      <c r="J596" s="526"/>
      <c r="K596" s="526"/>
      <c r="L596" s="526"/>
      <c r="M596" s="526"/>
      <c r="N596" s="526"/>
      <c r="O596" s="526"/>
      <c r="P596" s="526"/>
    </row>
    <row r="597" spans="1:16" x14ac:dyDescent="0.4">
      <c r="A597" s="68" t="s">
        <v>1416</v>
      </c>
      <c r="B597" s="68" t="s">
        <v>2344</v>
      </c>
      <c r="C597" s="287">
        <v>1</v>
      </c>
      <c r="D597" s="68" t="s">
        <v>2731</v>
      </c>
      <c r="E597" s="582">
        <v>44518</v>
      </c>
      <c r="F597" s="71">
        <v>44547</v>
      </c>
      <c r="G597" s="71">
        <v>44547</v>
      </c>
      <c r="H597" s="71">
        <v>44547</v>
      </c>
      <c r="I597" s="527" t="s">
        <v>2870</v>
      </c>
    </row>
    <row r="598" spans="1:16" x14ac:dyDescent="0.4">
      <c r="A598" s="68" t="s">
        <v>1037</v>
      </c>
      <c r="B598" s="68" t="s">
        <v>1038</v>
      </c>
      <c r="C598" s="287">
        <v>1</v>
      </c>
      <c r="D598" s="74" t="s">
        <v>2734</v>
      </c>
      <c r="E598" s="582">
        <v>44518</v>
      </c>
      <c r="F598" s="71">
        <v>44547</v>
      </c>
      <c r="G598" s="71">
        <v>44547</v>
      </c>
      <c r="H598" s="71">
        <v>44547</v>
      </c>
      <c r="I598" s="527" t="str">
        <f>VLOOKUP(A598,URS確認!E:I,5,FALSE)</f>
        <v>張金龍</v>
      </c>
    </row>
    <row r="599" spans="1:16" x14ac:dyDescent="0.4">
      <c r="A599" s="68" t="s">
        <v>1039</v>
      </c>
      <c r="B599" s="69" t="s">
        <v>2732</v>
      </c>
      <c r="C599" s="287">
        <v>1</v>
      </c>
      <c r="D599" s="68" t="s">
        <v>2733</v>
      </c>
      <c r="E599" s="582">
        <v>44518</v>
      </c>
      <c r="F599" s="71">
        <v>44547</v>
      </c>
      <c r="G599" s="71">
        <v>44547</v>
      </c>
      <c r="H599" s="71">
        <v>44547</v>
      </c>
      <c r="I599" s="527" t="str">
        <f>VLOOKUP(A599,URS確認!E:I,5,FALSE)</f>
        <v>張金龍</v>
      </c>
    </row>
    <row r="600" spans="1:16" x14ac:dyDescent="0.4">
      <c r="A600" s="68" t="s">
        <v>1039</v>
      </c>
      <c r="B600" s="69" t="s">
        <v>2732</v>
      </c>
      <c r="C600" s="287">
        <v>2</v>
      </c>
      <c r="D600" s="68" t="s">
        <v>2735</v>
      </c>
      <c r="E600" s="582">
        <v>44518</v>
      </c>
      <c r="F600" s="71">
        <v>44547</v>
      </c>
      <c r="G600" s="71">
        <v>44547</v>
      </c>
      <c r="H600" s="71">
        <v>44547</v>
      </c>
      <c r="I600" s="527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7">
        <v>1</v>
      </c>
      <c r="D601" s="68" t="s">
        <v>2736</v>
      </c>
      <c r="E601" s="582">
        <v>44518</v>
      </c>
      <c r="F601" s="71">
        <v>44547</v>
      </c>
      <c r="G601" s="71">
        <v>44547</v>
      </c>
      <c r="H601" s="71">
        <v>44547</v>
      </c>
      <c r="I601" s="562" t="s">
        <v>2871</v>
      </c>
    </row>
    <row r="602" spans="1:16" ht="34" x14ac:dyDescent="0.4">
      <c r="A602" s="68" t="s">
        <v>1513</v>
      </c>
      <c r="B602" s="68" t="s">
        <v>1514</v>
      </c>
      <c r="C602" s="287">
        <v>2</v>
      </c>
      <c r="D602" s="74" t="s">
        <v>2738</v>
      </c>
      <c r="E602" s="582">
        <v>44518</v>
      </c>
      <c r="F602" s="71">
        <v>44547</v>
      </c>
      <c r="G602" s="71">
        <v>44547</v>
      </c>
      <c r="H602" s="71">
        <v>44547</v>
      </c>
      <c r="I602" s="563" t="s">
        <v>2871</v>
      </c>
    </row>
    <row r="603" spans="1:16" x14ac:dyDescent="0.4">
      <c r="A603" s="68" t="s">
        <v>1513</v>
      </c>
      <c r="B603" s="68" t="s">
        <v>1514</v>
      </c>
      <c r="C603" s="287">
        <v>3</v>
      </c>
      <c r="D603" s="68" t="s">
        <v>2737</v>
      </c>
      <c r="E603" s="582">
        <v>44518</v>
      </c>
      <c r="F603" s="71">
        <v>44547</v>
      </c>
      <c r="G603" s="71">
        <v>44547</v>
      </c>
      <c r="H603" s="71">
        <v>44547</v>
      </c>
      <c r="I603" s="564" t="s">
        <v>2871</v>
      </c>
    </row>
    <row r="604" spans="1:16" x14ac:dyDescent="0.4">
      <c r="A604" s="68" t="s">
        <v>1419</v>
      </c>
      <c r="B604" s="68" t="s">
        <v>2345</v>
      </c>
      <c r="C604" s="287">
        <v>1</v>
      </c>
      <c r="D604" s="74" t="s">
        <v>2739</v>
      </c>
      <c r="E604" s="582">
        <v>44518</v>
      </c>
      <c r="F604" s="71">
        <v>44547</v>
      </c>
      <c r="G604" s="71">
        <v>44547</v>
      </c>
      <c r="H604" s="71">
        <v>44547</v>
      </c>
      <c r="I604" s="527" t="s">
        <v>2870</v>
      </c>
    </row>
    <row r="605" spans="1:16" x14ac:dyDescent="0.4">
      <c r="A605" s="68" t="s">
        <v>1044</v>
      </c>
      <c r="B605" s="69" t="s">
        <v>2741</v>
      </c>
      <c r="C605" s="287">
        <v>1</v>
      </c>
      <c r="D605" s="68" t="s">
        <v>2740</v>
      </c>
      <c r="E605" s="582">
        <v>44518</v>
      </c>
      <c r="F605" s="71">
        <v>44547</v>
      </c>
      <c r="G605" s="71">
        <v>44547</v>
      </c>
      <c r="H605" s="71">
        <v>44547</v>
      </c>
      <c r="I605" s="527" t="str">
        <f>VLOOKUP(A605,URS確認!E:I,5,FALSE)</f>
        <v>張金龍</v>
      </c>
    </row>
    <row r="606" spans="1:16" x14ac:dyDescent="0.4">
      <c r="A606" s="68" t="s">
        <v>1046</v>
      </c>
      <c r="B606" s="68" t="s">
        <v>2742</v>
      </c>
      <c r="C606" s="287">
        <v>1</v>
      </c>
      <c r="D606" s="68" t="s">
        <v>2743</v>
      </c>
      <c r="E606" s="582">
        <v>44518</v>
      </c>
      <c r="F606" s="71">
        <v>44547</v>
      </c>
      <c r="G606" s="71">
        <v>44547</v>
      </c>
      <c r="H606" s="71">
        <v>44547</v>
      </c>
      <c r="I606" s="527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7">
        <v>1</v>
      </c>
      <c r="D607" s="68" t="s">
        <v>2744</v>
      </c>
      <c r="E607" s="582">
        <v>44518</v>
      </c>
      <c r="F607" s="71">
        <v>44547</v>
      </c>
      <c r="G607" s="71">
        <v>44547</v>
      </c>
      <c r="H607" s="71">
        <v>44547</v>
      </c>
      <c r="I607" s="565" t="s">
        <v>2871</v>
      </c>
    </row>
    <row r="608" spans="1:16" x14ac:dyDescent="0.4">
      <c r="A608" s="68" t="s">
        <v>1517</v>
      </c>
      <c r="B608" s="68" t="s">
        <v>1518</v>
      </c>
      <c r="C608" s="287">
        <v>2</v>
      </c>
      <c r="D608" s="68" t="s">
        <v>2745</v>
      </c>
      <c r="E608" s="582">
        <v>44518</v>
      </c>
      <c r="F608" s="71">
        <v>44547</v>
      </c>
      <c r="G608" s="71">
        <v>44547</v>
      </c>
      <c r="H608" s="71">
        <v>44547</v>
      </c>
      <c r="I608" s="561" t="s">
        <v>2871</v>
      </c>
    </row>
    <row r="609" spans="1:9" x14ac:dyDescent="0.4">
      <c r="A609" s="68" t="s">
        <v>1379</v>
      </c>
      <c r="B609" s="69"/>
      <c r="C609" s="287">
        <v>1</v>
      </c>
      <c r="D609" s="74" t="s">
        <v>2751</v>
      </c>
      <c r="E609" s="582">
        <v>44533</v>
      </c>
      <c r="F609" s="71">
        <v>44547</v>
      </c>
      <c r="G609" s="71">
        <v>44547</v>
      </c>
      <c r="H609" s="71">
        <v>44547</v>
      </c>
      <c r="I609" s="527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7">
        <v>1</v>
      </c>
      <c r="D610" s="74" t="s">
        <v>2752</v>
      </c>
      <c r="E610" s="582">
        <v>44533</v>
      </c>
      <c r="F610" s="71">
        <v>44547</v>
      </c>
      <c r="G610" s="71">
        <v>44547</v>
      </c>
      <c r="H610" s="71">
        <v>44547</v>
      </c>
      <c r="I610" s="527" t="s">
        <v>2870</v>
      </c>
    </row>
    <row r="611" spans="1:9" ht="58.25" customHeight="1" x14ac:dyDescent="0.3">
      <c r="A611" s="552" t="s">
        <v>1093</v>
      </c>
      <c r="B611" s="69" t="s">
        <v>2812</v>
      </c>
      <c r="C611" s="287">
        <v>1</v>
      </c>
      <c r="D611" s="74" t="s">
        <v>2825</v>
      </c>
      <c r="E611" s="553">
        <v>44529</v>
      </c>
      <c r="F611" s="71">
        <v>44546</v>
      </c>
      <c r="G611" s="71">
        <v>44546</v>
      </c>
      <c r="H611" s="71">
        <v>44546</v>
      </c>
      <c r="I611" s="527" t="str">
        <f>VLOOKUP(A611,URS確認!E:I,5,FALSE)</f>
        <v>楊智誠</v>
      </c>
    </row>
    <row r="612" spans="1:9" ht="18" customHeight="1" x14ac:dyDescent="0.3">
      <c r="A612" s="552" t="s">
        <v>1093</v>
      </c>
      <c r="B612" s="69" t="s">
        <v>2812</v>
      </c>
      <c r="C612" s="287">
        <v>2</v>
      </c>
      <c r="D612" s="74" t="s">
        <v>2818</v>
      </c>
      <c r="E612" s="553">
        <v>44529</v>
      </c>
      <c r="F612" s="71">
        <v>44546</v>
      </c>
      <c r="G612" s="71">
        <v>44546</v>
      </c>
      <c r="H612" s="71">
        <v>44546</v>
      </c>
      <c r="I612" s="527" t="str">
        <f>VLOOKUP(A612,URS確認!E:I,5,FALSE)</f>
        <v>楊智誠</v>
      </c>
    </row>
    <row r="613" spans="1:9" x14ac:dyDescent="0.3">
      <c r="A613" s="552" t="s">
        <v>1095</v>
      </c>
      <c r="B613" s="69" t="s">
        <v>2815</v>
      </c>
      <c r="C613" s="287">
        <v>1</v>
      </c>
      <c r="D613" s="74" t="s">
        <v>2816</v>
      </c>
      <c r="E613" s="553">
        <v>44529</v>
      </c>
      <c r="F613" s="71">
        <v>44546</v>
      </c>
      <c r="G613" s="71">
        <v>44546</v>
      </c>
      <c r="H613" s="71">
        <v>44546</v>
      </c>
      <c r="I613" s="527" t="str">
        <f>VLOOKUP(A613,URS確認!E:I,5,FALSE)</f>
        <v>楊智誠</v>
      </c>
    </row>
    <row r="614" spans="1:9" x14ac:dyDescent="0.3">
      <c r="A614" s="552" t="s">
        <v>1095</v>
      </c>
      <c r="B614" s="69" t="s">
        <v>2815</v>
      </c>
      <c r="C614" s="287">
        <v>2</v>
      </c>
      <c r="D614" s="74" t="s">
        <v>2817</v>
      </c>
      <c r="E614" s="553">
        <v>44529</v>
      </c>
      <c r="F614" s="71">
        <v>44546</v>
      </c>
      <c r="G614" s="71">
        <v>44546</v>
      </c>
      <c r="H614" s="71">
        <v>44546</v>
      </c>
      <c r="I614" s="527" t="str">
        <f>VLOOKUP(A614,URS確認!E:I,5,FALSE)</f>
        <v>楊智誠</v>
      </c>
    </row>
    <row r="615" spans="1:9" x14ac:dyDescent="0.3">
      <c r="A615" s="552" t="s">
        <v>1095</v>
      </c>
      <c r="B615" s="69" t="s">
        <v>2815</v>
      </c>
      <c r="C615" s="287">
        <v>3</v>
      </c>
      <c r="D615" s="74" t="s">
        <v>2819</v>
      </c>
      <c r="E615" s="553">
        <v>44529</v>
      </c>
      <c r="F615" s="71">
        <v>44546</v>
      </c>
      <c r="G615" s="71">
        <v>44546</v>
      </c>
      <c r="H615" s="71">
        <v>44546</v>
      </c>
      <c r="I615" s="527" t="str">
        <f>VLOOKUP(A615,URS確認!E:I,5,FALSE)</f>
        <v>楊智誠</v>
      </c>
    </row>
    <row r="616" spans="1:9" x14ac:dyDescent="0.4">
      <c r="A616" s="68" t="s">
        <v>1080</v>
      </c>
      <c r="B616" s="69" t="s">
        <v>2820</v>
      </c>
      <c r="C616" s="287">
        <v>1</v>
      </c>
      <c r="D616" s="74" t="s">
        <v>2824</v>
      </c>
      <c r="E616" s="553">
        <v>44529</v>
      </c>
      <c r="F616" s="71">
        <v>44546</v>
      </c>
      <c r="G616" s="71">
        <v>44546</v>
      </c>
      <c r="H616" s="71">
        <v>44546</v>
      </c>
      <c r="I616" s="527" t="str">
        <f>VLOOKUP(A616,URS確認!E:I,5,FALSE)</f>
        <v>楊智誠</v>
      </c>
    </row>
    <row r="617" spans="1:9" ht="51" x14ac:dyDescent="0.4">
      <c r="A617" s="68" t="s">
        <v>1099</v>
      </c>
      <c r="B617" s="69" t="s">
        <v>2822</v>
      </c>
      <c r="C617" s="287">
        <v>1</v>
      </c>
      <c r="D617" s="74" t="s">
        <v>2823</v>
      </c>
      <c r="E617" s="553">
        <v>44529</v>
      </c>
      <c r="F617" s="71">
        <v>44546</v>
      </c>
      <c r="G617" s="71">
        <v>44546</v>
      </c>
      <c r="H617" s="71">
        <v>44546</v>
      </c>
      <c r="I617" s="527" t="str">
        <f>VLOOKUP(A617,URS確認!E:I,5,FALSE)</f>
        <v>楊智誠</v>
      </c>
    </row>
    <row r="618" spans="1:9" ht="34" x14ac:dyDescent="0.4">
      <c r="A618" s="68" t="s">
        <v>1101</v>
      </c>
      <c r="B618" s="69" t="s">
        <v>2826</v>
      </c>
      <c r="C618" s="287">
        <v>1</v>
      </c>
      <c r="D618" s="74" t="s">
        <v>2827</v>
      </c>
      <c r="E618" s="553">
        <v>44529</v>
      </c>
      <c r="F618" s="71">
        <v>44532</v>
      </c>
      <c r="G618" s="71">
        <v>44532</v>
      </c>
      <c r="H618" s="71">
        <v>44532</v>
      </c>
      <c r="I618" s="527" t="str">
        <f>VLOOKUP(A618,URS確認!E:I,5,FALSE)</f>
        <v>楊智誠</v>
      </c>
    </row>
    <row r="619" spans="1:9" x14ac:dyDescent="0.3">
      <c r="A619" s="554" t="s">
        <v>1084</v>
      </c>
      <c r="B619" s="69" t="s">
        <v>2828</v>
      </c>
      <c r="C619" s="287">
        <v>1</v>
      </c>
      <c r="D619" s="74" t="s">
        <v>2829</v>
      </c>
      <c r="E619" s="553">
        <v>44529</v>
      </c>
      <c r="F619" s="71">
        <v>44532</v>
      </c>
      <c r="G619" s="71">
        <v>44532</v>
      </c>
      <c r="H619" s="71">
        <v>44532</v>
      </c>
      <c r="I619" s="527" t="str">
        <f>VLOOKUP(A619,URS確認!E:I,5,FALSE)</f>
        <v>楊智誠</v>
      </c>
    </row>
    <row r="620" spans="1:9" x14ac:dyDescent="0.3">
      <c r="A620" s="554" t="s">
        <v>1084</v>
      </c>
      <c r="B620" s="74" t="s">
        <v>2828</v>
      </c>
      <c r="C620" s="287">
        <v>2</v>
      </c>
      <c r="D620" s="74" t="s">
        <v>2830</v>
      </c>
      <c r="E620" s="553">
        <v>44529</v>
      </c>
      <c r="F620" s="71">
        <v>44592</v>
      </c>
      <c r="G620" s="71">
        <v>44557</v>
      </c>
      <c r="H620" s="71">
        <v>44557</v>
      </c>
      <c r="I620" s="527" t="str">
        <f>VLOOKUP(A620,URS確認!E:I,5,FALSE)</f>
        <v>楊智誠</v>
      </c>
    </row>
    <row r="621" spans="1:9" x14ac:dyDescent="0.4">
      <c r="A621" s="68" t="s">
        <v>2863</v>
      </c>
      <c r="B621" s="69" t="s">
        <v>2831</v>
      </c>
      <c r="C621" s="287">
        <v>1</v>
      </c>
      <c r="D621" s="74" t="s">
        <v>2834</v>
      </c>
      <c r="E621" s="553">
        <v>44529</v>
      </c>
      <c r="F621" s="71">
        <v>44532</v>
      </c>
      <c r="G621" s="71">
        <v>44532</v>
      </c>
      <c r="H621" s="71">
        <v>44532</v>
      </c>
      <c r="I621" s="527" t="str">
        <f>VLOOKUP(A621,URS確認!E:I,5,FALSE)</f>
        <v>楊智誠</v>
      </c>
    </row>
    <row r="622" spans="1:9" x14ac:dyDescent="0.4">
      <c r="A622" s="68" t="s">
        <v>2863</v>
      </c>
      <c r="B622" s="69" t="s">
        <v>2831</v>
      </c>
      <c r="C622" s="287">
        <v>2</v>
      </c>
      <c r="D622" s="74" t="s">
        <v>2835</v>
      </c>
      <c r="E622" s="553">
        <v>44529</v>
      </c>
      <c r="F622" s="71">
        <v>44532</v>
      </c>
      <c r="G622" s="71">
        <v>44532</v>
      </c>
      <c r="H622" s="71">
        <v>44532</v>
      </c>
      <c r="I622" s="527" t="str">
        <f>VLOOKUP(A622,URS確認!E:I,5,FALSE)</f>
        <v>楊智誠</v>
      </c>
    </row>
    <row r="623" spans="1:9" x14ac:dyDescent="0.3">
      <c r="A623" s="287" t="s">
        <v>1086</v>
      </c>
      <c r="B623" s="69" t="s">
        <v>2832</v>
      </c>
      <c r="C623" s="287">
        <v>1</v>
      </c>
      <c r="D623" s="74" t="s">
        <v>2836</v>
      </c>
      <c r="E623" s="553">
        <v>44529</v>
      </c>
      <c r="F623" s="71">
        <v>44546</v>
      </c>
      <c r="G623" s="71">
        <v>44546</v>
      </c>
      <c r="H623" s="71">
        <v>44546</v>
      </c>
      <c r="I623" s="527" t="str">
        <f>VLOOKUP(A623,URS確認!E:I,5,FALSE)</f>
        <v>楊智誠</v>
      </c>
    </row>
    <row r="624" spans="1:9" x14ac:dyDescent="0.3">
      <c r="A624" s="287" t="s">
        <v>1097</v>
      </c>
      <c r="B624" s="69" t="s">
        <v>2833</v>
      </c>
      <c r="C624" s="287">
        <v>1</v>
      </c>
      <c r="D624" s="74" t="s">
        <v>2837</v>
      </c>
      <c r="E624" s="553">
        <v>44529</v>
      </c>
      <c r="F624" s="71">
        <v>44546</v>
      </c>
      <c r="G624" s="71">
        <v>44546</v>
      </c>
      <c r="H624" s="71">
        <v>44546</v>
      </c>
      <c r="I624" s="527" t="str">
        <f>VLOOKUP(A624,URS確認!E:I,5,FALSE)</f>
        <v>楊智誠</v>
      </c>
    </row>
    <row r="625" spans="1:9" x14ac:dyDescent="0.3">
      <c r="A625" s="554" t="s">
        <v>1097</v>
      </c>
      <c r="B625" s="69" t="s">
        <v>2833</v>
      </c>
      <c r="C625" s="287">
        <v>2</v>
      </c>
      <c r="D625" s="74" t="s">
        <v>2838</v>
      </c>
      <c r="E625" s="553">
        <v>44529</v>
      </c>
      <c r="F625" s="71">
        <v>44546</v>
      </c>
      <c r="G625" s="71">
        <v>44546</v>
      </c>
      <c r="H625" s="71">
        <v>44546</v>
      </c>
      <c r="I625" s="527" t="str">
        <f>VLOOKUP(A625,URS確認!E:I,5,FALSE)</f>
        <v>楊智誠</v>
      </c>
    </row>
    <row r="626" spans="1:9" x14ac:dyDescent="0.3">
      <c r="A626" s="554" t="s">
        <v>1097</v>
      </c>
      <c r="B626" s="69" t="s">
        <v>2833</v>
      </c>
      <c r="C626" s="287">
        <v>3</v>
      </c>
      <c r="D626" s="74" t="s">
        <v>2839</v>
      </c>
      <c r="E626" s="553">
        <v>44529</v>
      </c>
      <c r="F626" s="71">
        <v>44546</v>
      </c>
      <c r="G626" s="71">
        <v>44546</v>
      </c>
      <c r="H626" s="71">
        <v>44546</v>
      </c>
      <c r="I626" s="527" t="str">
        <f>VLOOKUP(A626,URS確認!E:I,5,FALSE)</f>
        <v>楊智誠</v>
      </c>
    </row>
    <row r="627" spans="1:9" x14ac:dyDescent="0.4">
      <c r="A627" s="68" t="s">
        <v>2862</v>
      </c>
      <c r="B627" s="68" t="s">
        <v>903</v>
      </c>
      <c r="C627" s="287">
        <v>1</v>
      </c>
      <c r="D627" s="74" t="s">
        <v>2844</v>
      </c>
      <c r="E627" s="71">
        <v>44526</v>
      </c>
      <c r="F627" s="71">
        <v>44547</v>
      </c>
      <c r="G627" s="71">
        <v>44547</v>
      </c>
      <c r="H627" s="71">
        <v>44547</v>
      </c>
      <c r="I627" s="527" t="str">
        <f>VLOOKUP(A627,URS確認!E:I,5,FALSE)</f>
        <v>張金龍</v>
      </c>
    </row>
    <row r="628" spans="1:9" x14ac:dyDescent="0.3">
      <c r="A628" s="287" t="s">
        <v>2864</v>
      </c>
      <c r="B628" s="69" t="s">
        <v>2845</v>
      </c>
      <c r="C628" s="287">
        <v>1</v>
      </c>
      <c r="D628" s="74" t="s">
        <v>2846</v>
      </c>
      <c r="E628" s="71">
        <v>44526</v>
      </c>
      <c r="F628" s="71">
        <v>44547</v>
      </c>
      <c r="G628" s="71">
        <v>44547</v>
      </c>
      <c r="H628" s="71">
        <v>44547</v>
      </c>
      <c r="I628" s="527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2" t="s">
        <v>2118</v>
      </c>
      <c r="C1" s="119" t="s">
        <v>2119</v>
      </c>
      <c r="D1" s="119" t="s">
        <v>1454</v>
      </c>
      <c r="E1" s="119" t="s">
        <v>2878</v>
      </c>
      <c r="F1" s="119" t="s">
        <v>2877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2880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2880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2901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2902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2903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2906</v>
      </c>
      <c r="I29" s="81">
        <v>44432</v>
      </c>
      <c r="J29" s="102" t="s">
        <v>2905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2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2886</v>
      </c>
      <c r="D31" s="146" t="s">
        <v>2897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2911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2900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2890</v>
      </c>
      <c r="I32" s="82" t="s">
        <v>2890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2904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1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1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1">
        <v>1</v>
      </c>
      <c r="C38" s="78" t="s">
        <v>2063</v>
      </c>
      <c r="D38" s="571" t="s">
        <v>3</v>
      </c>
      <c r="E38" s="567"/>
      <c r="F38" s="567"/>
      <c r="G38" s="71">
        <v>44442</v>
      </c>
      <c r="H38" s="80" t="s">
        <v>2879</v>
      </c>
      <c r="I38" s="81">
        <v>44433</v>
      </c>
    </row>
    <row r="39" spans="1:11" ht="33" customHeight="1" x14ac:dyDescent="0.3">
      <c r="A39" s="71">
        <v>44432</v>
      </c>
      <c r="B39" s="571">
        <v>2</v>
      </c>
      <c r="C39" s="78" t="s">
        <v>2888</v>
      </c>
      <c r="D39" s="571" t="s">
        <v>166</v>
      </c>
      <c r="E39" s="89" t="str">
        <f t="shared" ref="E39:E40" si="1">IFERROR(MID(C39,FIND("L",C39),5),"")</f>
        <v/>
      </c>
      <c r="F39" s="89" t="s">
        <v>2889</v>
      </c>
      <c r="G39" s="71">
        <v>44560</v>
      </c>
      <c r="H39" s="80" t="s">
        <v>2909</v>
      </c>
      <c r="I39" s="81">
        <v>44553</v>
      </c>
    </row>
    <row r="40" spans="1:11" x14ac:dyDescent="0.3">
      <c r="A40" s="71">
        <v>44432</v>
      </c>
      <c r="B40" s="571">
        <v>3</v>
      </c>
      <c r="C40" s="78" t="s">
        <v>2065</v>
      </c>
      <c r="D40" s="571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1">
        <v>4</v>
      </c>
      <c r="C41" s="78" t="s">
        <v>2066</v>
      </c>
      <c r="D41" s="571" t="s">
        <v>110</v>
      </c>
      <c r="E41" s="567"/>
      <c r="F41" s="567"/>
      <c r="G41" s="71">
        <v>44435</v>
      </c>
      <c r="H41" s="82" t="s">
        <v>2895</v>
      </c>
      <c r="I41" s="81">
        <v>44519</v>
      </c>
    </row>
    <row r="42" spans="1:11" ht="33" customHeight="1" x14ac:dyDescent="0.3">
      <c r="A42" s="71">
        <v>44432</v>
      </c>
      <c r="B42" s="571">
        <v>5</v>
      </c>
      <c r="C42" s="78" t="s">
        <v>2067</v>
      </c>
      <c r="D42" s="571" t="s">
        <v>110</v>
      </c>
      <c r="E42" s="567"/>
      <c r="F42" s="567"/>
      <c r="G42" s="71">
        <v>44435</v>
      </c>
      <c r="H42" s="82" t="s">
        <v>2896</v>
      </c>
      <c r="I42" s="81">
        <v>44456</v>
      </c>
    </row>
    <row r="43" spans="1:11" x14ac:dyDescent="0.3">
      <c r="A43" s="71">
        <v>44432</v>
      </c>
      <c r="B43" s="571">
        <v>6</v>
      </c>
      <c r="C43" s="78" t="s">
        <v>2068</v>
      </c>
      <c r="D43" s="571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1">
        <v>1</v>
      </c>
      <c r="C44" s="78" t="s">
        <v>2069</v>
      </c>
      <c r="D44" s="571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1">
        <v>2</v>
      </c>
      <c r="C45" s="78" t="s">
        <v>2070</v>
      </c>
      <c r="D45" s="571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1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1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2892</v>
      </c>
      <c r="I47" s="81">
        <v>44462</v>
      </c>
    </row>
    <row r="48" spans="1:11" ht="34" customHeight="1" x14ac:dyDescent="0.3">
      <c r="A48" s="71">
        <v>44438</v>
      </c>
      <c r="B48" s="571">
        <v>3</v>
      </c>
      <c r="C48" s="78" t="s">
        <v>2073</v>
      </c>
      <c r="D48" s="571" t="s">
        <v>0</v>
      </c>
      <c r="E48" s="89" t="str">
        <f t="shared" ref="E48:E49" si="3">IFERROR(MID(C48,FIND("L",C48),5),"")</f>
        <v/>
      </c>
      <c r="F48" s="89" t="s">
        <v>2889</v>
      </c>
      <c r="G48" s="71">
        <v>44469</v>
      </c>
      <c r="H48" s="80" t="s">
        <v>2893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1">
        <v>4</v>
      </c>
      <c r="C49" s="74" t="s">
        <v>2898</v>
      </c>
      <c r="D49" s="571" t="s">
        <v>3</v>
      </c>
      <c r="E49" s="89" t="str">
        <f t="shared" si="3"/>
        <v/>
      </c>
      <c r="F49" s="89" t="s">
        <v>2894</v>
      </c>
      <c r="G49" s="71">
        <v>44449</v>
      </c>
      <c r="H49" s="80" t="s">
        <v>2908</v>
      </c>
      <c r="I49" s="81">
        <v>44524</v>
      </c>
    </row>
    <row r="50" spans="1:10" x14ac:dyDescent="0.3">
      <c r="A50" s="71">
        <v>44439</v>
      </c>
      <c r="B50" s="571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1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2891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2910</v>
      </c>
      <c r="D53" s="89" t="s">
        <v>166</v>
      </c>
      <c r="E53" s="89" t="str">
        <f t="shared" si="4"/>
        <v/>
      </c>
      <c r="F53" s="89" t="s">
        <v>2889</v>
      </c>
      <c r="G53" s="71">
        <v>44469</v>
      </c>
      <c r="H53" s="220" t="s">
        <v>2923</v>
      </c>
    </row>
    <row r="54" spans="1:10" ht="40.5" x14ac:dyDescent="0.3">
      <c r="A54" s="81">
        <v>44455</v>
      </c>
      <c r="B54" s="89">
        <v>1</v>
      </c>
      <c r="C54" s="78" t="s">
        <v>2907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2912</v>
      </c>
      <c r="I54" s="574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1" t="s">
        <v>4</v>
      </c>
      <c r="E56" s="567"/>
      <c r="F56" s="567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1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2883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3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3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1">
        <v>1</v>
      </c>
      <c r="C61" s="78" t="s">
        <v>2086</v>
      </c>
      <c r="D61" s="571" t="s">
        <v>2</v>
      </c>
      <c r="E61" s="567"/>
      <c r="F61" s="567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1">
        <v>1</v>
      </c>
      <c r="C62" s="78" t="s">
        <v>2914</v>
      </c>
      <c r="D62" s="125" t="s">
        <v>2915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2913</v>
      </c>
      <c r="I62" s="80"/>
    </row>
    <row r="63" spans="1:10" ht="33" customHeight="1" x14ac:dyDescent="0.3">
      <c r="A63" s="71">
        <v>44481</v>
      </c>
      <c r="B63" s="571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1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1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7" customFormat="1" ht="66" customHeight="1" x14ac:dyDescent="0.3">
      <c r="A66" s="71">
        <v>44488</v>
      </c>
      <c r="B66" s="571">
        <v>1</v>
      </c>
      <c r="C66" s="99" t="s">
        <v>2091</v>
      </c>
      <c r="D66" s="571" t="s">
        <v>15</v>
      </c>
      <c r="E66" s="567"/>
      <c r="F66" s="567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1">
        <v>2</v>
      </c>
      <c r="C67" s="78" t="s">
        <v>2821</v>
      </c>
      <c r="D67" s="571" t="s">
        <v>15</v>
      </c>
      <c r="E67" s="567"/>
      <c r="F67" s="567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1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1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1">
        <v>5</v>
      </c>
      <c r="C70" s="78" t="s">
        <v>2881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2882</v>
      </c>
      <c r="I70" s="81">
        <v>44504</v>
      </c>
    </row>
    <row r="71" spans="1:10" ht="42.75" customHeight="1" x14ac:dyDescent="0.3">
      <c r="A71" s="71">
        <v>44488</v>
      </c>
      <c r="B71" s="571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1">
        <v>1</v>
      </c>
      <c r="C72" s="78" t="s">
        <v>2097</v>
      </c>
      <c r="D72" s="571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69">
        <v>44531</v>
      </c>
    </row>
    <row r="73" spans="1:10" ht="33" customHeight="1" x14ac:dyDescent="0.3">
      <c r="A73" s="71">
        <v>44491</v>
      </c>
      <c r="B73" s="571">
        <v>1</v>
      </c>
      <c r="C73" s="78" t="s">
        <v>2884</v>
      </c>
      <c r="D73" s="571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2885</v>
      </c>
      <c r="I73" s="81">
        <v>44501</v>
      </c>
    </row>
    <row r="74" spans="1:10" ht="313.5" customHeight="1" x14ac:dyDescent="0.3">
      <c r="A74" s="71">
        <v>44491</v>
      </c>
      <c r="B74" s="571">
        <v>2</v>
      </c>
      <c r="C74" s="78" t="s">
        <v>2099</v>
      </c>
      <c r="D74" s="571" t="s">
        <v>166</v>
      </c>
      <c r="E74" s="89" t="str">
        <f t="shared" si="5"/>
        <v>L1905</v>
      </c>
      <c r="F74" s="570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1">
        <v>1</v>
      </c>
      <c r="C75" s="78" t="s">
        <v>2100</v>
      </c>
      <c r="D75" s="571" t="s">
        <v>110</v>
      </c>
      <c r="E75" s="567"/>
      <c r="F75" s="567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1">
        <v>2</v>
      </c>
      <c r="C76" s="78" t="s">
        <v>2101</v>
      </c>
      <c r="D76" s="571" t="s">
        <v>110</v>
      </c>
      <c r="E76" s="567"/>
      <c r="F76" s="567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1">
        <v>1</v>
      </c>
      <c r="C77" s="78" t="s">
        <v>2102</v>
      </c>
      <c r="D77" s="571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2876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2707</v>
      </c>
      <c r="D89" s="359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 x14ac:dyDescent="0.3">
      <c r="A90" s="71">
        <v>44524</v>
      </c>
      <c r="B90" s="571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1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2749</v>
      </c>
      <c r="D92" s="89" t="s">
        <v>2750</v>
      </c>
      <c r="G92" s="568">
        <v>44529</v>
      </c>
      <c r="H92" s="82" t="s">
        <v>2875</v>
      </c>
      <c r="I92" s="81">
        <v>44529</v>
      </c>
      <c r="J92" s="569">
        <v>44544</v>
      </c>
    </row>
    <row r="93" spans="1:10" ht="62.5" x14ac:dyDescent="0.3">
      <c r="A93" s="71">
        <v>44529</v>
      </c>
      <c r="B93" s="571">
        <v>1</v>
      </c>
      <c r="C93" s="78" t="s">
        <v>2887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3" t="s">
        <v>2899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7" hidden="1" customWidth="1"/>
    <col min="16" max="16" width="8" style="448" hidden="1" customWidth="1"/>
    <col min="17" max="17" width="12.59765625" style="448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6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2" hidden="1" customWidth="1"/>
    <col min="32" max="16384" width="8.69921875" style="4"/>
  </cols>
  <sheetData>
    <row r="1" spans="1:31" s="423" customFormat="1" ht="52" customHeight="1" x14ac:dyDescent="0.3">
      <c r="C1" s="424"/>
      <c r="D1" s="424"/>
      <c r="E1" s="424"/>
      <c r="F1" s="425" t="s">
        <v>2552</v>
      </c>
      <c r="G1" s="424"/>
      <c r="H1" s="424"/>
      <c r="I1" s="426" t="s">
        <v>2551</v>
      </c>
      <c r="J1" s="662" t="s">
        <v>2549</v>
      </c>
      <c r="K1" s="662"/>
      <c r="L1" s="662"/>
      <c r="M1" s="427" t="s">
        <v>2550</v>
      </c>
      <c r="N1" s="427"/>
      <c r="O1" s="428"/>
      <c r="P1" s="428"/>
      <c r="Q1" s="428"/>
      <c r="R1" s="428"/>
      <c r="S1" s="428"/>
      <c r="V1" s="429"/>
      <c r="W1" s="434" t="s">
        <v>3086</v>
      </c>
      <c r="X1" s="602" t="s">
        <v>3083</v>
      </c>
      <c r="Y1" s="435" t="s">
        <v>3084</v>
      </c>
      <c r="Z1" s="603" t="s">
        <v>3085</v>
      </c>
      <c r="AA1" s="502" t="s">
        <v>2573</v>
      </c>
      <c r="AB1" s="506" t="s">
        <v>2574</v>
      </c>
      <c r="AC1" s="507" t="s">
        <v>2575</v>
      </c>
      <c r="AD1" s="430" t="s">
        <v>2580</v>
      </c>
      <c r="AE1" s="477" t="s">
        <v>2581</v>
      </c>
    </row>
    <row r="2" spans="1:31" s="440" customFormat="1" ht="14" customHeight="1" x14ac:dyDescent="0.3">
      <c r="A2" s="431"/>
      <c r="B2" s="431"/>
      <c r="C2" s="432" t="s">
        <v>2526</v>
      </c>
      <c r="D2" s="432" t="s">
        <v>2528</v>
      </c>
      <c r="E2" s="432" t="s">
        <v>2527</v>
      </c>
      <c r="F2" s="433" t="s">
        <v>2529</v>
      </c>
      <c r="G2" s="432" t="s">
        <v>2411</v>
      </c>
      <c r="H2" s="434" t="s">
        <v>2530</v>
      </c>
      <c r="I2" s="435" t="s">
        <v>2531</v>
      </c>
      <c r="J2" s="436" t="s">
        <v>2527</v>
      </c>
      <c r="K2" s="436" t="s">
        <v>2544</v>
      </c>
      <c r="L2" s="436" t="s">
        <v>2543</v>
      </c>
      <c r="M2" s="437" t="s">
        <v>2578</v>
      </c>
      <c r="N2" s="437" t="s">
        <v>2579</v>
      </c>
      <c r="O2" s="438" t="s">
        <v>2532</v>
      </c>
      <c r="P2" s="438" t="s">
        <v>2563</v>
      </c>
      <c r="Q2" s="438" t="s">
        <v>2564</v>
      </c>
      <c r="R2" s="431" t="s">
        <v>2543</v>
      </c>
      <c r="S2" s="437" t="s">
        <v>2548</v>
      </c>
      <c r="T2" s="432" t="s">
        <v>2545</v>
      </c>
      <c r="U2" s="432"/>
      <c r="V2" s="439"/>
      <c r="W2" s="431"/>
      <c r="X2" s="498"/>
      <c r="Y2" s="495"/>
      <c r="Z2" s="599"/>
      <c r="AA2" s="503"/>
      <c r="AB2" s="500"/>
      <c r="AC2" s="494"/>
      <c r="AE2" s="478"/>
    </row>
    <row r="3" spans="1:31" s="268" customFormat="1" ht="11" x14ac:dyDescent="0.3">
      <c r="C3" s="269"/>
      <c r="D3" s="269"/>
      <c r="E3" s="269"/>
      <c r="F3" s="269">
        <v>1</v>
      </c>
      <c r="G3" s="269"/>
      <c r="H3" s="269"/>
      <c r="I3" s="269">
        <v>2</v>
      </c>
      <c r="J3" s="269">
        <v>3</v>
      </c>
      <c r="K3" s="269">
        <v>4</v>
      </c>
      <c r="L3" s="269"/>
      <c r="M3" s="269">
        <v>5</v>
      </c>
      <c r="N3" s="269">
        <v>6</v>
      </c>
      <c r="O3" s="355">
        <v>7</v>
      </c>
      <c r="P3" s="355"/>
      <c r="Q3" s="355"/>
      <c r="S3" s="269"/>
      <c r="V3" s="441"/>
      <c r="W3" s="497"/>
      <c r="X3" s="499"/>
      <c r="Y3" s="496"/>
      <c r="Z3" s="600"/>
      <c r="AA3" s="504"/>
      <c r="AB3" s="501"/>
      <c r="AC3" s="475"/>
      <c r="AE3" s="479"/>
    </row>
    <row r="4" spans="1:31" x14ac:dyDescent="0.35">
      <c r="A4" s="442" t="s">
        <v>65</v>
      </c>
      <c r="B4" s="442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3"/>
      <c r="P4" s="444"/>
      <c r="Q4" s="444"/>
      <c r="R4" s="442"/>
      <c r="S4" s="442"/>
      <c r="V4" s="445"/>
      <c r="W4" s="442"/>
      <c r="X4" s="45"/>
      <c r="Y4" s="453"/>
      <c r="Z4" s="601"/>
      <c r="AA4" s="505"/>
      <c r="AB4" s="460"/>
      <c r="AC4" s="471"/>
      <c r="AE4" s="480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COUNTIF(URS確認!AS2:AS581,LEFT(B5,3))</f>
        <v>11</v>
      </c>
      <c r="G5" s="243">
        <v>11</v>
      </c>
      <c r="H5" s="243">
        <v>11</v>
      </c>
      <c r="I5" s="243">
        <f>COUNTIF(URS確認!AT2:AT582,LEFT(B5,3))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5"/>
      <c r="W5" s="442">
        <f>COUNTIF(URS確認!BE$2:BE$581,LEFT($B5,3))</f>
        <v>11</v>
      </c>
      <c r="X5" s="45">
        <f>COUNTIF(URS確認!BF$2:BF$581,LEFT($B5,3))</f>
        <v>0</v>
      </c>
      <c r="Y5" s="453">
        <f>COUNTIF(URS確認!BG$2:BG$581,LEFT($B5,3))</f>
        <v>0</v>
      </c>
      <c r="Z5" s="601">
        <f>COUNTIF(URS確認!BH$2:BH$581,LEFT($B5,3))</f>
        <v>0</v>
      </c>
      <c r="AA5" s="505">
        <f>COUNTIF(URS確認!AV$2:AV$581,LEFT(B5,3))</f>
        <v>0</v>
      </c>
      <c r="AB5" s="460">
        <f>COUNTIF(URS確認!AW$2:AW$581,LEFT(B5,3))</f>
        <v>0</v>
      </c>
      <c r="AC5" s="471">
        <f>COUNTIF(URS確認!AX$2:AX$582,LEFT(B5,3))</f>
        <v>0</v>
      </c>
      <c r="AD5" s="4">
        <f>SUM(W5:AC5)</f>
        <v>11</v>
      </c>
      <c r="AE5" s="480" t="str">
        <f>IF(AND(X5&gt;0,Y5=0,AA5=0,AB5=0,AC5=0),X5,"")</f>
        <v/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COUNTIF(URS確認!AS3:AS582,LEFT(B6,3))</f>
        <v>2</v>
      </c>
      <c r="G6" s="243">
        <v>2</v>
      </c>
      <c r="H6" s="243">
        <v>2</v>
      </c>
      <c r="I6" s="243">
        <f>COUNTIF(URS確認!AT3:AT583,LEFT(B6,3))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5"/>
      <c r="W6" s="442">
        <f>COUNTIF(URS確認!BE$2:BE$581,LEFT($B6,3))</f>
        <v>2</v>
      </c>
      <c r="X6" s="45">
        <f>COUNTIF(URS確認!BF$2:BF$581,LEFT($B6,3))</f>
        <v>0</v>
      </c>
      <c r="Y6" s="453">
        <f>COUNTIF(URS確認!BG$2:BG$581,LEFT($B6,3))</f>
        <v>0</v>
      </c>
      <c r="Z6" s="601">
        <f>COUNTIF(URS確認!BH$2:BH$581,LEFT($B6,3))</f>
        <v>0</v>
      </c>
      <c r="AA6" s="505">
        <f>COUNTIF(URS確認!AV$2:AV$581,LEFT(B6,3))</f>
        <v>0</v>
      </c>
      <c r="AB6" s="460">
        <f>COUNTIF(URS確認!AW$2:AW$581,LEFT(B6,3))</f>
        <v>0</v>
      </c>
      <c r="AC6" s="471">
        <f>COUNTIF(URS確認!AX$2:AX$582,LEFT(B6,3))</f>
        <v>0</v>
      </c>
      <c r="AD6" s="4">
        <f t="shared" ref="AD6:AD61" si="4">SUM(W6:AC6)</f>
        <v>2</v>
      </c>
      <c r="AE6" s="480" t="str">
        <f t="shared" ref="AE6:AE8" si="5">IF(AND(X6&gt;0,Y6=0,AA6=0,AB6=0,AC6=0),X6,"")</f>
        <v/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COUNTIF(URS確認!AS4:AS583,LEFT(B7,3))</f>
        <v>2</v>
      </c>
      <c r="G7" s="243">
        <v>2</v>
      </c>
      <c r="H7" s="243">
        <v>2</v>
      </c>
      <c r="I7" s="243">
        <f>COUNTIF(URS確認!AT4:AT584,LEFT(B7,3))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5"/>
      <c r="W7" s="442">
        <f>COUNTIF(URS確認!BE$2:BE$581,LEFT($B7,3))</f>
        <v>2</v>
      </c>
      <c r="X7" s="45">
        <f>COUNTIF(URS確認!BF$2:BF$581,LEFT($B7,3))</f>
        <v>0</v>
      </c>
      <c r="Y7" s="453">
        <f>COUNTIF(URS確認!BG$2:BG$581,LEFT($B7,3))</f>
        <v>0</v>
      </c>
      <c r="Z7" s="601">
        <f>COUNTIF(URS確認!BH$2:BH$581,LEFT($B7,3))</f>
        <v>0</v>
      </c>
      <c r="AA7" s="505">
        <f>COUNTIF(URS確認!AV$2:AV$581,LEFT(B7,3))</f>
        <v>0</v>
      </c>
      <c r="AB7" s="460">
        <f>COUNTIF(URS確認!AW$2:AW$581,LEFT(B7,3))</f>
        <v>0</v>
      </c>
      <c r="AC7" s="471">
        <f>COUNTIF(URS確認!AX$2:AX$582,LEFT(B7,3))</f>
        <v>0</v>
      </c>
      <c r="AD7" s="4">
        <f t="shared" si="4"/>
        <v>2</v>
      </c>
      <c r="AE7" s="480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COUNTIF(URS確認!AS5:AS584,LEFT(B8,3))</f>
        <v>0</v>
      </c>
      <c r="G8" s="243">
        <v>1</v>
      </c>
      <c r="H8" s="243">
        <v>1</v>
      </c>
      <c r="I8" s="243">
        <f>COUNTIF(URS確認!AT5:AT585,LEFT(B8,3))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5"/>
      <c r="W8" s="442">
        <f>COUNTIF(URS確認!BE$2:BE$581,LEFT($B8,3))</f>
        <v>0</v>
      </c>
      <c r="X8" s="45">
        <f>COUNTIF(URS確認!BF$2:BF$581,LEFT($B8,3))</f>
        <v>0</v>
      </c>
      <c r="Y8" s="453">
        <f>COUNTIF(URS確認!BG$2:BG$581,LEFT($B8,3))</f>
        <v>0</v>
      </c>
      <c r="Z8" s="601">
        <f>COUNTIF(URS確認!BH$2:BH$581,LEFT($B8,3))</f>
        <v>0</v>
      </c>
      <c r="AA8" s="505">
        <f>COUNTIF(URS確認!AV$2:AV$581,LEFT(B8,3))</f>
        <v>0</v>
      </c>
      <c r="AB8" s="460">
        <f>COUNTIF(URS確認!AW$2:AW$581,LEFT(B8,3))</f>
        <v>0</v>
      </c>
      <c r="AC8" s="471">
        <f>COUNTIF(URS確認!AX$2:AX$582,LEFT(B8,3))</f>
        <v>0</v>
      </c>
      <c r="AD8" s="4">
        <f t="shared" si="4"/>
        <v>0</v>
      </c>
      <c r="AE8" s="480" t="str">
        <f t="shared" si="5"/>
        <v/>
      </c>
    </row>
    <row r="9" spans="1:31" x14ac:dyDescent="0.35">
      <c r="A9" s="442" t="s">
        <v>66</v>
      </c>
      <c r="B9" s="442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3"/>
      <c r="P9" s="444"/>
      <c r="Q9" s="444"/>
      <c r="R9" s="442"/>
      <c r="S9" s="442"/>
      <c r="V9" s="445"/>
      <c r="W9" s="442"/>
      <c r="X9" s="45"/>
      <c r="Y9" s="453"/>
      <c r="Z9" s="601"/>
      <c r="AA9" s="505"/>
      <c r="AB9" s="460"/>
      <c r="AC9" s="471"/>
      <c r="AE9" s="480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COUNTIF(URS確認!AS7:AS586,LEFT(B10,3))</f>
        <v>2</v>
      </c>
      <c r="G10" s="243">
        <v>2</v>
      </c>
      <c r="H10" s="243">
        <v>2</v>
      </c>
      <c r="I10" s="243">
        <f>COUNTIF(URS確認!AT7:AT587,LEFT(B10,3))</f>
        <v>0</v>
      </c>
      <c r="K10" s="243" t="str">
        <f t="shared" si="0"/>
        <v/>
      </c>
      <c r="L10" s="243">
        <f t="shared" si="1"/>
        <v>0</v>
      </c>
      <c r="P10" s="448" t="s">
        <v>2453</v>
      </c>
      <c r="Q10" s="448" t="s">
        <v>2453</v>
      </c>
      <c r="R10" s="4">
        <f t="shared" si="2"/>
        <v>0</v>
      </c>
      <c r="S10" s="4">
        <f>SUM(O10:Q10)</f>
        <v>0</v>
      </c>
      <c r="V10" s="445"/>
      <c r="W10" s="442">
        <f>COUNTIF(URS確認!BE$2:BE$581,LEFT($B10,3))</f>
        <v>2</v>
      </c>
      <c r="X10" s="45">
        <f>COUNTIF(URS確認!BF$2:BF$581,LEFT($B10,3))</f>
        <v>0</v>
      </c>
      <c r="Y10" s="453">
        <f>COUNTIF(URS確認!BG$2:BG$581,LEFT($B10,3))</f>
        <v>0</v>
      </c>
      <c r="Z10" s="601">
        <f>COUNTIF(URS確認!BH$2:BH$581,LEFT($B10,3))</f>
        <v>0</v>
      </c>
      <c r="AA10" s="505">
        <f>COUNTIF(URS確認!AV$2:AV$581,LEFT(B10,3))</f>
        <v>0</v>
      </c>
      <c r="AB10" s="460">
        <f>COUNTIF(URS確認!AW$2:AW$581,LEFT(B10,3))</f>
        <v>0</v>
      </c>
      <c r="AC10" s="471">
        <f>COUNTIF(URS確認!AX$2:AX$582,LEFT(B10,3))</f>
        <v>0</v>
      </c>
      <c r="AD10" s="4">
        <f t="shared" si="4"/>
        <v>2</v>
      </c>
      <c r="AE10" s="480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49">
        <v>18</v>
      </c>
      <c r="F11" s="243">
        <f>COUNTIF(URS確認!AS8:AS587,LEFT(B11,3))</f>
        <v>20</v>
      </c>
      <c r="G11" s="243">
        <v>20</v>
      </c>
      <c r="H11" s="243">
        <v>20</v>
      </c>
      <c r="I11" s="243">
        <f>COUNTIF(URS確認!AT8:AT588,LEFT(B11,3))</f>
        <v>0</v>
      </c>
      <c r="J11" s="243">
        <v>18</v>
      </c>
      <c r="K11" s="243">
        <v>2</v>
      </c>
      <c r="L11" s="243">
        <f>SUM(J11:K11)</f>
        <v>20</v>
      </c>
      <c r="P11" s="448" t="s">
        <v>2453</v>
      </c>
      <c r="Q11" s="448" t="s">
        <v>2453</v>
      </c>
      <c r="R11" s="4">
        <f t="shared" si="2"/>
        <v>0</v>
      </c>
      <c r="S11" s="4">
        <f t="shared" ref="S11:S16" si="6">SUM(O11:Q11)</f>
        <v>0</v>
      </c>
      <c r="V11" s="445"/>
      <c r="W11" s="442">
        <f>COUNTIF(URS確認!BE$2:BE$581,LEFT($B11,3))</f>
        <v>19</v>
      </c>
      <c r="X11" s="45">
        <f>COUNTIF(URS確認!BF$2:BF$581,LEFT($B11,3))</f>
        <v>0</v>
      </c>
      <c r="Y11" s="453">
        <f>COUNTIF(URS確認!BG$2:BG$581,LEFT($B11,3))</f>
        <v>1</v>
      </c>
      <c r="Z11" s="601">
        <f>COUNTIF(URS確認!BH$2:BH$581,LEFT($B11,3))</f>
        <v>0</v>
      </c>
      <c r="AA11" s="505">
        <f>COUNTIF(URS確認!AV$2:AV$581,LEFT(B11,3))</f>
        <v>0</v>
      </c>
      <c r="AB11" s="460">
        <f>COUNTIF(URS確認!AW$2:AW$581,LEFT(B11,3))</f>
        <v>0</v>
      </c>
      <c r="AC11" s="471">
        <f>COUNTIF(URS確認!AX$2:AX$582,LEFT(B11,3))</f>
        <v>0</v>
      </c>
      <c r="AD11" s="4">
        <f t="shared" si="4"/>
        <v>20</v>
      </c>
      <c r="AE11" s="480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49">
        <v>10</v>
      </c>
      <c r="F12" s="243">
        <f>COUNTIF(URS確認!AS9:AS588,LEFT(B12,3))</f>
        <v>10</v>
      </c>
      <c r="G12" s="243">
        <v>10</v>
      </c>
      <c r="H12" s="243">
        <v>10</v>
      </c>
      <c r="I12" s="243">
        <f>COUNTIF(URS確認!AT9:AT589,LEFT(B12,3))</f>
        <v>0</v>
      </c>
      <c r="K12" s="243" t="str">
        <f>IF(J12="V",C12,"")</f>
        <v/>
      </c>
      <c r="L12" s="243">
        <f t="shared" ref="L12:L61" si="8">SUM(J12:K12)</f>
        <v>0</v>
      </c>
      <c r="P12" s="448" t="s">
        <v>2453</v>
      </c>
      <c r="Q12" s="448" t="s">
        <v>2453</v>
      </c>
      <c r="R12" s="4">
        <f t="shared" si="2"/>
        <v>0</v>
      </c>
      <c r="S12" s="4">
        <f t="shared" si="6"/>
        <v>0</v>
      </c>
      <c r="V12" s="445"/>
      <c r="W12" s="442">
        <f>COUNTIF(URS確認!BE$2:BE$581,LEFT($B12,3))</f>
        <v>10</v>
      </c>
      <c r="X12" s="45">
        <f>COUNTIF(URS確認!BF$2:BF$581,LEFT($B12,3))</f>
        <v>0</v>
      </c>
      <c r="Y12" s="453">
        <f>COUNTIF(URS確認!BG$2:BG$581,LEFT($B12,3))</f>
        <v>0</v>
      </c>
      <c r="Z12" s="601">
        <f>COUNTIF(URS確認!BH$2:BH$581,LEFT($B12,3))</f>
        <v>0</v>
      </c>
      <c r="AA12" s="505">
        <f>COUNTIF(URS確認!AV$2:AV$581,LEFT(B12,3))</f>
        <v>0</v>
      </c>
      <c r="AB12" s="460">
        <f>COUNTIF(URS確認!AW$2:AW$581,LEFT(B12,3))</f>
        <v>0</v>
      </c>
      <c r="AC12" s="471">
        <f>COUNTIF(URS確認!AX$2:AX$582,LEFT(B12,3))</f>
        <v>0</v>
      </c>
      <c r="AD12" s="4">
        <f t="shared" si="4"/>
        <v>10</v>
      </c>
      <c r="AE12" s="480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49">
        <v>10</v>
      </c>
      <c r="F13" s="243">
        <f>COUNTIF(URS確認!AS10:AS589,LEFT(B13,3))</f>
        <v>20</v>
      </c>
      <c r="G13" s="243">
        <v>19</v>
      </c>
      <c r="H13" s="243">
        <v>19</v>
      </c>
      <c r="I13" s="243">
        <f>COUNTIF(URS確認!AT10:AT590,LEFT(B13,3))</f>
        <v>0</v>
      </c>
      <c r="J13" s="243">
        <v>10</v>
      </c>
      <c r="K13" s="243">
        <v>9</v>
      </c>
      <c r="L13" s="243">
        <f t="shared" si="8"/>
        <v>19</v>
      </c>
      <c r="P13" s="448" t="s">
        <v>2453</v>
      </c>
      <c r="Q13" s="448" t="s">
        <v>2453</v>
      </c>
      <c r="R13" s="4">
        <f t="shared" si="2"/>
        <v>0</v>
      </c>
      <c r="S13" s="4">
        <f t="shared" si="6"/>
        <v>0</v>
      </c>
      <c r="V13" s="445"/>
      <c r="W13" s="442">
        <f>COUNTIF(URS確認!BE$2:BE$581,LEFT($B13,3))</f>
        <v>20</v>
      </c>
      <c r="X13" s="45">
        <f>COUNTIF(URS確認!BF$2:BF$581,LEFT($B13,3))</f>
        <v>0</v>
      </c>
      <c r="Y13" s="453">
        <f>COUNTIF(URS確認!BG$2:BG$581,LEFT($B13,3))</f>
        <v>0</v>
      </c>
      <c r="Z13" s="601">
        <f>COUNTIF(URS確認!BH$2:BH$581,LEFT($B13,3))</f>
        <v>0</v>
      </c>
      <c r="AA13" s="505">
        <f>COUNTIF(URS確認!AV$2:AV$581,LEFT(B13,3))</f>
        <v>0</v>
      </c>
      <c r="AB13" s="460">
        <f>COUNTIF(URS確認!AW$2:AW$581,LEFT(B13,3))</f>
        <v>0</v>
      </c>
      <c r="AC13" s="471">
        <f>COUNTIF(URS確認!AX$2:AX$582,LEFT(B13,3))</f>
        <v>0</v>
      </c>
      <c r="AD13" s="4">
        <f t="shared" si="4"/>
        <v>20</v>
      </c>
      <c r="AE13" s="480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COUNTIF(URS確認!AS11:AS590,LEFT(B14,3))</f>
        <v>9</v>
      </c>
      <c r="G14" s="243">
        <v>9</v>
      </c>
      <c r="H14" s="243">
        <v>9</v>
      </c>
      <c r="I14" s="243">
        <f>COUNTIF(URS確認!AT11:AT591,LEFT(B14,3))</f>
        <v>0</v>
      </c>
      <c r="K14" s="243" t="str">
        <f>IF(J14="V",C14,"")</f>
        <v/>
      </c>
      <c r="L14" s="243">
        <f t="shared" si="8"/>
        <v>0</v>
      </c>
      <c r="P14" s="448" t="s">
        <v>2453</v>
      </c>
      <c r="Q14" s="448" t="s">
        <v>2453</v>
      </c>
      <c r="R14" s="4">
        <f t="shared" si="2"/>
        <v>0</v>
      </c>
      <c r="S14" s="4">
        <f t="shared" si="6"/>
        <v>0</v>
      </c>
      <c r="V14" s="445"/>
      <c r="W14" s="442">
        <f>COUNTIF(URS確認!BE$2:BE$581,LEFT($B14,3))</f>
        <v>9</v>
      </c>
      <c r="X14" s="45">
        <f>COUNTIF(URS確認!BF$2:BF$581,LEFT($B14,3))</f>
        <v>0</v>
      </c>
      <c r="Y14" s="453">
        <f>COUNTIF(URS確認!BG$2:BG$581,LEFT($B14,3))</f>
        <v>0</v>
      </c>
      <c r="Z14" s="601">
        <f>COUNTIF(URS確認!BH$2:BH$581,LEFT($B14,3))</f>
        <v>0</v>
      </c>
      <c r="AA14" s="505">
        <f>COUNTIF(URS確認!AV$2:AV$581,LEFT(B14,3))</f>
        <v>0</v>
      </c>
      <c r="AB14" s="460">
        <f>COUNTIF(URS確認!AW$2:AW$581,LEFT(B14,3))</f>
        <v>0</v>
      </c>
      <c r="AC14" s="471">
        <f>COUNTIF(URS確認!AX$2:AX$582,LEFT(B14,3))</f>
        <v>0</v>
      </c>
      <c r="AD14" s="4">
        <f t="shared" si="4"/>
        <v>9</v>
      </c>
      <c r="AE14" s="480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COUNTIF(URS確認!AS11:AS591,LEFT(B15,3))</f>
        <v>6</v>
      </c>
      <c r="G15" s="243">
        <v>5</v>
      </c>
      <c r="H15" s="243">
        <v>6</v>
      </c>
      <c r="I15" s="243">
        <f>COUNTIF(URS確認!AT11:AT592,LEFT(B15,3))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8">
        <v>3</v>
      </c>
      <c r="Q15" s="448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5"/>
      <c r="W15" s="442">
        <f>COUNTIF(URS確認!BE$2:BE$581,LEFT($B15,3))</f>
        <v>0</v>
      </c>
      <c r="X15" s="45">
        <f>COUNTIF(URS確認!BF$2:BF$581,LEFT($B15,3))</f>
        <v>0</v>
      </c>
      <c r="Y15" s="453">
        <f>COUNTIF(URS確認!BG$2:BG$581,LEFT($B15,3))</f>
        <v>6</v>
      </c>
      <c r="Z15" s="601">
        <f>COUNTIF(URS確認!BH$2:BH$581,LEFT($B15,3))</f>
        <v>0</v>
      </c>
      <c r="AA15" s="505">
        <f>COUNTIF(URS確認!AV$2:AV$581,LEFT(B15,3))</f>
        <v>0</v>
      </c>
      <c r="AB15" s="460">
        <f>COUNTIF(URS確認!AW$2:AW$581,LEFT(B15,3))</f>
        <v>0</v>
      </c>
      <c r="AC15" s="471">
        <f>COUNTIF(URS確認!AX$2:AX$582,LEFT(B15,3))</f>
        <v>0</v>
      </c>
      <c r="AD15" s="4">
        <f t="shared" si="4"/>
        <v>6</v>
      </c>
      <c r="AE15" s="480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49">
        <v>9</v>
      </c>
      <c r="F16" s="243">
        <f>COUNTIF(URS確認!AS12:AS592,LEFT(B16,3))</f>
        <v>12</v>
      </c>
      <c r="G16" s="243">
        <v>11</v>
      </c>
      <c r="H16" s="243">
        <v>11</v>
      </c>
      <c r="I16" s="243">
        <f>COUNTIF(URS確認!AT12:AT593,LEFT(B16,3))</f>
        <v>0</v>
      </c>
      <c r="J16" s="243">
        <v>9</v>
      </c>
      <c r="K16" s="243">
        <v>2</v>
      </c>
      <c r="L16" s="243">
        <f t="shared" si="8"/>
        <v>11</v>
      </c>
      <c r="P16" s="448" t="s">
        <v>2453</v>
      </c>
      <c r="Q16" s="448" t="s">
        <v>2453</v>
      </c>
      <c r="R16" s="4">
        <f t="shared" si="2"/>
        <v>0</v>
      </c>
      <c r="S16" s="4">
        <f t="shared" si="6"/>
        <v>0</v>
      </c>
      <c r="V16" s="445"/>
      <c r="W16" s="442">
        <f>COUNTIF(URS確認!BE$2:BE$581,LEFT($B16,3))</f>
        <v>12</v>
      </c>
      <c r="X16" s="45">
        <f>COUNTIF(URS確認!BF$2:BF$581,LEFT($B16,3))</f>
        <v>0</v>
      </c>
      <c r="Y16" s="453">
        <f>COUNTIF(URS確認!BG$2:BG$581,LEFT($B16,3))</f>
        <v>0</v>
      </c>
      <c r="Z16" s="601">
        <f>COUNTIF(URS確認!BH$2:BH$581,LEFT($B16,3))</f>
        <v>0</v>
      </c>
      <c r="AA16" s="505">
        <f>COUNTIF(URS確認!AV$2:AV$581,LEFT(B16,3))</f>
        <v>0</v>
      </c>
      <c r="AB16" s="460">
        <f>COUNTIF(URS確認!AW$2:AW$581,LEFT(B16,3))</f>
        <v>0</v>
      </c>
      <c r="AC16" s="471">
        <f>COUNTIF(URS確認!AX$2:AX$582,LEFT(B16,3))</f>
        <v>0</v>
      </c>
      <c r="AD16" s="4">
        <f t="shared" si="4"/>
        <v>12</v>
      </c>
      <c r="AE16" s="480" t="str">
        <f t="shared" si="7"/>
        <v/>
      </c>
    </row>
    <row r="17" spans="1:31" x14ac:dyDescent="0.35">
      <c r="A17" s="442" t="s">
        <v>67</v>
      </c>
      <c r="B17" s="442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3"/>
      <c r="P17" s="444" t="s">
        <v>2453</v>
      </c>
      <c r="Q17" s="444" t="s">
        <v>2453</v>
      </c>
      <c r="R17" s="442"/>
      <c r="S17" s="442"/>
      <c r="V17" s="445"/>
      <c r="W17" s="442"/>
      <c r="X17" s="45"/>
      <c r="Y17" s="453"/>
      <c r="Z17" s="601"/>
      <c r="AA17" s="505"/>
      <c r="AB17" s="460"/>
      <c r="AC17" s="471"/>
      <c r="AE17" s="480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COUNTIF(URS確認!AS15:AS595,LEFT(B18,3))</f>
        <v>7</v>
      </c>
      <c r="G18" s="243">
        <v>7</v>
      </c>
      <c r="H18" s="243">
        <v>7</v>
      </c>
      <c r="I18" s="243">
        <f>COUNTIF(URS確認!AT15:AT596,LEFT(B18,3))</f>
        <v>0</v>
      </c>
      <c r="K18" s="243" t="str">
        <f t="shared" si="9"/>
        <v/>
      </c>
      <c r="L18" s="243">
        <f t="shared" si="8"/>
        <v>0</v>
      </c>
      <c r="P18" s="448" t="s">
        <v>2453</v>
      </c>
      <c r="Q18" s="448" t="s">
        <v>2453</v>
      </c>
      <c r="R18" s="4">
        <f t="shared" si="2"/>
        <v>0</v>
      </c>
      <c r="S18" s="4">
        <f>SUM(O18:Q18)</f>
        <v>0</v>
      </c>
      <c r="V18" s="445"/>
      <c r="W18" s="442">
        <f>COUNTIF(URS確認!BE$2:BE$581,LEFT($B18,3))</f>
        <v>6</v>
      </c>
      <c r="X18" s="45">
        <f>COUNTIF(URS確認!BF$2:BF$581,LEFT($B18,3))</f>
        <v>0</v>
      </c>
      <c r="Y18" s="453">
        <f>COUNTIF(URS確認!BG$2:BG$581,LEFT($B18,3))</f>
        <v>1</v>
      </c>
      <c r="Z18" s="601">
        <f>COUNTIF(URS確認!BH$2:BH$581,LEFT($B18,3))</f>
        <v>0</v>
      </c>
      <c r="AA18" s="505">
        <f>COUNTIF(URS確認!AV$2:AV$581,LEFT(B18,3))</f>
        <v>0</v>
      </c>
      <c r="AB18" s="460">
        <f>COUNTIF(URS確認!AW$2:AW$581,LEFT(B18,3))</f>
        <v>0</v>
      </c>
      <c r="AC18" s="471">
        <f>COUNTIF(URS確認!AX$2:AX$582,LEFT(B18,3))</f>
        <v>0</v>
      </c>
      <c r="AD18" s="4">
        <f t="shared" si="4"/>
        <v>7</v>
      </c>
      <c r="AE18" s="480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COUNTIF(URS確認!AS16:AS596,LEFT(B19,3))</f>
        <v>9</v>
      </c>
      <c r="G19" s="243">
        <v>9</v>
      </c>
      <c r="H19" s="243">
        <v>9</v>
      </c>
      <c r="I19" s="243">
        <f>COUNTIF(URS確認!AT16:AT597,LEFT(B19,3))</f>
        <v>0</v>
      </c>
      <c r="K19" s="243" t="str">
        <f t="shared" si="9"/>
        <v/>
      </c>
      <c r="L19" s="243">
        <f t="shared" si="8"/>
        <v>0</v>
      </c>
      <c r="P19" s="448" t="s">
        <v>2453</v>
      </c>
      <c r="Q19" s="448" t="s">
        <v>2453</v>
      </c>
      <c r="R19" s="4">
        <f t="shared" si="2"/>
        <v>0</v>
      </c>
      <c r="S19" s="4">
        <f t="shared" ref="S19:S22" si="10">SUM(O19:Q19)</f>
        <v>0</v>
      </c>
      <c r="V19" s="445"/>
      <c r="W19" s="442">
        <f>COUNTIF(URS確認!BE$2:BE$581,LEFT($B19,3))</f>
        <v>9</v>
      </c>
      <c r="X19" s="45">
        <f>COUNTIF(URS確認!BF$2:BF$581,LEFT($B19,3))</f>
        <v>0</v>
      </c>
      <c r="Y19" s="453">
        <f>COUNTIF(URS確認!BG$2:BG$581,LEFT($B19,3))</f>
        <v>0</v>
      </c>
      <c r="Z19" s="601">
        <f>COUNTIF(URS確認!BH$2:BH$581,LEFT($B19,3))</f>
        <v>0</v>
      </c>
      <c r="AA19" s="505">
        <f>COUNTIF(URS確認!AV$2:AV$581,LEFT(B19,3))</f>
        <v>0</v>
      </c>
      <c r="AB19" s="460">
        <f>COUNTIF(URS確認!AW$2:AW$581,LEFT(B19,3))</f>
        <v>0</v>
      </c>
      <c r="AC19" s="471">
        <f>COUNTIF(URS確認!AX$2:AX$582,LEFT(B19,3))</f>
        <v>0</v>
      </c>
      <c r="AD19" s="4">
        <f t="shared" si="4"/>
        <v>9</v>
      </c>
      <c r="AE19" s="480" t="str">
        <f t="shared" ref="AE19:AE22" si="11">IF(AND(X19&gt;0,Y19=0,AA19=0,AB19=0,AC19=0),X19,"")</f>
        <v/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COUNTIF(URS確認!AS17:AS597,LEFT(B20,3))</f>
        <v>16</v>
      </c>
      <c r="G20" s="243">
        <v>16</v>
      </c>
      <c r="H20" s="243">
        <v>16</v>
      </c>
      <c r="I20" s="243">
        <f>COUNTIF(URS確認!AT17:AT598,LEFT(B20,3))</f>
        <v>0</v>
      </c>
      <c r="K20" s="243" t="str">
        <f t="shared" si="9"/>
        <v/>
      </c>
      <c r="L20" s="243">
        <f t="shared" si="8"/>
        <v>0</v>
      </c>
      <c r="P20" s="448" t="s">
        <v>2453</v>
      </c>
      <c r="Q20" s="448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5"/>
      <c r="W20" s="442">
        <f>COUNTIF(URS確認!BE$2:BE$581,LEFT($B20,3))</f>
        <v>13</v>
      </c>
      <c r="X20" s="45">
        <f>COUNTIF(URS確認!BF$2:BF$581,LEFT($B20,3))</f>
        <v>0</v>
      </c>
      <c r="Y20" s="453">
        <f>COUNTIF(URS確認!BG$2:BG$581,LEFT($B20,3))</f>
        <v>3</v>
      </c>
      <c r="Z20" s="601">
        <f>COUNTIF(URS確認!BH$2:BH$581,LEFT($B20,3))</f>
        <v>0</v>
      </c>
      <c r="AA20" s="505">
        <f>COUNTIF(URS確認!AV$2:AV$581,LEFT(B20,3))</f>
        <v>0</v>
      </c>
      <c r="AB20" s="460">
        <f>COUNTIF(URS確認!AW$2:AW$581,LEFT(B20,3))</f>
        <v>0</v>
      </c>
      <c r="AC20" s="471">
        <f>COUNTIF(URS確認!AX$2:AX$582,LEFT(B20,3))</f>
        <v>0</v>
      </c>
      <c r="AD20" s="4">
        <f t="shared" si="4"/>
        <v>16</v>
      </c>
      <c r="AE20" s="480" t="str">
        <f t="shared" si="11"/>
        <v/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COUNTIF(URS確認!AS18:AS598,LEFT(B21,3))</f>
        <v>3</v>
      </c>
      <c r="G21" s="243">
        <v>3</v>
      </c>
      <c r="H21" s="243">
        <v>3</v>
      </c>
      <c r="I21" s="243">
        <f>COUNTIF(URS確認!AT18:AT599,LEFT(B21,3))</f>
        <v>0</v>
      </c>
      <c r="K21" s="243" t="str">
        <f t="shared" si="9"/>
        <v/>
      </c>
      <c r="L21" s="243">
        <f t="shared" si="8"/>
        <v>0</v>
      </c>
      <c r="P21" s="448" t="s">
        <v>2453</v>
      </c>
      <c r="Q21" s="448" t="s">
        <v>2453</v>
      </c>
      <c r="R21" s="4">
        <f t="shared" si="2"/>
        <v>0</v>
      </c>
      <c r="S21" s="4">
        <f t="shared" si="10"/>
        <v>0</v>
      </c>
      <c r="V21" s="445"/>
      <c r="W21" s="442">
        <f>COUNTIF(URS確認!BE$2:BE$581,LEFT($B21,3))</f>
        <v>2</v>
      </c>
      <c r="X21" s="45">
        <f>COUNTIF(URS確認!BF$2:BF$581,LEFT($B21,3))</f>
        <v>0</v>
      </c>
      <c r="Y21" s="453">
        <f>COUNTIF(URS確認!BG$2:BG$581,LEFT($B21,3))</f>
        <v>1</v>
      </c>
      <c r="Z21" s="601">
        <f>COUNTIF(URS確認!BH$2:BH$581,LEFT($B21,3))</f>
        <v>0</v>
      </c>
      <c r="AA21" s="505">
        <f>COUNTIF(URS確認!AV$2:AV$581,LEFT(B21,3))</f>
        <v>0</v>
      </c>
      <c r="AB21" s="460">
        <f>COUNTIF(URS確認!AW$2:AW$581,LEFT(B21,3))</f>
        <v>0</v>
      </c>
      <c r="AC21" s="471">
        <f>COUNTIF(URS確認!AX$2:AX$582,LEFT(B21,3))</f>
        <v>0</v>
      </c>
      <c r="AD21" s="4">
        <f t="shared" si="4"/>
        <v>3</v>
      </c>
      <c r="AE21" s="480" t="str">
        <f t="shared" si="11"/>
        <v/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COUNTIF(URS確認!AS19:AS599,LEFT(B22,3))</f>
        <v>3</v>
      </c>
      <c r="G22" s="243">
        <v>3</v>
      </c>
      <c r="H22" s="243">
        <v>3</v>
      </c>
      <c r="I22" s="243">
        <f>COUNTIF(URS確認!AT19:AT600,LEFT(B22,3))</f>
        <v>0</v>
      </c>
      <c r="K22" s="243" t="str">
        <f t="shared" si="9"/>
        <v/>
      </c>
      <c r="L22" s="243">
        <f t="shared" si="8"/>
        <v>0</v>
      </c>
      <c r="P22" s="448" t="s">
        <v>2453</v>
      </c>
      <c r="Q22" s="448" t="s">
        <v>2453</v>
      </c>
      <c r="R22" s="4">
        <f t="shared" si="2"/>
        <v>0</v>
      </c>
      <c r="S22" s="4">
        <f t="shared" si="10"/>
        <v>0</v>
      </c>
      <c r="V22" s="445"/>
      <c r="W22" s="442">
        <f>COUNTIF(URS確認!BE$2:BE$581,LEFT($B22,3))</f>
        <v>3</v>
      </c>
      <c r="X22" s="45">
        <f>COUNTIF(URS確認!BF$2:BF$581,LEFT($B22,3))</f>
        <v>0</v>
      </c>
      <c r="Y22" s="453">
        <f>COUNTIF(URS確認!BG$2:BG$581,LEFT($B22,3))</f>
        <v>0</v>
      </c>
      <c r="Z22" s="601">
        <f>COUNTIF(URS確認!BH$2:BH$581,LEFT($B22,3))</f>
        <v>0</v>
      </c>
      <c r="AA22" s="505">
        <f>COUNTIF(URS確認!AV$2:AV$581,LEFT(B22,3))</f>
        <v>0</v>
      </c>
      <c r="AB22" s="460">
        <f>COUNTIF(URS確認!AW$2:AW$581,LEFT(B22,3))</f>
        <v>0</v>
      </c>
      <c r="AC22" s="471">
        <f>COUNTIF(URS確認!AX$2:AX$582,LEFT(B22,3))</f>
        <v>0</v>
      </c>
      <c r="AD22" s="4">
        <f t="shared" si="4"/>
        <v>3</v>
      </c>
      <c r="AE22" s="480" t="str">
        <f t="shared" si="11"/>
        <v/>
      </c>
    </row>
    <row r="23" spans="1:31" x14ac:dyDescent="0.35">
      <c r="A23" s="442" t="s">
        <v>68</v>
      </c>
      <c r="B23" s="442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3"/>
      <c r="P23" s="444" t="s">
        <v>2453</v>
      </c>
      <c r="Q23" s="444" t="s">
        <v>2453</v>
      </c>
      <c r="R23" s="442"/>
      <c r="S23" s="442"/>
      <c r="V23" s="445"/>
      <c r="W23" s="442"/>
      <c r="X23" s="45"/>
      <c r="Y23" s="453"/>
      <c r="Z23" s="601"/>
      <c r="AA23" s="505"/>
      <c r="AB23" s="460"/>
      <c r="AC23" s="471"/>
      <c r="AE23" s="480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COUNTIF(URS確認!AS21:AS601,LEFT(B24,3))</f>
        <v>6</v>
      </c>
      <c r="G24" s="243">
        <v>5</v>
      </c>
      <c r="H24" s="243">
        <v>5</v>
      </c>
      <c r="I24" s="243">
        <f>COUNTIF(URS確認!AT21:AT602,LEFT(B24,3))</f>
        <v>0</v>
      </c>
      <c r="K24" s="243" t="str">
        <f t="shared" si="9"/>
        <v/>
      </c>
      <c r="L24" s="243">
        <f t="shared" si="8"/>
        <v>0</v>
      </c>
      <c r="P24" s="448" t="s">
        <v>2453</v>
      </c>
      <c r="Q24" s="448" t="s">
        <v>2453</v>
      </c>
      <c r="R24" s="4">
        <f t="shared" si="2"/>
        <v>0</v>
      </c>
      <c r="S24" s="4">
        <f>SUM(O24:Q24)</f>
        <v>0</v>
      </c>
      <c r="V24" s="445"/>
      <c r="W24" s="442">
        <f>COUNTIF(URS確認!BE$2:BE$581,LEFT($B24,3))</f>
        <v>5</v>
      </c>
      <c r="X24" s="45">
        <f>COUNTIF(URS確認!BF$2:BF$581,LEFT($B24,3))</f>
        <v>0</v>
      </c>
      <c r="Y24" s="453">
        <f>COUNTIF(URS確認!BG$2:BG$581,LEFT($B24,3))</f>
        <v>1</v>
      </c>
      <c r="Z24" s="601">
        <f>COUNTIF(URS確認!BH$2:BH$581,LEFT($B24,3))</f>
        <v>0</v>
      </c>
      <c r="AA24" s="505">
        <f>COUNTIF(URS確認!AV$2:AV$581,LEFT(B24,3))</f>
        <v>0</v>
      </c>
      <c r="AB24" s="460">
        <f>COUNTIF(URS確認!AW$2:AW$581,LEFT(B24,3))</f>
        <v>0</v>
      </c>
      <c r="AC24" s="471">
        <f>COUNTIF(URS確認!AX$2:AX$582,LEFT(B24,3))</f>
        <v>0</v>
      </c>
      <c r="AD24" s="4">
        <f t="shared" si="4"/>
        <v>6</v>
      </c>
      <c r="AE24" s="480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COUNTIF(URS確認!AS22:AS602,LEFT(B25,3))</f>
        <v>17</v>
      </c>
      <c r="G25" s="243">
        <v>16</v>
      </c>
      <c r="H25" s="243">
        <v>16</v>
      </c>
      <c r="I25" s="243">
        <f>COUNTIF(URS確認!AT22:AT603,LEFT(B25,3))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8" t="s">
        <v>2453</v>
      </c>
      <c r="Q25" s="448">
        <v>1</v>
      </c>
      <c r="R25" s="4">
        <f t="shared" si="2"/>
        <v>17</v>
      </c>
      <c r="S25" s="4">
        <f t="shared" ref="S25:S30" si="12">SUM(O25:Q25)</f>
        <v>1</v>
      </c>
      <c r="V25" s="445"/>
      <c r="W25" s="442">
        <f>COUNTIF(URS確認!BE$2:BE$581,LEFT($B25,3))</f>
        <v>17</v>
      </c>
      <c r="X25" s="45">
        <f>COUNTIF(URS確認!BF$2:BF$581,LEFT($B25,3))</f>
        <v>0</v>
      </c>
      <c r="Y25" s="453">
        <f>COUNTIF(URS確認!BG$2:BG$581,LEFT($B25,3))</f>
        <v>0</v>
      </c>
      <c r="Z25" s="601">
        <f>COUNTIF(URS確認!BH$2:BH$581,LEFT($B25,3))</f>
        <v>0</v>
      </c>
      <c r="AA25" s="505">
        <f>COUNTIF(URS確認!AV$2:AV$581,LEFT(B25,3))</f>
        <v>0</v>
      </c>
      <c r="AB25" s="460">
        <f>COUNTIF(URS確認!AW$2:AW$581,LEFT(B25,3))</f>
        <v>0</v>
      </c>
      <c r="AC25" s="471">
        <f>COUNTIF(URS確認!AX$2:AX$582,LEFT(B25,3))</f>
        <v>0</v>
      </c>
      <c r="AD25" s="4">
        <f t="shared" si="4"/>
        <v>17</v>
      </c>
      <c r="AE25" s="480" t="str">
        <f t="shared" ref="AE25:AE30" si="13">IF(AND(X25&gt;0,Y25=0,AA25=0,AB25=0,AC25=0),X25,"")</f>
        <v/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COUNTIF(URS確認!AS23:AS603,LEFT(B26,3))</f>
        <v>8</v>
      </c>
      <c r="G26" s="243">
        <v>8</v>
      </c>
      <c r="H26" s="243">
        <v>8</v>
      </c>
      <c r="I26" s="243">
        <f>COUNTIF(URS確認!AT23:AT604,LEFT(B26,3))</f>
        <v>0</v>
      </c>
      <c r="K26" s="243" t="str">
        <f t="shared" si="9"/>
        <v/>
      </c>
      <c r="L26" s="243">
        <f t="shared" si="8"/>
        <v>0</v>
      </c>
      <c r="P26" s="448" t="s">
        <v>2453</v>
      </c>
      <c r="Q26" s="448" t="s">
        <v>2453</v>
      </c>
      <c r="R26" s="4">
        <f t="shared" si="2"/>
        <v>0</v>
      </c>
      <c r="S26" s="4">
        <f t="shared" si="12"/>
        <v>0</v>
      </c>
      <c r="V26" s="445"/>
      <c r="W26" s="442">
        <f>COUNTIF(URS確認!BE$2:BE$581,LEFT($B26,3))</f>
        <v>8</v>
      </c>
      <c r="X26" s="45">
        <f>COUNTIF(URS確認!BF$2:BF$581,LEFT($B26,3))</f>
        <v>0</v>
      </c>
      <c r="Y26" s="453">
        <f>COUNTIF(URS確認!BG$2:BG$581,LEFT($B26,3))</f>
        <v>0</v>
      </c>
      <c r="Z26" s="601">
        <f>COUNTIF(URS確認!BH$2:BH$581,LEFT($B26,3))</f>
        <v>0</v>
      </c>
      <c r="AA26" s="505">
        <f>COUNTIF(URS確認!AV$2:AV$581,LEFT(B26,3))</f>
        <v>0</v>
      </c>
      <c r="AB26" s="460">
        <f>COUNTIF(URS確認!AW$2:AW$581,LEFT(B26,3))</f>
        <v>0</v>
      </c>
      <c r="AC26" s="471">
        <f>COUNTIF(URS確認!AX$2:AX$582,LEFT(B26,3))</f>
        <v>0</v>
      </c>
      <c r="AD26" s="4">
        <f t="shared" si="4"/>
        <v>8</v>
      </c>
      <c r="AE26" s="480" t="str">
        <f t="shared" si="13"/>
        <v/>
      </c>
    </row>
    <row r="27" spans="1:31" outlineLevel="1" x14ac:dyDescent="0.35">
      <c r="B27" s="4" t="s">
        <v>350</v>
      </c>
      <c r="C27" s="555">
        <f>COUNTIF(URS確認!$D:$D,B27)+7</f>
        <v>17</v>
      </c>
      <c r="D27" s="243">
        <v>17</v>
      </c>
      <c r="E27" s="243">
        <v>17</v>
      </c>
      <c r="F27" s="243">
        <f>COUNTIF(URS確認!AS25:AS605,LEFT(B27,3))</f>
        <v>17</v>
      </c>
      <c r="G27" s="243">
        <v>10</v>
      </c>
      <c r="H27" s="243">
        <v>10</v>
      </c>
      <c r="I27" s="243">
        <f>COUNTIF(URS確認!AT25:AT606,LEFT(B27,3))</f>
        <v>0</v>
      </c>
      <c r="K27" s="243" t="str">
        <f t="shared" si="9"/>
        <v/>
      </c>
      <c r="L27" s="243">
        <f t="shared" si="8"/>
        <v>0</v>
      </c>
      <c r="P27" s="448" t="s">
        <v>2453</v>
      </c>
      <c r="Q27" s="448" t="s">
        <v>2453</v>
      </c>
      <c r="R27" s="4">
        <f t="shared" si="2"/>
        <v>0</v>
      </c>
      <c r="S27" s="4">
        <f t="shared" si="12"/>
        <v>0</v>
      </c>
      <c r="V27" s="445"/>
      <c r="W27" s="442">
        <f>COUNTIF(URS確認!BE$2:BE$581,LEFT($B27,3))</f>
        <v>17</v>
      </c>
      <c r="X27" s="45">
        <f>COUNTIF(URS確認!BF$2:BF$581,LEFT($B27,3))</f>
        <v>0</v>
      </c>
      <c r="Y27" s="453">
        <f>COUNTIF(URS確認!BG$2:BG$581,LEFT($B27,3))</f>
        <v>0</v>
      </c>
      <c r="Z27" s="601">
        <f>COUNTIF(URS確認!BH$2:BH$581,LEFT($B27,3))</f>
        <v>0</v>
      </c>
      <c r="AA27" s="505">
        <f>COUNTIF(URS確認!AV$2:AV$581,LEFT(B27,3))</f>
        <v>0</v>
      </c>
      <c r="AB27" s="460">
        <f>COUNTIF(URS確認!AW$2:AW$581,LEFT(B27,3))</f>
        <v>0</v>
      </c>
      <c r="AC27" s="471">
        <f>COUNTIF(URS確認!AX$2:AX$582,LEFT(B27,3))</f>
        <v>0</v>
      </c>
      <c r="AD27" s="4">
        <f t="shared" si="4"/>
        <v>17</v>
      </c>
      <c r="AE27" s="480" t="str">
        <f t="shared" si="13"/>
        <v/>
      </c>
    </row>
    <row r="28" spans="1:31" outlineLevel="1" x14ac:dyDescent="0.35">
      <c r="B28" s="4" t="s">
        <v>2576</v>
      </c>
      <c r="C28" s="555">
        <f>COUNTIF(URS確認!$D:$D,B28)+8</f>
        <v>8</v>
      </c>
      <c r="D28" s="243">
        <v>8</v>
      </c>
      <c r="E28" s="243">
        <v>8</v>
      </c>
      <c r="F28" s="243">
        <f>COUNTIF(URS確認!AS26:AS606,LEFT(B28,3))</f>
        <v>8</v>
      </c>
      <c r="G28" s="243">
        <v>7</v>
      </c>
      <c r="H28" s="243">
        <v>6</v>
      </c>
      <c r="I28" s="243">
        <f>COUNTIF(URS確認!AT26:AT607,LEFT(B28,3))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8" t="s">
        <v>2453</v>
      </c>
      <c r="Q28" s="448">
        <v>1</v>
      </c>
      <c r="R28" s="4">
        <f t="shared" si="2"/>
        <v>7</v>
      </c>
      <c r="S28" s="4">
        <f t="shared" si="12"/>
        <v>1</v>
      </c>
      <c r="V28" s="445"/>
      <c r="W28" s="442">
        <f>COUNTIF(URS確認!BE$2:BE$581,LEFT($B28,3))</f>
        <v>8</v>
      </c>
      <c r="X28" s="45">
        <f>COUNTIF(URS確認!BF$2:BF$581,LEFT($B28,3))</f>
        <v>0</v>
      </c>
      <c r="Y28" s="453">
        <f>COUNTIF(URS確認!BG$2:BG$581,LEFT($B28,3))</f>
        <v>0</v>
      </c>
      <c r="Z28" s="601">
        <f>COUNTIF(URS確認!BH$2:BH$581,LEFT($B28,3))</f>
        <v>0</v>
      </c>
      <c r="AA28" s="505">
        <f>COUNTIF(URS確認!AV$2:AV$581,LEFT(B28,3))</f>
        <v>0</v>
      </c>
      <c r="AB28" s="460">
        <f>COUNTIF(URS確認!AW$2:AW$581,LEFT(B28,3))</f>
        <v>0</v>
      </c>
      <c r="AC28" s="471">
        <f>COUNTIF(URS確認!AX$2:AX$582,LEFT(B28,3))</f>
        <v>0</v>
      </c>
      <c r="AD28" s="4">
        <f t="shared" si="4"/>
        <v>8</v>
      </c>
      <c r="AE28" s="480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COUNTIF(URS確認!AS28:AS608,LEFT(B29,3))</f>
        <v>17</v>
      </c>
      <c r="G29" s="243">
        <v>16</v>
      </c>
      <c r="H29" s="243">
        <v>16</v>
      </c>
      <c r="I29" s="243">
        <f>COUNTIF(URS確認!AT28:AT609,LEFT(B29,3))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8" t="s">
        <v>2453</v>
      </c>
      <c r="Q29" s="448">
        <v>1</v>
      </c>
      <c r="R29" s="4">
        <f t="shared" si="2"/>
        <v>17</v>
      </c>
      <c r="S29" s="4">
        <f t="shared" si="12"/>
        <v>1</v>
      </c>
      <c r="V29" s="445"/>
      <c r="W29" s="442">
        <f>COUNTIF(URS確認!BE$2:BE$581,LEFT($B29,3))</f>
        <v>17</v>
      </c>
      <c r="X29" s="45">
        <f>COUNTIF(URS確認!BF$2:BF$581,LEFT($B29,3))</f>
        <v>0</v>
      </c>
      <c r="Y29" s="453">
        <f>COUNTIF(URS確認!BG$2:BG$581,LEFT($B29,3))</f>
        <v>0</v>
      </c>
      <c r="Z29" s="601">
        <f>COUNTIF(URS確認!BH$2:BH$581,LEFT($B29,3))</f>
        <v>0</v>
      </c>
      <c r="AA29" s="505">
        <f>COUNTIF(URS確認!AV$2:AV$581,LEFT(B29,3))</f>
        <v>0</v>
      </c>
      <c r="AB29" s="460">
        <f>COUNTIF(URS確認!AW$2:AW$581,LEFT(B29,3))</f>
        <v>0</v>
      </c>
      <c r="AC29" s="471">
        <f>COUNTIF(URS確認!AX$2:AX$582,LEFT(B29,3))</f>
        <v>0</v>
      </c>
      <c r="AD29" s="4">
        <f t="shared" si="4"/>
        <v>17</v>
      </c>
      <c r="AE29" s="480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COUNTIF(URS確認!AS29:AS609,LEFT(B30,3))</f>
        <v>3</v>
      </c>
      <c r="G30" s="243">
        <v>2</v>
      </c>
      <c r="H30" s="243">
        <v>2</v>
      </c>
      <c r="I30" s="243">
        <f>COUNTIF(URS確認!AT29:AT610,LEFT(B30,3))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8" t="s">
        <v>2453</v>
      </c>
      <c r="Q30" s="448">
        <v>1</v>
      </c>
      <c r="R30" s="4">
        <f t="shared" si="2"/>
        <v>3</v>
      </c>
      <c r="S30" s="4">
        <f t="shared" si="12"/>
        <v>1</v>
      </c>
      <c r="V30" s="445"/>
      <c r="W30" s="442">
        <f>COUNTIF(URS確認!BE$2:BE$581,LEFT($B30,3))</f>
        <v>3</v>
      </c>
      <c r="X30" s="45">
        <f>COUNTIF(URS確認!BF$2:BF$581,LEFT($B30,3))</f>
        <v>0</v>
      </c>
      <c r="Y30" s="453">
        <f>COUNTIF(URS確認!BG$2:BG$581,LEFT($B30,3))</f>
        <v>0</v>
      </c>
      <c r="Z30" s="601">
        <f>COUNTIF(URS確認!BH$2:BH$581,LEFT($B30,3))</f>
        <v>0</v>
      </c>
      <c r="AA30" s="505">
        <f>COUNTIF(URS確認!AV$2:AV$581,LEFT(B30,3))</f>
        <v>0</v>
      </c>
      <c r="AB30" s="460">
        <f>COUNTIF(URS確認!AW$2:AW$581,LEFT(B30,3))</f>
        <v>0</v>
      </c>
      <c r="AC30" s="471">
        <f>COUNTIF(URS確認!AX$2:AX$582,LEFT(B30,3))</f>
        <v>0</v>
      </c>
      <c r="AD30" s="4">
        <f t="shared" si="4"/>
        <v>3</v>
      </c>
      <c r="AE30" s="480" t="str">
        <f t="shared" si="13"/>
        <v/>
      </c>
    </row>
    <row r="31" spans="1:31" x14ac:dyDescent="0.35">
      <c r="A31" s="442" t="s">
        <v>69</v>
      </c>
      <c r="B31" s="442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3"/>
      <c r="P31" s="444" t="s">
        <v>2453</v>
      </c>
      <c r="Q31" s="444" t="s">
        <v>2453</v>
      </c>
      <c r="R31" s="442"/>
      <c r="S31" s="442"/>
      <c r="V31" s="445"/>
      <c r="W31" s="442"/>
      <c r="X31" s="45"/>
      <c r="Y31" s="453"/>
      <c r="Z31" s="601"/>
      <c r="AA31" s="505"/>
      <c r="AB31" s="460"/>
      <c r="AC31" s="471"/>
      <c r="AE31" s="480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49">
        <v>11</v>
      </c>
      <c r="F32" s="243">
        <f>COUNTIF(URS確認!AS31:AS611,LEFT(B32,3))</f>
        <v>15</v>
      </c>
      <c r="G32" s="243">
        <v>15</v>
      </c>
      <c r="H32" s="243">
        <v>15</v>
      </c>
      <c r="I32" s="243">
        <f>COUNTIF(URS確認!AT31:AT612,LEFT(B32,3))</f>
        <v>0</v>
      </c>
      <c r="J32" s="243">
        <v>11</v>
      </c>
      <c r="K32" s="243">
        <v>4</v>
      </c>
      <c r="L32" s="243">
        <f t="shared" si="8"/>
        <v>15</v>
      </c>
      <c r="P32" s="448" t="s">
        <v>2453</v>
      </c>
      <c r="Q32" s="448" t="s">
        <v>2453</v>
      </c>
      <c r="R32" s="4">
        <f t="shared" si="2"/>
        <v>0</v>
      </c>
      <c r="S32" s="4">
        <f>SUM(O32:Q32)</f>
        <v>0</v>
      </c>
      <c r="V32" s="445"/>
      <c r="W32" s="442">
        <f>COUNTIF(URS確認!BE$2:BE$581,LEFT($B32,3))</f>
        <v>6</v>
      </c>
      <c r="X32" s="45">
        <f>COUNTIF(URS確認!BF$2:BF$581,LEFT($B32,3))</f>
        <v>0</v>
      </c>
      <c r="Y32" s="453">
        <f>COUNTIF(URS確認!BG$2:BG$581,LEFT($B32,3))</f>
        <v>9</v>
      </c>
      <c r="Z32" s="601">
        <f>COUNTIF(URS確認!BH$2:BH$581,LEFT($B32,3))</f>
        <v>0</v>
      </c>
      <c r="AA32" s="505">
        <f>COUNTIF(URS確認!AV$2:AV$581,LEFT(B32,3))</f>
        <v>0</v>
      </c>
      <c r="AB32" s="460">
        <f>COUNTIF(URS確認!AW$2:AW$581,LEFT(B32,3))</f>
        <v>0</v>
      </c>
      <c r="AC32" s="471">
        <f>COUNTIF(URS確認!AX$2:AX$582,LEFT(B32,3))</f>
        <v>0</v>
      </c>
      <c r="AD32" s="4">
        <f t="shared" si="4"/>
        <v>15</v>
      </c>
      <c r="AE32" s="480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49">
        <v>4</v>
      </c>
      <c r="F33" s="243">
        <f>COUNTIF(URS確認!AS32:AS612,LEFT(B33,3))</f>
        <v>12</v>
      </c>
      <c r="G33" s="243">
        <v>11</v>
      </c>
      <c r="H33" s="243">
        <v>11</v>
      </c>
      <c r="I33" s="243">
        <f>COUNTIF(URS確認!AT32:AT613,LEFT(B33,3))</f>
        <v>0</v>
      </c>
      <c r="J33" s="243">
        <v>4</v>
      </c>
      <c r="K33" s="243">
        <v>8</v>
      </c>
      <c r="L33" s="243">
        <f t="shared" si="8"/>
        <v>12</v>
      </c>
      <c r="P33" s="448" t="s">
        <v>2453</v>
      </c>
      <c r="Q33" s="448" t="s">
        <v>2453</v>
      </c>
      <c r="R33" s="4">
        <f t="shared" si="2"/>
        <v>0</v>
      </c>
      <c r="S33" s="4">
        <f t="shared" ref="S33:S37" si="14">SUM(O33:Q33)</f>
        <v>0</v>
      </c>
      <c r="V33" s="445"/>
      <c r="W33" s="442">
        <f>COUNTIF(URS確認!BE$2:BE$581,LEFT($B33,3))</f>
        <v>12</v>
      </c>
      <c r="X33" s="45">
        <f>COUNTIF(URS確認!BF$2:BF$581,LEFT($B33,3))</f>
        <v>0</v>
      </c>
      <c r="Y33" s="453">
        <f>COUNTIF(URS確認!BG$2:BG$581,LEFT($B33,3))</f>
        <v>0</v>
      </c>
      <c r="Z33" s="601">
        <f>COUNTIF(URS確認!BH$2:BH$581,LEFT($B33,3))</f>
        <v>0</v>
      </c>
      <c r="AA33" s="505">
        <f>COUNTIF(URS確認!AV$2:AV$581,LEFT(B33,3))</f>
        <v>0</v>
      </c>
      <c r="AB33" s="460">
        <f>COUNTIF(URS確認!AW$2:AW$581,LEFT(B33,3))</f>
        <v>0</v>
      </c>
      <c r="AC33" s="471">
        <f>COUNTIF(URS確認!AX$2:AX$582,LEFT(B33,3))</f>
        <v>0</v>
      </c>
      <c r="AD33" s="4">
        <f t="shared" si="4"/>
        <v>12</v>
      </c>
      <c r="AE33" s="480" t="str">
        <f t="shared" ref="AE33:AE37" si="15">IF(AND(X33&gt;0,Y33=0,AA33=0,AB33=0,AC33=0),X33,"")</f>
        <v/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49">
        <v>9</v>
      </c>
      <c r="F34" s="243">
        <f>COUNTIF(URS確認!AS33:AS613,LEFT(B34,3))</f>
        <v>15</v>
      </c>
      <c r="G34" s="243">
        <v>15</v>
      </c>
      <c r="H34" s="243">
        <v>12</v>
      </c>
      <c r="I34" s="243">
        <f>COUNTIF(URS確認!AT33:AT614,LEFT(B34,3))</f>
        <v>0</v>
      </c>
      <c r="K34" s="243" t="str">
        <f>IF(J34="V",C34,"")</f>
        <v/>
      </c>
      <c r="L34" s="243">
        <f t="shared" si="8"/>
        <v>0</v>
      </c>
      <c r="P34" s="448">
        <v>12</v>
      </c>
      <c r="Q34" s="448">
        <v>3</v>
      </c>
      <c r="R34" s="4">
        <f t="shared" si="2"/>
        <v>15</v>
      </c>
      <c r="S34" s="4">
        <f t="shared" si="14"/>
        <v>15</v>
      </c>
      <c r="V34" s="445"/>
      <c r="W34" s="442">
        <f>COUNTIF(URS確認!BE$2:BE$581,LEFT($B34,3))</f>
        <v>0</v>
      </c>
      <c r="X34" s="45">
        <f>COUNTIF(URS確認!BF$2:BF$581,LEFT($B34,3))</f>
        <v>2</v>
      </c>
      <c r="Y34" s="453">
        <f>COUNTIF(URS確認!BG$2:BG$581,LEFT($B34,3))</f>
        <v>0</v>
      </c>
      <c r="Z34" s="601">
        <f>COUNTIF(URS確認!BH$2:BH$581,LEFT($B34,3))</f>
        <v>13</v>
      </c>
      <c r="AA34" s="505">
        <f>COUNTIF(URS確認!AV$2:AV$581,LEFT(B34,3))</f>
        <v>0</v>
      </c>
      <c r="AB34" s="460">
        <f>COUNTIF(URS確認!AW$2:AW$581,LEFT(B34,3))</f>
        <v>0</v>
      </c>
      <c r="AC34" s="471">
        <f>COUNTIF(URS確認!AX$2:AX$582,LEFT(B34,3))</f>
        <v>0</v>
      </c>
      <c r="AD34" s="4">
        <f t="shared" si="4"/>
        <v>15</v>
      </c>
      <c r="AE34" s="480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49"/>
      <c r="F35" s="243">
        <f>COUNTIF(URS確認!AS34:AS614,LEFT(B35,3))</f>
        <v>15</v>
      </c>
      <c r="G35" s="243">
        <v>15</v>
      </c>
      <c r="H35" s="243">
        <v>14</v>
      </c>
      <c r="I35" s="243">
        <f>COUNTIF(URS確認!AT34:AT615,LEFT(B35,3))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8" t="s">
        <v>2453</v>
      </c>
      <c r="Q35" s="448">
        <v>1</v>
      </c>
      <c r="R35" s="4">
        <f t="shared" si="2"/>
        <v>15</v>
      </c>
      <c r="S35" s="4">
        <f t="shared" si="14"/>
        <v>1</v>
      </c>
      <c r="V35" s="445"/>
      <c r="W35" s="442">
        <f>COUNTIF(URS確認!BE$2:BE$581,LEFT($B35,3))</f>
        <v>0</v>
      </c>
      <c r="X35" s="45">
        <f>COUNTIF(URS確認!BF$2:BF$581,LEFT($B35,3))</f>
        <v>0</v>
      </c>
      <c r="Y35" s="453">
        <f>COUNTIF(URS確認!BG$2:BG$581,LEFT($B35,3))</f>
        <v>15</v>
      </c>
      <c r="Z35" s="601">
        <f>COUNTIF(URS確認!BH$2:BH$581,LEFT($B35,3))</f>
        <v>0</v>
      </c>
      <c r="AA35" s="505">
        <f>COUNTIF(URS確認!AV$2:AV$581,LEFT(B35,3))</f>
        <v>0</v>
      </c>
      <c r="AB35" s="460">
        <f>COUNTIF(URS確認!AW$2:AW$581,LEFT(B35,3))</f>
        <v>0</v>
      </c>
      <c r="AC35" s="471">
        <f>COUNTIF(URS確認!AX$2:AX$582,LEFT(B35,3))</f>
        <v>0</v>
      </c>
      <c r="AD35" s="4">
        <f t="shared" si="4"/>
        <v>15</v>
      </c>
      <c r="AE35" s="480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COUNTIF(URS確認!AS35:AS615,LEFT(B36,3))</f>
        <v>26</v>
      </c>
      <c r="G36" s="243">
        <v>26</v>
      </c>
      <c r="H36" s="243">
        <v>26</v>
      </c>
      <c r="I36" s="243">
        <f>COUNTIF(URS確認!AT35:AT616,LEFT(B36,3))</f>
        <v>0</v>
      </c>
      <c r="K36" s="243" t="str">
        <f>IF(J36="V",C36,"")</f>
        <v/>
      </c>
      <c r="L36" s="243">
        <f t="shared" si="8"/>
        <v>0</v>
      </c>
      <c r="P36" s="448" t="s">
        <v>2453</v>
      </c>
      <c r="Q36" s="448" t="s">
        <v>2453</v>
      </c>
      <c r="R36" s="4">
        <f t="shared" si="2"/>
        <v>0</v>
      </c>
      <c r="S36" s="4">
        <f t="shared" si="14"/>
        <v>0</v>
      </c>
      <c r="V36" s="445"/>
      <c r="W36" s="442">
        <f>COUNTIF(URS確認!BE$2:BE$581,LEFT($B36,3))</f>
        <v>0</v>
      </c>
      <c r="X36" s="45">
        <f>COUNTIF(URS確認!BF$2:BF$581,LEFT($B36,3))</f>
        <v>0</v>
      </c>
      <c r="Y36" s="453">
        <f>COUNTIF(URS確認!BG$2:BG$581,LEFT($B36,3))</f>
        <v>26</v>
      </c>
      <c r="Z36" s="601">
        <f>COUNTIF(URS確認!BH$2:BH$581,LEFT($B36,3))</f>
        <v>0</v>
      </c>
      <c r="AA36" s="505">
        <f>COUNTIF(URS確認!AV$2:AV$581,LEFT(B36,3))</f>
        <v>0</v>
      </c>
      <c r="AB36" s="460">
        <f>COUNTIF(URS確認!AW$2:AW$581,LEFT(B36,3))</f>
        <v>0</v>
      </c>
      <c r="AC36" s="471">
        <f>COUNTIF(URS確認!AX$2:AX$582,LEFT(B36,3))</f>
        <v>0</v>
      </c>
      <c r="AD36" s="4">
        <f t="shared" si="4"/>
        <v>26</v>
      </c>
      <c r="AE36" s="480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COUNTIF(URS確認!AS36:AS616,LEFT(B37,3))</f>
        <v>4</v>
      </c>
      <c r="G37" s="243">
        <v>4</v>
      </c>
      <c r="H37" s="243">
        <v>4</v>
      </c>
      <c r="I37" s="243">
        <f>COUNTIF(URS確認!AT36:AT617,LEFT(B37,3))</f>
        <v>0</v>
      </c>
      <c r="J37" s="243">
        <v>0</v>
      </c>
      <c r="K37" s="243">
        <v>4</v>
      </c>
      <c r="L37" s="243">
        <f t="shared" si="8"/>
        <v>4</v>
      </c>
      <c r="P37" s="448" t="s">
        <v>2453</v>
      </c>
      <c r="Q37" s="448" t="s">
        <v>2453</v>
      </c>
      <c r="R37" s="4">
        <f t="shared" si="2"/>
        <v>0</v>
      </c>
      <c r="S37" s="4">
        <f t="shared" si="14"/>
        <v>0</v>
      </c>
      <c r="V37" s="445"/>
      <c r="W37" s="442">
        <f>COUNTIF(URS確認!BE$2:BE$581,LEFT($B37,3))</f>
        <v>0</v>
      </c>
      <c r="X37" s="45">
        <f>COUNTIF(URS確認!BF$2:BF$581,LEFT($B37,3))</f>
        <v>0</v>
      </c>
      <c r="Y37" s="453">
        <f>COUNTIF(URS確認!BG$2:BG$581,LEFT($B37,3))</f>
        <v>4</v>
      </c>
      <c r="Z37" s="601">
        <f>COUNTIF(URS確認!BH$2:BH$581,LEFT($B37,3))</f>
        <v>0</v>
      </c>
      <c r="AA37" s="505">
        <f>COUNTIF(URS確認!AV$2:AV$581,LEFT(B37,3))</f>
        <v>0</v>
      </c>
      <c r="AB37" s="460">
        <f>COUNTIF(URS確認!AW$2:AW$581,LEFT(B37,3))</f>
        <v>0</v>
      </c>
      <c r="AC37" s="471">
        <f>COUNTIF(URS確認!AX$2:AX$582,LEFT(B37,3))</f>
        <v>0</v>
      </c>
      <c r="AD37" s="4">
        <f t="shared" si="4"/>
        <v>4</v>
      </c>
      <c r="AE37" s="480" t="str">
        <f t="shared" si="15"/>
        <v/>
      </c>
    </row>
    <row r="38" spans="1:31" x14ac:dyDescent="0.35">
      <c r="A38" s="442" t="s">
        <v>70</v>
      </c>
      <c r="B38" s="442"/>
      <c r="C38" s="242">
        <f>SUM(C39:C47)</f>
        <v>106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3"/>
      <c r="P38" s="444" t="s">
        <v>2453</v>
      </c>
      <c r="Q38" s="444" t="s">
        <v>2453</v>
      </c>
      <c r="R38" s="442"/>
      <c r="S38" s="442"/>
      <c r="V38" s="445"/>
      <c r="W38" s="442"/>
      <c r="X38" s="45"/>
      <c r="Y38" s="453"/>
      <c r="Z38" s="601"/>
      <c r="AA38" s="505"/>
      <c r="AB38" s="460"/>
      <c r="AC38" s="471"/>
      <c r="AE38" s="480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49"/>
      <c r="F39" s="243">
        <f>COUNTIF(URS確認!AS38:AS618,LEFT(B39,3))</f>
        <v>4</v>
      </c>
      <c r="G39" s="243">
        <v>3</v>
      </c>
      <c r="H39" s="243">
        <v>3</v>
      </c>
      <c r="I39" s="243">
        <f>COUNTIF(URS確認!AT38:AT619,LEFT(B39,3))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8">
        <v>2</v>
      </c>
      <c r="Q39" s="448">
        <v>1</v>
      </c>
      <c r="R39" s="4">
        <f t="shared" si="2"/>
        <v>4</v>
      </c>
      <c r="S39" s="4">
        <f>SUM(O39:Q39)</f>
        <v>3</v>
      </c>
      <c r="V39" s="445"/>
      <c r="W39" s="442">
        <f>COUNTIF(URS確認!BE$2:BE$581,LEFT($B39,3))</f>
        <v>3</v>
      </c>
      <c r="X39" s="45">
        <f>COUNTIF(URS確認!BF$2:BF$581,LEFT($B39,3))</f>
        <v>0</v>
      </c>
      <c r="Y39" s="453">
        <f>COUNTIF(URS確認!BG$2:BG$581,LEFT($B39,3))</f>
        <v>1</v>
      </c>
      <c r="Z39" s="601">
        <f>COUNTIF(URS確認!BH$2:BH$581,LEFT($B39,3))</f>
        <v>0</v>
      </c>
      <c r="AA39" s="505">
        <f>COUNTIF(URS確認!AV$2:AV$581,LEFT(B39,3))</f>
        <v>0</v>
      </c>
      <c r="AB39" s="460">
        <f>COUNTIF(URS確認!AW$2:AW$581,LEFT(B39,3))</f>
        <v>0</v>
      </c>
      <c r="AC39" s="471">
        <f>COUNTIF(URS確認!AX$2:AX$582,LEFT(B39,3))</f>
        <v>0</v>
      </c>
      <c r="AD39" s="4">
        <f t="shared" si="4"/>
        <v>4</v>
      </c>
      <c r="AE39" s="480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COUNTIF(URS確認!AS39:AS619,LEFT(B40,3))</f>
        <v>9</v>
      </c>
      <c r="G40" s="243">
        <v>9</v>
      </c>
      <c r="H40" s="243">
        <v>9</v>
      </c>
      <c r="I40" s="243">
        <f>COUNTIF(URS確認!AT39:AT620,LEFT(B40,3))</f>
        <v>0</v>
      </c>
      <c r="J40" s="243">
        <v>7</v>
      </c>
      <c r="K40" s="243">
        <v>2</v>
      </c>
      <c r="L40" s="243">
        <f t="shared" si="8"/>
        <v>9</v>
      </c>
      <c r="P40" s="448" t="s">
        <v>2453</v>
      </c>
      <c r="Q40" s="448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5"/>
      <c r="W40" s="442">
        <f>COUNTIF(URS確認!BE$2:BE$581,LEFT($B40,3))</f>
        <v>9</v>
      </c>
      <c r="X40" s="45">
        <f>COUNTIF(URS確認!BF$2:BF$581,LEFT($B40,3))</f>
        <v>0</v>
      </c>
      <c r="Y40" s="453">
        <f>COUNTIF(URS確認!BG$2:BG$581,LEFT($B40,3))</f>
        <v>0</v>
      </c>
      <c r="Z40" s="601">
        <f>COUNTIF(URS確認!BH$2:BH$581,LEFT($B40,3))</f>
        <v>0</v>
      </c>
      <c r="AA40" s="505">
        <f>COUNTIF(URS確認!AV$2:AV$581,LEFT(B40,3))</f>
        <v>0</v>
      </c>
      <c r="AB40" s="460">
        <f>COUNTIF(URS確認!AW$2:AW$581,LEFT(B40,3))</f>
        <v>0</v>
      </c>
      <c r="AC40" s="471">
        <f>COUNTIF(URS確認!AX$2:AX$582,LEFT(B40,3))</f>
        <v>0</v>
      </c>
      <c r="AD40" s="4">
        <f t="shared" si="4"/>
        <v>9</v>
      </c>
      <c r="AE40" s="480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COUNTIF(URS確認!AS40:AS620,LEFT(B41,3))</f>
        <v>6</v>
      </c>
      <c r="G41" s="243">
        <v>6</v>
      </c>
      <c r="H41" s="243">
        <v>6</v>
      </c>
      <c r="I41" s="243">
        <f>COUNTIF(URS確認!AT40:AT621,LEFT(B41,3))</f>
        <v>0</v>
      </c>
      <c r="J41" s="243">
        <v>0</v>
      </c>
      <c r="K41" s="243">
        <v>6</v>
      </c>
      <c r="L41" s="243">
        <f t="shared" si="8"/>
        <v>6</v>
      </c>
      <c r="P41" s="448" t="s">
        <v>2453</v>
      </c>
      <c r="Q41" s="448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5"/>
      <c r="W41" s="442">
        <f>COUNTIF(URS確認!BE$2:BE$581,LEFT($B41,3))</f>
        <v>6</v>
      </c>
      <c r="X41" s="45">
        <f>COUNTIF(URS確認!BF$2:BF$581,LEFT($B41,3))</f>
        <v>0</v>
      </c>
      <c r="Y41" s="453">
        <f>COUNTIF(URS確認!BG$2:BG$581,LEFT($B41,3))</f>
        <v>0</v>
      </c>
      <c r="Z41" s="601">
        <f>COUNTIF(URS確認!BH$2:BH$581,LEFT($B41,3))</f>
        <v>0</v>
      </c>
      <c r="AA41" s="505">
        <f>COUNTIF(URS確認!AV$2:AV$581,LEFT(B41,3))</f>
        <v>0</v>
      </c>
      <c r="AB41" s="460">
        <f>COUNTIF(URS確認!AW$2:AW$581,LEFT(B41,3))</f>
        <v>0</v>
      </c>
      <c r="AC41" s="471">
        <f>COUNTIF(URS確認!AX$2:AX$582,LEFT(B41,3))</f>
        <v>0</v>
      </c>
      <c r="AD41" s="4">
        <f t="shared" si="4"/>
        <v>6</v>
      </c>
      <c r="AE41" s="480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12</v>
      </c>
      <c r="D42" s="243">
        <v>8</v>
      </c>
      <c r="E42" s="449"/>
      <c r="F42" s="243">
        <f>COUNTIF(URS確認!AS41:AS621,LEFT(B42,3))</f>
        <v>11</v>
      </c>
      <c r="G42" s="243">
        <v>7</v>
      </c>
      <c r="H42" s="243">
        <v>8</v>
      </c>
      <c r="I42" s="243">
        <f>COUNTIF(URS確認!AT41:AT622,LEFT(B42,3))</f>
        <v>1</v>
      </c>
      <c r="K42" s="243" t="str">
        <f>IF(J42="V",C42,"")</f>
        <v/>
      </c>
      <c r="L42" s="243">
        <f t="shared" si="8"/>
        <v>0</v>
      </c>
      <c r="P42" s="448">
        <v>8</v>
      </c>
      <c r="Q42" s="448" t="s">
        <v>2453</v>
      </c>
      <c r="R42" s="4">
        <f t="shared" si="2"/>
        <v>8</v>
      </c>
      <c r="S42" s="4">
        <f t="shared" si="16"/>
        <v>8</v>
      </c>
      <c r="V42" s="445"/>
      <c r="W42" s="442">
        <f>COUNTIF(URS確認!BE$2:BE$581,LEFT($B42,3))</f>
        <v>11</v>
      </c>
      <c r="X42" s="45">
        <f>COUNTIF(URS確認!BF$2:BF$581,LEFT($B42,3))</f>
        <v>0</v>
      </c>
      <c r="Y42" s="453">
        <f>COUNTIF(URS確認!BG$2:BG$581,LEFT($B42,3))</f>
        <v>1</v>
      </c>
      <c r="Z42" s="601">
        <f>COUNTIF(URS確認!BH$2:BH$581,LEFT($B42,3))</f>
        <v>0</v>
      </c>
      <c r="AA42" s="505">
        <f>COUNTIF(URS確認!AV$2:AV$581,LEFT(B42,3))</f>
        <v>0</v>
      </c>
      <c r="AB42" s="460">
        <f>COUNTIF(URS確認!AW$2:AW$581,LEFT(B42,3))</f>
        <v>0</v>
      </c>
      <c r="AC42" s="471">
        <f>COUNTIF(URS確認!AX$2:AX$582,LEFT(B42,3))</f>
        <v>0</v>
      </c>
      <c r="AD42" s="4">
        <f t="shared" si="4"/>
        <v>12</v>
      </c>
      <c r="AE42" s="480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49">
        <v>4</v>
      </c>
      <c r="F43" s="243">
        <f>COUNTIF(URS確認!AS42:AS622,LEFT(B43,3))</f>
        <v>7</v>
      </c>
      <c r="G43" s="243">
        <v>6</v>
      </c>
      <c r="H43" s="243">
        <v>6</v>
      </c>
      <c r="I43" s="243">
        <f>COUNTIF(URS確認!AT42:AT623,LEFT(B43,3))</f>
        <v>0</v>
      </c>
      <c r="L43" s="243">
        <f t="shared" si="8"/>
        <v>0</v>
      </c>
      <c r="M43" s="243">
        <v>4</v>
      </c>
      <c r="N43" s="243">
        <v>2</v>
      </c>
      <c r="P43" s="448" t="s">
        <v>2453</v>
      </c>
      <c r="Q43" s="448">
        <v>1</v>
      </c>
      <c r="R43" s="4">
        <f t="shared" si="2"/>
        <v>7</v>
      </c>
      <c r="S43" s="4">
        <f t="shared" si="16"/>
        <v>1</v>
      </c>
      <c r="V43" s="445"/>
      <c r="W43" s="442">
        <f>COUNTIF(URS確認!BE$2:BE$581,LEFT($B43,3))</f>
        <v>7</v>
      </c>
      <c r="X43" s="45">
        <f>COUNTIF(URS確認!BF$2:BF$581,LEFT($B43,3))</f>
        <v>0</v>
      </c>
      <c r="Y43" s="453">
        <f>COUNTIF(URS確認!BG$2:BG$581,LEFT($B43,3))</f>
        <v>0</v>
      </c>
      <c r="Z43" s="601">
        <f>COUNTIF(URS確認!BH$2:BH$581,LEFT($B43,3))</f>
        <v>0</v>
      </c>
      <c r="AA43" s="505">
        <f>COUNTIF(URS確認!AV$2:AV$581,LEFT(B43,3))</f>
        <v>0</v>
      </c>
      <c r="AB43" s="460">
        <f>COUNTIF(URS確認!AW$2:AW$581,LEFT(B43,3))</f>
        <v>0</v>
      </c>
      <c r="AC43" s="471">
        <f>COUNTIF(URS確認!AX$2:AX$582,LEFT(B43,3))</f>
        <v>0</v>
      </c>
      <c r="AD43" s="4">
        <f t="shared" si="4"/>
        <v>7</v>
      </c>
      <c r="AE43" s="480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49">
        <v>12</v>
      </c>
      <c r="F44" s="243">
        <f>COUNTIF(URS確認!AS43:AS623,LEFT(B44,3))</f>
        <v>21</v>
      </c>
      <c r="G44" s="243">
        <v>20</v>
      </c>
      <c r="H44" s="243">
        <v>20</v>
      </c>
      <c r="I44" s="243">
        <f>COUNTIF(URS確認!AT43:AT624,LEFT(B44,3))</f>
        <v>0</v>
      </c>
      <c r="J44" s="243">
        <v>12</v>
      </c>
      <c r="K44" s="243">
        <v>8</v>
      </c>
      <c r="L44" s="243">
        <f t="shared" si="8"/>
        <v>20</v>
      </c>
      <c r="P44" s="448" t="s">
        <v>2453</v>
      </c>
      <c r="Q44" s="448" t="s">
        <v>2453</v>
      </c>
      <c r="R44" s="4">
        <f t="shared" si="2"/>
        <v>0</v>
      </c>
      <c r="S44" s="4">
        <f t="shared" si="16"/>
        <v>0</v>
      </c>
      <c r="V44" s="445"/>
      <c r="W44" s="442">
        <f>COUNTIF(URS確認!BE$2:BE$581,LEFT($B44,3))</f>
        <v>23</v>
      </c>
      <c r="X44" s="45">
        <f>COUNTIF(URS確認!BF$2:BF$581,LEFT($B44,3))</f>
        <v>0</v>
      </c>
      <c r="Y44" s="453">
        <f>COUNTIF(URS確認!BG$2:BG$581,LEFT($B44,3))</f>
        <v>0</v>
      </c>
      <c r="Z44" s="601">
        <f>COUNTIF(URS確認!BH$2:BH$581,LEFT($B44,3))</f>
        <v>0</v>
      </c>
      <c r="AA44" s="505">
        <f>COUNTIF(URS確認!AV$2:AV$581,LEFT(B44,3))</f>
        <v>0</v>
      </c>
      <c r="AB44" s="460">
        <f>COUNTIF(URS確認!AW$2:AW$581,LEFT(B44,3))</f>
        <v>0</v>
      </c>
      <c r="AC44" s="471">
        <f>COUNTIF(URS確認!AX$2:AX$582,LEFT(B44,3))</f>
        <v>0</v>
      </c>
      <c r="AD44" s="4">
        <f t="shared" si="4"/>
        <v>23</v>
      </c>
      <c r="AE44" s="480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49">
        <v>15</v>
      </c>
      <c r="F45" s="243">
        <f>COUNTIF(URS確認!AS44:AS624,LEFT(B45,3))</f>
        <v>30</v>
      </c>
      <c r="G45" s="243">
        <v>29</v>
      </c>
      <c r="H45" s="243">
        <v>29</v>
      </c>
      <c r="I45" s="243">
        <f>COUNTIF(URS確認!AT44:AT625,LEFT(B45,3))</f>
        <v>0</v>
      </c>
      <c r="J45" s="243">
        <v>15</v>
      </c>
      <c r="K45" s="243">
        <v>14</v>
      </c>
      <c r="L45" s="243">
        <f t="shared" si="8"/>
        <v>29</v>
      </c>
      <c r="P45" s="448" t="s">
        <v>2453</v>
      </c>
      <c r="Q45" s="448" t="s">
        <v>2453</v>
      </c>
      <c r="R45" s="4">
        <f t="shared" si="2"/>
        <v>0</v>
      </c>
      <c r="S45" s="4">
        <f t="shared" si="16"/>
        <v>0</v>
      </c>
      <c r="V45" s="445"/>
      <c r="W45" s="442">
        <f>COUNTIF(URS確認!BE$2:BE$581,LEFT($B45,3))</f>
        <v>30</v>
      </c>
      <c r="X45" s="45">
        <f>COUNTIF(URS確認!BF$2:BF$581,LEFT($B45,3))</f>
        <v>0</v>
      </c>
      <c r="Y45" s="453">
        <f>COUNTIF(URS確認!BG$2:BG$581,LEFT($B45,3))</f>
        <v>0</v>
      </c>
      <c r="Z45" s="601">
        <f>COUNTIF(URS確認!BH$2:BH$581,LEFT($B45,3))</f>
        <v>0</v>
      </c>
      <c r="AA45" s="505">
        <f>COUNTIF(URS確認!AV$2:AV$581,LEFT(B45,3))</f>
        <v>0</v>
      </c>
      <c r="AB45" s="460">
        <f>COUNTIF(URS確認!AW$2:AW$581,LEFT(B45,3))</f>
        <v>0</v>
      </c>
      <c r="AC45" s="471">
        <f>COUNTIF(URS確認!AX$2:AX$582,LEFT(B45,3))</f>
        <v>0</v>
      </c>
      <c r="AD45" s="4">
        <f t="shared" si="4"/>
        <v>30</v>
      </c>
      <c r="AE45" s="480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49">
        <v>4</v>
      </c>
      <c r="F46" s="243">
        <f>COUNTIF(URS確認!AS45:AS625,LEFT(B46,3))</f>
        <v>9</v>
      </c>
      <c r="G46" s="243">
        <v>5</v>
      </c>
      <c r="H46" s="243">
        <v>5</v>
      </c>
      <c r="I46" s="243">
        <f>COUNTIF(URS確認!AT45:AT626,LEFT(B46,3))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8">
        <v>1</v>
      </c>
      <c r="Q46" s="448" t="s">
        <v>2453</v>
      </c>
      <c r="R46" s="4">
        <f t="shared" si="2"/>
        <v>5</v>
      </c>
      <c r="S46" s="4">
        <f t="shared" si="16"/>
        <v>1</v>
      </c>
      <c r="V46" s="445"/>
      <c r="W46" s="442">
        <f>COUNTIF(URS確認!BE$2:BE$581,LEFT($B46,3))</f>
        <v>5</v>
      </c>
      <c r="X46" s="45">
        <f>COUNTIF(URS確認!BF$2:BF$581,LEFT($B46,3))</f>
        <v>0</v>
      </c>
      <c r="Y46" s="453">
        <f>COUNTIF(URS確認!BG$2:BG$581,LEFT($B46,3))</f>
        <v>5</v>
      </c>
      <c r="Z46" s="601">
        <f>COUNTIF(URS確認!BH$2:BH$581,LEFT($B46,3))</f>
        <v>0</v>
      </c>
      <c r="AA46" s="505">
        <f>COUNTIF(URS確認!AV$2:AV$581,LEFT(B46,3))</f>
        <v>0</v>
      </c>
      <c r="AB46" s="460">
        <f>COUNTIF(URS確認!AW$2:AW$581,LEFT(B46,3))</f>
        <v>3</v>
      </c>
      <c r="AC46" s="471">
        <f>COUNTIF(URS確認!AX$2:AX$582,LEFT(B46,3))</f>
        <v>0</v>
      </c>
      <c r="AD46" s="4">
        <f t="shared" si="4"/>
        <v>13</v>
      </c>
      <c r="AE46" s="480" t="str">
        <f t="shared" si="17"/>
        <v/>
      </c>
    </row>
    <row r="47" spans="1:31" outlineLevel="1" x14ac:dyDescent="0.35">
      <c r="B47" s="4" t="s">
        <v>2950</v>
      </c>
      <c r="C47" s="243">
        <f>COUNTIF(URS確認!$D:$D,B47)</f>
        <v>5</v>
      </c>
      <c r="E47" s="449"/>
      <c r="V47" s="445"/>
      <c r="W47" s="442">
        <f>COUNTIF(URS確認!BE$2:BE$581,LEFT($B47,3))</f>
        <v>0</v>
      </c>
      <c r="X47" s="45">
        <f>COUNTIF(URS確認!BF$2:BF$581,LEFT($B47,3))</f>
        <v>0</v>
      </c>
      <c r="Y47" s="453">
        <f>COUNTIF(URS確認!BG$2:BG$581,LEFT($B47,3))</f>
        <v>5</v>
      </c>
      <c r="Z47" s="601">
        <f>COUNTIF(URS確認!BH$2:BH$581,LEFT($B47,3))</f>
        <v>0</v>
      </c>
      <c r="AA47" s="505">
        <f>COUNTIF(URS確認!AV$2:AV$581,LEFT(B47,3))</f>
        <v>0</v>
      </c>
      <c r="AB47" s="460">
        <f>COUNTIF(URS確認!AW$2:AW$581,LEFT(B47,3))</f>
        <v>4</v>
      </c>
      <c r="AC47" s="471">
        <f>COUNTIF(URS確認!AX$2:AX$582,LEFT(B47,3))</f>
        <v>1</v>
      </c>
      <c r="AD47" s="4">
        <f t="shared" ref="AD47" si="18">SUM(W47:AC47)</f>
        <v>10</v>
      </c>
      <c r="AE47" s="480"/>
    </row>
    <row r="48" spans="1:31" x14ac:dyDescent="0.35">
      <c r="A48" s="442" t="s">
        <v>71</v>
      </c>
      <c r="B48" s="442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3"/>
      <c r="P48" s="444" t="s">
        <v>2453</v>
      </c>
      <c r="Q48" s="444" t="s">
        <v>2453</v>
      </c>
      <c r="R48" s="442"/>
      <c r="S48" s="442"/>
      <c r="V48" s="445"/>
      <c r="W48" s="442"/>
      <c r="X48" s="45"/>
      <c r="Y48" s="453"/>
      <c r="Z48" s="601"/>
      <c r="AA48" s="505"/>
      <c r="AB48" s="460"/>
      <c r="AC48" s="471"/>
      <c r="AE48" s="480"/>
    </row>
    <row r="49" spans="1:31" outlineLevel="1" x14ac:dyDescent="0.35">
      <c r="B49" s="4" t="s">
        <v>2519</v>
      </c>
      <c r="C49" s="243">
        <f>COUNTIF(URS確認!$D:$D,B49)</f>
        <v>4</v>
      </c>
      <c r="D49" s="243">
        <v>1</v>
      </c>
      <c r="E49" s="449"/>
      <c r="F49" s="243">
        <f>COUNTIF(URS確認!AS47:AS627,LEFT(B49,3))</f>
        <v>4</v>
      </c>
      <c r="G49" s="243">
        <v>1</v>
      </c>
      <c r="H49" s="243">
        <v>1</v>
      </c>
      <c r="I49" s="243">
        <f>COUNTIF(URS確認!AT47:AT628,LEFT(B49,3))</f>
        <v>0</v>
      </c>
      <c r="J49" s="243">
        <v>0</v>
      </c>
      <c r="K49" s="243">
        <v>1</v>
      </c>
      <c r="L49" s="243">
        <f t="shared" si="8"/>
        <v>1</v>
      </c>
      <c r="P49" s="448" t="s">
        <v>2453</v>
      </c>
      <c r="Q49" s="448" t="s">
        <v>2453</v>
      </c>
      <c r="R49" s="4">
        <f t="shared" si="2"/>
        <v>0</v>
      </c>
      <c r="S49" s="4">
        <f>SUM(O49:Q49)</f>
        <v>0</v>
      </c>
      <c r="V49" s="445"/>
      <c r="W49" s="442">
        <f>COUNTIF(URS確認!BE$2:BE$581,LEFT($B49,3))</f>
        <v>0</v>
      </c>
      <c r="X49" s="45">
        <f>COUNTIF(URS確認!BF$2:BF$581,LEFT($B49,3))</f>
        <v>0</v>
      </c>
      <c r="Y49" s="453">
        <f>COUNTIF(URS確認!BG$2:BG$581,LEFT($B49,3))</f>
        <v>4</v>
      </c>
      <c r="Z49" s="601">
        <f>COUNTIF(URS確認!BH$2:BH$581,LEFT($B49,3))</f>
        <v>0</v>
      </c>
      <c r="AA49" s="505">
        <f>COUNTIF(URS確認!AV$2:AV$581,LEFT(B49,3))</f>
        <v>0</v>
      </c>
      <c r="AB49" s="460">
        <f>COUNTIF(URS確認!AW$2:AW$581,LEFT(B49,3))</f>
        <v>0</v>
      </c>
      <c r="AC49" s="471">
        <f>COUNTIF(URS確認!AX$2:AX$582,LEFT(B49,3))</f>
        <v>0</v>
      </c>
      <c r="AD49" s="4">
        <f t="shared" si="4"/>
        <v>4</v>
      </c>
      <c r="AE49" s="480" t="str">
        <f>IF(AND(X49&gt;0,Y49=0,AA49=0,AB49=0,AC49=0),X49,"")</f>
        <v/>
      </c>
    </row>
    <row r="50" spans="1:31" outlineLevel="1" x14ac:dyDescent="0.35">
      <c r="B50" s="476" t="s">
        <v>2471</v>
      </c>
      <c r="C50" s="243">
        <f>COUNTIF(URS確認!$D:$D,B50)</f>
        <v>10</v>
      </c>
      <c r="D50" s="243">
        <v>9</v>
      </c>
      <c r="E50" s="449"/>
      <c r="F50" s="243">
        <f>COUNTIF(URS確認!AS48:AS628,LEFT(B50,3))</f>
        <v>10</v>
      </c>
      <c r="G50" s="243">
        <v>9</v>
      </c>
      <c r="H50" s="243">
        <v>8</v>
      </c>
      <c r="I50" s="243">
        <f>COUNTIF(URS確認!AT48:AT629,LEFT(B50,3))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8" t="s">
        <v>2453</v>
      </c>
      <c r="Q50" s="448">
        <v>1</v>
      </c>
      <c r="R50" s="4">
        <f t="shared" si="2"/>
        <v>9</v>
      </c>
      <c r="S50" s="4">
        <f>SUM(O50:Q50)</f>
        <v>1</v>
      </c>
      <c r="V50" s="445"/>
      <c r="W50" s="442">
        <f>COUNTIF(URS確認!BE$2:BE$581,LEFT($B50,3))</f>
        <v>0</v>
      </c>
      <c r="X50" s="45">
        <f>COUNTIF(URS確認!BF$2:BF$581,LEFT($B50,3))</f>
        <v>0</v>
      </c>
      <c r="Y50" s="453">
        <f>COUNTIF(URS確認!BG$2:BG$581,LEFT($B50,3))</f>
        <v>10</v>
      </c>
      <c r="Z50" s="601">
        <f>COUNTIF(URS確認!BH$2:BH$581,LEFT($B50,3))</f>
        <v>0</v>
      </c>
      <c r="AA50" s="505">
        <f>COUNTIF(URS確認!AV$2:AV$581,LEFT(B50,3))</f>
        <v>0</v>
      </c>
      <c r="AB50" s="460">
        <f>COUNTIF(URS確認!AW$2:AW$581,LEFT(B50,3))</f>
        <v>1</v>
      </c>
      <c r="AC50" s="471">
        <f>COUNTIF(URS確認!AX$2:AX$582,LEFT(B50,3))</f>
        <v>0</v>
      </c>
      <c r="AD50" s="4">
        <f t="shared" si="4"/>
        <v>11</v>
      </c>
      <c r="AE50" s="480" t="str">
        <f>IF(AND(X50&gt;0,Y50=0,AA50=0,AB50=0,AC50=0),X50,"")</f>
        <v/>
      </c>
    </row>
    <row r="51" spans="1:31" x14ac:dyDescent="0.35">
      <c r="A51" s="442" t="s">
        <v>72</v>
      </c>
      <c r="B51" s="442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3"/>
      <c r="P51" s="444" t="s">
        <v>2453</v>
      </c>
      <c r="Q51" s="444" t="s">
        <v>2453</v>
      </c>
      <c r="R51" s="442"/>
      <c r="S51" s="442"/>
      <c r="V51" s="445"/>
      <c r="W51" s="442"/>
      <c r="X51" s="45"/>
      <c r="Y51" s="453"/>
      <c r="Z51" s="601"/>
      <c r="AA51" s="505"/>
      <c r="AB51" s="460"/>
      <c r="AC51" s="471"/>
      <c r="AE51" s="480"/>
    </row>
    <row r="52" spans="1:31" outlineLevel="1" x14ac:dyDescent="0.35">
      <c r="B52" s="476" t="s">
        <v>890</v>
      </c>
      <c r="C52" s="243">
        <f>COUNTIF(URS確認!$D:$D,B52)</f>
        <v>8</v>
      </c>
      <c r="D52" s="243">
        <v>7</v>
      </c>
      <c r="E52" s="449">
        <v>2</v>
      </c>
      <c r="F52" s="243">
        <f>COUNTIF(URS確認!AS50:AS630,LEFT(B52,3))</f>
        <v>8</v>
      </c>
      <c r="G52" s="243">
        <v>7</v>
      </c>
      <c r="H52" s="243">
        <v>2</v>
      </c>
      <c r="I52" s="243">
        <f>COUNTIF(URS確認!AT50:AT631,LEFT(B52,3))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8">
        <v>5</v>
      </c>
      <c r="Q52" s="448" t="s">
        <v>2453</v>
      </c>
      <c r="R52" s="4">
        <f t="shared" si="2"/>
        <v>7</v>
      </c>
      <c r="S52" s="4">
        <f>SUM(O52:Q52)</f>
        <v>5</v>
      </c>
      <c r="V52" s="445"/>
      <c r="W52" s="442">
        <f>COUNTIF(URS確認!BE$2:BE$581,LEFT($B52,3))</f>
        <v>2</v>
      </c>
      <c r="X52" s="45">
        <f>COUNTIF(URS確認!BF$2:BF$581,LEFT($B52,3))</f>
        <v>0</v>
      </c>
      <c r="Y52" s="453">
        <f>COUNTIF(URS確認!BG$2:BG$581,LEFT($B52,3))</f>
        <v>6</v>
      </c>
      <c r="Z52" s="601">
        <f>COUNTIF(URS確認!BH$2:BH$581,LEFT($B52,3))</f>
        <v>0</v>
      </c>
      <c r="AA52" s="505">
        <f>COUNTIF(URS確認!AV$2:AV$581,LEFT(B52,3))</f>
        <v>0</v>
      </c>
      <c r="AB52" s="460">
        <f>COUNTIF(URS確認!AW$2:AW$581,LEFT(B52,3))</f>
        <v>0</v>
      </c>
      <c r="AC52" s="471">
        <f>COUNTIF(URS確認!AX$2:AX$582,LEFT(B52,3))</f>
        <v>0</v>
      </c>
      <c r="AD52" s="4">
        <f t="shared" si="4"/>
        <v>8</v>
      </c>
      <c r="AE52" s="480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49">
        <v>2</v>
      </c>
      <c r="F53" s="243">
        <f>COUNTIF(URS確認!AS51:AS631,LEFT(B53,3))</f>
        <v>10</v>
      </c>
      <c r="G53" s="243">
        <v>8</v>
      </c>
      <c r="H53" s="243">
        <v>8</v>
      </c>
      <c r="I53" s="243">
        <f>COUNTIF(URS確認!AT51:AT632,LEFT(B53,3))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8" t="s">
        <v>2453</v>
      </c>
      <c r="Q53" s="448">
        <v>1</v>
      </c>
      <c r="R53" s="4">
        <f t="shared" si="2"/>
        <v>9</v>
      </c>
      <c r="S53" s="4">
        <f t="shared" ref="S53:S57" si="19">SUM(O53:Q53)</f>
        <v>1</v>
      </c>
      <c r="V53" s="445"/>
      <c r="W53" s="442">
        <f>COUNTIF(URS確認!BE$2:BE$581,LEFT($B53,3))</f>
        <v>4</v>
      </c>
      <c r="X53" s="45">
        <f>COUNTIF(URS確認!BF$2:BF$581,LEFT($B53,3))</f>
        <v>0</v>
      </c>
      <c r="Y53" s="453">
        <f>COUNTIF(URS確認!BG$2:BG$581,LEFT($B53,3))</f>
        <v>6</v>
      </c>
      <c r="Z53" s="601">
        <f>COUNTIF(URS確認!BH$2:BH$581,LEFT($B53,3))</f>
        <v>0</v>
      </c>
      <c r="AA53" s="505">
        <f>COUNTIF(URS確認!AV$2:AV$581,LEFT(B53,3))</f>
        <v>0</v>
      </c>
      <c r="AB53" s="460">
        <f>COUNTIF(URS確認!AW$2:AW$581,LEFT(B53,3))</f>
        <v>0</v>
      </c>
      <c r="AC53" s="471">
        <f>COUNTIF(URS確認!AX$2:AX$582,LEFT(B53,3))</f>
        <v>0</v>
      </c>
      <c r="AD53" s="4">
        <f t="shared" si="4"/>
        <v>10</v>
      </c>
      <c r="AE53" s="480" t="str">
        <f t="shared" ref="AE53:AE57" si="20">IF(AND(X53&gt;0,Y53=0,AA53=0,AB53=0,AC53=0),X53,"")</f>
        <v/>
      </c>
    </row>
    <row r="54" spans="1:31" outlineLevel="1" x14ac:dyDescent="0.35">
      <c r="B54" s="476" t="s">
        <v>2520</v>
      </c>
      <c r="C54" s="243">
        <f>COUNTIF(URS確認!$D:$D,B54)</f>
        <v>112</v>
      </c>
      <c r="D54" s="243">
        <v>112</v>
      </c>
      <c r="E54" s="449"/>
      <c r="F54" s="243">
        <f>COUNTIF(URS確認!AS52:AS632,LEFT(B54,3))</f>
        <v>112</v>
      </c>
      <c r="G54" s="243">
        <v>112</v>
      </c>
      <c r="H54" s="243">
        <v>75</v>
      </c>
      <c r="I54" s="243">
        <f>COUNTIF(URS確認!AT52:AT633,LEFT(B54,3))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8" t="s">
        <v>2453</v>
      </c>
      <c r="Q54" s="448">
        <v>37</v>
      </c>
      <c r="R54" s="4">
        <f t="shared" si="2"/>
        <v>112</v>
      </c>
      <c r="S54" s="4">
        <f t="shared" si="19"/>
        <v>37</v>
      </c>
      <c r="V54" s="445"/>
      <c r="W54" s="442">
        <f>COUNTIF(URS確認!BE$2:BE$581,LEFT($B54,3))</f>
        <v>0</v>
      </c>
      <c r="X54" s="45">
        <f>COUNTIF(URS確認!BF$2:BF$581,LEFT($B54,3))</f>
        <v>0</v>
      </c>
      <c r="Y54" s="453">
        <f>COUNTIF(URS確認!BG$2:BG$581,LEFT($B54,3))</f>
        <v>75</v>
      </c>
      <c r="Z54" s="601">
        <f>COUNTIF(URS確認!BH$2:BH$581,LEFT($B54,3))</f>
        <v>37</v>
      </c>
      <c r="AA54" s="505">
        <f>COUNTIF(URS確認!AV$2:AV$581,LEFT(B54,3))</f>
        <v>0</v>
      </c>
      <c r="AB54" s="460">
        <f>COUNTIF(URS確認!AW$2:AW$581,LEFT(B54,3))</f>
        <v>0</v>
      </c>
      <c r="AC54" s="471">
        <f>COUNTIF(URS確認!AX$2:AX$582,LEFT(B54,3))</f>
        <v>0</v>
      </c>
      <c r="AD54" s="4">
        <f t="shared" si="4"/>
        <v>112</v>
      </c>
      <c r="AE54" s="480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49"/>
      <c r="F55" s="243">
        <f>COUNTIF(URS確認!AS55:AS633,LEFT(B55,3))</f>
        <v>2</v>
      </c>
      <c r="G55" s="243">
        <v>2</v>
      </c>
      <c r="H55" s="243">
        <v>2</v>
      </c>
      <c r="I55" s="243">
        <f>COUNTIF(URS確認!AT55:AT634,LEFT(B55,3))</f>
        <v>0</v>
      </c>
      <c r="J55" s="243">
        <v>0</v>
      </c>
      <c r="K55" s="243">
        <v>2</v>
      </c>
      <c r="L55" s="243">
        <f t="shared" si="8"/>
        <v>2</v>
      </c>
      <c r="P55" s="448" t="s">
        <v>2453</v>
      </c>
      <c r="Q55" s="448" t="s">
        <v>2453</v>
      </c>
      <c r="R55" s="4">
        <f t="shared" si="2"/>
        <v>0</v>
      </c>
      <c r="S55" s="4">
        <f t="shared" si="19"/>
        <v>0</v>
      </c>
      <c r="V55" s="445"/>
      <c r="W55" s="442">
        <f>COUNTIF(URS確認!BE$2:BE$581,LEFT($B55,3))</f>
        <v>0</v>
      </c>
      <c r="X55" s="45">
        <f>COUNTIF(URS確認!BF$2:BF$581,LEFT($B55,3))</f>
        <v>0</v>
      </c>
      <c r="Y55" s="453">
        <f>COUNTIF(URS確認!BG$2:BG$581,LEFT($B55,3))</f>
        <v>2</v>
      </c>
      <c r="Z55" s="601">
        <f>COUNTIF(URS確認!BH$2:BH$581,LEFT($B55,3))</f>
        <v>0</v>
      </c>
      <c r="AA55" s="505">
        <f>COUNTIF(URS確認!AV$2:AV$581,LEFT(B55,3))</f>
        <v>0</v>
      </c>
      <c r="AB55" s="460">
        <f>COUNTIF(URS確認!AW$2:AW$581,LEFT(B55,3))</f>
        <v>0</v>
      </c>
      <c r="AC55" s="471">
        <f>COUNTIF(URS確認!AX$2:AX$582,LEFT(B55,3))</f>
        <v>0</v>
      </c>
      <c r="AD55" s="4">
        <f t="shared" si="4"/>
        <v>2</v>
      </c>
      <c r="AE55" s="480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49"/>
      <c r="F56" s="243">
        <f>COUNTIF(URS確認!AS56:AS634,LEFT(B56,3))</f>
        <v>3</v>
      </c>
      <c r="G56" s="243">
        <v>3</v>
      </c>
      <c r="H56" s="243">
        <v>3</v>
      </c>
      <c r="I56" s="243">
        <f>COUNTIF(URS確認!AT56:AT635,LEFT(B56,3))</f>
        <v>0</v>
      </c>
      <c r="J56" s="243">
        <v>0</v>
      </c>
      <c r="K56" s="243">
        <v>3</v>
      </c>
      <c r="L56" s="243">
        <f t="shared" si="8"/>
        <v>3</v>
      </c>
      <c r="P56" s="448" t="s">
        <v>2453</v>
      </c>
      <c r="Q56" s="448" t="s">
        <v>2453</v>
      </c>
      <c r="R56" s="4">
        <f t="shared" si="2"/>
        <v>0</v>
      </c>
      <c r="S56" s="4">
        <f t="shared" si="19"/>
        <v>0</v>
      </c>
      <c r="V56" s="445"/>
      <c r="W56" s="442">
        <f>COUNTIF(URS確認!BE$2:BE$581,LEFT($B56,3))</f>
        <v>0</v>
      </c>
      <c r="X56" s="45">
        <f>COUNTIF(URS確認!BF$2:BF$581,LEFT($B56,3))</f>
        <v>0</v>
      </c>
      <c r="Y56" s="453">
        <f>COUNTIF(URS確認!BG$2:BG$581,LEFT($B56,3))</f>
        <v>2</v>
      </c>
      <c r="Z56" s="601">
        <f>COUNTIF(URS確認!BH$2:BH$581,LEFT($B56,3))</f>
        <v>1</v>
      </c>
      <c r="AA56" s="505">
        <f>COUNTIF(URS確認!AV$2:AV$581,LEFT(B56,3))</f>
        <v>0</v>
      </c>
      <c r="AB56" s="460">
        <f>COUNTIF(URS確認!AW$2:AW$581,LEFT(B56,3))</f>
        <v>0</v>
      </c>
      <c r="AC56" s="471">
        <f>COUNTIF(URS確認!AX$2:AX$582,LEFT(B56,3))</f>
        <v>0</v>
      </c>
      <c r="AD56" s="4">
        <f t="shared" si="4"/>
        <v>3</v>
      </c>
      <c r="AE56" s="480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49"/>
      <c r="F57" s="243">
        <f>COUNTIF(URS確認!AS57:AS635,LEFT(B57,3))</f>
        <v>1</v>
      </c>
      <c r="G57" s="243">
        <v>1</v>
      </c>
      <c r="H57" s="243">
        <v>1</v>
      </c>
      <c r="I57" s="243">
        <f>COUNTIF(URS確認!AT57:AT636,LEFT(B57,3))</f>
        <v>0</v>
      </c>
      <c r="J57" s="243">
        <v>0</v>
      </c>
      <c r="K57" s="243">
        <v>1</v>
      </c>
      <c r="L57" s="243">
        <f t="shared" si="8"/>
        <v>1</v>
      </c>
      <c r="P57" s="448" t="s">
        <v>2453</v>
      </c>
      <c r="Q57" s="448" t="s">
        <v>2453</v>
      </c>
      <c r="R57" s="4">
        <f t="shared" si="2"/>
        <v>0</v>
      </c>
      <c r="S57" s="4">
        <f t="shared" si="19"/>
        <v>0</v>
      </c>
      <c r="V57" s="445"/>
      <c r="W57" s="442">
        <f>COUNTIF(URS確認!BE$2:BE$581,LEFT($B57,3))</f>
        <v>0</v>
      </c>
      <c r="X57" s="45">
        <f>COUNTIF(URS確認!BF$2:BF$581,LEFT($B57,3))</f>
        <v>0</v>
      </c>
      <c r="Y57" s="453">
        <f>COUNTIF(URS確認!BG$2:BG$581,LEFT($B57,3))</f>
        <v>1</v>
      </c>
      <c r="Z57" s="601">
        <f>COUNTIF(URS確認!BH$2:BH$581,LEFT($B57,3))</f>
        <v>0</v>
      </c>
      <c r="AA57" s="505">
        <f>COUNTIF(URS確認!AV$2:AV$581,LEFT(B57,3))</f>
        <v>0</v>
      </c>
      <c r="AB57" s="460">
        <f>COUNTIF(URS確認!AW$2:AW$581,LEFT(B57,3))</f>
        <v>0</v>
      </c>
      <c r="AC57" s="471">
        <f>COUNTIF(URS確認!AX$2:AX$582,LEFT(B57,3))</f>
        <v>0</v>
      </c>
      <c r="AD57" s="4">
        <f t="shared" si="4"/>
        <v>1</v>
      </c>
      <c r="AE57" s="480" t="str">
        <f t="shared" si="20"/>
        <v/>
      </c>
    </row>
    <row r="58" spans="1:31" x14ac:dyDescent="0.35">
      <c r="A58" s="442" t="s">
        <v>73</v>
      </c>
      <c r="B58" s="442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3"/>
      <c r="P58" s="444" t="s">
        <v>2453</v>
      </c>
      <c r="Q58" s="444" t="s">
        <v>2453</v>
      </c>
      <c r="R58" s="442"/>
      <c r="S58" s="442"/>
      <c r="V58" s="445"/>
      <c r="W58" s="442"/>
      <c r="X58" s="45"/>
      <c r="Y58" s="453"/>
      <c r="Z58" s="601"/>
      <c r="AA58" s="505"/>
      <c r="AB58" s="460"/>
      <c r="AC58" s="471"/>
      <c r="AE58" s="480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49"/>
      <c r="F59" s="243">
        <f>COUNTIF(URS確認!AS59:AS637,LEFT(B59,3))</f>
        <v>1</v>
      </c>
      <c r="G59" s="243">
        <v>1</v>
      </c>
      <c r="H59" s="243">
        <v>1</v>
      </c>
      <c r="I59" s="243">
        <f>COUNTIF(URS確認!AT59:AT638,LEFT(B59,3))</f>
        <v>0</v>
      </c>
      <c r="J59" s="243">
        <v>0</v>
      </c>
      <c r="K59" s="243">
        <v>1</v>
      </c>
      <c r="L59" s="243">
        <f t="shared" si="8"/>
        <v>1</v>
      </c>
      <c r="P59" s="448" t="s">
        <v>2453</v>
      </c>
      <c r="Q59" s="448" t="s">
        <v>2453</v>
      </c>
      <c r="R59" s="4">
        <f t="shared" si="2"/>
        <v>0</v>
      </c>
      <c r="S59" s="4">
        <f>SUM(O59:Q59)</f>
        <v>0</v>
      </c>
      <c r="V59" s="445"/>
      <c r="W59" s="442">
        <f>COUNTIF(URS確認!BE$2:BE$581,LEFT($B59,3))</f>
        <v>1</v>
      </c>
      <c r="X59" s="45">
        <f>COUNTIF(URS確認!BF$2:BF$581,LEFT($B59,3))</f>
        <v>0</v>
      </c>
      <c r="Y59" s="453">
        <f>COUNTIF(URS確認!BG$2:BG$581,LEFT($B59,3))</f>
        <v>0</v>
      </c>
      <c r="Z59" s="601">
        <f>COUNTIF(URS確認!BH$2:BH$581,LEFT($B59,3))</f>
        <v>0</v>
      </c>
      <c r="AA59" s="505">
        <f>COUNTIF(URS確認!AV$2:AV$581,LEFT(B59,3))</f>
        <v>0</v>
      </c>
      <c r="AB59" s="460">
        <f>COUNTIF(URS確認!AW$2:AW$581,LEFT(B59,3))</f>
        <v>0</v>
      </c>
      <c r="AC59" s="471">
        <f>COUNTIF(URS確認!AX$2:AX$582,LEFT(B59,3))</f>
        <v>0</v>
      </c>
      <c r="AD59" s="4">
        <f t="shared" si="4"/>
        <v>1</v>
      </c>
      <c r="AE59" s="480" t="str">
        <f>IF(AND(X59&gt;0,Y59=0,AA59=0,AB59=0,AC59=0),X59,"")</f>
        <v/>
      </c>
    </row>
    <row r="60" spans="1:31" x14ac:dyDescent="0.35">
      <c r="A60" s="442" t="s">
        <v>2524</v>
      </c>
      <c r="B60" s="442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3"/>
      <c r="P60" s="444" t="s">
        <v>2453</v>
      </c>
      <c r="Q60" s="444" t="s">
        <v>2453</v>
      </c>
      <c r="R60" s="442"/>
      <c r="S60" s="442"/>
      <c r="V60" s="445"/>
      <c r="W60" s="442"/>
      <c r="X60" s="45"/>
      <c r="Y60" s="453"/>
      <c r="Z60" s="601"/>
      <c r="AA60" s="505"/>
      <c r="AB60" s="460"/>
      <c r="AC60" s="471"/>
      <c r="AE60" s="480"/>
    </row>
    <row r="61" spans="1:31" outlineLevel="1" x14ac:dyDescent="0.35">
      <c r="B61" s="476" t="s">
        <v>2572</v>
      </c>
      <c r="C61" s="243">
        <f>COUNTIF(URS確認!$D:$D,B61)</f>
        <v>12</v>
      </c>
      <c r="D61" s="243">
        <v>7</v>
      </c>
      <c r="E61" s="449"/>
      <c r="F61" s="243">
        <f>COUNTIF(URS確認!AS63:AS641,LEFT(B61,3))</f>
        <v>12</v>
      </c>
      <c r="G61" s="243">
        <v>9</v>
      </c>
      <c r="I61" s="243">
        <f>COUNTIF(URS確認!AT61:AT640,LEFT(B61,3))</f>
        <v>0</v>
      </c>
      <c r="K61" s="243" t="str">
        <f>IF(J61="V",C61,"")</f>
        <v/>
      </c>
      <c r="L61" s="243">
        <f t="shared" si="8"/>
        <v>0</v>
      </c>
      <c r="P61" s="448" t="s">
        <v>2453</v>
      </c>
      <c r="Q61" s="448">
        <v>9</v>
      </c>
      <c r="R61" s="4">
        <f t="shared" si="2"/>
        <v>9</v>
      </c>
      <c r="S61" s="4">
        <f>SUM(O61:Q61)</f>
        <v>9</v>
      </c>
      <c r="V61" s="445"/>
      <c r="W61" s="442">
        <f>COUNTIF(URS確認!BE$2:BE$581,LEFT($B61,3))</f>
        <v>6</v>
      </c>
      <c r="X61" s="45">
        <f>COUNTIF(URS確認!BF$2:BF$581,LEFT($B61,3))</f>
        <v>0</v>
      </c>
      <c r="Y61" s="453">
        <f>COUNTIF(URS確認!BG$2:BG$581,LEFT($B61,3))</f>
        <v>6</v>
      </c>
      <c r="Z61" s="601">
        <f>COUNTIF(URS確認!BH$2:BH$581,LEFT($B61,3))</f>
        <v>0</v>
      </c>
      <c r="AA61" s="505">
        <f>COUNTIF(URS確認!AV$2:AV$581,LEFT(B61,3))</f>
        <v>0</v>
      </c>
      <c r="AB61" s="460">
        <f>COUNTIF(URS確認!AW$2:AW$581,LEFT(B61,3))</f>
        <v>0</v>
      </c>
      <c r="AC61" s="471">
        <f>COUNTIF(URS確認!AX$2:AX$582,LEFT(B61,3))</f>
        <v>0</v>
      </c>
      <c r="AD61" s="4">
        <f t="shared" si="4"/>
        <v>12</v>
      </c>
      <c r="AE61" s="480" t="str">
        <f>IF(AND(X61&gt;0,Y61=0,AA61=0,AB61=0,AC61=0),X61,"")</f>
        <v/>
      </c>
    </row>
    <row r="62" spans="1:31" x14ac:dyDescent="0.35">
      <c r="A62" s="445"/>
      <c r="B62" s="445"/>
      <c r="C62" s="450"/>
      <c r="D62" s="450"/>
      <c r="E62" s="450"/>
      <c r="F62" s="450"/>
      <c r="G62" s="450"/>
      <c r="H62" s="450"/>
      <c r="I62" s="450"/>
      <c r="J62" s="450"/>
      <c r="K62" s="450"/>
      <c r="L62" s="450"/>
      <c r="M62" s="450"/>
      <c r="N62" s="450"/>
      <c r="O62" s="451"/>
      <c r="P62" s="452"/>
      <c r="Q62" s="452"/>
      <c r="R62" s="445"/>
      <c r="S62" s="445"/>
      <c r="T62" s="445"/>
      <c r="U62" s="445"/>
      <c r="V62" s="445"/>
      <c r="W62" s="445"/>
      <c r="X62" s="445"/>
      <c r="Y62" s="445"/>
      <c r="Z62" s="445"/>
      <c r="AA62" s="445"/>
      <c r="AB62" s="445"/>
      <c r="AC62" s="445"/>
      <c r="AD62" s="439"/>
      <c r="AE62" s="481"/>
    </row>
    <row r="63" spans="1:31" x14ac:dyDescent="0.35">
      <c r="A63" s="453"/>
      <c r="B63" s="538" t="s">
        <v>2543</v>
      </c>
      <c r="C63" s="469">
        <f>C4+C9+C17+C23+C31+C38+C48+C51+C58+C60</f>
        <v>564</v>
      </c>
      <c r="D63" s="242"/>
      <c r="E63" s="242"/>
      <c r="F63" s="454">
        <f>SUM(F5:F61)</f>
        <v>555</v>
      </c>
      <c r="G63" s="242"/>
      <c r="H63" s="242"/>
      <c r="I63" s="455">
        <f t="shared" ref="I63:R63" si="21">SUM(I5:I61)</f>
        <v>1</v>
      </c>
      <c r="J63" s="443">
        <f t="shared" si="21"/>
        <v>86</v>
      </c>
      <c r="K63" s="443">
        <f t="shared" si="21"/>
        <v>67</v>
      </c>
      <c r="L63" s="456">
        <f t="shared" si="21"/>
        <v>153</v>
      </c>
      <c r="M63" s="443">
        <f t="shared" si="21"/>
        <v>54</v>
      </c>
      <c r="N63" s="443">
        <f t="shared" si="21"/>
        <v>107</v>
      </c>
      <c r="O63" s="443">
        <f t="shared" si="21"/>
        <v>0</v>
      </c>
      <c r="P63" s="457">
        <f t="shared" si="21"/>
        <v>31</v>
      </c>
      <c r="Q63" s="457">
        <f t="shared" si="21"/>
        <v>58</v>
      </c>
      <c r="R63" s="446">
        <f t="shared" si="21"/>
        <v>250</v>
      </c>
      <c r="S63" s="442">
        <f>SUM(S6:S61)</f>
        <v>89</v>
      </c>
      <c r="T63" s="458" t="s">
        <v>2553</v>
      </c>
      <c r="U63" s="458">
        <f>F63+I63+L63+R63</f>
        <v>959</v>
      </c>
      <c r="V63" s="459"/>
      <c r="W63" s="453">
        <f>SUM(W5:W61)</f>
        <v>320</v>
      </c>
      <c r="X63" s="453">
        <f t="shared" ref="X63:AE63" si="22">SUM(X5:X61)</f>
        <v>2</v>
      </c>
      <c r="Y63" s="453">
        <f t="shared" si="22"/>
        <v>191</v>
      </c>
      <c r="Z63" s="453">
        <f t="shared" si="22"/>
        <v>51</v>
      </c>
      <c r="AA63" s="453">
        <f t="shared" si="22"/>
        <v>0</v>
      </c>
      <c r="AB63" s="453">
        <f t="shared" si="22"/>
        <v>8</v>
      </c>
      <c r="AC63" s="453">
        <f t="shared" si="22"/>
        <v>1</v>
      </c>
      <c r="AD63" s="470">
        <f>SUM(W63:Z63)</f>
        <v>564</v>
      </c>
      <c r="AE63" s="480">
        <f t="shared" si="22"/>
        <v>2</v>
      </c>
    </row>
    <row r="64" spans="1:31" x14ac:dyDescent="0.35">
      <c r="A64" s="472"/>
      <c r="B64" s="539" t="s">
        <v>2547</v>
      </c>
      <c r="C64" s="473"/>
      <c r="F64" s="461">
        <f t="shared" ref="F64:L64" si="23">F63/$C$63</f>
        <v>0.98404255319148937</v>
      </c>
      <c r="G64" s="461">
        <f t="shared" si="23"/>
        <v>0</v>
      </c>
      <c r="H64" s="461">
        <f t="shared" si="23"/>
        <v>0</v>
      </c>
      <c r="I64" s="461">
        <f t="shared" si="23"/>
        <v>1.7730496453900709E-3</v>
      </c>
      <c r="J64" s="461"/>
      <c r="K64" s="461"/>
      <c r="L64" s="461">
        <f t="shared" si="23"/>
        <v>0.27127659574468083</v>
      </c>
      <c r="M64" s="461"/>
      <c r="N64" s="461"/>
      <c r="O64" s="461"/>
      <c r="P64" s="461"/>
      <c r="Q64" s="462"/>
      <c r="R64" s="463">
        <f>R63/C63</f>
        <v>0.4432624113475177</v>
      </c>
      <c r="S64" s="464">
        <f>S63/$C$63</f>
        <v>0.15780141843971632</v>
      </c>
      <c r="T64" s="465" t="s">
        <v>2561</v>
      </c>
      <c r="U64" s="465"/>
      <c r="V64" s="466"/>
      <c r="W64" s="508">
        <f>W63/$AD$63</f>
        <v>0.56737588652482274</v>
      </c>
      <c r="X64" s="508">
        <f t="shared" ref="X64:AC64" si="24">X63/$AD$63</f>
        <v>3.5460992907801418E-3</v>
      </c>
      <c r="Y64" s="508">
        <f t="shared" si="24"/>
        <v>0.33865248226950356</v>
      </c>
      <c r="Z64" s="508">
        <f t="shared" si="24"/>
        <v>9.0425531914893623E-2</v>
      </c>
      <c r="AA64" s="508">
        <f t="shared" si="24"/>
        <v>0</v>
      </c>
      <c r="AB64" s="508">
        <f t="shared" si="24"/>
        <v>1.4184397163120567E-2</v>
      </c>
      <c r="AC64" s="508">
        <f t="shared" si="24"/>
        <v>1.7730496453900709E-3</v>
      </c>
      <c r="AD64" s="474">
        <f>SUM(W64:Z64)</f>
        <v>1</v>
      </c>
      <c r="AE64" s="509">
        <f>AE63/AD63</f>
        <v>3.5460992907801418E-3</v>
      </c>
    </row>
    <row r="65" spans="6:29" x14ac:dyDescent="0.35">
      <c r="R65" s="467"/>
      <c r="AC65" s="510">
        <f>SUM(AA63:AC63)/AD63</f>
        <v>1.5957446808510637E-2</v>
      </c>
    </row>
    <row r="66" spans="6:29" x14ac:dyDescent="0.35">
      <c r="F66" s="46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5"/>
    <col min="4" max="4" width="27.5" style="365" bestFit="1" customWidth="1"/>
    <col min="5" max="16384" width="8.69921875" style="365"/>
  </cols>
  <sheetData>
    <row r="1" spans="3:6" x14ac:dyDescent="0.3">
      <c r="C1" s="367" t="s">
        <v>2694</v>
      </c>
      <c r="D1" s="367" t="s">
        <v>2693</v>
      </c>
      <c r="E1" s="367" t="s">
        <v>2394</v>
      </c>
      <c r="F1" s="367" t="s">
        <v>2692</v>
      </c>
    </row>
    <row r="2" spans="3:6" x14ac:dyDescent="0.3">
      <c r="C2" s="365" t="s">
        <v>2690</v>
      </c>
      <c r="D2" s="376" t="s">
        <v>1432</v>
      </c>
      <c r="E2" s="365">
        <v>8</v>
      </c>
      <c r="F2" s="365">
        <v>10</v>
      </c>
    </row>
    <row r="3" spans="3:6" x14ac:dyDescent="0.3">
      <c r="D3" s="376" t="s">
        <v>2452</v>
      </c>
      <c r="E3" s="365">
        <v>1</v>
      </c>
      <c r="F3" s="365">
        <v>5</v>
      </c>
    </row>
    <row r="4" spans="3:6" x14ac:dyDescent="0.3">
      <c r="D4" s="376" t="s">
        <v>2517</v>
      </c>
      <c r="E4" s="365">
        <v>6</v>
      </c>
      <c r="F4" s="365">
        <v>7</v>
      </c>
    </row>
    <row r="5" spans="3:6" x14ac:dyDescent="0.3">
      <c r="C5" s="367" t="s">
        <v>2526</v>
      </c>
      <c r="D5" s="367"/>
      <c r="E5" s="367">
        <f>SUM(E2:E4)</f>
        <v>15</v>
      </c>
      <c r="F5" s="367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3" customWidth="1"/>
    <col min="2" max="2" width="6.19921875" style="289" customWidth="1"/>
    <col min="3" max="3" width="6.8984375" style="289" customWidth="1"/>
    <col min="4" max="4" width="7.19921875" style="289" customWidth="1"/>
    <col min="5" max="22" width="5.19921875" style="267" customWidth="1"/>
    <col min="23" max="23" width="5.19921875" style="267" hidden="1" customWidth="1"/>
    <col min="24" max="24" width="5" style="267" bestFit="1" customWidth="1"/>
    <col min="25" max="25" width="8.69921875" style="267" customWidth="1"/>
    <col min="26" max="26" width="8.69921875" style="267" bestFit="1" customWidth="1"/>
    <col min="27" max="30" width="8.69921875" style="267" customWidth="1"/>
    <col min="31" max="16384" width="8.69921875" style="267"/>
  </cols>
  <sheetData>
    <row r="1" spans="1:26" ht="16.5" customHeight="1" x14ac:dyDescent="0.35">
      <c r="A1" s="126" t="s">
        <v>1455</v>
      </c>
      <c r="B1" s="347"/>
      <c r="C1" s="347"/>
      <c r="D1" s="347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3" t="s">
        <v>2323</v>
      </c>
      <c r="B2" s="289" t="s">
        <v>45</v>
      </c>
      <c r="C2" s="289" t="s">
        <v>2132</v>
      </c>
      <c r="D2" s="289" t="s">
        <v>2310</v>
      </c>
      <c r="E2" s="267" t="s">
        <v>2324</v>
      </c>
      <c r="F2" s="267" t="s">
        <v>2325</v>
      </c>
      <c r="G2" s="267" t="s">
        <v>2326</v>
      </c>
      <c r="H2" s="267" t="s">
        <v>2327</v>
      </c>
      <c r="I2" s="267" t="s">
        <v>2328</v>
      </c>
      <c r="J2" s="267" t="s">
        <v>2329</v>
      </c>
      <c r="K2" s="267" t="s">
        <v>2330</v>
      </c>
      <c r="L2" s="267" t="s">
        <v>2331</v>
      </c>
      <c r="M2" s="267" t="s">
        <v>2332</v>
      </c>
      <c r="N2" s="267" t="s">
        <v>2333</v>
      </c>
      <c r="O2" s="267" t="s">
        <v>2334</v>
      </c>
      <c r="P2" s="267" t="s">
        <v>2335</v>
      </c>
      <c r="Q2" s="267" t="s">
        <v>2336</v>
      </c>
      <c r="R2" s="267" t="s">
        <v>2337</v>
      </c>
      <c r="S2" s="267" t="s">
        <v>2338</v>
      </c>
      <c r="T2" s="267" t="s">
        <v>2339</v>
      </c>
      <c r="U2" s="267" t="s">
        <v>2340</v>
      </c>
      <c r="V2" s="267" t="s">
        <v>2341</v>
      </c>
      <c r="W2" s="267" t="s">
        <v>2310</v>
      </c>
    </row>
    <row r="3" spans="1:26" hidden="1" x14ac:dyDescent="0.35">
      <c r="A3" s="263">
        <v>44411</v>
      </c>
      <c r="E3" s="267">
        <v>32</v>
      </c>
      <c r="F3" s="267">
        <v>8</v>
      </c>
      <c r="G3" s="267">
        <v>2</v>
      </c>
      <c r="H3" s="267">
        <v>1</v>
      </c>
      <c r="I3" s="267">
        <v>79</v>
      </c>
      <c r="J3" s="267">
        <v>37</v>
      </c>
      <c r="K3" s="267">
        <v>27</v>
      </c>
      <c r="L3" s="267">
        <v>1</v>
      </c>
      <c r="M3" s="267">
        <v>4</v>
      </c>
      <c r="N3" s="267">
        <v>0</v>
      </c>
      <c r="O3" s="267">
        <v>2</v>
      </c>
      <c r="P3" s="267">
        <v>0</v>
      </c>
      <c r="Q3" s="267">
        <v>13</v>
      </c>
      <c r="R3" s="267">
        <v>0</v>
      </c>
      <c r="U3" s="267">
        <v>34</v>
      </c>
      <c r="V3" s="267">
        <v>7</v>
      </c>
      <c r="W3" s="67">
        <f>V3/U3</f>
        <v>0.20588235294117646</v>
      </c>
    </row>
    <row r="4" spans="1:26" hidden="1" x14ac:dyDescent="0.35">
      <c r="A4" s="263">
        <v>44414</v>
      </c>
      <c r="E4" s="267">
        <v>32</v>
      </c>
      <c r="F4" s="267">
        <v>15</v>
      </c>
      <c r="G4" s="267">
        <v>2</v>
      </c>
      <c r="H4" s="267">
        <v>2</v>
      </c>
      <c r="I4" s="267">
        <v>79</v>
      </c>
      <c r="J4" s="267">
        <v>53</v>
      </c>
      <c r="K4" s="267">
        <v>27</v>
      </c>
      <c r="L4" s="267">
        <v>3</v>
      </c>
      <c r="M4" s="267">
        <v>4</v>
      </c>
      <c r="N4" s="267">
        <v>1</v>
      </c>
      <c r="O4" s="267">
        <v>2</v>
      </c>
      <c r="P4" s="267">
        <v>0</v>
      </c>
      <c r="Q4" s="267">
        <v>13</v>
      </c>
      <c r="R4" s="267">
        <v>0</v>
      </c>
      <c r="U4" s="267">
        <v>34</v>
      </c>
      <c r="V4" s="267">
        <v>12</v>
      </c>
      <c r="W4" s="67">
        <f>V4/U4</f>
        <v>0.35294117647058826</v>
      </c>
    </row>
    <row r="5" spans="1:26" x14ac:dyDescent="0.35">
      <c r="A5" s="263">
        <v>44417</v>
      </c>
      <c r="B5" s="289">
        <f t="shared" ref="B5:B12" si="0">SUM(E5,G5,H5,I5,K5,M5,O5,Q5,U5)</f>
        <v>195</v>
      </c>
      <c r="C5" s="289">
        <f t="shared" ref="C5:C12" si="1">SUM(F5,H5,J5,L5,N5,P5,R5,V5)</f>
        <v>87</v>
      </c>
      <c r="D5" s="283">
        <f t="shared" ref="D5:D24" si="2">C5/B5</f>
        <v>0.44615384615384618</v>
      </c>
      <c r="E5" s="267">
        <v>32</v>
      </c>
      <c r="F5" s="267">
        <v>15</v>
      </c>
      <c r="G5" s="267">
        <v>2</v>
      </c>
      <c r="H5" s="267">
        <v>2</v>
      </c>
      <c r="I5" s="267">
        <v>79</v>
      </c>
      <c r="J5" s="267">
        <v>53</v>
      </c>
      <c r="K5" s="267">
        <v>27</v>
      </c>
      <c r="L5" s="267">
        <v>3</v>
      </c>
      <c r="M5" s="267">
        <v>4</v>
      </c>
      <c r="N5" s="267">
        <v>1</v>
      </c>
      <c r="O5" s="267">
        <v>2</v>
      </c>
      <c r="P5" s="267">
        <v>0</v>
      </c>
      <c r="Q5" s="267">
        <v>13</v>
      </c>
      <c r="R5" s="267">
        <v>0</v>
      </c>
      <c r="U5" s="267">
        <v>34</v>
      </c>
      <c r="V5" s="267">
        <v>13</v>
      </c>
      <c r="X5" s="267">
        <f t="shared" ref="X5:X17" si="3">SUM(F5,H5,J5,L5,N5,P5,R5)</f>
        <v>74</v>
      </c>
    </row>
    <row r="6" spans="1:26" hidden="1" x14ac:dyDescent="0.35">
      <c r="A6" s="263">
        <v>44420</v>
      </c>
      <c r="B6" s="289">
        <f t="shared" si="0"/>
        <v>195</v>
      </c>
      <c r="C6" s="289">
        <f t="shared" si="1"/>
        <v>96</v>
      </c>
      <c r="D6" s="283">
        <f t="shared" si="2"/>
        <v>0.49230769230769234</v>
      </c>
      <c r="E6" s="267">
        <v>32</v>
      </c>
      <c r="F6" s="124">
        <v>17</v>
      </c>
      <c r="G6" s="267">
        <v>2</v>
      </c>
      <c r="H6" s="267">
        <v>2</v>
      </c>
      <c r="I6" s="267">
        <v>79</v>
      </c>
      <c r="J6" s="267">
        <v>55</v>
      </c>
      <c r="K6" s="267">
        <v>27</v>
      </c>
      <c r="L6" s="267">
        <v>3</v>
      </c>
      <c r="M6" s="267">
        <v>4</v>
      </c>
      <c r="N6" s="267">
        <v>1</v>
      </c>
      <c r="O6" s="267">
        <v>2</v>
      </c>
      <c r="P6" s="267">
        <v>0</v>
      </c>
      <c r="Q6" s="267">
        <v>13</v>
      </c>
      <c r="R6" s="267">
        <v>0</v>
      </c>
      <c r="U6" s="267">
        <v>34</v>
      </c>
      <c r="V6" s="124">
        <v>18</v>
      </c>
      <c r="X6" s="267">
        <f t="shared" si="3"/>
        <v>78</v>
      </c>
    </row>
    <row r="7" spans="1:26" x14ac:dyDescent="0.35">
      <c r="A7" s="263">
        <v>44424</v>
      </c>
      <c r="B7" s="289">
        <f t="shared" si="0"/>
        <v>195</v>
      </c>
      <c r="C7" s="289">
        <f t="shared" si="1"/>
        <v>96</v>
      </c>
      <c r="D7" s="283">
        <f t="shared" si="2"/>
        <v>0.49230769230769234</v>
      </c>
      <c r="E7" s="267">
        <v>32</v>
      </c>
      <c r="F7" s="267">
        <v>17</v>
      </c>
      <c r="G7" s="267">
        <v>2</v>
      </c>
      <c r="H7" s="267">
        <v>2</v>
      </c>
      <c r="I7" s="267">
        <v>79</v>
      </c>
      <c r="J7" s="267">
        <v>55</v>
      </c>
      <c r="K7" s="267">
        <v>27</v>
      </c>
      <c r="L7" s="267">
        <v>3</v>
      </c>
      <c r="M7" s="267">
        <v>4</v>
      </c>
      <c r="N7" s="267">
        <v>1</v>
      </c>
      <c r="O7" s="267">
        <v>2</v>
      </c>
      <c r="P7" s="267">
        <v>0</v>
      </c>
      <c r="Q7" s="267">
        <v>13</v>
      </c>
      <c r="R7" s="267">
        <v>0</v>
      </c>
      <c r="U7" s="267">
        <v>34</v>
      </c>
      <c r="V7" s="267">
        <v>18</v>
      </c>
      <c r="X7" s="267">
        <f t="shared" si="3"/>
        <v>78</v>
      </c>
    </row>
    <row r="8" spans="1:26" hidden="1" x14ac:dyDescent="0.35">
      <c r="A8" s="263">
        <v>44426</v>
      </c>
      <c r="B8" s="289">
        <f t="shared" si="0"/>
        <v>197</v>
      </c>
      <c r="C8" s="289">
        <f t="shared" si="1"/>
        <v>101</v>
      </c>
      <c r="D8" s="283">
        <f t="shared" si="2"/>
        <v>0.51269035532994922</v>
      </c>
      <c r="E8" s="267">
        <v>32</v>
      </c>
      <c r="F8" s="124">
        <v>18</v>
      </c>
      <c r="G8" s="267">
        <v>2</v>
      </c>
      <c r="H8" s="267">
        <v>2</v>
      </c>
      <c r="I8" s="267">
        <v>79</v>
      </c>
      <c r="J8" s="124">
        <v>56</v>
      </c>
      <c r="K8" s="124">
        <v>28</v>
      </c>
      <c r="L8" s="267">
        <v>3</v>
      </c>
      <c r="M8" s="267">
        <v>4</v>
      </c>
      <c r="N8" s="267">
        <v>1</v>
      </c>
      <c r="O8" s="267">
        <v>2</v>
      </c>
      <c r="P8" s="267">
        <v>0</v>
      </c>
      <c r="Q8" s="124">
        <v>14</v>
      </c>
      <c r="R8" s="124">
        <v>2</v>
      </c>
      <c r="S8" s="124"/>
      <c r="T8" s="124"/>
      <c r="U8" s="267">
        <v>34</v>
      </c>
      <c r="V8" s="124">
        <v>19</v>
      </c>
      <c r="X8" s="124">
        <f t="shared" si="3"/>
        <v>82</v>
      </c>
    </row>
    <row r="9" spans="1:26" hidden="1" x14ac:dyDescent="0.35">
      <c r="A9" s="263">
        <v>44428</v>
      </c>
      <c r="B9" s="289">
        <f t="shared" si="0"/>
        <v>202</v>
      </c>
      <c r="C9" s="289">
        <f t="shared" si="1"/>
        <v>107</v>
      </c>
      <c r="D9" s="283">
        <f t="shared" si="2"/>
        <v>0.52970297029702973</v>
      </c>
      <c r="E9" s="267">
        <v>32</v>
      </c>
      <c r="F9" s="124">
        <v>19</v>
      </c>
      <c r="G9" s="267">
        <v>2</v>
      </c>
      <c r="H9" s="267">
        <v>2</v>
      </c>
      <c r="I9" s="124">
        <v>81</v>
      </c>
      <c r="J9" s="124">
        <v>60</v>
      </c>
      <c r="K9" s="124">
        <v>31</v>
      </c>
      <c r="L9" s="124">
        <v>4</v>
      </c>
      <c r="M9" s="267">
        <v>4</v>
      </c>
      <c r="N9" s="267">
        <v>1</v>
      </c>
      <c r="O9" s="267">
        <v>2</v>
      </c>
      <c r="P9" s="267">
        <v>0</v>
      </c>
      <c r="Q9" s="267">
        <v>14</v>
      </c>
      <c r="R9" s="267">
        <v>2</v>
      </c>
      <c r="U9" s="267">
        <v>34</v>
      </c>
      <c r="V9" s="267">
        <v>19</v>
      </c>
      <c r="X9" s="124">
        <f t="shared" si="3"/>
        <v>88</v>
      </c>
    </row>
    <row r="10" spans="1:26" hidden="1" x14ac:dyDescent="0.35">
      <c r="A10" s="263">
        <v>44431</v>
      </c>
      <c r="B10" s="289">
        <f t="shared" si="0"/>
        <v>202</v>
      </c>
      <c r="C10" s="289">
        <f t="shared" si="1"/>
        <v>107</v>
      </c>
      <c r="D10" s="283">
        <f t="shared" si="2"/>
        <v>0.52970297029702973</v>
      </c>
      <c r="E10" s="267">
        <v>32</v>
      </c>
      <c r="F10" s="267">
        <v>19</v>
      </c>
      <c r="G10" s="267">
        <v>2</v>
      </c>
      <c r="H10" s="267">
        <v>2</v>
      </c>
      <c r="I10" s="267">
        <v>81</v>
      </c>
      <c r="J10" s="267">
        <v>60</v>
      </c>
      <c r="K10" s="267">
        <v>31</v>
      </c>
      <c r="L10" s="267">
        <v>4</v>
      </c>
      <c r="M10" s="267">
        <v>4</v>
      </c>
      <c r="N10" s="267">
        <v>1</v>
      </c>
      <c r="O10" s="267">
        <v>2</v>
      </c>
      <c r="P10" s="267">
        <v>0</v>
      </c>
      <c r="Q10" s="267">
        <v>14</v>
      </c>
      <c r="R10" s="267">
        <v>2</v>
      </c>
      <c r="U10" s="267">
        <v>34</v>
      </c>
      <c r="V10" s="267">
        <v>19</v>
      </c>
      <c r="X10" s="267">
        <f t="shared" si="3"/>
        <v>88</v>
      </c>
    </row>
    <row r="11" spans="1:26" hidden="1" x14ac:dyDescent="0.35">
      <c r="A11" s="263">
        <v>44432</v>
      </c>
      <c r="B11" s="289">
        <f t="shared" si="0"/>
        <v>202</v>
      </c>
      <c r="C11" s="289">
        <f t="shared" si="1"/>
        <v>108</v>
      </c>
      <c r="D11" s="283">
        <f t="shared" si="2"/>
        <v>0.53465346534653468</v>
      </c>
      <c r="E11" s="267">
        <v>32</v>
      </c>
      <c r="F11" s="267">
        <v>19</v>
      </c>
      <c r="G11" s="267">
        <v>2</v>
      </c>
      <c r="H11" s="267">
        <v>2</v>
      </c>
      <c r="I11" s="267">
        <v>81</v>
      </c>
      <c r="J11" s="267">
        <v>60</v>
      </c>
      <c r="K11" s="267">
        <v>31</v>
      </c>
      <c r="L11" s="124">
        <v>5</v>
      </c>
      <c r="M11" s="267">
        <v>4</v>
      </c>
      <c r="N11" s="267">
        <v>1</v>
      </c>
      <c r="O11" s="267">
        <v>2</v>
      </c>
      <c r="P11" s="267">
        <v>0</v>
      </c>
      <c r="Q11" s="267">
        <v>14</v>
      </c>
      <c r="R11" s="267">
        <v>2</v>
      </c>
      <c r="U11" s="267">
        <v>34</v>
      </c>
      <c r="V11" s="267">
        <v>19</v>
      </c>
      <c r="X11" s="124">
        <f t="shared" si="3"/>
        <v>89</v>
      </c>
    </row>
    <row r="12" spans="1:26" x14ac:dyDescent="0.35">
      <c r="A12" s="263">
        <v>44434</v>
      </c>
      <c r="B12" s="289">
        <f t="shared" si="0"/>
        <v>210</v>
      </c>
      <c r="C12" s="289">
        <f t="shared" si="1"/>
        <v>108</v>
      </c>
      <c r="D12" s="283">
        <f t="shared" si="2"/>
        <v>0.51428571428571423</v>
      </c>
      <c r="E12" s="267">
        <v>32</v>
      </c>
      <c r="F12" s="267">
        <v>19</v>
      </c>
      <c r="G12" s="267">
        <v>2</v>
      </c>
      <c r="H12" s="267">
        <v>2</v>
      </c>
      <c r="I12" s="267">
        <v>81</v>
      </c>
      <c r="J12" s="267">
        <v>60</v>
      </c>
      <c r="K12" s="267">
        <v>31</v>
      </c>
      <c r="L12" s="267">
        <v>5</v>
      </c>
      <c r="M12" s="267">
        <v>4</v>
      </c>
      <c r="N12" s="267">
        <v>1</v>
      </c>
      <c r="O12" s="267">
        <v>2</v>
      </c>
      <c r="P12" s="267">
        <v>0</v>
      </c>
      <c r="Q12" s="267">
        <v>14</v>
      </c>
      <c r="R12" s="267">
        <v>2</v>
      </c>
      <c r="U12" s="124">
        <v>42</v>
      </c>
      <c r="V12" s="267">
        <v>19</v>
      </c>
      <c r="X12" s="267">
        <f t="shared" si="3"/>
        <v>89</v>
      </c>
      <c r="Z12" s="348"/>
    </row>
    <row r="13" spans="1:26" x14ac:dyDescent="0.35">
      <c r="A13" s="263">
        <v>44440</v>
      </c>
      <c r="B13" s="289">
        <f t="shared" ref="B13:B25" si="4">SUM(E13,G13,I13,K13,M13,O13,Q13,S13,U13)</f>
        <v>260</v>
      </c>
      <c r="C13" s="289">
        <f t="shared" ref="C13:C25" si="5">SUM(F13,H13,J13,L13,N13,P13,R13,T13,V13)</f>
        <v>133</v>
      </c>
      <c r="D13" s="283">
        <f t="shared" si="2"/>
        <v>0.5115384615384615</v>
      </c>
      <c r="E13" s="124">
        <v>33</v>
      </c>
      <c r="F13" s="124">
        <v>21</v>
      </c>
      <c r="G13" s="267">
        <v>2</v>
      </c>
      <c r="H13" s="267">
        <v>2</v>
      </c>
      <c r="I13" s="124">
        <v>108</v>
      </c>
      <c r="J13" s="124">
        <v>80</v>
      </c>
      <c r="K13" s="124">
        <v>47</v>
      </c>
      <c r="L13" s="124">
        <v>7</v>
      </c>
      <c r="M13" s="267">
        <v>4</v>
      </c>
      <c r="N13" s="267">
        <v>1</v>
      </c>
      <c r="O13" s="267">
        <v>2</v>
      </c>
      <c r="P13" s="267">
        <v>0</v>
      </c>
      <c r="Q13" s="267">
        <v>14</v>
      </c>
      <c r="R13" s="124">
        <v>3</v>
      </c>
      <c r="S13" s="124">
        <v>2</v>
      </c>
      <c r="T13" s="124">
        <v>0</v>
      </c>
      <c r="U13" s="124">
        <v>48</v>
      </c>
      <c r="V13" s="267">
        <v>19</v>
      </c>
      <c r="X13" s="267">
        <f t="shared" si="3"/>
        <v>114</v>
      </c>
    </row>
    <row r="14" spans="1:26" x14ac:dyDescent="0.35">
      <c r="A14" s="263">
        <v>44446</v>
      </c>
      <c r="B14" s="289">
        <f t="shared" si="4"/>
        <v>291</v>
      </c>
      <c r="C14" s="289">
        <f t="shared" si="5"/>
        <v>161</v>
      </c>
      <c r="D14" s="283">
        <f t="shared" si="2"/>
        <v>0.5532646048109966</v>
      </c>
      <c r="E14" s="124">
        <v>37</v>
      </c>
      <c r="F14" s="124">
        <v>24</v>
      </c>
      <c r="G14" s="267">
        <v>2</v>
      </c>
      <c r="H14" s="267">
        <v>2</v>
      </c>
      <c r="I14" s="124">
        <v>134</v>
      </c>
      <c r="J14" s="124">
        <v>95</v>
      </c>
      <c r="K14" s="124">
        <v>48</v>
      </c>
      <c r="L14" s="124">
        <v>13</v>
      </c>
      <c r="M14" s="267">
        <v>4</v>
      </c>
      <c r="N14" s="267">
        <v>1</v>
      </c>
      <c r="O14" s="124">
        <v>1</v>
      </c>
      <c r="P14" s="267">
        <v>0</v>
      </c>
      <c r="Q14" s="267">
        <v>14</v>
      </c>
      <c r="R14" s="124">
        <v>7</v>
      </c>
      <c r="S14" s="267">
        <v>2</v>
      </c>
      <c r="T14" s="267">
        <v>0</v>
      </c>
      <c r="U14" s="124">
        <v>49</v>
      </c>
      <c r="V14" s="267">
        <v>19</v>
      </c>
      <c r="X14" s="267">
        <f t="shared" si="3"/>
        <v>142</v>
      </c>
    </row>
    <row r="15" spans="1:26" x14ac:dyDescent="0.35">
      <c r="A15" s="263">
        <v>44456</v>
      </c>
      <c r="B15" s="289">
        <f t="shared" si="4"/>
        <v>295</v>
      </c>
      <c r="C15" s="289">
        <f t="shared" si="5"/>
        <v>222</v>
      </c>
      <c r="D15" s="283">
        <f t="shared" si="2"/>
        <v>0.75254237288135595</v>
      </c>
      <c r="E15" s="267">
        <v>37</v>
      </c>
      <c r="F15" s="124">
        <v>34</v>
      </c>
      <c r="G15" s="267">
        <v>2</v>
      </c>
      <c r="H15" s="267">
        <v>2</v>
      </c>
      <c r="I15" s="267">
        <v>134</v>
      </c>
      <c r="J15" s="124">
        <v>129</v>
      </c>
      <c r="K15" s="267">
        <v>48</v>
      </c>
      <c r="L15" s="124">
        <v>22</v>
      </c>
      <c r="M15" s="267">
        <v>4</v>
      </c>
      <c r="N15" s="124">
        <v>2</v>
      </c>
      <c r="O15" s="124">
        <v>2</v>
      </c>
      <c r="P15" s="124">
        <v>1</v>
      </c>
      <c r="Q15" s="267">
        <v>14</v>
      </c>
      <c r="R15" s="124">
        <v>13</v>
      </c>
      <c r="S15" s="267">
        <v>2</v>
      </c>
      <c r="T15" s="267">
        <v>0</v>
      </c>
      <c r="U15" s="124">
        <v>52</v>
      </c>
      <c r="V15" s="267">
        <v>19</v>
      </c>
      <c r="X15" s="267">
        <f t="shared" si="3"/>
        <v>203</v>
      </c>
    </row>
    <row r="16" spans="1:26" x14ac:dyDescent="0.35">
      <c r="A16" s="263">
        <v>44467</v>
      </c>
      <c r="B16" s="289">
        <f t="shared" si="4"/>
        <v>301</v>
      </c>
      <c r="C16" s="289">
        <f t="shared" si="5"/>
        <v>244</v>
      </c>
      <c r="D16" s="283">
        <f t="shared" si="2"/>
        <v>0.81063122923588038</v>
      </c>
      <c r="E16" s="267">
        <v>37</v>
      </c>
      <c r="F16" s="124">
        <v>37</v>
      </c>
      <c r="G16" s="267">
        <v>2</v>
      </c>
      <c r="H16" s="267">
        <v>2</v>
      </c>
      <c r="I16" s="267">
        <v>134</v>
      </c>
      <c r="J16" s="124">
        <v>132</v>
      </c>
      <c r="K16" s="267">
        <v>48</v>
      </c>
      <c r="L16" s="124">
        <v>29</v>
      </c>
      <c r="M16" s="267">
        <v>4</v>
      </c>
      <c r="N16" s="147">
        <v>2</v>
      </c>
      <c r="O16" s="147">
        <v>2</v>
      </c>
      <c r="P16" s="147">
        <v>1</v>
      </c>
      <c r="Q16" s="267">
        <v>14</v>
      </c>
      <c r="R16" s="147">
        <v>13</v>
      </c>
      <c r="S16" s="267">
        <v>2</v>
      </c>
      <c r="T16" s="267">
        <v>0</v>
      </c>
      <c r="U16" s="124">
        <v>58</v>
      </c>
      <c r="V16" s="124">
        <v>28</v>
      </c>
      <c r="X16" s="267">
        <f t="shared" si="3"/>
        <v>216</v>
      </c>
    </row>
    <row r="17" spans="1:24" x14ac:dyDescent="0.35">
      <c r="A17" s="263">
        <v>44473</v>
      </c>
      <c r="B17" s="289">
        <f t="shared" si="4"/>
        <v>387</v>
      </c>
      <c r="C17" s="289">
        <f t="shared" si="5"/>
        <v>309</v>
      </c>
      <c r="D17" s="283">
        <f t="shared" si="2"/>
        <v>0.79844961240310075</v>
      </c>
      <c r="E17" s="267">
        <v>37</v>
      </c>
      <c r="F17" s="267">
        <v>37</v>
      </c>
      <c r="G17" s="267">
        <v>2</v>
      </c>
      <c r="H17" s="267">
        <v>2</v>
      </c>
      <c r="I17" s="267">
        <v>206</v>
      </c>
      <c r="J17" s="267">
        <v>187</v>
      </c>
      <c r="K17" s="124">
        <v>60</v>
      </c>
      <c r="L17" s="124">
        <v>37</v>
      </c>
      <c r="M17" s="267">
        <v>4</v>
      </c>
      <c r="N17" s="267">
        <v>4</v>
      </c>
      <c r="O17" s="267">
        <v>2</v>
      </c>
      <c r="P17" s="267">
        <v>1</v>
      </c>
      <c r="Q17" s="267">
        <v>14</v>
      </c>
      <c r="R17" s="267">
        <v>13</v>
      </c>
      <c r="S17" s="267">
        <v>2</v>
      </c>
      <c r="T17" s="267">
        <v>0</v>
      </c>
      <c r="U17" s="267">
        <v>60</v>
      </c>
      <c r="V17" s="147">
        <v>28</v>
      </c>
      <c r="X17" s="267">
        <f t="shared" si="3"/>
        <v>281</v>
      </c>
    </row>
    <row r="18" spans="1:24" x14ac:dyDescent="0.35">
      <c r="A18" s="263">
        <v>44477</v>
      </c>
      <c r="B18" s="289">
        <f t="shared" si="4"/>
        <v>387</v>
      </c>
      <c r="C18" s="289">
        <f t="shared" si="5"/>
        <v>324</v>
      </c>
      <c r="D18" s="283">
        <f t="shared" si="2"/>
        <v>0.83720930232558144</v>
      </c>
      <c r="E18" s="267">
        <v>37</v>
      </c>
      <c r="F18" s="267">
        <v>37</v>
      </c>
      <c r="G18" s="267">
        <v>2</v>
      </c>
      <c r="H18" s="267">
        <v>2</v>
      </c>
      <c r="I18" s="267">
        <v>206</v>
      </c>
      <c r="J18" s="124">
        <v>196</v>
      </c>
      <c r="K18" s="267">
        <v>60</v>
      </c>
      <c r="L18" s="124">
        <v>38</v>
      </c>
      <c r="M18" s="267">
        <v>4</v>
      </c>
      <c r="N18" s="267">
        <v>4</v>
      </c>
      <c r="O18" s="267">
        <v>2</v>
      </c>
      <c r="P18" s="267">
        <v>1</v>
      </c>
      <c r="Q18" s="267">
        <v>14</v>
      </c>
      <c r="R18" s="267">
        <v>13</v>
      </c>
      <c r="S18" s="267">
        <v>2</v>
      </c>
      <c r="T18" s="267">
        <v>0</v>
      </c>
      <c r="U18" s="267">
        <v>60</v>
      </c>
      <c r="V18" s="267">
        <v>33</v>
      </c>
    </row>
    <row r="19" spans="1:24" x14ac:dyDescent="0.35">
      <c r="A19" s="263">
        <v>44491</v>
      </c>
      <c r="B19" s="289">
        <f t="shared" si="4"/>
        <v>425</v>
      </c>
      <c r="C19" s="289">
        <f t="shared" si="5"/>
        <v>354</v>
      </c>
      <c r="D19" s="283">
        <f t="shared" si="2"/>
        <v>0.83294117647058818</v>
      </c>
      <c r="E19" s="267">
        <v>37</v>
      </c>
      <c r="F19" s="267">
        <v>37</v>
      </c>
      <c r="G19" s="267">
        <v>2</v>
      </c>
      <c r="H19" s="267">
        <v>2</v>
      </c>
      <c r="I19" s="124">
        <v>237</v>
      </c>
      <c r="J19" s="124">
        <v>215</v>
      </c>
      <c r="K19" s="124">
        <v>66</v>
      </c>
      <c r="L19" s="124">
        <v>45</v>
      </c>
      <c r="M19" s="267">
        <v>4</v>
      </c>
      <c r="N19" s="267">
        <v>4</v>
      </c>
      <c r="O19" s="267">
        <v>2</v>
      </c>
      <c r="P19" s="267">
        <v>1</v>
      </c>
      <c r="Q19" s="267">
        <v>14</v>
      </c>
      <c r="R19" s="267">
        <v>13</v>
      </c>
      <c r="S19" s="267">
        <v>2</v>
      </c>
      <c r="T19" s="267">
        <v>0</v>
      </c>
      <c r="U19" s="124">
        <v>61</v>
      </c>
      <c r="V19" s="124">
        <v>37</v>
      </c>
    </row>
    <row r="20" spans="1:24" x14ac:dyDescent="0.35">
      <c r="A20" s="263">
        <v>44497</v>
      </c>
      <c r="B20" s="289">
        <f t="shared" si="4"/>
        <v>439</v>
      </c>
      <c r="C20" s="289">
        <f t="shared" si="5"/>
        <v>361</v>
      </c>
      <c r="D20" s="283">
        <f t="shared" si="2"/>
        <v>0.82232346241457854</v>
      </c>
      <c r="E20" s="267">
        <v>37</v>
      </c>
      <c r="F20" s="267">
        <v>37</v>
      </c>
      <c r="G20" s="267">
        <v>2</v>
      </c>
      <c r="H20" s="267">
        <v>2</v>
      </c>
      <c r="I20" s="147">
        <v>237</v>
      </c>
      <c r="J20" s="147">
        <v>215</v>
      </c>
      <c r="K20" s="124">
        <v>70</v>
      </c>
      <c r="L20" s="147">
        <v>45</v>
      </c>
      <c r="M20" s="267">
        <v>4</v>
      </c>
      <c r="N20" s="267">
        <v>4</v>
      </c>
      <c r="O20" s="267">
        <v>2</v>
      </c>
      <c r="P20" s="267">
        <v>1</v>
      </c>
      <c r="Q20" s="267">
        <v>14</v>
      </c>
      <c r="R20" s="267">
        <v>13</v>
      </c>
      <c r="S20" s="267">
        <v>2</v>
      </c>
      <c r="T20" s="267">
        <v>0</v>
      </c>
      <c r="U20" s="124">
        <v>71</v>
      </c>
      <c r="V20" s="124">
        <v>44</v>
      </c>
    </row>
    <row r="21" spans="1:24" x14ac:dyDescent="0.35">
      <c r="A21" s="263">
        <v>44511</v>
      </c>
      <c r="B21" s="289">
        <f t="shared" si="4"/>
        <v>570</v>
      </c>
      <c r="C21" s="289">
        <f t="shared" si="5"/>
        <v>491</v>
      </c>
      <c r="D21" s="283">
        <f t="shared" si="2"/>
        <v>0.86140350877192984</v>
      </c>
      <c r="E21" s="267">
        <v>37</v>
      </c>
      <c r="F21" s="267">
        <v>37</v>
      </c>
      <c r="G21" s="267">
        <v>2</v>
      </c>
      <c r="H21" s="267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7">
        <v>2</v>
      </c>
      <c r="P21" s="267">
        <v>1</v>
      </c>
      <c r="Q21" s="267">
        <v>14</v>
      </c>
      <c r="R21" s="267">
        <v>13</v>
      </c>
      <c r="S21" s="267">
        <v>2</v>
      </c>
      <c r="T21" s="267">
        <v>0</v>
      </c>
      <c r="U21" s="124">
        <v>81</v>
      </c>
      <c r="V21" s="124">
        <v>45</v>
      </c>
    </row>
    <row r="22" spans="1:24" x14ac:dyDescent="0.35">
      <c r="A22" s="263">
        <v>44515</v>
      </c>
      <c r="B22" s="289">
        <f t="shared" si="4"/>
        <v>572</v>
      </c>
      <c r="C22" s="289">
        <f t="shared" si="5"/>
        <v>492</v>
      </c>
      <c r="D22" s="283">
        <f t="shared" si="2"/>
        <v>0.8601398601398601</v>
      </c>
      <c r="E22" s="267">
        <v>37</v>
      </c>
      <c r="F22" s="267">
        <v>37</v>
      </c>
      <c r="G22" s="267">
        <v>2</v>
      </c>
      <c r="H22" s="267">
        <v>2</v>
      </c>
      <c r="I22" s="147">
        <v>332</v>
      </c>
      <c r="J22" s="147">
        <v>318</v>
      </c>
      <c r="K22" s="147">
        <v>92</v>
      </c>
      <c r="L22" s="124">
        <v>69</v>
      </c>
      <c r="M22" s="267">
        <v>8</v>
      </c>
      <c r="N22" s="267">
        <v>7</v>
      </c>
      <c r="O22" s="267">
        <v>2</v>
      </c>
      <c r="P22" s="267">
        <v>1</v>
      </c>
      <c r="Q22" s="267">
        <v>14</v>
      </c>
      <c r="R22" s="267">
        <v>13</v>
      </c>
      <c r="S22" s="267">
        <v>2</v>
      </c>
      <c r="T22" s="267">
        <v>0</v>
      </c>
      <c r="U22" s="124">
        <v>83</v>
      </c>
      <c r="V22" s="147">
        <v>45</v>
      </c>
    </row>
    <row r="23" spans="1:24" x14ac:dyDescent="0.35">
      <c r="A23" s="263">
        <v>44523</v>
      </c>
      <c r="B23" s="289">
        <f t="shared" si="4"/>
        <v>573</v>
      </c>
      <c r="C23" s="289">
        <f t="shared" si="5"/>
        <v>492</v>
      </c>
      <c r="D23" s="283">
        <f t="shared" si="2"/>
        <v>0.8586387434554974</v>
      </c>
      <c r="E23" s="267">
        <v>37</v>
      </c>
      <c r="F23" s="267">
        <v>37</v>
      </c>
      <c r="G23" s="267">
        <v>2</v>
      </c>
      <c r="H23" s="267">
        <v>2</v>
      </c>
      <c r="I23" s="147">
        <v>332</v>
      </c>
      <c r="J23" s="147">
        <v>318</v>
      </c>
      <c r="K23" s="147">
        <v>92</v>
      </c>
      <c r="L23" s="147">
        <v>69</v>
      </c>
      <c r="M23" s="267">
        <v>8</v>
      </c>
      <c r="N23" s="267">
        <v>7</v>
      </c>
      <c r="O23" s="267">
        <v>2</v>
      </c>
      <c r="P23" s="267">
        <v>1</v>
      </c>
      <c r="Q23" s="267">
        <v>14</v>
      </c>
      <c r="R23" s="267">
        <v>13</v>
      </c>
      <c r="S23" s="267">
        <v>2</v>
      </c>
      <c r="T23" s="267">
        <v>0</v>
      </c>
      <c r="U23" s="124">
        <v>84</v>
      </c>
      <c r="V23" s="147">
        <v>45</v>
      </c>
    </row>
    <row r="24" spans="1:24" x14ac:dyDescent="0.35">
      <c r="A24" s="263">
        <v>44524</v>
      </c>
      <c r="B24" s="289">
        <f t="shared" si="4"/>
        <v>573</v>
      </c>
      <c r="C24" s="289">
        <f t="shared" si="5"/>
        <v>498</v>
      </c>
      <c r="D24" s="283">
        <f t="shared" si="2"/>
        <v>0.86910994764397909</v>
      </c>
      <c r="E24" s="267">
        <v>37</v>
      </c>
      <c r="F24" s="267">
        <v>37</v>
      </c>
      <c r="G24" s="267">
        <v>2</v>
      </c>
      <c r="H24" s="267">
        <v>2</v>
      </c>
      <c r="I24" s="267">
        <v>332</v>
      </c>
      <c r="J24" s="124">
        <v>319</v>
      </c>
      <c r="K24" s="267">
        <v>92</v>
      </c>
      <c r="L24" s="124">
        <v>71</v>
      </c>
      <c r="M24" s="267">
        <v>8</v>
      </c>
      <c r="N24" s="267">
        <v>7</v>
      </c>
      <c r="O24" s="267">
        <v>2</v>
      </c>
      <c r="P24" s="267">
        <v>1</v>
      </c>
      <c r="Q24" s="267">
        <v>14</v>
      </c>
      <c r="R24" s="267">
        <v>13</v>
      </c>
      <c r="S24" s="267">
        <v>2</v>
      </c>
      <c r="T24" s="267">
        <v>0</v>
      </c>
      <c r="U24" s="267">
        <v>84</v>
      </c>
      <c r="V24" s="124">
        <v>48</v>
      </c>
    </row>
    <row r="25" spans="1:24" x14ac:dyDescent="0.35">
      <c r="A25" s="263">
        <v>44540</v>
      </c>
      <c r="B25" s="289">
        <f t="shared" si="4"/>
        <v>591</v>
      </c>
      <c r="C25" s="289">
        <f t="shared" si="5"/>
        <v>525</v>
      </c>
      <c r="D25" s="283">
        <f t="shared" ref="D25" si="6">C25/B25</f>
        <v>0.8883248730964467</v>
      </c>
      <c r="E25" s="267">
        <v>37</v>
      </c>
      <c r="F25" s="267">
        <v>37</v>
      </c>
      <c r="G25" s="267">
        <v>2</v>
      </c>
      <c r="H25" s="267">
        <v>2</v>
      </c>
      <c r="I25" s="124">
        <v>345</v>
      </c>
      <c r="J25" s="124">
        <v>335</v>
      </c>
      <c r="K25" s="124">
        <v>94</v>
      </c>
      <c r="L25" s="124">
        <v>81</v>
      </c>
      <c r="M25" s="267">
        <v>8</v>
      </c>
      <c r="N25" s="267">
        <v>7</v>
      </c>
      <c r="O25" s="267">
        <v>2</v>
      </c>
      <c r="P25" s="267">
        <v>1</v>
      </c>
      <c r="Q25" s="267">
        <v>14</v>
      </c>
      <c r="R25" s="267">
        <v>13</v>
      </c>
      <c r="S25" s="267">
        <v>2</v>
      </c>
      <c r="T25" s="267">
        <v>0</v>
      </c>
      <c r="U25" s="124">
        <v>87</v>
      </c>
      <c r="V25" s="124">
        <v>49</v>
      </c>
    </row>
    <row r="26" spans="1:24" x14ac:dyDescent="0.35">
      <c r="A26" s="263">
        <v>44554</v>
      </c>
      <c r="B26" s="289">
        <f>SUM(E26,G26,I26,K26,M26,O26,Q26,S26,U26)</f>
        <v>596</v>
      </c>
      <c r="C26" s="289">
        <f>SUM(F26,H26,J26,L26,N26,P26,R26,T26,V26)</f>
        <v>576</v>
      </c>
      <c r="D26" s="575">
        <f t="shared" ref="D26" si="7">C26/B26</f>
        <v>0.96644295302013428</v>
      </c>
      <c r="E26" s="267">
        <v>37</v>
      </c>
      <c r="F26" s="267">
        <v>37</v>
      </c>
      <c r="G26" s="267">
        <v>2</v>
      </c>
      <c r="H26" s="267">
        <v>2</v>
      </c>
      <c r="I26" s="267">
        <v>345</v>
      </c>
      <c r="J26" s="124">
        <v>341</v>
      </c>
      <c r="K26" s="267">
        <v>94</v>
      </c>
      <c r="L26" s="124">
        <v>87</v>
      </c>
      <c r="M26" s="267">
        <v>8</v>
      </c>
      <c r="N26" s="124">
        <v>8</v>
      </c>
      <c r="O26" s="267">
        <v>2</v>
      </c>
      <c r="P26" s="124">
        <v>2</v>
      </c>
      <c r="Q26" s="267">
        <v>14</v>
      </c>
      <c r="R26" s="124">
        <v>14</v>
      </c>
      <c r="S26" s="267">
        <v>2</v>
      </c>
      <c r="T26" s="267">
        <v>0</v>
      </c>
      <c r="U26" s="124">
        <v>92</v>
      </c>
      <c r="V26" s="124">
        <v>85</v>
      </c>
    </row>
    <row r="27" spans="1:24" x14ac:dyDescent="0.35">
      <c r="A27" s="263">
        <v>44564</v>
      </c>
      <c r="B27" s="289">
        <f>SUM(E27,G27,I27,K27,M27,O27,Q27,S27,U27)</f>
        <v>596</v>
      </c>
      <c r="C27" s="289">
        <f>SUM(F27,H27,J27,L27,N27,P27,R27,T27,V27)</f>
        <v>576</v>
      </c>
      <c r="D27" s="575">
        <f t="shared" ref="D27" si="8">C27/B27</f>
        <v>0.96644295302013428</v>
      </c>
      <c r="E27" s="267">
        <v>37</v>
      </c>
      <c r="F27" s="267">
        <v>37</v>
      </c>
      <c r="G27" s="267">
        <v>2</v>
      </c>
      <c r="H27" s="267">
        <v>2</v>
      </c>
      <c r="I27" s="267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3"/>
      <c r="I28" s="124"/>
      <c r="J28" s="124">
        <f>I26-J26</f>
        <v>4</v>
      </c>
      <c r="K28" s="124"/>
      <c r="L28" s="124">
        <f>K26-L26</f>
        <v>7</v>
      </c>
      <c r="N28" s="285" t="s">
        <v>2342</v>
      </c>
      <c r="O28" s="284"/>
      <c r="P28" s="285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80"/>
  </cols>
  <sheetData>
    <row r="1" spans="3:5" s="266" customFormat="1" x14ac:dyDescent="0.3">
      <c r="C1" t="s">
        <v>2939</v>
      </c>
      <c r="D1" s="580" t="s">
        <v>2998</v>
      </c>
      <c r="E1" s="266" t="s">
        <v>2999</v>
      </c>
    </row>
    <row r="2" spans="3:5" x14ac:dyDescent="0.3">
      <c r="D2" s="580" t="s">
        <v>108</v>
      </c>
      <c r="E2" t="str">
        <f>VLOOKUP(D2,URS確認!E:E,1,FALSE)</f>
        <v>L1001</v>
      </c>
    </row>
    <row r="3" spans="3:5" x14ac:dyDescent="0.3">
      <c r="D3" s="580" t="s">
        <v>114</v>
      </c>
      <c r="E3" s="266" t="str">
        <f>VLOOKUP(D3,URS確認!E:E,1,FALSE)</f>
        <v>L1101</v>
      </c>
    </row>
    <row r="4" spans="3:5" x14ac:dyDescent="0.3">
      <c r="D4" s="580" t="s">
        <v>118</v>
      </c>
      <c r="E4" s="266" t="str">
        <f>VLOOKUP(D4,URS確認!E:E,1,FALSE)</f>
        <v>L1102</v>
      </c>
    </row>
    <row r="5" spans="3:5" x14ac:dyDescent="0.3">
      <c r="D5" s="580" t="s">
        <v>121</v>
      </c>
      <c r="E5" s="266" t="str">
        <f>VLOOKUP(D5,URS確認!E:E,1,FALSE)</f>
        <v>L1103</v>
      </c>
    </row>
    <row r="6" spans="3:5" x14ac:dyDescent="0.3">
      <c r="D6" s="580" t="s">
        <v>125</v>
      </c>
      <c r="E6" s="266" t="str">
        <f>VLOOKUP(D6,URS確認!E:E,1,FALSE)</f>
        <v>L1104</v>
      </c>
    </row>
    <row r="7" spans="3:5" x14ac:dyDescent="0.3">
      <c r="D7" s="580" t="s">
        <v>137</v>
      </c>
      <c r="E7" s="266" t="str">
        <f>VLOOKUP(D7,URS確認!E:E,1,FALSE)</f>
        <v>L1105</v>
      </c>
    </row>
    <row r="8" spans="3:5" x14ac:dyDescent="0.3">
      <c r="D8" s="580" t="s">
        <v>157</v>
      </c>
      <c r="E8" s="266" t="str">
        <f>VLOOKUP(D8,URS確認!E:E,1,FALSE)</f>
        <v>L1107</v>
      </c>
    </row>
    <row r="9" spans="3:5" x14ac:dyDescent="0.3">
      <c r="D9" s="580" t="s">
        <v>148</v>
      </c>
      <c r="E9" s="266" t="str">
        <f>VLOOKUP(D9,URS確認!E:E,1,FALSE)</f>
        <v>L1108</v>
      </c>
    </row>
    <row r="10" spans="3:5" x14ac:dyDescent="0.3">
      <c r="D10" s="580" t="s">
        <v>150</v>
      </c>
      <c r="E10" s="266" t="str">
        <f>VLOOKUP(D10,URS確認!E:E,1,FALSE)</f>
        <v>L1109</v>
      </c>
    </row>
    <row r="11" spans="3:5" x14ac:dyDescent="0.3">
      <c r="D11" s="580" t="s">
        <v>126</v>
      </c>
      <c r="E11" s="266" t="str">
        <f>VLOOKUP(D11,URS確認!E:E,1,FALSE)</f>
        <v>L1110</v>
      </c>
    </row>
    <row r="12" spans="3:5" x14ac:dyDescent="0.3">
      <c r="D12" s="580" t="s">
        <v>130</v>
      </c>
      <c r="E12" s="266" t="str">
        <f>VLOOKUP(D12,URS確認!E:E,1,FALSE)</f>
        <v>L1111</v>
      </c>
    </row>
    <row r="13" spans="3:5" x14ac:dyDescent="0.3">
      <c r="D13" s="580" t="s">
        <v>134</v>
      </c>
      <c r="E13" s="266" t="str">
        <f>VLOOKUP(D13,URS確認!E:E,1,FALSE)</f>
        <v>L1905</v>
      </c>
    </row>
    <row r="14" spans="3:5" x14ac:dyDescent="0.3">
      <c r="D14" s="580" t="s">
        <v>152</v>
      </c>
      <c r="E14" s="266" t="str">
        <f>VLOOKUP(D14,URS確認!E:E,1,FALSE)</f>
        <v>L1907</v>
      </c>
    </row>
    <row r="15" spans="3:5" x14ac:dyDescent="0.3">
      <c r="D15" s="580" t="s">
        <v>143</v>
      </c>
      <c r="E15" s="266" t="str">
        <f>VLOOKUP(D15,URS確認!E:E,1,FALSE)</f>
        <v>L1908</v>
      </c>
    </row>
    <row r="16" spans="3:5" x14ac:dyDescent="0.3">
      <c r="D16" s="580" t="s">
        <v>160</v>
      </c>
      <c r="E16" s="266" t="str">
        <f>VLOOKUP(D16,URS確認!E:E,1,FALSE)</f>
        <v>L1909</v>
      </c>
    </row>
    <row r="17" spans="3:5" x14ac:dyDescent="0.3">
      <c r="C17" s="588" t="s">
        <v>139</v>
      </c>
      <c r="D17" s="588" t="s">
        <v>2854</v>
      </c>
      <c r="E17" s="266" t="str">
        <f>VLOOKUP(D17,URS確認!E:E,1,FALSE)</f>
        <v>L6088</v>
      </c>
    </row>
    <row r="18" spans="3:5" x14ac:dyDescent="0.3">
      <c r="D18" s="580" t="s">
        <v>164</v>
      </c>
      <c r="E18" s="266" t="str">
        <f>VLOOKUP(D18,URS確認!E:E,1,FALSE)</f>
        <v>L2001</v>
      </c>
    </row>
    <row r="19" spans="3:5" x14ac:dyDescent="0.3">
      <c r="D19" s="580" t="s">
        <v>174</v>
      </c>
      <c r="E19" s="266" t="str">
        <f>VLOOKUP(D19,URS確認!E:E,1,FALSE)</f>
        <v>L2010</v>
      </c>
    </row>
    <row r="20" spans="3:5" x14ac:dyDescent="0.3">
      <c r="D20" s="580" t="s">
        <v>188</v>
      </c>
      <c r="E20" s="266" t="str">
        <f>VLOOKUP(D20,URS確認!E:E,1,FALSE)</f>
        <v>L2015</v>
      </c>
    </row>
    <row r="21" spans="3:5" x14ac:dyDescent="0.3">
      <c r="D21" s="580" t="s">
        <v>194</v>
      </c>
      <c r="E21" s="266" t="str">
        <f>VLOOKUP(D21,URS確認!E:E,1,FALSE)</f>
        <v>L2016</v>
      </c>
    </row>
    <row r="22" spans="3:5" x14ac:dyDescent="0.3">
      <c r="D22" s="580" t="s">
        <v>257</v>
      </c>
      <c r="E22" s="266" t="str">
        <f>VLOOKUP(D22,URS確認!E:E,1,FALSE)</f>
        <v>L2017</v>
      </c>
    </row>
    <row r="23" spans="3:5" x14ac:dyDescent="0.3">
      <c r="D23" s="580" t="s">
        <v>217</v>
      </c>
      <c r="E23" s="266" t="str">
        <f>VLOOKUP(D23,URS確認!E:E,1,FALSE)</f>
        <v>L2018</v>
      </c>
    </row>
    <row r="24" spans="3:5" x14ac:dyDescent="0.3">
      <c r="D24" s="580" t="s">
        <v>223</v>
      </c>
      <c r="E24" s="266" t="str">
        <f>VLOOKUP(D24,URS確認!E:E,1,FALSE)</f>
        <v>L2019</v>
      </c>
    </row>
    <row r="25" spans="3:5" x14ac:dyDescent="0.3">
      <c r="D25" s="580" t="s">
        <v>197</v>
      </c>
      <c r="E25" s="266" t="str">
        <f>VLOOKUP(D25,URS確認!E:E,1,FALSE)</f>
        <v>L2020</v>
      </c>
    </row>
    <row r="26" spans="3:5" x14ac:dyDescent="0.3">
      <c r="D26" s="580" t="s">
        <v>229</v>
      </c>
      <c r="E26" s="266" t="str">
        <f>VLOOKUP(D26,URS確認!E:E,1,FALSE)</f>
        <v>L2021</v>
      </c>
    </row>
    <row r="27" spans="3:5" x14ac:dyDescent="0.3">
      <c r="D27" s="580" t="s">
        <v>836</v>
      </c>
      <c r="E27" s="266" t="str">
        <f>VLOOKUP(D27,URS確認!E:E,1,FALSE)</f>
        <v>L2022</v>
      </c>
    </row>
    <row r="28" spans="3:5" x14ac:dyDescent="0.3">
      <c r="D28" s="580" t="s">
        <v>838</v>
      </c>
      <c r="E28" s="266" t="str">
        <f>VLOOKUP(D28,URS確認!E:E,1,FALSE)</f>
        <v>L2023</v>
      </c>
    </row>
    <row r="29" spans="3:5" x14ac:dyDescent="0.3">
      <c r="D29" s="580" t="s">
        <v>826</v>
      </c>
      <c r="E29" s="266" t="str">
        <f>VLOOKUP(D29,URS確認!E:E,1,FALSE)</f>
        <v>L2035</v>
      </c>
    </row>
    <row r="30" spans="3:5" x14ac:dyDescent="0.3">
      <c r="D30" s="580" t="s">
        <v>822</v>
      </c>
      <c r="E30" s="266" t="str">
        <f>VLOOKUP(D30,URS確認!E:E,1,FALSE)</f>
        <v>L2036</v>
      </c>
    </row>
    <row r="31" spans="3:5" x14ac:dyDescent="0.3">
      <c r="D31" s="580" t="s">
        <v>234</v>
      </c>
      <c r="E31" s="266" t="str">
        <f>VLOOKUP(D31,URS確認!E:E,1,FALSE)</f>
        <v>L2038</v>
      </c>
    </row>
    <row r="32" spans="3:5" x14ac:dyDescent="0.3">
      <c r="D32" s="580" t="s">
        <v>855</v>
      </c>
      <c r="E32" s="266" t="str">
        <f>VLOOKUP(D32,URS確認!E:E,1,FALSE)</f>
        <v>L2039</v>
      </c>
    </row>
    <row r="33" spans="4:5" x14ac:dyDescent="0.3">
      <c r="D33" s="580" t="s">
        <v>2931</v>
      </c>
      <c r="E33" s="266" t="str">
        <f>VLOOKUP(D33,URS確認!E:E,1,FALSE)</f>
        <v>L2040</v>
      </c>
    </row>
    <row r="34" spans="4:5" x14ac:dyDescent="0.3">
      <c r="D34" s="580" t="s">
        <v>309</v>
      </c>
      <c r="E34" s="266" t="str">
        <f>VLOOKUP(D34,URS確認!E:E,1,FALSE)</f>
        <v>L2060</v>
      </c>
    </row>
    <row r="35" spans="4:5" x14ac:dyDescent="0.3">
      <c r="D35" s="580" t="s">
        <v>401</v>
      </c>
      <c r="E35" s="266" t="str">
        <f>VLOOKUP(D35,URS確認!E:E,1,FALSE)</f>
        <v>L2061</v>
      </c>
    </row>
    <row r="36" spans="4:5" x14ac:dyDescent="0.3">
      <c r="D36" s="580" t="s">
        <v>408</v>
      </c>
      <c r="E36" s="266" t="str">
        <f>VLOOKUP(D36,URS確認!E:E,1,FALSE)</f>
        <v>L2062</v>
      </c>
    </row>
    <row r="37" spans="4:5" x14ac:dyDescent="0.3">
      <c r="D37" s="580" t="s">
        <v>319</v>
      </c>
      <c r="E37" s="266" t="str">
        <f>VLOOKUP(D37,URS確認!E:E,1,FALSE)</f>
        <v>L2064</v>
      </c>
    </row>
    <row r="38" spans="4:5" x14ac:dyDescent="0.3">
      <c r="D38" s="580" t="s">
        <v>278</v>
      </c>
      <c r="E38" s="266" t="str">
        <f>VLOOKUP(D38,URS確認!E:E,1,FALSE)</f>
        <v>L2072</v>
      </c>
    </row>
    <row r="39" spans="4:5" x14ac:dyDescent="0.3">
      <c r="D39" s="580" t="s">
        <v>849</v>
      </c>
      <c r="E39" s="266" t="str">
        <f>VLOOKUP(D39,URS確認!E:E,1,FALSE)</f>
        <v>L2073</v>
      </c>
    </row>
    <row r="40" spans="4:5" x14ac:dyDescent="0.3">
      <c r="D40" s="580" t="s">
        <v>704</v>
      </c>
      <c r="E40" s="266" t="str">
        <f>VLOOKUP(D40,URS確認!E:E,1,FALSE)</f>
        <v>L2078</v>
      </c>
    </row>
    <row r="41" spans="4:5" x14ac:dyDescent="0.3">
      <c r="D41" s="580" t="s">
        <v>172</v>
      </c>
      <c r="E41" s="266" t="str">
        <f>VLOOKUP(D41,URS確認!E:E,1,FALSE)</f>
        <v>L2101</v>
      </c>
    </row>
    <row r="42" spans="4:5" x14ac:dyDescent="0.3">
      <c r="D42" s="580" t="s">
        <v>178</v>
      </c>
      <c r="E42" s="266" t="str">
        <f>VLOOKUP(D42,URS確認!E:E,1,FALSE)</f>
        <v>L2111</v>
      </c>
    </row>
    <row r="43" spans="4:5" x14ac:dyDescent="0.3">
      <c r="D43" s="580" t="s">
        <v>185</v>
      </c>
      <c r="E43" s="266" t="str">
        <f>VLOOKUP(D43,URS確認!E:E,1,FALSE)</f>
        <v>L2112</v>
      </c>
    </row>
    <row r="44" spans="4:5" x14ac:dyDescent="0.3">
      <c r="D44" s="580" t="s">
        <v>219</v>
      </c>
      <c r="E44" s="266" t="str">
        <f>VLOOKUP(D44,URS確認!E:E,1,FALSE)</f>
        <v>L2118</v>
      </c>
    </row>
    <row r="45" spans="4:5" x14ac:dyDescent="0.3">
      <c r="D45" s="580" t="s">
        <v>225</v>
      </c>
      <c r="E45" s="266" t="str">
        <f>VLOOKUP(D45,URS確認!E:E,1,FALSE)</f>
        <v>L2119</v>
      </c>
    </row>
    <row r="46" spans="4:5" x14ac:dyDescent="0.3">
      <c r="D46" s="580" t="s">
        <v>182</v>
      </c>
      <c r="E46" s="266" t="str">
        <f>VLOOKUP(D46,URS確認!E:E,1,FALSE)</f>
        <v>L2151</v>
      </c>
    </row>
    <row r="47" spans="4:5" x14ac:dyDescent="0.3">
      <c r="D47" s="580" t="s">
        <v>180</v>
      </c>
      <c r="E47" s="266" t="str">
        <f>VLOOKUP(D47,URS確認!E:E,1,FALSE)</f>
        <v>L2153</v>
      </c>
    </row>
    <row r="48" spans="4:5" x14ac:dyDescent="0.3">
      <c r="D48" s="580" t="s">
        <v>191</v>
      </c>
      <c r="E48" s="266" t="str">
        <f>VLOOKUP(D48,URS確認!E:E,1,FALSE)</f>
        <v>L2154</v>
      </c>
    </row>
    <row r="49" spans="4:5" x14ac:dyDescent="0.3">
      <c r="D49" s="580" t="s">
        <v>231</v>
      </c>
      <c r="E49" s="266" t="str">
        <f>VLOOKUP(D49,URS確認!E:E,1,FALSE)</f>
        <v>L2221</v>
      </c>
    </row>
    <row r="50" spans="4:5" x14ac:dyDescent="0.3">
      <c r="D50" s="580" t="s">
        <v>841</v>
      </c>
      <c r="E50" s="266" t="str">
        <f>VLOOKUP(D50,URS確認!E:E,1,FALSE)</f>
        <v>L2222</v>
      </c>
    </row>
    <row r="51" spans="4:5" x14ac:dyDescent="0.3">
      <c r="D51" s="580" t="s">
        <v>201</v>
      </c>
      <c r="E51" s="266" t="str">
        <f>VLOOKUP(D51,URS確認!E:E,1,FALSE)</f>
        <v>L2250</v>
      </c>
    </row>
    <row r="52" spans="4:5" x14ac:dyDescent="0.3">
      <c r="D52" s="580" t="s">
        <v>830</v>
      </c>
      <c r="E52" s="266" t="str">
        <f>VLOOKUP(D52,URS確認!E:E,1,FALSE)</f>
        <v>L2305</v>
      </c>
    </row>
    <row r="53" spans="4:5" x14ac:dyDescent="0.3">
      <c r="D53" s="580" t="s">
        <v>832</v>
      </c>
      <c r="E53" s="266" t="str">
        <f>VLOOKUP(D53,URS確認!E:E,1,FALSE)</f>
        <v>L2306</v>
      </c>
    </row>
    <row r="54" spans="4:5" x14ac:dyDescent="0.3">
      <c r="D54" s="580" t="s">
        <v>236</v>
      </c>
      <c r="E54" s="266" t="str">
        <f>VLOOKUP(D54,URS確認!E:E,1,FALSE)</f>
        <v>L2411</v>
      </c>
    </row>
    <row r="55" spans="4:5" x14ac:dyDescent="0.3">
      <c r="D55" s="580" t="s">
        <v>261</v>
      </c>
      <c r="E55" s="266" t="str">
        <f>VLOOKUP(D55,URS確認!E:E,1,FALSE)</f>
        <v>L2412</v>
      </c>
    </row>
    <row r="56" spans="4:5" x14ac:dyDescent="0.3">
      <c r="D56" s="580" t="s">
        <v>265</v>
      </c>
      <c r="E56" s="266" t="str">
        <f>VLOOKUP(D56,URS確認!E:E,1,FALSE)</f>
        <v>L2413</v>
      </c>
    </row>
    <row r="57" spans="4:5" x14ac:dyDescent="0.3">
      <c r="D57" s="580" t="s">
        <v>270</v>
      </c>
      <c r="E57" s="266" t="str">
        <f>VLOOKUP(D57,URS確認!E:E,1,FALSE)</f>
        <v>L2414</v>
      </c>
    </row>
    <row r="58" spans="4:5" x14ac:dyDescent="0.3">
      <c r="D58" s="580" t="s">
        <v>244</v>
      </c>
      <c r="E58" s="266" t="str">
        <f>VLOOKUP(D58,URS確認!E:E,1,FALSE)</f>
        <v>L2415</v>
      </c>
    </row>
    <row r="59" spans="4:5" x14ac:dyDescent="0.3">
      <c r="D59" s="580" t="s">
        <v>246</v>
      </c>
      <c r="E59" s="266" t="str">
        <f>VLOOKUP(D59,URS確認!E:E,1,FALSE)</f>
        <v>L2416</v>
      </c>
    </row>
    <row r="60" spans="4:5" x14ac:dyDescent="0.3">
      <c r="D60" s="580" t="s">
        <v>259</v>
      </c>
      <c r="E60" s="266" t="str">
        <f>VLOOKUP(D60,URS確認!E:E,1,FALSE)</f>
        <v>L2417</v>
      </c>
    </row>
    <row r="61" spans="4:5" x14ac:dyDescent="0.3">
      <c r="D61" s="580" t="s">
        <v>255</v>
      </c>
      <c r="E61" s="266" t="str">
        <f>VLOOKUP(D61,URS確認!E:E,1,FALSE)</f>
        <v>L2418</v>
      </c>
    </row>
    <row r="62" spans="4:5" x14ac:dyDescent="0.3">
      <c r="D62" s="580" t="s">
        <v>857</v>
      </c>
      <c r="E62" s="266" t="str">
        <f>VLOOKUP(D62,URS確認!E:E,1,FALSE)</f>
        <v>L2480</v>
      </c>
    </row>
    <row r="63" spans="4:5" x14ac:dyDescent="0.3">
      <c r="D63" s="580" t="s">
        <v>312</v>
      </c>
      <c r="E63" s="266" t="str">
        <f>VLOOKUP(D63,URS確認!E:E,1,FALSE)</f>
        <v>L2600</v>
      </c>
    </row>
    <row r="64" spans="4:5" x14ac:dyDescent="0.3">
      <c r="D64" s="580" t="s">
        <v>707</v>
      </c>
      <c r="E64" s="266" t="str">
        <f>VLOOKUP(D64,URS確認!E:E,1,FALSE)</f>
        <v>L2601</v>
      </c>
    </row>
    <row r="65" spans="4:5" x14ac:dyDescent="0.3">
      <c r="D65" s="580" t="s">
        <v>710</v>
      </c>
      <c r="E65" s="266" t="str">
        <f>VLOOKUP(D65,URS確認!E:E,1,FALSE)</f>
        <v>L2602</v>
      </c>
    </row>
    <row r="66" spans="4:5" x14ac:dyDescent="0.3">
      <c r="D66" s="580" t="s">
        <v>701</v>
      </c>
      <c r="E66" s="266" t="str">
        <f>VLOOKUP(D66,URS確認!E:E,1,FALSE)</f>
        <v>L2603</v>
      </c>
    </row>
    <row r="67" spans="4:5" x14ac:dyDescent="0.3">
      <c r="D67" s="580" t="s">
        <v>315</v>
      </c>
      <c r="E67" s="266" t="str">
        <f>VLOOKUP(D67,URS確認!E:E,1,FALSE)</f>
        <v>L2604</v>
      </c>
    </row>
    <row r="68" spans="4:5" x14ac:dyDescent="0.3">
      <c r="D68" s="580" t="s">
        <v>719</v>
      </c>
      <c r="E68" s="266" t="str">
        <f>VLOOKUP(D68,URS確認!E:E,1,FALSE)</f>
        <v>L2605</v>
      </c>
    </row>
    <row r="69" spans="4:5" x14ac:dyDescent="0.3">
      <c r="D69" s="580" t="s">
        <v>722</v>
      </c>
      <c r="E69" s="266" t="str">
        <f>VLOOKUP(D69,URS確認!E:E,1,FALSE)</f>
        <v>L2613</v>
      </c>
    </row>
    <row r="70" spans="4:5" x14ac:dyDescent="0.3">
      <c r="D70" s="580" t="s">
        <v>725</v>
      </c>
      <c r="E70" s="266" t="str">
        <f>VLOOKUP(D70,URS確認!E:E,1,FALSE)</f>
        <v>L2614</v>
      </c>
    </row>
    <row r="71" spans="4:5" x14ac:dyDescent="0.3">
      <c r="D71" s="580" t="s">
        <v>405</v>
      </c>
      <c r="E71" s="266" t="str">
        <f>VLOOKUP(D71,URS確認!E:E,1,FALSE)</f>
        <v>L2670</v>
      </c>
    </row>
    <row r="72" spans="4:5" x14ac:dyDescent="0.3">
      <c r="D72" s="580" t="s">
        <v>274</v>
      </c>
      <c r="E72" s="266" t="str">
        <f>VLOOKUP(D72,URS確認!E:E,1,FALSE)</f>
        <v>L2702</v>
      </c>
    </row>
    <row r="73" spans="4:5" x14ac:dyDescent="0.3">
      <c r="D73" s="580" t="s">
        <v>852</v>
      </c>
      <c r="E73" s="266" t="str">
        <f>VLOOKUP(D73,URS確認!E:E,1,FALSE)</f>
        <v>L2703</v>
      </c>
    </row>
    <row r="74" spans="4:5" x14ac:dyDescent="0.3">
      <c r="D74" s="580" t="s">
        <v>214</v>
      </c>
      <c r="E74" s="266" t="str">
        <f>VLOOKUP(D74,URS確認!E:E,1,FALSE)</f>
        <v>L2801</v>
      </c>
    </row>
    <row r="75" spans="4:5" x14ac:dyDescent="0.3">
      <c r="D75" s="580" t="s">
        <v>203</v>
      </c>
      <c r="E75" s="266" t="str">
        <f>VLOOKUP(D75,URS確認!E:E,1,FALSE)</f>
        <v>L2902</v>
      </c>
    </row>
    <row r="76" spans="4:5" x14ac:dyDescent="0.3">
      <c r="D76" s="580" t="s">
        <v>844</v>
      </c>
      <c r="E76" s="266" t="str">
        <f>VLOOKUP(D76,URS確認!E:E,1,FALSE)</f>
        <v>L2903</v>
      </c>
    </row>
    <row r="77" spans="4:5" x14ac:dyDescent="0.3">
      <c r="D77" s="580" t="s">
        <v>241</v>
      </c>
      <c r="E77" s="266" t="str">
        <f>VLOOKUP(D77,URS確認!E:E,1,FALSE)</f>
        <v>L2911</v>
      </c>
    </row>
    <row r="78" spans="4:5" x14ac:dyDescent="0.3">
      <c r="D78" s="580" t="s">
        <v>263</v>
      </c>
      <c r="E78" s="266" t="str">
        <f>VLOOKUP(D78,URS確認!E:E,1,FALSE)</f>
        <v>L2912</v>
      </c>
    </row>
    <row r="79" spans="4:5" x14ac:dyDescent="0.3">
      <c r="D79" s="580" t="s">
        <v>268</v>
      </c>
      <c r="E79" s="266" t="str">
        <f>VLOOKUP(D79,URS確認!E:E,1,FALSE)</f>
        <v>L2913</v>
      </c>
    </row>
    <row r="80" spans="4:5" x14ac:dyDescent="0.3">
      <c r="D80" s="580" t="s">
        <v>272</v>
      </c>
      <c r="E80" s="266" t="str">
        <f>VLOOKUP(D80,URS確認!E:E,1,FALSE)</f>
        <v>L2914</v>
      </c>
    </row>
    <row r="81" spans="4:5" x14ac:dyDescent="0.3">
      <c r="D81" s="580" t="s">
        <v>248</v>
      </c>
      <c r="E81" s="266" t="str">
        <f>VLOOKUP(D81,URS確認!E:E,1,FALSE)</f>
        <v>L2915</v>
      </c>
    </row>
    <row r="82" spans="4:5" x14ac:dyDescent="0.3">
      <c r="D82" s="580" t="s">
        <v>251</v>
      </c>
      <c r="E82" s="266" t="str">
        <f>VLOOKUP(D82,URS確認!E:E,1,FALSE)</f>
        <v>L2916</v>
      </c>
    </row>
    <row r="83" spans="4:5" x14ac:dyDescent="0.3">
      <c r="D83" s="580" t="s">
        <v>253</v>
      </c>
      <c r="E83" s="266" t="str">
        <f>VLOOKUP(D83,URS確認!E:E,1,FALSE)</f>
        <v>L2918</v>
      </c>
    </row>
    <row r="84" spans="4:5" x14ac:dyDescent="0.3">
      <c r="D84" s="580" t="s">
        <v>221</v>
      </c>
      <c r="E84" s="266" t="str">
        <f>VLOOKUP(D84,URS確認!E:E,1,FALSE)</f>
        <v>L291A</v>
      </c>
    </row>
    <row r="85" spans="4:5" x14ac:dyDescent="0.3">
      <c r="D85" s="580" t="s">
        <v>227</v>
      </c>
      <c r="E85" s="266" t="str">
        <f>VLOOKUP(D85,URS確認!E:E,1,FALSE)</f>
        <v>L291B</v>
      </c>
    </row>
    <row r="86" spans="4:5" x14ac:dyDescent="0.3">
      <c r="D86" s="580" t="s">
        <v>211</v>
      </c>
      <c r="E86" s="266" t="str">
        <f>VLOOKUP(D86,URS確認!E:E,1,FALSE)</f>
        <v>L2921</v>
      </c>
    </row>
    <row r="87" spans="4:5" x14ac:dyDescent="0.3">
      <c r="D87" s="580" t="s">
        <v>713</v>
      </c>
      <c r="E87" s="266" t="str">
        <f>VLOOKUP(D87,URS確認!E:E,1,FALSE)</f>
        <v>L2941</v>
      </c>
    </row>
    <row r="88" spans="4:5" x14ac:dyDescent="0.3">
      <c r="D88" s="580" t="s">
        <v>716</v>
      </c>
      <c r="E88" s="266" t="str">
        <f>VLOOKUP(D88,URS確認!E:E,1,FALSE)</f>
        <v>L2942</v>
      </c>
    </row>
    <row r="89" spans="4:5" x14ac:dyDescent="0.3">
      <c r="D89" s="580" t="s">
        <v>847</v>
      </c>
      <c r="E89" s="266" t="str">
        <f>VLOOKUP(D89,URS確認!E:E,1,FALSE)</f>
        <v>L2980</v>
      </c>
    </row>
    <row r="90" spans="4:5" x14ac:dyDescent="0.3">
      <c r="D90" s="580" t="s">
        <v>307</v>
      </c>
      <c r="E90" s="266" t="str">
        <f>VLOOKUP(D90,URS確認!E:E,1,FALSE)</f>
        <v>L3001</v>
      </c>
    </row>
    <row r="91" spans="4:5" x14ac:dyDescent="0.3">
      <c r="D91" s="580" t="s">
        <v>302</v>
      </c>
      <c r="E91" s="266" t="str">
        <f>VLOOKUP(D91,URS確認!E:E,1,FALSE)</f>
        <v>L3002</v>
      </c>
    </row>
    <row r="92" spans="4:5" x14ac:dyDescent="0.3">
      <c r="D92" s="580" t="s">
        <v>291</v>
      </c>
      <c r="E92" s="266" t="str">
        <f>VLOOKUP(D92,URS確認!E:E,1,FALSE)</f>
        <v>L3003</v>
      </c>
    </row>
    <row r="93" spans="4:5" x14ac:dyDescent="0.3">
      <c r="D93" s="580" t="s">
        <v>678</v>
      </c>
      <c r="E93" s="266" t="str">
        <f>VLOOKUP(D93,URS確認!E:E,1,FALSE)</f>
        <v>L3004</v>
      </c>
    </row>
    <row r="94" spans="4:5" x14ac:dyDescent="0.3">
      <c r="D94" s="580" t="s">
        <v>329</v>
      </c>
      <c r="E94" s="266" t="str">
        <f>VLOOKUP(D94,URS確認!E:E,1,FALSE)</f>
        <v>L3005</v>
      </c>
    </row>
    <row r="95" spans="4:5" x14ac:dyDescent="0.3">
      <c r="D95" s="580" t="s">
        <v>394</v>
      </c>
      <c r="E95" s="266" t="str">
        <f>VLOOKUP(D95,URS確認!E:E,1,FALSE)</f>
        <v>L3007</v>
      </c>
    </row>
    <row r="96" spans="4:5" x14ac:dyDescent="0.3">
      <c r="D96" s="580" t="s">
        <v>397</v>
      </c>
      <c r="E96" s="266" t="str">
        <f>VLOOKUP(D96,URS確認!E:E,1,FALSE)</f>
        <v>L3009</v>
      </c>
    </row>
    <row r="97" spans="4:5" x14ac:dyDescent="0.3">
      <c r="D97" s="580" t="s">
        <v>298</v>
      </c>
      <c r="E97" s="266" t="str">
        <f>VLOOKUP(D97,URS確認!E:E,1,FALSE)</f>
        <v>L3100</v>
      </c>
    </row>
    <row r="98" spans="4:5" x14ac:dyDescent="0.3">
      <c r="D98" s="580" t="s">
        <v>293</v>
      </c>
      <c r="E98" s="266" t="str">
        <f>VLOOKUP(D98,URS確認!E:E,1,FALSE)</f>
        <v>L3110</v>
      </c>
    </row>
    <row r="99" spans="4:5" x14ac:dyDescent="0.3">
      <c r="D99" s="580" t="s">
        <v>295</v>
      </c>
      <c r="E99" s="266" t="str">
        <f>VLOOKUP(D99,URS確認!E:E,1,FALSE)</f>
        <v>L3120</v>
      </c>
    </row>
    <row r="100" spans="4:5" x14ac:dyDescent="0.3">
      <c r="D100" s="580" t="s">
        <v>680</v>
      </c>
      <c r="E100" s="266" t="str">
        <f>VLOOKUP(D100,URS確認!E:E,1,FALSE)</f>
        <v>L3130</v>
      </c>
    </row>
    <row r="101" spans="4:5" x14ac:dyDescent="0.3">
      <c r="D101" s="580" t="s">
        <v>682</v>
      </c>
      <c r="E101" s="266" t="str">
        <f>VLOOKUP(D101,URS確認!E:E,1,FALSE)</f>
        <v>L3200</v>
      </c>
    </row>
    <row r="102" spans="4:5" x14ac:dyDescent="0.3">
      <c r="D102" s="580" t="s">
        <v>371</v>
      </c>
      <c r="E102" s="266" t="str">
        <f>VLOOKUP(D102,URS確認!E:E,1,FALSE)</f>
        <v>L3210</v>
      </c>
    </row>
    <row r="103" spans="4:5" x14ac:dyDescent="0.3">
      <c r="D103" s="580" t="s">
        <v>374</v>
      </c>
      <c r="E103" s="266" t="str">
        <f>VLOOKUP(D103,URS確認!E:E,1,FALSE)</f>
        <v>L3220</v>
      </c>
    </row>
    <row r="104" spans="4:5" x14ac:dyDescent="0.3">
      <c r="D104" s="580" t="s">
        <v>685</v>
      </c>
      <c r="E104" s="266" t="str">
        <f>VLOOKUP(D104,URS確認!E:E,1,FALSE)</f>
        <v>L3230</v>
      </c>
    </row>
    <row r="105" spans="4:5" x14ac:dyDescent="0.3">
      <c r="D105" s="580" t="s">
        <v>2932</v>
      </c>
      <c r="E105" s="266" t="str">
        <f>VLOOKUP(D105,URS確認!E:E,1,FALSE)</f>
        <v>L3240</v>
      </c>
    </row>
    <row r="106" spans="4:5" x14ac:dyDescent="0.3">
      <c r="D106" s="580" t="s">
        <v>691</v>
      </c>
      <c r="E106" s="266" t="str">
        <f>VLOOKUP(D106,URS確認!E:E,1,FALSE)</f>
        <v>L3420</v>
      </c>
    </row>
    <row r="107" spans="4:5" x14ac:dyDescent="0.3">
      <c r="D107" s="580" t="s">
        <v>744</v>
      </c>
      <c r="E107" s="266" t="str">
        <f>VLOOKUP(D107,URS確認!E:E,1,FALSE)</f>
        <v>L3440</v>
      </c>
    </row>
    <row r="108" spans="4:5" x14ac:dyDescent="0.3">
      <c r="D108" s="580" t="s">
        <v>337</v>
      </c>
      <c r="E108" s="266" t="str">
        <f>VLOOKUP(D108,URS確認!E:E,1,FALSE)</f>
        <v>L3701</v>
      </c>
    </row>
    <row r="109" spans="4:5" x14ac:dyDescent="0.3">
      <c r="D109" s="580" t="s">
        <v>334</v>
      </c>
      <c r="E109" s="266" t="str">
        <f>VLOOKUP(D109,URS確認!E:E,1,FALSE)</f>
        <v>L3721</v>
      </c>
    </row>
    <row r="110" spans="4:5" x14ac:dyDescent="0.3">
      <c r="D110" s="580" t="s">
        <v>281</v>
      </c>
      <c r="E110" s="266" t="str">
        <f>VLOOKUP(D110,URS確認!E:E,1,FALSE)</f>
        <v>L3901</v>
      </c>
    </row>
    <row r="111" spans="4:5" x14ac:dyDescent="0.3">
      <c r="D111" s="580" t="s">
        <v>641</v>
      </c>
      <c r="E111" s="266" t="str">
        <f>VLOOKUP(D111,URS確認!E:E,1,FALSE)</f>
        <v>L3911</v>
      </c>
    </row>
    <row r="112" spans="4:5" x14ac:dyDescent="0.3">
      <c r="D112" s="580" t="s">
        <v>326</v>
      </c>
      <c r="E112" s="266" t="str">
        <f>VLOOKUP(D112,URS確認!E:E,1,FALSE)</f>
        <v>L3912</v>
      </c>
    </row>
    <row r="113" spans="4:5" x14ac:dyDescent="0.3">
      <c r="D113" s="580" t="s">
        <v>644</v>
      </c>
      <c r="E113" s="266" t="str">
        <f>VLOOKUP(D113,URS確認!E:E,1,FALSE)</f>
        <v>L3913</v>
      </c>
    </row>
    <row r="114" spans="4:5" x14ac:dyDescent="0.3">
      <c r="D114" s="580" t="s">
        <v>305</v>
      </c>
      <c r="E114" s="266" t="str">
        <f>VLOOKUP(D114,URS確認!E:E,1,FALSE)</f>
        <v>L3916</v>
      </c>
    </row>
    <row r="115" spans="4:5" x14ac:dyDescent="0.3">
      <c r="D115" s="580" t="s">
        <v>2933</v>
      </c>
      <c r="E115" s="266" t="str">
        <f>VLOOKUP(D115,URS確認!E:E,1,FALSE)</f>
        <v>L3917</v>
      </c>
    </row>
    <row r="116" spans="4:5" x14ac:dyDescent="0.3">
      <c r="D116" s="580" t="s">
        <v>659</v>
      </c>
      <c r="E116" s="266" t="str">
        <f>VLOOKUP(D116,URS確認!E:E,1,FALSE)</f>
        <v>L3921</v>
      </c>
    </row>
    <row r="117" spans="4:5" x14ac:dyDescent="0.3">
      <c r="D117" s="580" t="s">
        <v>662</v>
      </c>
      <c r="E117" s="266" t="str">
        <f>VLOOKUP(D117,URS確認!E:E,1,FALSE)</f>
        <v>L3922</v>
      </c>
    </row>
    <row r="118" spans="4:5" x14ac:dyDescent="0.3">
      <c r="D118" s="580" t="s">
        <v>669</v>
      </c>
      <c r="E118" s="266" t="str">
        <f>VLOOKUP(D118,URS確認!E:E,1,FALSE)</f>
        <v>L3924</v>
      </c>
    </row>
    <row r="119" spans="4:5" x14ac:dyDescent="0.3">
      <c r="D119" s="580" t="s">
        <v>672</v>
      </c>
      <c r="E119" s="266" t="str">
        <f>VLOOKUP(D119,URS確認!E:E,1,FALSE)</f>
        <v>L3925</v>
      </c>
    </row>
    <row r="120" spans="4:5" x14ac:dyDescent="0.3">
      <c r="D120" s="580" t="s">
        <v>675</v>
      </c>
      <c r="E120" s="266" t="str">
        <f>VLOOKUP(D120,URS確認!E:E,1,FALSE)</f>
        <v>L3926</v>
      </c>
    </row>
    <row r="121" spans="4:5" x14ac:dyDescent="0.3">
      <c r="D121" s="580" t="s">
        <v>331</v>
      </c>
      <c r="E121" s="266" t="str">
        <f>VLOOKUP(D121,URS確認!E:E,1,FALSE)</f>
        <v>L3932</v>
      </c>
    </row>
    <row r="122" spans="4:5" x14ac:dyDescent="0.3">
      <c r="D122" s="580" t="s">
        <v>399</v>
      </c>
      <c r="E122" s="266" t="str">
        <f>VLOOKUP(D122,URS確認!E:E,1,FALSE)</f>
        <v>L3943</v>
      </c>
    </row>
    <row r="123" spans="4:5" x14ac:dyDescent="0.3">
      <c r="D123" s="580" t="s">
        <v>343</v>
      </c>
      <c r="E123" s="266" t="str">
        <f>VLOOKUP(D123,URS確認!E:E,1,FALSE)</f>
        <v>L4001</v>
      </c>
    </row>
    <row r="124" spans="4:5" x14ac:dyDescent="0.3">
      <c r="D124" s="580" t="s">
        <v>619</v>
      </c>
      <c r="E124" s="266" t="str">
        <f>VLOOKUP(D124,URS確認!E:E,1,FALSE)</f>
        <v>L4002</v>
      </c>
    </row>
    <row r="125" spans="4:5" x14ac:dyDescent="0.3">
      <c r="D125" s="580" t="s">
        <v>812</v>
      </c>
      <c r="E125" s="266" t="str">
        <f>VLOOKUP(D125,URS確認!E:E,1,FALSE)</f>
        <v>L4030</v>
      </c>
    </row>
    <row r="126" spans="4:5" x14ac:dyDescent="0.3">
      <c r="D126" s="580" t="s">
        <v>801</v>
      </c>
      <c r="E126" s="266" t="str">
        <f>VLOOKUP(D126,URS確認!E:E,1,FALSE)</f>
        <v>L4031</v>
      </c>
    </row>
    <row r="127" spans="4:5" x14ac:dyDescent="0.3">
      <c r="D127" s="580" t="s">
        <v>355</v>
      </c>
      <c r="E127" s="266" t="str">
        <f>VLOOKUP(D127,URS確認!E:E,1,FALSE)</f>
        <v>L4040</v>
      </c>
    </row>
    <row r="128" spans="4:5" x14ac:dyDescent="0.3">
      <c r="D128" s="580" t="s">
        <v>367</v>
      </c>
      <c r="E128" s="266" t="str">
        <f>VLOOKUP(D128,URS確認!E:E,1,FALSE)</f>
        <v>L4041</v>
      </c>
    </row>
    <row r="129" spans="4:5" x14ac:dyDescent="0.3">
      <c r="D129" s="580" t="s">
        <v>351</v>
      </c>
      <c r="E129" s="266" t="str">
        <f>VLOOKUP(D129,URS確認!E:E,1,FALSE)</f>
        <v>L4042</v>
      </c>
    </row>
    <row r="130" spans="4:5" x14ac:dyDescent="0.3">
      <c r="D130" s="580" t="s">
        <v>363</v>
      </c>
      <c r="E130" s="266" t="str">
        <f>VLOOKUP(D130,URS確認!E:E,1,FALSE)</f>
        <v>L4043</v>
      </c>
    </row>
    <row r="131" spans="4:5" x14ac:dyDescent="0.3">
      <c r="D131" s="580" t="s">
        <v>412</v>
      </c>
      <c r="E131" s="266" t="str">
        <f>VLOOKUP(D131,URS確認!E:E,1,FALSE)</f>
        <v>L4060</v>
      </c>
    </row>
    <row r="132" spans="4:5" x14ac:dyDescent="0.3">
      <c r="D132" s="580" t="s">
        <v>341</v>
      </c>
      <c r="E132" s="266" t="str">
        <f>VLOOKUP(D132,URS確認!E:E,1,FALSE)</f>
        <v>L4101</v>
      </c>
    </row>
    <row r="133" spans="4:5" x14ac:dyDescent="0.3">
      <c r="D133" s="580" t="s">
        <v>377</v>
      </c>
      <c r="E133" s="266" t="str">
        <f>VLOOKUP(D133,URS確認!E:E,1,FALSE)</f>
        <v>L4102</v>
      </c>
    </row>
    <row r="134" spans="4:5" x14ac:dyDescent="0.3">
      <c r="D134" s="580" t="s">
        <v>380</v>
      </c>
      <c r="E134" s="266" t="str">
        <f>VLOOKUP(D134,URS確認!E:E,1,FALSE)</f>
        <v>L4103</v>
      </c>
    </row>
    <row r="135" spans="4:5" x14ac:dyDescent="0.3">
      <c r="D135" s="580" t="s">
        <v>609</v>
      </c>
      <c r="E135" s="266" t="str">
        <f>VLOOKUP(D135,URS確認!E:E,1,FALSE)</f>
        <v>L4200</v>
      </c>
    </row>
    <row r="136" spans="4:5" x14ac:dyDescent="0.3">
      <c r="D136" s="580" t="s">
        <v>651</v>
      </c>
      <c r="E136" s="266" t="str">
        <f>VLOOKUP(D136,URS確認!E:E,1,FALSE)</f>
        <v>L4201</v>
      </c>
    </row>
    <row r="137" spans="4:5" x14ac:dyDescent="0.3">
      <c r="D137" s="580" t="s">
        <v>632</v>
      </c>
      <c r="E137" s="266" t="str">
        <f>VLOOKUP(D137,URS確認!E:E,1,FALSE)</f>
        <v>L4202</v>
      </c>
    </row>
    <row r="138" spans="4:5" x14ac:dyDescent="0.3">
      <c r="D138" s="580" t="s">
        <v>634</v>
      </c>
      <c r="E138" s="266" t="str">
        <f>VLOOKUP(D138,URS確認!E:E,1,FALSE)</f>
        <v>L4203</v>
      </c>
    </row>
    <row r="139" spans="4:5" x14ac:dyDescent="0.3">
      <c r="D139" s="580" t="s">
        <v>615</v>
      </c>
      <c r="E139" s="266" t="str">
        <f>VLOOKUP(D139,URS確認!E:E,1,FALSE)</f>
        <v>L4204</v>
      </c>
    </row>
    <row r="140" spans="4:5" x14ac:dyDescent="0.3">
      <c r="D140" s="580" t="s">
        <v>617</v>
      </c>
      <c r="E140" s="266" t="str">
        <f>VLOOKUP(D140,URS確認!E:E,1,FALSE)</f>
        <v>L4205</v>
      </c>
    </row>
    <row r="141" spans="4:5" x14ac:dyDescent="0.3">
      <c r="D141" s="580" t="s">
        <v>622</v>
      </c>
      <c r="E141" s="266" t="str">
        <f>VLOOKUP(D141,URS確認!E:E,1,FALSE)</f>
        <v>L420A</v>
      </c>
    </row>
    <row r="142" spans="4:5" x14ac:dyDescent="0.3">
      <c r="D142" s="580" t="s">
        <v>624</v>
      </c>
      <c r="E142" s="266" t="str">
        <f>VLOOKUP(D142,URS確認!E:E,1,FALSE)</f>
        <v>L420B</v>
      </c>
    </row>
    <row r="143" spans="4:5" x14ac:dyDescent="0.3">
      <c r="D143" s="580" t="s">
        <v>647</v>
      </c>
      <c r="E143" s="266" t="str">
        <f>VLOOKUP(D143,URS確認!E:E,1,FALSE)</f>
        <v>L4210</v>
      </c>
    </row>
    <row r="144" spans="4:5" x14ac:dyDescent="0.3">
      <c r="D144" s="580" t="s">
        <v>2925</v>
      </c>
      <c r="E144" s="266" t="str">
        <f>VLOOKUP(D144,URS確認!E:E,1,FALSE)</f>
        <v>L4211</v>
      </c>
    </row>
    <row r="145" spans="4:5" x14ac:dyDescent="0.3">
      <c r="D145" s="580" t="s">
        <v>799</v>
      </c>
      <c r="E145" s="266" t="str">
        <f>VLOOKUP(D145,URS確認!E:E,1,FALSE)</f>
        <v>L4320</v>
      </c>
    </row>
    <row r="146" spans="4:5" x14ac:dyDescent="0.3">
      <c r="D146" s="580" t="s">
        <v>803</v>
      </c>
      <c r="E146" s="266" t="str">
        <f>VLOOKUP(D146,URS確認!E:E,1,FALSE)</f>
        <v>L4321</v>
      </c>
    </row>
    <row r="147" spans="4:5" x14ac:dyDescent="0.3">
      <c r="D147" s="580" t="s">
        <v>797</v>
      </c>
      <c r="E147" s="266" t="str">
        <f>VLOOKUP(D147,URS確認!E:E,1,FALSE)</f>
        <v>L4322</v>
      </c>
    </row>
    <row r="148" spans="4:5" x14ac:dyDescent="0.3">
      <c r="D148" s="580" t="s">
        <v>805</v>
      </c>
      <c r="E148" s="266" t="str">
        <f>VLOOKUP(D148,URS確認!E:E,1,FALSE)</f>
        <v>L4325</v>
      </c>
    </row>
    <row r="149" spans="4:5" x14ac:dyDescent="0.3">
      <c r="D149" s="580" t="s">
        <v>353</v>
      </c>
      <c r="E149" s="266" t="str">
        <f>VLOOKUP(D149,URS確認!E:E,1,FALSE)</f>
        <v>L4410</v>
      </c>
    </row>
    <row r="150" spans="4:5" x14ac:dyDescent="0.3">
      <c r="D150" s="580" t="s">
        <v>365</v>
      </c>
      <c r="E150" s="266" t="str">
        <f>VLOOKUP(D150,URS確認!E:E,1,FALSE)</f>
        <v>L4412</v>
      </c>
    </row>
    <row r="151" spans="4:5" x14ac:dyDescent="0.3">
      <c r="D151" s="580" t="s">
        <v>357</v>
      </c>
      <c r="E151" s="266" t="str">
        <f>VLOOKUP(D151,URS確認!E:E,1,FALSE)</f>
        <v>L4414</v>
      </c>
    </row>
    <row r="152" spans="4:5" x14ac:dyDescent="0.3">
      <c r="D152" s="580" t="s">
        <v>438</v>
      </c>
      <c r="E152" s="266" t="str">
        <f>VLOOKUP(D152,URS確認!E:E,1,FALSE)</f>
        <v>L4450</v>
      </c>
    </row>
    <row r="153" spans="4:5" x14ac:dyDescent="0.3">
      <c r="D153" s="580" t="s">
        <v>444</v>
      </c>
      <c r="E153" s="266" t="str">
        <f>VLOOKUP(D153,URS確認!E:E,1,FALSE)</f>
        <v>L4451</v>
      </c>
    </row>
    <row r="154" spans="4:5" x14ac:dyDescent="0.3">
      <c r="D154" s="580" t="s">
        <v>446</v>
      </c>
      <c r="E154" s="266" t="str">
        <f>VLOOKUP(D154,URS確認!E:E,1,FALSE)</f>
        <v>L4452</v>
      </c>
    </row>
    <row r="155" spans="4:5" x14ac:dyDescent="0.3">
      <c r="D155" s="580" t="s">
        <v>448</v>
      </c>
      <c r="E155" s="266" t="str">
        <f>VLOOKUP(D155,URS確認!E:E,1,FALSE)</f>
        <v>L4453</v>
      </c>
    </row>
    <row r="156" spans="4:5" x14ac:dyDescent="0.3">
      <c r="D156" s="580" t="s">
        <v>636</v>
      </c>
      <c r="E156" s="266" t="str">
        <f>VLOOKUP(D156,URS確認!E:E,1,FALSE)</f>
        <v>L4454</v>
      </c>
    </row>
    <row r="157" spans="4:5" x14ac:dyDescent="0.3">
      <c r="D157" s="580" t="s">
        <v>638</v>
      </c>
      <c r="E157" s="266" t="str">
        <f>VLOOKUP(D157,URS確認!E:E,1,FALSE)</f>
        <v>L4455</v>
      </c>
    </row>
    <row r="158" spans="4:5" x14ac:dyDescent="0.3">
      <c r="D158" s="580" t="s">
        <v>597</v>
      </c>
      <c r="E158" s="266" t="str">
        <f>VLOOKUP(D158,URS確認!E:E,1,FALSE)</f>
        <v>L4500</v>
      </c>
    </row>
    <row r="159" spans="4:5" x14ac:dyDescent="0.3">
      <c r="D159" s="580" t="s">
        <v>601</v>
      </c>
      <c r="E159" s="266" t="str">
        <f>VLOOKUP(D159,URS確認!E:E,1,FALSE)</f>
        <v>L4510</v>
      </c>
    </row>
    <row r="160" spans="4:5" x14ac:dyDescent="0.3">
      <c r="D160" s="580" t="s">
        <v>607</v>
      </c>
      <c r="E160" s="266" t="str">
        <f>VLOOKUP(D160,URS確認!E:E,1,FALSE)</f>
        <v>L4511</v>
      </c>
    </row>
    <row r="161" spans="4:5" x14ac:dyDescent="0.3">
      <c r="D161" s="580" t="s">
        <v>605</v>
      </c>
      <c r="E161" s="266" t="str">
        <f>VLOOKUP(D161,URS確認!E:E,1,FALSE)</f>
        <v>L4512</v>
      </c>
    </row>
    <row r="162" spans="4:5" x14ac:dyDescent="0.3">
      <c r="D162" s="580" t="s">
        <v>612</v>
      </c>
      <c r="E162" s="266" t="str">
        <f>VLOOKUP(D162,URS確認!E:E,1,FALSE)</f>
        <v>L4520</v>
      </c>
    </row>
    <row r="163" spans="4:5" x14ac:dyDescent="0.3">
      <c r="D163" s="580" t="s">
        <v>416</v>
      </c>
      <c r="E163" s="266" t="str">
        <f>VLOOKUP(D163,URS確認!E:E,1,FALSE)</f>
        <v>L4600</v>
      </c>
    </row>
    <row r="164" spans="4:5" x14ac:dyDescent="0.3">
      <c r="D164" s="580" t="s">
        <v>418</v>
      </c>
      <c r="E164" s="266" t="str">
        <f>VLOOKUP(D164,URS確認!E:E,1,FALSE)</f>
        <v>L4601</v>
      </c>
    </row>
    <row r="165" spans="4:5" x14ac:dyDescent="0.3">
      <c r="D165" s="580" t="s">
        <v>422</v>
      </c>
      <c r="E165" s="266" t="str">
        <f>VLOOKUP(D165,URS確認!E:E,1,FALSE)</f>
        <v>L4602</v>
      </c>
    </row>
    <row r="166" spans="4:5" x14ac:dyDescent="0.3">
      <c r="D166" s="580" t="s">
        <v>424</v>
      </c>
      <c r="E166" s="266" t="str">
        <f>VLOOKUP(D166,URS確認!E:E,1,FALSE)</f>
        <v>L4603</v>
      </c>
    </row>
    <row r="167" spans="4:5" x14ac:dyDescent="0.3">
      <c r="D167" s="580" t="s">
        <v>729</v>
      </c>
      <c r="E167" s="266" t="str">
        <f>VLOOKUP(D167,URS確認!E:E,1,FALSE)</f>
        <v>L4604</v>
      </c>
    </row>
    <row r="168" spans="4:5" x14ac:dyDescent="0.3">
      <c r="D168" s="580" t="s">
        <v>731</v>
      </c>
      <c r="E168" s="266" t="str">
        <f>VLOOKUP(D168,URS確認!E:E,1,FALSE)</f>
        <v>L4605</v>
      </c>
    </row>
    <row r="169" spans="4:5" x14ac:dyDescent="0.3">
      <c r="D169" s="580" t="s">
        <v>733</v>
      </c>
      <c r="E169" s="266" t="str">
        <f>VLOOKUP(D169,URS確認!E:E,1,FALSE)</f>
        <v>L4606</v>
      </c>
    </row>
    <row r="170" spans="4:5" x14ac:dyDescent="0.3">
      <c r="D170" s="580" t="s">
        <v>735</v>
      </c>
      <c r="E170" s="266" t="str">
        <f>VLOOKUP(D170,URS確認!E:E,1,FALSE)</f>
        <v>L4607</v>
      </c>
    </row>
    <row r="171" spans="4:5" x14ac:dyDescent="0.3">
      <c r="D171" s="580" t="s">
        <v>414</v>
      </c>
      <c r="E171" s="266" t="str">
        <f>VLOOKUP(D171,URS確認!E:E,1,FALSE)</f>
        <v>L4610</v>
      </c>
    </row>
    <row r="172" spans="4:5" x14ac:dyDescent="0.3">
      <c r="D172" s="580" t="s">
        <v>420</v>
      </c>
      <c r="E172" s="266" t="str">
        <f>VLOOKUP(D172,URS確認!E:E,1,FALSE)</f>
        <v>L4611</v>
      </c>
    </row>
    <row r="173" spans="4:5" x14ac:dyDescent="0.3">
      <c r="D173" s="580" t="s">
        <v>392</v>
      </c>
      <c r="E173" s="266" t="str">
        <f>VLOOKUP(D173,URS確認!E:E,1,FALSE)</f>
        <v>L4701</v>
      </c>
    </row>
    <row r="174" spans="4:5" x14ac:dyDescent="0.3">
      <c r="D174" s="580" t="s">
        <v>655</v>
      </c>
      <c r="E174" s="266" t="str">
        <f>VLOOKUP(D174,URS確認!E:E,1,FALSE)</f>
        <v>L4702</v>
      </c>
    </row>
    <row r="175" spans="4:5" x14ac:dyDescent="0.3">
      <c r="D175" s="580" t="s">
        <v>657</v>
      </c>
      <c r="E175" s="266" t="str">
        <f>VLOOKUP(D175,URS確認!E:E,1,FALSE)</f>
        <v>L4703</v>
      </c>
    </row>
    <row r="176" spans="4:5" x14ac:dyDescent="0.3">
      <c r="D176" s="580" t="s">
        <v>810</v>
      </c>
      <c r="E176" s="266" t="str">
        <f>VLOOKUP(D176,URS確認!E:E,1,FALSE)</f>
        <v>L4721</v>
      </c>
    </row>
    <row r="177" spans="4:5" x14ac:dyDescent="0.3">
      <c r="D177" s="580" t="s">
        <v>345</v>
      </c>
      <c r="E177" s="266" t="str">
        <f>VLOOKUP(D177,URS確認!E:E,1,FALSE)</f>
        <v>L4901</v>
      </c>
    </row>
    <row r="178" spans="4:5" x14ac:dyDescent="0.3">
      <c r="D178" s="580" t="s">
        <v>626</v>
      </c>
      <c r="E178" s="266" t="str">
        <f>VLOOKUP(D178,URS確認!E:E,1,FALSE)</f>
        <v>L4920</v>
      </c>
    </row>
    <row r="179" spans="4:5" x14ac:dyDescent="0.3">
      <c r="D179" s="580" t="s">
        <v>649</v>
      </c>
      <c r="E179" s="266" t="str">
        <f>VLOOKUP(D179,URS確認!E:E,1,FALSE)</f>
        <v>L4921</v>
      </c>
    </row>
    <row r="180" spans="4:5" x14ac:dyDescent="0.3">
      <c r="D180" s="580" t="s">
        <v>383</v>
      </c>
      <c r="E180" s="266" t="str">
        <f>VLOOKUP(D180,URS確認!E:E,1,FALSE)</f>
        <v>L4922</v>
      </c>
    </row>
    <row r="181" spans="4:5" x14ac:dyDescent="0.3">
      <c r="D181" s="580" t="s">
        <v>385</v>
      </c>
      <c r="E181" s="266" t="str">
        <f>VLOOKUP(D181,URS確認!E:E,1,FALSE)</f>
        <v>L4923</v>
      </c>
    </row>
    <row r="182" spans="4:5" x14ac:dyDescent="0.3">
      <c r="D182" s="580" t="s">
        <v>628</v>
      </c>
      <c r="E182" s="266" t="str">
        <f>VLOOKUP(D182,URS確認!E:E,1,FALSE)</f>
        <v>L4925</v>
      </c>
    </row>
    <row r="183" spans="4:5" x14ac:dyDescent="0.3">
      <c r="D183" s="580" t="s">
        <v>653</v>
      </c>
      <c r="E183" s="266" t="str">
        <f>VLOOKUP(D183,URS確認!E:E,1,FALSE)</f>
        <v>L492A</v>
      </c>
    </row>
    <row r="184" spans="4:5" x14ac:dyDescent="0.3">
      <c r="D184" s="580" t="s">
        <v>630</v>
      </c>
      <c r="E184" s="266" t="str">
        <f>VLOOKUP(D184,URS確認!E:E,1,FALSE)</f>
        <v>L4930</v>
      </c>
    </row>
    <row r="185" spans="4:5" x14ac:dyDescent="0.3">
      <c r="D185" s="580" t="s">
        <v>808</v>
      </c>
      <c r="E185" s="266" t="str">
        <f>VLOOKUP(D185,URS確認!E:E,1,FALSE)</f>
        <v>L4931</v>
      </c>
    </row>
    <row r="186" spans="4:5" x14ac:dyDescent="0.3">
      <c r="D186" s="580" t="s">
        <v>359</v>
      </c>
      <c r="E186" s="266" t="str">
        <f>VLOOKUP(D186,URS確認!E:E,1,FALSE)</f>
        <v>L4940</v>
      </c>
    </row>
    <row r="187" spans="4:5" x14ac:dyDescent="0.3">
      <c r="D187" s="580" t="s">
        <v>361</v>
      </c>
      <c r="E187" s="266" t="str">
        <f>VLOOKUP(D187,URS確認!E:E,1,FALSE)</f>
        <v>L4941</v>
      </c>
    </row>
    <row r="188" spans="4:5" x14ac:dyDescent="0.3">
      <c r="D188" s="580" t="s">
        <v>369</v>
      </c>
      <c r="E188" s="266" t="str">
        <f>VLOOKUP(D188,URS確認!E:E,1,FALSE)</f>
        <v>L4942</v>
      </c>
    </row>
    <row r="189" spans="4:5" x14ac:dyDescent="0.3">
      <c r="D189" s="580" t="s">
        <v>441</v>
      </c>
      <c r="E189" s="266" t="str">
        <f>VLOOKUP(D189,URS確認!E:E,1,FALSE)</f>
        <v>L4943</v>
      </c>
    </row>
    <row r="190" spans="4:5" x14ac:dyDescent="0.3">
      <c r="D190" s="580" t="s">
        <v>599</v>
      </c>
      <c r="E190" s="266" t="str">
        <f>VLOOKUP(D190,URS確認!E:E,1,FALSE)</f>
        <v>L4950</v>
      </c>
    </row>
    <row r="191" spans="4:5" x14ac:dyDescent="0.3">
      <c r="D191" s="580" t="s">
        <v>603</v>
      </c>
      <c r="E191" s="266" t="str">
        <f>VLOOKUP(D191,URS確認!E:E,1,FALSE)</f>
        <v>L4951</v>
      </c>
    </row>
    <row r="192" spans="4:5" x14ac:dyDescent="0.3">
      <c r="D192" s="580" t="s">
        <v>429</v>
      </c>
      <c r="E192" s="266" t="str">
        <f>VLOOKUP(D192,URS確認!E:E,1,FALSE)</f>
        <v>L4960</v>
      </c>
    </row>
    <row r="193" spans="4:5" x14ac:dyDescent="0.3">
      <c r="D193" s="580" t="s">
        <v>431</v>
      </c>
      <c r="E193" s="266" t="str">
        <f>VLOOKUP(D193,URS確認!E:E,1,FALSE)</f>
        <v>L4961</v>
      </c>
    </row>
    <row r="194" spans="4:5" x14ac:dyDescent="0.3">
      <c r="D194" s="580" t="s">
        <v>426</v>
      </c>
      <c r="E194" s="266" t="str">
        <f>VLOOKUP(D194,URS確認!E:E,1,FALSE)</f>
        <v>L4962</v>
      </c>
    </row>
    <row r="195" spans="4:5" x14ac:dyDescent="0.3">
      <c r="D195" s="580" t="s">
        <v>433</v>
      </c>
      <c r="E195" s="266" t="str">
        <f>VLOOKUP(D195,URS確認!E:E,1,FALSE)</f>
        <v>L4964</v>
      </c>
    </row>
    <row r="196" spans="4:5" x14ac:dyDescent="0.3">
      <c r="D196" s="580" t="s">
        <v>435</v>
      </c>
      <c r="E196" s="266" t="str">
        <f>VLOOKUP(D196,URS確認!E:E,1,FALSE)</f>
        <v>L4965</v>
      </c>
    </row>
    <row r="197" spans="4:5" x14ac:dyDescent="0.3">
      <c r="D197" s="580" t="s">
        <v>737</v>
      </c>
      <c r="E197" s="266" t="str">
        <f>VLOOKUP(D197,URS確認!E:E,1,FALSE)</f>
        <v>L4966</v>
      </c>
    </row>
    <row r="198" spans="4:5" x14ac:dyDescent="0.3">
      <c r="D198" s="580" t="s">
        <v>991</v>
      </c>
      <c r="E198" s="266" t="str">
        <f>VLOOKUP(D198,URS確認!E:E,1,FALSE)</f>
        <v>L5021</v>
      </c>
    </row>
    <row r="199" spans="4:5" x14ac:dyDescent="0.3">
      <c r="D199" s="580" t="s">
        <v>1003</v>
      </c>
      <c r="E199" s="266" t="str">
        <f>VLOOKUP(D199,URS確認!E:E,1,FALSE)</f>
        <v>L5022</v>
      </c>
    </row>
    <row r="200" spans="4:5" x14ac:dyDescent="0.3">
      <c r="D200" s="580" t="s">
        <v>995</v>
      </c>
      <c r="E200" s="266" t="str">
        <f>VLOOKUP(D200,URS確認!E:E,1,FALSE)</f>
        <v>L5023</v>
      </c>
    </row>
    <row r="201" spans="4:5" x14ac:dyDescent="0.3">
      <c r="D201" s="580" t="s">
        <v>999</v>
      </c>
      <c r="E201" s="266" t="str">
        <f>VLOOKUP(D201,URS確認!E:E,1,FALSE)</f>
        <v>L5024</v>
      </c>
    </row>
    <row r="202" spans="4:5" x14ac:dyDescent="0.3">
      <c r="D202" s="580" t="s">
        <v>1044</v>
      </c>
      <c r="E202" s="266" t="str">
        <f>VLOOKUP(D202,URS確認!E:E,1,FALSE)</f>
        <v>L5052</v>
      </c>
    </row>
    <row r="203" spans="4:5" x14ac:dyDescent="0.3">
      <c r="D203" s="580" t="s">
        <v>945</v>
      </c>
      <c r="E203" s="266" t="str">
        <f>VLOOKUP(D203,URS確認!E:E,1,FALSE)</f>
        <v>L5101</v>
      </c>
    </row>
    <row r="204" spans="4:5" x14ac:dyDescent="0.3">
      <c r="D204" s="580" t="s">
        <v>952</v>
      </c>
      <c r="E204" s="266" t="str">
        <f>VLOOKUP(D204,URS確認!E:E,1,FALSE)</f>
        <v>L5102</v>
      </c>
    </row>
    <row r="205" spans="4:5" x14ac:dyDescent="0.3">
      <c r="D205" s="580" t="s">
        <v>971</v>
      </c>
      <c r="E205" s="266" t="str">
        <f>VLOOKUP(D205,URS確認!E:E,1,FALSE)</f>
        <v>L5116</v>
      </c>
    </row>
    <row r="206" spans="4:5" x14ac:dyDescent="0.3">
      <c r="D206" s="580" t="s">
        <v>993</v>
      </c>
      <c r="E206" s="266" t="str">
        <f>VLOOKUP(D206,URS確認!E:E,1,FALSE)</f>
        <v>L5401</v>
      </c>
    </row>
    <row r="207" spans="4:5" x14ac:dyDescent="0.3">
      <c r="D207" s="580" t="s">
        <v>989</v>
      </c>
      <c r="E207" s="266" t="str">
        <f>VLOOKUP(D207,URS確認!E:E,1,FALSE)</f>
        <v>L5402</v>
      </c>
    </row>
    <row r="208" spans="4:5" x14ac:dyDescent="0.3">
      <c r="D208" s="580" t="s">
        <v>1001</v>
      </c>
      <c r="E208" s="266" t="str">
        <f>VLOOKUP(D208,URS確認!E:E,1,FALSE)</f>
        <v>L5405</v>
      </c>
    </row>
    <row r="209" spans="4:5" x14ac:dyDescent="0.3">
      <c r="D209" s="580" t="s">
        <v>997</v>
      </c>
      <c r="E209" s="266" t="str">
        <f>VLOOKUP(D209,URS確認!E:E,1,FALSE)</f>
        <v>L5406</v>
      </c>
    </row>
    <row r="210" spans="4:5" x14ac:dyDescent="0.3">
      <c r="D210" s="580" t="s">
        <v>1007</v>
      </c>
      <c r="E210" s="266" t="str">
        <f>VLOOKUP(D210,URS確認!E:E,1,FALSE)</f>
        <v>L5407</v>
      </c>
    </row>
    <row r="211" spans="4:5" x14ac:dyDescent="0.3">
      <c r="D211" s="580" t="s">
        <v>1046</v>
      </c>
      <c r="E211" s="266" t="str">
        <f>VLOOKUP(D211,URS確認!E:E,1,FALSE)</f>
        <v>L5502</v>
      </c>
    </row>
    <row r="212" spans="4:5" x14ac:dyDescent="0.3">
      <c r="D212" s="580" t="s">
        <v>941</v>
      </c>
      <c r="E212" s="266" t="str">
        <f>VLOOKUP(D212,URS確認!E:E,1,FALSE)</f>
        <v>L5901</v>
      </c>
    </row>
    <row r="213" spans="4:5" x14ac:dyDescent="0.3">
      <c r="D213" s="580" t="s">
        <v>948</v>
      </c>
      <c r="E213" s="266" t="str">
        <f>VLOOKUP(D213,URS確認!E:E,1,FALSE)</f>
        <v>L5902</v>
      </c>
    </row>
    <row r="214" spans="4:5" x14ac:dyDescent="0.3">
      <c r="D214" s="580" t="s">
        <v>969</v>
      </c>
      <c r="E214" s="266" t="str">
        <f>VLOOKUP(D214,URS確認!E:E,1,FALSE)</f>
        <v>L5906</v>
      </c>
    </row>
    <row r="215" spans="4:5" x14ac:dyDescent="0.3">
      <c r="D215" s="580" t="s">
        <v>1070</v>
      </c>
      <c r="E215" s="266" t="str">
        <f>VLOOKUP(D215,URS確認!E:E,1,FALSE)</f>
        <v>L5910</v>
      </c>
    </row>
    <row r="216" spans="4:5" x14ac:dyDescent="0.3">
      <c r="D216" s="580" t="s">
        <v>1072</v>
      </c>
      <c r="E216" s="266" t="str">
        <f>VLOOKUP(D216,URS確認!E:E,1,FALSE)</f>
        <v>L5912</v>
      </c>
    </row>
    <row r="217" spans="4:5" x14ac:dyDescent="0.3">
      <c r="D217" s="580" t="s">
        <v>1005</v>
      </c>
      <c r="E217" s="266" t="str">
        <f>VLOOKUP(D217,URS確認!E:E,1,FALSE)</f>
        <v>L5914</v>
      </c>
    </row>
    <row r="218" spans="4:5" x14ac:dyDescent="0.3">
      <c r="D218" s="580" t="s">
        <v>347</v>
      </c>
      <c r="E218" s="266" t="str">
        <f>VLOOKUP(D218,URS確認!E:E,1,FALSE)</f>
        <v>L6001</v>
      </c>
    </row>
    <row r="219" spans="4:5" x14ac:dyDescent="0.3">
      <c r="D219" s="580" t="s">
        <v>321</v>
      </c>
      <c r="E219" s="266" t="str">
        <f>VLOOKUP(D219,URS確認!E:E,1,FALSE)</f>
        <v>L6022</v>
      </c>
    </row>
    <row r="220" spans="4:5" x14ac:dyDescent="0.3">
      <c r="D220" s="580" t="s">
        <v>2916</v>
      </c>
      <c r="E220" s="266" t="str">
        <f>VLOOKUP(D220,URS確認!E:E,1,FALSE)</f>
        <v>L6023</v>
      </c>
    </row>
    <row r="221" spans="4:5" x14ac:dyDescent="0.3">
      <c r="D221" s="580" t="s">
        <v>514</v>
      </c>
      <c r="E221" s="266" t="str">
        <f>VLOOKUP(D221,URS確認!E:E,1,FALSE)</f>
        <v>L6030</v>
      </c>
    </row>
    <row r="222" spans="4:5" x14ac:dyDescent="0.3">
      <c r="D222" s="580" t="s">
        <v>814</v>
      </c>
      <c r="E222" s="266" t="str">
        <f>VLOOKUP(D222,URS確認!E:E,1,FALSE)</f>
        <v>L6031</v>
      </c>
    </row>
    <row r="223" spans="4:5" x14ac:dyDescent="0.3">
      <c r="D223" s="580" t="s">
        <v>816</v>
      </c>
      <c r="E223" s="266" t="str">
        <f>VLOOKUP(D223,URS確認!E:E,1,FALSE)</f>
        <v>L6032</v>
      </c>
    </row>
    <row r="224" spans="4:5" x14ac:dyDescent="0.3">
      <c r="D224" s="580" t="s">
        <v>1093</v>
      </c>
      <c r="E224" s="266" t="str">
        <f>VLOOKUP(D224,URS確認!E:E,1,FALSE)</f>
        <v>L6041</v>
      </c>
    </row>
    <row r="225" spans="4:5" x14ac:dyDescent="0.3">
      <c r="D225" s="580" t="s">
        <v>1074</v>
      </c>
      <c r="E225" s="266" t="str">
        <f>VLOOKUP(D225,URS確認!E:E,1,FALSE)</f>
        <v>L6042</v>
      </c>
    </row>
    <row r="226" spans="4:5" x14ac:dyDescent="0.3">
      <c r="D226" s="580" t="s">
        <v>1082</v>
      </c>
      <c r="E226" s="266" t="str">
        <f>VLOOKUP(D226,URS確認!E:E,1,FALSE)</f>
        <v>L6043</v>
      </c>
    </row>
    <row r="227" spans="4:5" x14ac:dyDescent="0.3">
      <c r="D227" s="580" t="s">
        <v>1099</v>
      </c>
      <c r="E227" s="266" t="str">
        <f>VLOOKUP(D227,URS確認!E:E,1,FALSE)</f>
        <v>L6044</v>
      </c>
    </row>
    <row r="228" spans="4:5" x14ac:dyDescent="0.3">
      <c r="D228" s="580" t="s">
        <v>592</v>
      </c>
      <c r="E228" s="266" t="str">
        <f>VLOOKUP(D228,URS確認!E:E,1,FALSE)</f>
        <v>L6052</v>
      </c>
    </row>
    <row r="229" spans="4:5" x14ac:dyDescent="0.3">
      <c r="D229" s="580" t="s">
        <v>522</v>
      </c>
      <c r="E229" s="266" t="str">
        <f>VLOOKUP(D229,URS確認!E:E,1,FALSE)</f>
        <v>L6061</v>
      </c>
    </row>
    <row r="230" spans="4:5" x14ac:dyDescent="0.3">
      <c r="D230" s="580" t="s">
        <v>555</v>
      </c>
      <c r="E230" s="266" t="str">
        <f>VLOOKUP(D230,URS確認!E:E,1,FALSE)</f>
        <v>L6062</v>
      </c>
    </row>
    <row r="231" spans="4:5" x14ac:dyDescent="0.3">
      <c r="D231" s="580" t="s">
        <v>537</v>
      </c>
      <c r="E231" s="266" t="str">
        <f>VLOOKUP(D231,URS確認!E:E,1,FALSE)</f>
        <v>L6063</v>
      </c>
    </row>
    <row r="232" spans="4:5" x14ac:dyDescent="0.3">
      <c r="D232" s="580" t="s">
        <v>518</v>
      </c>
      <c r="E232" s="266" t="str">
        <f>VLOOKUP(D232,URS確認!E:E,1,FALSE)</f>
        <v>L6064</v>
      </c>
    </row>
    <row r="233" spans="4:5" x14ac:dyDescent="0.3">
      <c r="D233" s="580" t="s">
        <v>564</v>
      </c>
      <c r="E233" s="266" t="str">
        <f>VLOOKUP(D233,URS確認!E:E,1,FALSE)</f>
        <v>L6065</v>
      </c>
    </row>
    <row r="234" spans="4:5" x14ac:dyDescent="0.3">
      <c r="D234" s="580" t="s">
        <v>569</v>
      </c>
      <c r="E234" s="266" t="str">
        <f>VLOOKUP(D234,URS確認!E:E,1,FALSE)</f>
        <v>L6066</v>
      </c>
    </row>
    <row r="235" spans="4:5" x14ac:dyDescent="0.3">
      <c r="D235" s="580" t="s">
        <v>544</v>
      </c>
      <c r="E235" s="266" t="str">
        <f>VLOOKUP(D235,URS確認!E:E,1,FALSE)</f>
        <v>L6067</v>
      </c>
    </row>
    <row r="236" spans="4:5" x14ac:dyDescent="0.3">
      <c r="D236" s="580" t="s">
        <v>1078</v>
      </c>
      <c r="E236" s="266" t="str">
        <f>VLOOKUP(D236,URS確認!E:E,1,FALSE)</f>
        <v>L6068</v>
      </c>
    </row>
    <row r="237" spans="4:5" x14ac:dyDescent="0.3">
      <c r="D237" s="580" t="s">
        <v>2926</v>
      </c>
      <c r="E237" s="266" t="str">
        <f>VLOOKUP(D237,URS確認!E:E,1,FALSE)</f>
        <v>L6069</v>
      </c>
    </row>
    <row r="238" spans="4:5" x14ac:dyDescent="0.3">
      <c r="D238" s="580" t="s">
        <v>206</v>
      </c>
      <c r="E238" s="266" t="str">
        <f>VLOOKUP(D238,URS確認!E:E,1,FALSE)</f>
        <v>L6070</v>
      </c>
    </row>
    <row r="239" spans="4:5" x14ac:dyDescent="0.3">
      <c r="D239" s="580" t="s">
        <v>575</v>
      </c>
      <c r="E239" s="266" t="str">
        <f>VLOOKUP(D239,URS確認!E:E,1,FALSE)</f>
        <v>L6071</v>
      </c>
    </row>
    <row r="240" spans="4:5" x14ac:dyDescent="0.3">
      <c r="D240" s="580" t="s">
        <v>1088</v>
      </c>
      <c r="E240" s="266" t="str">
        <f>VLOOKUP(D240,URS確認!E:E,1,FALSE)</f>
        <v>L6072</v>
      </c>
    </row>
    <row r="241" spans="4:5" x14ac:dyDescent="0.3">
      <c r="D241" s="580" t="s">
        <v>580</v>
      </c>
      <c r="E241" s="266" t="str">
        <f>VLOOKUP(D241,URS確認!E:E,1,FALSE)</f>
        <v>L6073</v>
      </c>
    </row>
    <row r="242" spans="4:5" x14ac:dyDescent="0.3">
      <c r="D242" s="580" t="s">
        <v>560</v>
      </c>
      <c r="E242" s="266" t="str">
        <f>VLOOKUP(D242,URS確認!E:E,1,FALSE)</f>
        <v>L6074</v>
      </c>
    </row>
    <row r="243" spans="4:5" x14ac:dyDescent="0.3">
      <c r="D243" s="580" t="s">
        <v>550</v>
      </c>
      <c r="E243" s="266" t="str">
        <f>VLOOKUP(D243,URS確認!E:E,1,FALSE)</f>
        <v>L6075</v>
      </c>
    </row>
    <row r="244" spans="4:5" x14ac:dyDescent="0.3">
      <c r="D244" s="580" t="s">
        <v>528</v>
      </c>
      <c r="E244" s="266" t="str">
        <f>VLOOKUP(D244,URS確認!E:E,1,FALSE)</f>
        <v>L6077</v>
      </c>
    </row>
    <row r="245" spans="4:5" x14ac:dyDescent="0.3">
      <c r="D245" s="580" t="s">
        <v>533</v>
      </c>
      <c r="E245" s="266" t="str">
        <f>VLOOKUP(D245,URS確認!E:E,1,FALSE)</f>
        <v>L6078</v>
      </c>
    </row>
    <row r="246" spans="4:5" x14ac:dyDescent="0.3">
      <c r="D246" s="580" t="s">
        <v>586</v>
      </c>
      <c r="E246" s="266" t="str">
        <f>VLOOKUP(D246,URS確認!E:E,1,FALSE)</f>
        <v>L6079</v>
      </c>
    </row>
    <row r="247" spans="4:5" x14ac:dyDescent="0.3">
      <c r="D247" s="580" t="s">
        <v>1017</v>
      </c>
      <c r="E247" s="266" t="str">
        <f>VLOOKUP(D247,URS確認!E:E,1,FALSE)</f>
        <v>L6081</v>
      </c>
    </row>
    <row r="248" spans="4:5" x14ac:dyDescent="0.3">
      <c r="D248" s="580" t="s">
        <v>981</v>
      </c>
      <c r="E248" s="266" t="str">
        <f>VLOOKUP(D248,URS確認!E:E,1,FALSE)</f>
        <v>L6082</v>
      </c>
    </row>
    <row r="249" spans="4:5" x14ac:dyDescent="0.3">
      <c r="D249" s="580" t="s">
        <v>1009</v>
      </c>
      <c r="E249" s="266" t="str">
        <f>VLOOKUP(D249,URS確認!E:E,1,FALSE)</f>
        <v>L6084</v>
      </c>
    </row>
    <row r="250" spans="4:5" x14ac:dyDescent="0.3">
      <c r="D250" s="580" t="s">
        <v>505</v>
      </c>
      <c r="E250" s="266" t="str">
        <f>VLOOKUP(D250,URS確認!E:E,1,FALSE)</f>
        <v>L6085</v>
      </c>
    </row>
    <row r="251" spans="4:5" x14ac:dyDescent="0.3">
      <c r="D251" s="580" t="s">
        <v>512</v>
      </c>
      <c r="E251" s="266" t="str">
        <f>VLOOKUP(D251,URS確認!E:E,1,FALSE)</f>
        <v>L6086</v>
      </c>
    </row>
    <row r="252" spans="4:5" x14ac:dyDescent="0.3">
      <c r="D252" s="580" t="s">
        <v>1021</v>
      </c>
      <c r="E252" s="266" t="str">
        <f>VLOOKUP(D252,URS確認!E:E,1,FALSE)</f>
        <v>L6087</v>
      </c>
    </row>
    <row r="253" spans="4:5" x14ac:dyDescent="0.3">
      <c r="D253" s="580" t="s">
        <v>2918</v>
      </c>
      <c r="E253" s="266" t="str">
        <f>VLOOKUP(D253,URS確認!E:E,1,FALSE)</f>
        <v>L6088</v>
      </c>
    </row>
    <row r="254" spans="4:5" x14ac:dyDescent="0.3">
      <c r="D254" s="580" t="s">
        <v>387</v>
      </c>
      <c r="E254" s="266" t="str">
        <f>VLOOKUP(D254,URS確認!E:E,1,FALSE)</f>
        <v>L6101</v>
      </c>
    </row>
    <row r="255" spans="4:5" x14ac:dyDescent="0.3">
      <c r="D255" s="580" t="s">
        <v>1086</v>
      </c>
      <c r="E255" s="266" t="str">
        <f>VLOOKUP(D255,URS確認!E:E,1,FALSE)</f>
        <v>L6103</v>
      </c>
    </row>
    <row r="256" spans="4:5" x14ac:dyDescent="0.3">
      <c r="D256" s="580" t="s">
        <v>1097</v>
      </c>
      <c r="E256" s="266" t="str">
        <f>VLOOKUP(D256,URS確認!E:E,1,FALSE)</f>
        <v>L6104</v>
      </c>
    </row>
    <row r="257" spans="3:5" x14ac:dyDescent="0.3">
      <c r="C257" s="580" t="s">
        <v>2934</v>
      </c>
      <c r="E257" s="266" t="e">
        <f>VLOOKUP(D257,URS確認!E:E,1,FALSE)</f>
        <v>#N/A</v>
      </c>
    </row>
    <row r="258" spans="3:5" x14ac:dyDescent="0.3">
      <c r="C258" s="580" t="s">
        <v>2935</v>
      </c>
      <c r="E258" s="266" t="e">
        <f>VLOOKUP(D258,URS確認!E:E,1,FALSE)</f>
        <v>#N/A</v>
      </c>
    </row>
    <row r="259" spans="3:5" x14ac:dyDescent="0.3">
      <c r="D259" s="580" t="s">
        <v>752</v>
      </c>
      <c r="E259" s="266" t="str">
        <f>VLOOKUP(D259,URS確認!E:E,1,FALSE)</f>
        <v>L6201</v>
      </c>
    </row>
    <row r="260" spans="3:5" x14ac:dyDescent="0.3">
      <c r="D260" s="580" t="s">
        <v>324</v>
      </c>
      <c r="E260" s="266" t="str">
        <f>VLOOKUP(D260,URS確認!E:E,1,FALSE)</f>
        <v>L6202</v>
      </c>
    </row>
    <row r="261" spans="3:5" x14ac:dyDescent="0.3">
      <c r="D261" s="580" t="s">
        <v>2917</v>
      </c>
      <c r="E261" s="266" t="str">
        <f>VLOOKUP(D261,URS確認!E:E,1,FALSE)</f>
        <v>L6203</v>
      </c>
    </row>
    <row r="262" spans="3:5" x14ac:dyDescent="0.3">
      <c r="D262" s="580" t="s">
        <v>818</v>
      </c>
      <c r="E262" s="266" t="str">
        <f>VLOOKUP(D262,URS確認!E:E,1,FALSE)</f>
        <v>L6301</v>
      </c>
    </row>
    <row r="263" spans="3:5" x14ac:dyDescent="0.3">
      <c r="D263" s="580" t="s">
        <v>820</v>
      </c>
      <c r="E263" s="266" t="str">
        <f>VLOOKUP(D263,URS確認!E:E,1,FALSE)</f>
        <v>L6302</v>
      </c>
    </row>
    <row r="264" spans="3:5" x14ac:dyDescent="0.3">
      <c r="D264" s="580" t="s">
        <v>516</v>
      </c>
      <c r="E264" s="266" t="str">
        <f>VLOOKUP(D264,URS確認!E:E,1,FALSE)</f>
        <v>L6310</v>
      </c>
    </row>
    <row r="265" spans="3:5" x14ac:dyDescent="0.3">
      <c r="D265" s="580" t="s">
        <v>1095</v>
      </c>
      <c r="E265" s="266" t="str">
        <f>VLOOKUP(D265,URS確認!E:E,1,FALSE)</f>
        <v>L6401</v>
      </c>
    </row>
    <row r="266" spans="3:5" x14ac:dyDescent="0.3">
      <c r="D266" s="580" t="s">
        <v>1076</v>
      </c>
      <c r="E266" s="266" t="str">
        <f>VLOOKUP(D266,URS確認!E:E,1,FALSE)</f>
        <v>L6402</v>
      </c>
    </row>
    <row r="267" spans="3:5" x14ac:dyDescent="0.3">
      <c r="D267" s="580" t="s">
        <v>1084</v>
      </c>
      <c r="E267" s="266" t="str">
        <f>VLOOKUP(D267,URS確認!E:E,1,FALSE)</f>
        <v>L6403</v>
      </c>
    </row>
    <row r="268" spans="3:5" x14ac:dyDescent="0.3">
      <c r="D268" s="580" t="s">
        <v>1025</v>
      </c>
      <c r="E268" s="266" t="str">
        <f>VLOOKUP(D268,URS確認!E:E,1,FALSE)</f>
        <v>L6501</v>
      </c>
    </row>
    <row r="269" spans="3:5" x14ac:dyDescent="0.3">
      <c r="D269" s="580" t="s">
        <v>594</v>
      </c>
      <c r="E269" s="266" t="str">
        <f>VLOOKUP(D269,URS確認!E:E,1,FALSE)</f>
        <v>L6502</v>
      </c>
    </row>
    <row r="270" spans="3:5" x14ac:dyDescent="0.3">
      <c r="D270" s="580" t="s">
        <v>1027</v>
      </c>
      <c r="E270" s="266" t="str">
        <f>VLOOKUP(D270,URS確認!E:E,1,FALSE)</f>
        <v>L650A</v>
      </c>
    </row>
    <row r="271" spans="3:5" x14ac:dyDescent="0.3">
      <c r="D271" s="580" t="s">
        <v>1030</v>
      </c>
      <c r="E271" s="266" t="str">
        <f>VLOOKUP(D271,URS確認!E:E,1,FALSE)</f>
        <v>L650B</v>
      </c>
    </row>
    <row r="272" spans="3:5" x14ac:dyDescent="0.3">
      <c r="D272" s="580" t="s">
        <v>1033</v>
      </c>
      <c r="E272" s="266" t="str">
        <f>VLOOKUP(D272,URS確認!E:E,1,FALSE)</f>
        <v>L650C</v>
      </c>
    </row>
    <row r="273" spans="4:5" x14ac:dyDescent="0.3">
      <c r="D273" s="580" t="s">
        <v>1035</v>
      </c>
      <c r="E273" s="266" t="str">
        <f>VLOOKUP(D273,URS確認!E:E,1,FALSE)</f>
        <v>L650D</v>
      </c>
    </row>
    <row r="274" spans="4:5" x14ac:dyDescent="0.3">
      <c r="D274" s="580" t="s">
        <v>526</v>
      </c>
      <c r="E274" s="266" t="str">
        <f>VLOOKUP(D274,URS確認!E:E,1,FALSE)</f>
        <v>L6601</v>
      </c>
    </row>
    <row r="275" spans="4:5" x14ac:dyDescent="0.3">
      <c r="D275" s="580" t="s">
        <v>559</v>
      </c>
      <c r="E275" s="266" t="str">
        <f>VLOOKUP(D275,URS確認!E:E,1,FALSE)</f>
        <v>L6602</v>
      </c>
    </row>
    <row r="276" spans="4:5" x14ac:dyDescent="0.3">
      <c r="D276" s="580" t="s">
        <v>542</v>
      </c>
      <c r="E276" s="266" t="str">
        <f>VLOOKUP(D276,URS確認!E:E,1,FALSE)</f>
        <v>L6603</v>
      </c>
    </row>
    <row r="277" spans="4:5" x14ac:dyDescent="0.3">
      <c r="D277" s="580" t="s">
        <v>520</v>
      </c>
      <c r="E277" s="266" t="str">
        <f>VLOOKUP(D277,URS確認!E:E,1,FALSE)</f>
        <v>L6604</v>
      </c>
    </row>
    <row r="278" spans="4:5" x14ac:dyDescent="0.3">
      <c r="D278" s="580" t="s">
        <v>568</v>
      </c>
      <c r="E278" s="266" t="str">
        <f>VLOOKUP(D278,URS確認!E:E,1,FALSE)</f>
        <v>L6605</v>
      </c>
    </row>
    <row r="279" spans="4:5" x14ac:dyDescent="0.3">
      <c r="D279" s="580" t="s">
        <v>573</v>
      </c>
      <c r="E279" s="266" t="str">
        <f>VLOOKUP(D279,URS確認!E:E,1,FALSE)</f>
        <v>L6606</v>
      </c>
    </row>
    <row r="280" spans="4:5" x14ac:dyDescent="0.3">
      <c r="D280" s="580" t="s">
        <v>548</v>
      </c>
      <c r="E280" s="266" t="str">
        <f>VLOOKUP(D280,URS確認!E:E,1,FALSE)</f>
        <v>L6607</v>
      </c>
    </row>
    <row r="281" spans="4:5" x14ac:dyDescent="0.3">
      <c r="D281" s="580" t="s">
        <v>1080</v>
      </c>
      <c r="E281" s="266" t="str">
        <f>VLOOKUP(D281,URS確認!E:E,1,FALSE)</f>
        <v>L6608</v>
      </c>
    </row>
    <row r="282" spans="4:5" x14ac:dyDescent="0.3">
      <c r="D282" s="580" t="s">
        <v>209</v>
      </c>
      <c r="E282" s="266" t="str">
        <f>VLOOKUP(D282,URS確認!E:E,1,FALSE)</f>
        <v>L6700</v>
      </c>
    </row>
    <row r="283" spans="4:5" x14ac:dyDescent="0.3">
      <c r="D283" s="580" t="s">
        <v>579</v>
      </c>
      <c r="E283" s="266" t="str">
        <f>VLOOKUP(D283,URS確認!E:E,1,FALSE)</f>
        <v>L6701</v>
      </c>
    </row>
    <row r="284" spans="4:5" x14ac:dyDescent="0.3">
      <c r="D284" s="580" t="s">
        <v>1092</v>
      </c>
      <c r="E284" s="266" t="str">
        <f>VLOOKUP(D284,URS確認!E:E,1,FALSE)</f>
        <v>L6702</v>
      </c>
    </row>
    <row r="285" spans="4:5" x14ac:dyDescent="0.3">
      <c r="D285" s="580" t="s">
        <v>584</v>
      </c>
      <c r="E285" s="266" t="str">
        <f>VLOOKUP(D285,URS確認!E:E,1,FALSE)</f>
        <v>L6703</v>
      </c>
    </row>
    <row r="286" spans="4:5" x14ac:dyDescent="0.3">
      <c r="D286" s="580" t="s">
        <v>562</v>
      </c>
      <c r="E286" s="266" t="str">
        <f>VLOOKUP(D286,URS確認!E:E,1,FALSE)</f>
        <v>L6704</v>
      </c>
    </row>
    <row r="287" spans="4:5" x14ac:dyDescent="0.3">
      <c r="D287" s="580" t="s">
        <v>554</v>
      </c>
      <c r="E287" s="266" t="str">
        <f>VLOOKUP(D287,URS確認!E:E,1,FALSE)</f>
        <v>L6705</v>
      </c>
    </row>
    <row r="288" spans="4:5" x14ac:dyDescent="0.3">
      <c r="D288" s="580" t="s">
        <v>532</v>
      </c>
      <c r="E288" s="266" t="str">
        <f>VLOOKUP(D288,URS確認!E:E,1,FALSE)</f>
        <v>L6707</v>
      </c>
    </row>
    <row r="289" spans="4:5" x14ac:dyDescent="0.3">
      <c r="D289" s="580" t="s">
        <v>535</v>
      </c>
      <c r="E289" s="266" t="str">
        <f>VLOOKUP(D289,URS確認!E:E,1,FALSE)</f>
        <v>L6708</v>
      </c>
    </row>
    <row r="290" spans="4:5" x14ac:dyDescent="0.3">
      <c r="D290" s="580" t="s">
        <v>590</v>
      </c>
      <c r="E290" s="266" t="str">
        <f>VLOOKUP(D290,URS確認!E:E,1,FALSE)</f>
        <v>L6709</v>
      </c>
    </row>
    <row r="291" spans="4:5" x14ac:dyDescent="0.3">
      <c r="D291" s="580" t="s">
        <v>1019</v>
      </c>
      <c r="E291" s="266" t="str">
        <f>VLOOKUP(D291,URS確認!E:E,1,FALSE)</f>
        <v>L6751</v>
      </c>
    </row>
    <row r="292" spans="4:5" x14ac:dyDescent="0.3">
      <c r="D292" s="580" t="s">
        <v>986</v>
      </c>
      <c r="E292" s="266" t="str">
        <f>VLOOKUP(D292,URS確認!E:E,1,FALSE)</f>
        <v>L6752</v>
      </c>
    </row>
    <row r="293" spans="4:5" x14ac:dyDescent="0.3">
      <c r="D293" s="580" t="s">
        <v>1013</v>
      </c>
      <c r="E293" s="266" t="str">
        <f>VLOOKUP(D293,URS確認!E:E,1,FALSE)</f>
        <v>L6754</v>
      </c>
    </row>
    <row r="294" spans="4:5" x14ac:dyDescent="0.3">
      <c r="D294" s="580" t="s">
        <v>510</v>
      </c>
      <c r="E294" s="266" t="str">
        <f>VLOOKUP(D294,URS確認!E:E,1,FALSE)</f>
        <v>L6755</v>
      </c>
    </row>
    <row r="295" spans="4:5" x14ac:dyDescent="0.3">
      <c r="D295" s="580" t="s">
        <v>1015</v>
      </c>
      <c r="E295" s="266" t="str">
        <f>VLOOKUP(D295,URS確認!E:E,1,FALSE)</f>
        <v>L6757</v>
      </c>
    </row>
    <row r="296" spans="4:5" x14ac:dyDescent="0.3">
      <c r="D296" s="580" t="s">
        <v>1023</v>
      </c>
      <c r="E296" s="266" t="str">
        <f>VLOOKUP(D296,URS確認!E:E,1,FALSE)</f>
        <v>L6787</v>
      </c>
    </row>
    <row r="297" spans="4:5" x14ac:dyDescent="0.3">
      <c r="D297" s="580" t="s">
        <v>756</v>
      </c>
      <c r="E297" s="266" t="str">
        <f>VLOOKUP(D297,URS確認!E:E,1,FALSE)</f>
        <v>L6901</v>
      </c>
    </row>
    <row r="298" spans="4:5" x14ac:dyDescent="0.3">
      <c r="D298" s="580" t="s">
        <v>758</v>
      </c>
      <c r="E298" s="266" t="str">
        <f>VLOOKUP(D298,URS確認!E:E,1,FALSE)</f>
        <v>L6902</v>
      </c>
    </row>
    <row r="299" spans="4:5" x14ac:dyDescent="0.3">
      <c r="D299" s="580" t="s">
        <v>760</v>
      </c>
      <c r="E299" s="266" t="str">
        <f>VLOOKUP(D299,URS確認!E:E,1,FALSE)</f>
        <v>L6903</v>
      </c>
    </row>
    <row r="300" spans="4:5" x14ac:dyDescent="0.3">
      <c r="D300" s="580" t="s">
        <v>762</v>
      </c>
      <c r="E300" s="266" t="str">
        <f>VLOOKUP(D300,URS確認!E:E,1,FALSE)</f>
        <v>L6904</v>
      </c>
    </row>
    <row r="301" spans="4:5" x14ac:dyDescent="0.3">
      <c r="D301" s="580" t="s">
        <v>764</v>
      </c>
      <c r="E301" s="266" t="str">
        <f>VLOOKUP(D301,URS確認!E:E,1,FALSE)</f>
        <v>L6905</v>
      </c>
    </row>
    <row r="302" spans="4:5" x14ac:dyDescent="0.3">
      <c r="D302" s="580" t="s">
        <v>767</v>
      </c>
      <c r="E302" s="266" t="str">
        <f>VLOOKUP(D302,URS確認!E:E,1,FALSE)</f>
        <v>L6906</v>
      </c>
    </row>
    <row r="303" spans="4:5" x14ac:dyDescent="0.3">
      <c r="D303" s="580" t="s">
        <v>769</v>
      </c>
      <c r="E303" s="266" t="str">
        <f>VLOOKUP(D303,URS確認!E:E,1,FALSE)</f>
        <v>L6907</v>
      </c>
    </row>
    <row r="304" spans="4:5" x14ac:dyDescent="0.3">
      <c r="D304" s="580" t="s">
        <v>771</v>
      </c>
      <c r="E304" s="266" t="str">
        <f>VLOOKUP(D304,URS確認!E:E,1,FALSE)</f>
        <v>L6908</v>
      </c>
    </row>
    <row r="305" spans="3:5" x14ac:dyDescent="0.3">
      <c r="D305" s="580" t="s">
        <v>1101</v>
      </c>
      <c r="E305" s="266" t="str">
        <f>VLOOKUP(D305,URS確認!E:E,1,FALSE)</f>
        <v>L6932</v>
      </c>
    </row>
    <row r="306" spans="3:5" x14ac:dyDescent="0.3">
      <c r="D306" s="580" t="s">
        <v>2919</v>
      </c>
      <c r="E306" s="266" t="str">
        <f>VLOOKUP(D306,URS確認!E:E,1,FALSE)</f>
        <v>L6933</v>
      </c>
    </row>
    <row r="307" spans="3:5" x14ac:dyDescent="0.3">
      <c r="D307" s="580" t="s">
        <v>2920</v>
      </c>
      <c r="E307" s="266" t="str">
        <f>VLOOKUP(D307,URS確認!E:E,1,FALSE)</f>
        <v>L6934</v>
      </c>
    </row>
    <row r="308" spans="3:5" x14ac:dyDescent="0.3">
      <c r="D308" s="580" t="s">
        <v>2863</v>
      </c>
      <c r="E308" s="266" t="str">
        <f>VLOOKUP(D308,URS確認!E:E,1,FALSE)</f>
        <v>L6943</v>
      </c>
    </row>
    <row r="309" spans="3:5" x14ac:dyDescent="0.3">
      <c r="D309" s="580" t="s">
        <v>750</v>
      </c>
      <c r="E309" s="266" t="str">
        <f>VLOOKUP(D309,URS確認!E:E,1,FALSE)</f>
        <v>L6981</v>
      </c>
    </row>
    <row r="310" spans="3:5" x14ac:dyDescent="0.3">
      <c r="D310" s="580" t="s">
        <v>739</v>
      </c>
      <c r="E310" s="266" t="str">
        <f>VLOOKUP(D310,URS確認!E:E,1,FALSE)</f>
        <v>L6982</v>
      </c>
    </row>
    <row r="311" spans="3:5" x14ac:dyDescent="0.3">
      <c r="D311" s="580" t="s">
        <v>741</v>
      </c>
      <c r="E311" s="266" t="str">
        <f>VLOOKUP(D311,URS確認!E:E,1,FALSE)</f>
        <v>L6983</v>
      </c>
    </row>
    <row r="312" spans="3:5" x14ac:dyDescent="0.3">
      <c r="D312" s="580" t="s">
        <v>296</v>
      </c>
      <c r="E312" s="266" t="str">
        <f>VLOOKUP(D312,URS確認!E:E,1,FALSE)</f>
        <v>L6984</v>
      </c>
    </row>
    <row r="313" spans="3:5" x14ac:dyDescent="0.3">
      <c r="C313" s="580" t="s">
        <v>1785</v>
      </c>
      <c r="E313" s="266" t="str">
        <f>VLOOKUP(C313,URS確認!E:E,1,FALSE)</f>
        <v>L698A</v>
      </c>
    </row>
    <row r="314" spans="3:5" x14ac:dyDescent="0.3">
      <c r="D314" s="580" t="s">
        <v>1011</v>
      </c>
      <c r="E314" s="266" t="str">
        <f>VLOOKUP(D314,URS確認!E:E,1,FALSE)</f>
        <v>L6994</v>
      </c>
    </row>
    <row r="315" spans="3:5" x14ac:dyDescent="0.3">
      <c r="D315" s="580" t="s">
        <v>891</v>
      </c>
      <c r="E315" s="266" t="str">
        <f>VLOOKUP(D315,URS確認!E:E,1,FALSE)</f>
        <v>L8080</v>
      </c>
    </row>
    <row r="316" spans="3:5" x14ac:dyDescent="0.3">
      <c r="D316" s="580" t="s">
        <v>894</v>
      </c>
      <c r="E316" s="266" t="str">
        <f>VLOOKUP(D316,URS確認!E:E,1,FALSE)</f>
        <v>L8100</v>
      </c>
    </row>
    <row r="317" spans="3:5" x14ac:dyDescent="0.3">
      <c r="D317" s="580" t="s">
        <v>929</v>
      </c>
      <c r="E317" s="266" t="str">
        <f>VLOOKUP(D317,URS確認!E:E,1,FALSE)</f>
        <v>L8204</v>
      </c>
    </row>
    <row r="318" spans="3:5" x14ac:dyDescent="0.3">
      <c r="D318" s="580" t="s">
        <v>925</v>
      </c>
      <c r="E318" s="266" t="str">
        <f>VLOOKUP(D318,URS確認!E:E,1,FALSE)</f>
        <v>L8923</v>
      </c>
    </row>
    <row r="319" spans="3:5" x14ac:dyDescent="0.3">
      <c r="D319" s="580" t="s">
        <v>915</v>
      </c>
      <c r="E319" s="266" t="str">
        <f>VLOOKUP(D319,URS確認!E:E,1,FALSE)</f>
        <v>L8924</v>
      </c>
    </row>
    <row r="320" spans="3:5" x14ac:dyDescent="0.3">
      <c r="D320" s="580" t="s">
        <v>2936</v>
      </c>
      <c r="E320" s="266" t="str">
        <f>VLOOKUP(D320,URS確認!E:E,1,FALSE)</f>
        <v>L8925</v>
      </c>
    </row>
    <row r="321" spans="3:5" x14ac:dyDescent="0.3">
      <c r="D321" s="580" t="s">
        <v>285</v>
      </c>
      <c r="E321" s="266" t="str">
        <f>VLOOKUP(D321,URS確認!E:E,1,FALSE)</f>
        <v>L9110</v>
      </c>
    </row>
    <row r="322" spans="3:5" x14ac:dyDescent="0.3">
      <c r="D322" s="580" t="s">
        <v>1362</v>
      </c>
      <c r="E322" s="266" t="str">
        <f>VLOOKUP(D322,URS確認!E:E,1,FALSE)</f>
        <v>LC001</v>
      </c>
    </row>
    <row r="323" spans="3:5" x14ac:dyDescent="0.3">
      <c r="D323" s="580" t="s">
        <v>1365</v>
      </c>
      <c r="E323" s="266" t="str">
        <f>VLOOKUP(D323,URS確認!E:E,1,FALSE)</f>
        <v>LC002</v>
      </c>
    </row>
    <row r="324" spans="3:5" x14ac:dyDescent="0.3">
      <c r="D324" s="580" t="s">
        <v>1368</v>
      </c>
      <c r="E324" s="266" t="str">
        <f>VLOOKUP(D324,URS確認!E:E,1,FALSE)</f>
        <v>LC003</v>
      </c>
    </row>
    <row r="325" spans="3:5" x14ac:dyDescent="0.3">
      <c r="D325" s="580" t="s">
        <v>1373</v>
      </c>
      <c r="E325" s="266" t="str">
        <f>VLOOKUP(D325,URS確認!E:E,1,FALSE)</f>
        <v>LC005</v>
      </c>
    </row>
    <row r="326" spans="3:5" x14ac:dyDescent="0.3">
      <c r="D326" s="580" t="s">
        <v>1375</v>
      </c>
      <c r="E326" s="266" t="str">
        <f>VLOOKUP(D326,URS確認!E:E,1,FALSE)</f>
        <v>LC009</v>
      </c>
    </row>
    <row r="327" spans="3:5" x14ac:dyDescent="0.3">
      <c r="D327" s="580" t="s">
        <v>1379</v>
      </c>
      <c r="E327" s="266" t="str">
        <f>VLOOKUP(D327,URS確認!E:E,1,FALSE)</f>
        <v>LC011</v>
      </c>
    </row>
    <row r="328" spans="3:5" x14ac:dyDescent="0.3">
      <c r="C328" s="580" t="s">
        <v>2952</v>
      </c>
      <c r="D328" s="580" t="s">
        <v>2927</v>
      </c>
      <c r="E328" s="266" t="e">
        <f>VLOOKUP(D328,URS確認!E:E,1,FALSE)</f>
        <v>#N/A</v>
      </c>
    </row>
    <row r="329" spans="3:5" x14ac:dyDescent="0.3">
      <c r="C329" s="580" t="s">
        <v>2955</v>
      </c>
      <c r="D329" s="580" t="s">
        <v>2928</v>
      </c>
      <c r="E329" s="266" t="e">
        <f>VLOOKUP(D329,URS確認!E:E,1,FALSE)</f>
        <v>#N/A</v>
      </c>
    </row>
    <row r="330" spans="3:5" x14ac:dyDescent="0.3">
      <c r="D330" s="580" t="s">
        <v>2929</v>
      </c>
      <c r="E330" s="266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6" bestFit="1" customWidth="1"/>
    <col min="3" max="3" width="11.59765625" style="332" bestFit="1" customWidth="1"/>
    <col min="4" max="4" width="50.69921875" style="266" customWidth="1"/>
    <col min="5" max="6" width="10.19921875" style="266" bestFit="1" customWidth="1"/>
  </cols>
  <sheetData>
    <row r="1" spans="1:7" x14ac:dyDescent="0.3">
      <c r="A1" t="s">
        <v>2392</v>
      </c>
    </row>
    <row r="3" spans="1:7" x14ac:dyDescent="0.3">
      <c r="A3" s="266" t="s">
        <v>981</v>
      </c>
      <c r="B3" t="str">
        <f t="shared" ref="B3:B34" si="0">IF(FIND("連結",D3)&gt;0,"連結",FIND("連結",D3))</f>
        <v>連結</v>
      </c>
      <c r="C3" s="332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6" t="s">
        <v>986</v>
      </c>
      <c r="B4" t="str">
        <f t="shared" si="0"/>
        <v>連結</v>
      </c>
      <c r="C4" s="332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6" t="s">
        <v>989</v>
      </c>
      <c r="B5" t="e">
        <f t="shared" si="0"/>
        <v>#VALUE!</v>
      </c>
      <c r="C5" s="332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6" t="s">
        <v>991</v>
      </c>
      <c r="B6" t="e">
        <f t="shared" si="0"/>
        <v>#VALUE!</v>
      </c>
      <c r="C6" s="332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6" t="s">
        <v>993</v>
      </c>
      <c r="B7" t="e">
        <f t="shared" si="0"/>
        <v>#VALUE!</v>
      </c>
      <c r="C7" s="332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6" t="s">
        <v>1001</v>
      </c>
      <c r="B8" t="e">
        <f t="shared" si="0"/>
        <v>#VALUE!</v>
      </c>
      <c r="C8" s="332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6" t="s">
        <v>995</v>
      </c>
      <c r="B9" t="e">
        <f t="shared" si="0"/>
        <v>#VALUE!</v>
      </c>
      <c r="C9" s="332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6" t="s">
        <v>997</v>
      </c>
      <c r="B10" t="e">
        <f t="shared" si="0"/>
        <v>#VALUE!</v>
      </c>
      <c r="C10" s="332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6" t="s">
        <v>1003</v>
      </c>
      <c r="B11" t="e">
        <f t="shared" si="0"/>
        <v>#VALUE!</v>
      </c>
      <c r="C11" s="332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6" t="s">
        <v>1007</v>
      </c>
      <c r="B12" t="str">
        <f t="shared" si="0"/>
        <v>連結</v>
      </c>
      <c r="C12" s="332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6" t="s">
        <v>1019</v>
      </c>
      <c r="B13" t="e">
        <f t="shared" si="0"/>
        <v>#VALUE!</v>
      </c>
      <c r="C13" s="332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6" t="s">
        <v>1023</v>
      </c>
      <c r="B14" t="e">
        <f t="shared" si="0"/>
        <v>#VALUE!</v>
      </c>
      <c r="C14" s="332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6" t="s">
        <v>1025</v>
      </c>
      <c r="B15" t="e">
        <f t="shared" si="0"/>
        <v>#VALUE!</v>
      </c>
      <c r="C15" s="332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6" t="s">
        <v>1011</v>
      </c>
      <c r="B16" t="e">
        <f t="shared" si="0"/>
        <v>#VALUE!</v>
      </c>
      <c r="C16" s="332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6" t="s">
        <v>1013</v>
      </c>
      <c r="B17" t="e">
        <f t="shared" si="0"/>
        <v>#VALUE!</v>
      </c>
      <c r="C17" s="332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6" t="s">
        <v>1015</v>
      </c>
      <c r="B18" t="e">
        <f t="shared" si="0"/>
        <v>#VALUE!</v>
      </c>
      <c r="C18" s="332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6" t="s">
        <v>1052</v>
      </c>
      <c r="B19" t="e">
        <f t="shared" si="0"/>
        <v>#VALUE!</v>
      </c>
      <c r="C19" s="332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6" t="s">
        <v>298</v>
      </c>
      <c r="B20" t="str">
        <f t="shared" si="0"/>
        <v>連結</v>
      </c>
      <c r="C20" s="332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6" t="s">
        <v>1416</v>
      </c>
      <c r="B21" t="e">
        <f t="shared" si="0"/>
        <v>#VALUE!</v>
      </c>
      <c r="C21" s="332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6" t="s">
        <v>1419</v>
      </c>
      <c r="B22" t="e">
        <f t="shared" si="0"/>
        <v>#VALUE!</v>
      </c>
      <c r="C22" s="332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6" t="s">
        <v>1513</v>
      </c>
      <c r="B23" t="e">
        <f t="shared" si="0"/>
        <v>#VALUE!</v>
      </c>
      <c r="C23" s="332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6" t="s">
        <v>1517</v>
      </c>
      <c r="B24" t="e">
        <f t="shared" si="0"/>
        <v>#VALUE!</v>
      </c>
      <c r="C24" s="332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6" t="s">
        <v>108</v>
      </c>
      <c r="B25" t="e">
        <f t="shared" si="0"/>
        <v>#VALUE!</v>
      </c>
      <c r="C25" s="332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6" t="s">
        <v>114</v>
      </c>
      <c r="B26" t="e">
        <f t="shared" si="0"/>
        <v>#VALUE!</v>
      </c>
      <c r="C26" s="332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6" t="s">
        <v>121</v>
      </c>
      <c r="B27" t="e">
        <f t="shared" si="0"/>
        <v>#VALUE!</v>
      </c>
      <c r="C27" s="332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6" t="s">
        <v>137</v>
      </c>
      <c r="B28" t="str">
        <f t="shared" si="0"/>
        <v>連結</v>
      </c>
      <c r="C28" s="332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6" t="s">
        <v>257</v>
      </c>
      <c r="B29" t="e">
        <f t="shared" si="0"/>
        <v>#VALUE!</v>
      </c>
      <c r="C29" s="332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6" t="s">
        <v>139</v>
      </c>
      <c r="B30" t="e">
        <f t="shared" si="0"/>
        <v>#VALUE!</v>
      </c>
      <c r="C30" s="332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6" t="s">
        <v>143</v>
      </c>
      <c r="B31" t="e">
        <f t="shared" si="0"/>
        <v>#VALUE!</v>
      </c>
      <c r="C31" s="332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6" t="s">
        <v>148</v>
      </c>
      <c r="B32" t="e">
        <f t="shared" si="0"/>
        <v>#VALUE!</v>
      </c>
      <c r="C32" s="332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6" t="s">
        <v>118</v>
      </c>
      <c r="B33" t="e">
        <f t="shared" si="0"/>
        <v>#VALUE!</v>
      </c>
      <c r="C33" s="332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6" t="s">
        <v>125</v>
      </c>
      <c r="B34" t="e">
        <f t="shared" si="0"/>
        <v>#VALUE!</v>
      </c>
      <c r="C34" s="332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6" t="s">
        <v>1390</v>
      </c>
      <c r="B35" t="e">
        <f t="shared" ref="B35:B66" si="3">IF(FIND("連結",D35)&gt;0,"連結",FIND("連結",D35))</f>
        <v>#VALUE!</v>
      </c>
      <c r="C35" s="332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6" t="s">
        <v>1569</v>
      </c>
      <c r="B36" t="e">
        <f t="shared" si="3"/>
        <v>#VALUE!</v>
      </c>
      <c r="C36" s="332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6" t="s">
        <v>818</v>
      </c>
      <c r="B37" t="e">
        <f t="shared" si="3"/>
        <v>#VALUE!</v>
      </c>
      <c r="C37" s="332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6" t="s">
        <v>820</v>
      </c>
      <c r="B38" t="str">
        <f t="shared" si="3"/>
        <v>連結</v>
      </c>
      <c r="C38" s="332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6" t="s">
        <v>172</v>
      </c>
      <c r="B39" t="e">
        <f t="shared" si="3"/>
        <v>#VALUE!</v>
      </c>
      <c r="C39" s="332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6" t="s">
        <v>174</v>
      </c>
      <c r="B40" t="e">
        <f t="shared" si="3"/>
        <v>#VALUE!</v>
      </c>
      <c r="C40" s="332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6" t="s">
        <v>178</v>
      </c>
      <c r="B41" t="e">
        <f t="shared" si="3"/>
        <v>#VALUE!</v>
      </c>
      <c r="C41" s="332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6" t="s">
        <v>180</v>
      </c>
      <c r="B42" t="e">
        <f t="shared" si="3"/>
        <v>#VALUE!</v>
      </c>
      <c r="C42" s="332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6" t="s">
        <v>185</v>
      </c>
      <c r="B43" t="e">
        <f t="shared" si="3"/>
        <v>#VALUE!</v>
      </c>
      <c r="C43" s="332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6" t="s">
        <v>188</v>
      </c>
      <c r="B44" t="str">
        <f t="shared" si="3"/>
        <v>連結</v>
      </c>
      <c r="C44" s="332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6" t="s">
        <v>191</v>
      </c>
      <c r="B45" t="str">
        <f t="shared" si="3"/>
        <v>連結</v>
      </c>
      <c r="C45" s="332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6" t="s">
        <v>194</v>
      </c>
      <c r="B46" t="e">
        <f t="shared" si="3"/>
        <v>#VALUE!</v>
      </c>
      <c r="C46" s="332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6" t="s">
        <v>1379</v>
      </c>
      <c r="B47" t="e">
        <f t="shared" si="3"/>
        <v>#VALUE!</v>
      </c>
      <c r="C47" s="332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6" t="s">
        <v>209</v>
      </c>
      <c r="B48" t="e">
        <f t="shared" si="3"/>
        <v>#VALUE!</v>
      </c>
      <c r="C48" s="332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6" t="s">
        <v>211</v>
      </c>
      <c r="B49" t="e">
        <f t="shared" si="3"/>
        <v>#VALUE!</v>
      </c>
      <c r="C49" s="332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6" t="s">
        <v>214</v>
      </c>
      <c r="B50" t="str">
        <f t="shared" si="3"/>
        <v>連結</v>
      </c>
      <c r="C50" s="332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6" t="s">
        <v>197</v>
      </c>
      <c r="B51" t="e">
        <f t="shared" si="3"/>
        <v>#VALUE!</v>
      </c>
      <c r="C51" s="332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6" t="s">
        <v>201</v>
      </c>
      <c r="B52" t="e">
        <f t="shared" si="3"/>
        <v>#VALUE!</v>
      </c>
      <c r="C52" s="332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6" t="s">
        <v>203</v>
      </c>
      <c r="B53" t="e">
        <f t="shared" si="3"/>
        <v>#VALUE!</v>
      </c>
      <c r="C53" s="332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6" t="s">
        <v>231</v>
      </c>
      <c r="B54" t="e">
        <f t="shared" si="3"/>
        <v>#VALUE!</v>
      </c>
      <c r="C54" s="332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6" t="s">
        <v>234</v>
      </c>
      <c r="B55" t="e">
        <f t="shared" si="3"/>
        <v>#VALUE!</v>
      </c>
      <c r="C55" s="332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6" t="s">
        <v>236</v>
      </c>
      <c r="B56" t="e">
        <f t="shared" si="3"/>
        <v>#VALUE!</v>
      </c>
      <c r="C56" s="332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6" t="s">
        <v>244</v>
      </c>
      <c r="B57" t="str">
        <f t="shared" si="3"/>
        <v>連結</v>
      </c>
      <c r="C57" s="332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6" t="s">
        <v>241</v>
      </c>
      <c r="B58" t="e">
        <f t="shared" si="3"/>
        <v>#VALUE!</v>
      </c>
      <c r="C58" s="332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6" t="s">
        <v>1401</v>
      </c>
      <c r="B59" t="e">
        <f t="shared" si="3"/>
        <v>#VALUE!</v>
      </c>
      <c r="C59" s="332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6" t="s">
        <v>1404</v>
      </c>
      <c r="B60" t="e">
        <f t="shared" si="3"/>
        <v>#VALUE!</v>
      </c>
      <c r="C60" s="332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6" t="s">
        <v>261</v>
      </c>
      <c r="B61" t="e">
        <f t="shared" si="3"/>
        <v>#VALUE!</v>
      </c>
      <c r="C61" s="332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6" t="s">
        <v>1409</v>
      </c>
      <c r="B62" t="e">
        <f t="shared" si="3"/>
        <v>#VALUE!</v>
      </c>
      <c r="C62" s="332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6" t="s">
        <v>1412</v>
      </c>
      <c r="B63" t="e">
        <f t="shared" si="3"/>
        <v>#VALUE!</v>
      </c>
      <c r="C63" s="332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6" t="s">
        <v>1414</v>
      </c>
      <c r="B64" t="e">
        <f t="shared" si="3"/>
        <v>#VALUE!</v>
      </c>
      <c r="C64" s="332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6" t="s">
        <v>1406</v>
      </c>
      <c r="B65" t="e">
        <f t="shared" si="3"/>
        <v>#VALUE!</v>
      </c>
      <c r="C65" s="332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6" t="s">
        <v>265</v>
      </c>
      <c r="B66" t="e">
        <f t="shared" si="3"/>
        <v>#VALUE!</v>
      </c>
      <c r="C66" s="332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6" t="s">
        <v>268</v>
      </c>
      <c r="B67" t="e">
        <f t="shared" ref="B67:B98" si="6">IF(FIND("連結",D67)&gt;0,"連結",FIND("連結",D67))</f>
        <v>#VALUE!</v>
      </c>
      <c r="C67" s="332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6" t="s">
        <v>270</v>
      </c>
      <c r="B68" t="e">
        <f t="shared" si="6"/>
        <v>#VALUE!</v>
      </c>
      <c r="C68" s="332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6" t="s">
        <v>274</v>
      </c>
      <c r="B69" t="e">
        <f t="shared" si="6"/>
        <v>#VALUE!</v>
      </c>
      <c r="C69" s="332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6" t="s">
        <v>278</v>
      </c>
      <c r="B70" t="str">
        <f t="shared" si="6"/>
        <v>連結</v>
      </c>
      <c r="C70" s="332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6" t="s">
        <v>285</v>
      </c>
      <c r="B71" t="e">
        <f t="shared" si="6"/>
        <v>#VALUE!</v>
      </c>
      <c r="C71" s="332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6" t="s">
        <v>302</v>
      </c>
      <c r="B72" t="str">
        <f t="shared" si="6"/>
        <v>連結</v>
      </c>
      <c r="C72" s="332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6" t="s">
        <v>305</v>
      </c>
      <c r="B73" t="str">
        <f t="shared" si="6"/>
        <v>連結</v>
      </c>
      <c r="C73" s="332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6" t="s">
        <v>341</v>
      </c>
      <c r="B74" t="str">
        <f t="shared" si="6"/>
        <v>連結</v>
      </c>
      <c r="C74" s="332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6" t="s">
        <v>891</v>
      </c>
      <c r="B75" t="e">
        <f t="shared" si="6"/>
        <v>#VALUE!</v>
      </c>
      <c r="C75" s="332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6" t="s">
        <v>293</v>
      </c>
      <c r="B76" t="e">
        <f t="shared" si="6"/>
        <v>#VALUE!</v>
      </c>
      <c r="C76" s="332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6" t="s">
        <v>296</v>
      </c>
      <c r="B77" t="e">
        <f t="shared" si="6"/>
        <v>#VALUE!</v>
      </c>
      <c r="C77" s="332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6" t="s">
        <v>326</v>
      </c>
      <c r="B78" t="e">
        <f t="shared" si="6"/>
        <v>#VALUE!</v>
      </c>
      <c r="C78" s="332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6" t="s">
        <v>329</v>
      </c>
      <c r="B79" t="e">
        <f t="shared" si="6"/>
        <v>#VALUE!</v>
      </c>
      <c r="C79" s="332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6" t="s">
        <v>334</v>
      </c>
      <c r="B80" t="e">
        <f t="shared" si="6"/>
        <v>#VALUE!</v>
      </c>
      <c r="C80" s="332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6" t="s">
        <v>309</v>
      </c>
      <c r="B81" t="e">
        <f t="shared" si="6"/>
        <v>#VALUE!</v>
      </c>
      <c r="C81" s="332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6" t="s">
        <v>312</v>
      </c>
      <c r="B82" t="str">
        <f t="shared" si="6"/>
        <v>連結</v>
      </c>
      <c r="C82" s="332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6" t="s">
        <v>351</v>
      </c>
      <c r="B83" t="str">
        <f t="shared" si="6"/>
        <v>連結</v>
      </c>
      <c r="C83" s="332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6" t="s">
        <v>353</v>
      </c>
      <c r="B84" t="str">
        <f t="shared" si="6"/>
        <v>連結</v>
      </c>
      <c r="C84" s="332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6" t="s">
        <v>359</v>
      </c>
      <c r="B85" t="e">
        <f t="shared" si="6"/>
        <v>#VALUE!</v>
      </c>
      <c r="C85" s="332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6" t="s">
        <v>361</v>
      </c>
      <c r="B86" t="str">
        <f t="shared" si="6"/>
        <v>連結</v>
      </c>
      <c r="C86" s="332" t="str">
        <f t="shared" si="7"/>
        <v>L5977</v>
      </c>
      <c r="D86" t="s">
        <v>1801</v>
      </c>
      <c r="F86" s="266" t="str">
        <f t="shared" si="8"/>
        <v>L8203</v>
      </c>
      <c r="G86" t="s">
        <v>2168</v>
      </c>
    </row>
    <row r="87" spans="1:7" x14ac:dyDescent="0.3">
      <c r="A87" s="266" t="s">
        <v>363</v>
      </c>
      <c r="B87" t="e">
        <f t="shared" si="6"/>
        <v>#VALUE!</v>
      </c>
      <c r="C87" s="332" t="str">
        <f t="shared" si="7"/>
        <v>L5711</v>
      </c>
      <c r="D87" t="s">
        <v>1802</v>
      </c>
      <c r="F87" s="266" t="str">
        <f t="shared" si="8"/>
        <v>L8204</v>
      </c>
      <c r="G87" t="s">
        <v>2169</v>
      </c>
    </row>
    <row r="88" spans="1:7" x14ac:dyDescent="0.3">
      <c r="A88" s="266" t="s">
        <v>365</v>
      </c>
      <c r="B88" t="e">
        <f t="shared" si="6"/>
        <v>#VALUE!</v>
      </c>
      <c r="C88" s="332" t="str">
        <f t="shared" si="7"/>
        <v>L5711</v>
      </c>
      <c r="D88" t="s">
        <v>1803</v>
      </c>
      <c r="F88" s="266" t="str">
        <f t="shared" si="8"/>
        <v>L5813</v>
      </c>
      <c r="G88" t="s">
        <v>2170</v>
      </c>
    </row>
    <row r="89" spans="1:7" x14ac:dyDescent="0.3">
      <c r="A89" s="266" t="s">
        <v>374</v>
      </c>
      <c r="B89" t="e">
        <f t="shared" si="6"/>
        <v>#VALUE!</v>
      </c>
      <c r="C89" s="332" t="str">
        <f t="shared" si="7"/>
        <v>L6085</v>
      </c>
      <c r="D89" t="s">
        <v>1808</v>
      </c>
    </row>
    <row r="90" spans="1:7" x14ac:dyDescent="0.3">
      <c r="A90" s="266" t="s">
        <v>387</v>
      </c>
      <c r="B90" t="e">
        <f t="shared" si="6"/>
        <v>#VALUE!</v>
      </c>
      <c r="C90" s="332" t="str">
        <f t="shared" si="7"/>
        <v>L4500</v>
      </c>
      <c r="D90" t="s">
        <v>1825</v>
      </c>
    </row>
    <row r="91" spans="1:7" x14ac:dyDescent="0.3">
      <c r="A91" s="266" t="s">
        <v>394</v>
      </c>
      <c r="B91" t="e">
        <f t="shared" si="6"/>
        <v>#VALUE!</v>
      </c>
      <c r="C91" s="332" t="str">
        <f t="shared" si="7"/>
        <v>L4500</v>
      </c>
      <c r="D91" t="s">
        <v>1826</v>
      </c>
    </row>
    <row r="92" spans="1:7" x14ac:dyDescent="0.3">
      <c r="A92" s="266" t="s">
        <v>1397</v>
      </c>
      <c r="B92" t="e">
        <f t="shared" si="6"/>
        <v>#VALUE!</v>
      </c>
      <c r="C92" s="332" t="str">
        <f t="shared" si="7"/>
        <v>L4210</v>
      </c>
      <c r="D92" t="s">
        <v>1830</v>
      </c>
    </row>
    <row r="93" spans="1:7" x14ac:dyDescent="0.3">
      <c r="A93" s="266" t="s">
        <v>397</v>
      </c>
      <c r="B93" t="e">
        <f t="shared" si="6"/>
        <v>#VALUE!</v>
      </c>
      <c r="C93" s="332" t="str">
        <f t="shared" si="7"/>
        <v>L3200</v>
      </c>
      <c r="D93" t="s">
        <v>1840</v>
      </c>
    </row>
    <row r="94" spans="1:7" x14ac:dyDescent="0.3">
      <c r="A94" s="266" t="s">
        <v>399</v>
      </c>
      <c r="B94" t="e">
        <f t="shared" si="6"/>
        <v>#VALUE!</v>
      </c>
      <c r="C94" s="332" t="str">
        <f t="shared" si="7"/>
        <v>L3130</v>
      </c>
      <c r="D94" t="s">
        <v>1843</v>
      </c>
    </row>
    <row r="95" spans="1:7" x14ac:dyDescent="0.3">
      <c r="A95" s="266" t="s">
        <v>685</v>
      </c>
      <c r="B95" t="e">
        <f t="shared" si="6"/>
        <v>#VALUE!</v>
      </c>
      <c r="C95" s="332" t="str">
        <f t="shared" si="7"/>
        <v>L4920</v>
      </c>
      <c r="D95" t="s">
        <v>1855</v>
      </c>
    </row>
    <row r="96" spans="1:7" x14ac:dyDescent="0.3">
      <c r="A96" s="266" t="s">
        <v>401</v>
      </c>
      <c r="B96" t="e">
        <f t="shared" si="6"/>
        <v>#VALUE!</v>
      </c>
      <c r="C96" s="332" t="str">
        <f t="shared" si="7"/>
        <v>L6501</v>
      </c>
      <c r="D96" t="s">
        <v>1860</v>
      </c>
    </row>
    <row r="97" spans="1:4" x14ac:dyDescent="0.3">
      <c r="A97" s="266" t="s">
        <v>405</v>
      </c>
      <c r="B97" t="e">
        <f t="shared" si="6"/>
        <v>#VALUE!</v>
      </c>
      <c r="C97" s="332" t="str">
        <f t="shared" si="7"/>
        <v>L3130</v>
      </c>
      <c r="D97" t="s">
        <v>1866</v>
      </c>
    </row>
    <row r="98" spans="1:4" x14ac:dyDescent="0.3">
      <c r="A98" s="266" t="s">
        <v>408</v>
      </c>
      <c r="B98" t="str">
        <f t="shared" si="6"/>
        <v>連結</v>
      </c>
      <c r="C98" s="332" t="str">
        <f t="shared" si="7"/>
        <v>L8204</v>
      </c>
      <c r="D98" t="s">
        <v>1867</v>
      </c>
    </row>
    <row r="99" spans="1:4" x14ac:dyDescent="0.3">
      <c r="A99" s="266" t="s">
        <v>771</v>
      </c>
      <c r="B99" t="e">
        <f t="shared" ref="B99:B114" si="9">IF(FIND("連結",D99)&gt;0,"連結",FIND("連結",D99))</f>
        <v>#VALUE!</v>
      </c>
      <c r="C99" s="332" t="str">
        <f t="shared" ref="C99:C114" si="10">MID(D99,FIND("L",D99),5)</f>
        <v>L9133</v>
      </c>
      <c r="D99" t="s">
        <v>1898</v>
      </c>
    </row>
    <row r="100" spans="1:4" x14ac:dyDescent="0.3">
      <c r="A100" s="266" t="s">
        <v>416</v>
      </c>
      <c r="B100" t="e">
        <f t="shared" si="9"/>
        <v>#VALUE!</v>
      </c>
      <c r="C100" s="332" t="e">
        <f t="shared" si="10"/>
        <v>#VALUE!</v>
      </c>
      <c r="D100" t="s">
        <v>1900</v>
      </c>
    </row>
    <row r="101" spans="1:4" x14ac:dyDescent="0.3">
      <c r="A101" s="266" t="s">
        <v>420</v>
      </c>
      <c r="B101" t="str">
        <f t="shared" si="9"/>
        <v>連結</v>
      </c>
      <c r="C101" s="332" t="str">
        <f t="shared" si="10"/>
        <v>L2038</v>
      </c>
      <c r="D101" t="s">
        <v>1904</v>
      </c>
    </row>
    <row r="102" spans="1:4" x14ac:dyDescent="0.3">
      <c r="A102" s="266" t="s">
        <v>418</v>
      </c>
      <c r="B102" t="e">
        <f t="shared" si="9"/>
        <v>#VALUE!</v>
      </c>
      <c r="C102" s="332" t="str">
        <f t="shared" si="10"/>
        <v>L4610</v>
      </c>
      <c r="D102" t="s">
        <v>1909</v>
      </c>
    </row>
    <row r="103" spans="1:4" x14ac:dyDescent="0.3">
      <c r="A103" s="266" t="s">
        <v>424</v>
      </c>
      <c r="B103" t="e">
        <f t="shared" si="9"/>
        <v>#VALUE!</v>
      </c>
      <c r="C103" s="332" t="str">
        <f t="shared" si="10"/>
        <v>L4611</v>
      </c>
      <c r="D103" t="s">
        <v>1910</v>
      </c>
    </row>
    <row r="104" spans="1:4" x14ac:dyDescent="0.3">
      <c r="A104" s="266" t="s">
        <v>438</v>
      </c>
      <c r="B104" t="e">
        <f t="shared" si="9"/>
        <v>#VALUE!</v>
      </c>
      <c r="C104" s="332" t="str">
        <f t="shared" si="10"/>
        <v>L4962</v>
      </c>
      <c r="D104" t="s">
        <v>1911</v>
      </c>
    </row>
    <row r="105" spans="1:4" x14ac:dyDescent="0.3">
      <c r="A105" s="266" t="s">
        <v>444</v>
      </c>
      <c r="B105" t="str">
        <f t="shared" si="9"/>
        <v>連結</v>
      </c>
      <c r="C105" s="332" t="str">
        <f t="shared" si="10"/>
        <v>L4961</v>
      </c>
      <c r="D105" t="s">
        <v>1912</v>
      </c>
    </row>
    <row r="106" spans="1:4" x14ac:dyDescent="0.3">
      <c r="A106" s="266" t="s">
        <v>446</v>
      </c>
      <c r="B106" t="e">
        <f t="shared" si="9"/>
        <v>#VALUE!</v>
      </c>
      <c r="C106" s="332" t="str">
        <f t="shared" si="10"/>
        <v>L6301</v>
      </c>
      <c r="D106" t="s">
        <v>1917</v>
      </c>
    </row>
    <row r="107" spans="1:4" x14ac:dyDescent="0.3">
      <c r="A107" s="266" t="s">
        <v>448</v>
      </c>
      <c r="B107" t="e">
        <f t="shared" si="9"/>
        <v>#VALUE!</v>
      </c>
      <c r="C107" s="332" t="str">
        <f t="shared" si="10"/>
        <v>L8204</v>
      </c>
      <c r="D107" t="s">
        <v>1943</v>
      </c>
    </row>
    <row r="108" spans="1:4" x14ac:dyDescent="0.3">
      <c r="A108" s="266" t="s">
        <v>441</v>
      </c>
      <c r="B108" t="e">
        <f t="shared" si="9"/>
        <v>#VALUE!</v>
      </c>
      <c r="C108" s="332" t="e">
        <f t="shared" si="10"/>
        <v>#VALUE!</v>
      </c>
      <c r="D108" t="s">
        <v>1948</v>
      </c>
    </row>
    <row r="109" spans="1:4" x14ac:dyDescent="0.3">
      <c r="A109" s="266" t="s">
        <v>1785</v>
      </c>
      <c r="B109" t="str">
        <f t="shared" si="9"/>
        <v>連結</v>
      </c>
      <c r="C109" s="332" t="str">
        <f t="shared" si="10"/>
        <v>L2017</v>
      </c>
      <c r="D109" t="s">
        <v>1952</v>
      </c>
    </row>
    <row r="110" spans="1:4" x14ac:dyDescent="0.3">
      <c r="A110" s="266" t="s">
        <v>458</v>
      </c>
      <c r="B110" t="str">
        <f t="shared" si="9"/>
        <v>連結</v>
      </c>
      <c r="C110" s="332" t="str">
        <f t="shared" si="10"/>
        <v>L2039</v>
      </c>
      <c r="D110" t="s">
        <v>1953</v>
      </c>
    </row>
    <row r="111" spans="1:4" x14ac:dyDescent="0.3">
      <c r="A111" s="266" t="s">
        <v>462</v>
      </c>
      <c r="B111" t="e">
        <f t="shared" si="9"/>
        <v>#VALUE!</v>
      </c>
      <c r="C111" s="332" t="str">
        <f t="shared" si="10"/>
        <v>L2411</v>
      </c>
      <c r="D111" t="s">
        <v>1956</v>
      </c>
    </row>
    <row r="112" spans="1:4" x14ac:dyDescent="0.3">
      <c r="A112" s="266" t="s">
        <v>456</v>
      </c>
      <c r="B112" t="str">
        <f t="shared" si="9"/>
        <v>連結</v>
      </c>
      <c r="C112" s="332" t="str">
        <f t="shared" si="10"/>
        <v>L190A</v>
      </c>
      <c r="D112" t="s">
        <v>1968</v>
      </c>
    </row>
    <row r="113" spans="1:4" x14ac:dyDescent="0.3">
      <c r="A113" s="266" t="s">
        <v>468</v>
      </c>
      <c r="B113" t="e">
        <f t="shared" si="9"/>
        <v>#VALUE!</v>
      </c>
      <c r="C113" s="332" t="str">
        <f t="shared" si="10"/>
        <v>L5062</v>
      </c>
      <c r="D113" t="s">
        <v>1969</v>
      </c>
    </row>
    <row r="114" spans="1:4" x14ac:dyDescent="0.3">
      <c r="A114" s="266" t="s">
        <v>472</v>
      </c>
      <c r="B114" t="e">
        <f t="shared" si="9"/>
        <v>#VALUE!</v>
      </c>
      <c r="C114" s="332" t="str">
        <f t="shared" si="10"/>
        <v>L2038</v>
      </c>
      <c r="D114" t="s">
        <v>1971</v>
      </c>
    </row>
    <row r="115" spans="1:4" x14ac:dyDescent="0.3">
      <c r="A115" s="266" t="s">
        <v>501</v>
      </c>
    </row>
    <row r="116" spans="1:4" x14ac:dyDescent="0.3">
      <c r="A116" s="266" t="s">
        <v>503</v>
      </c>
    </row>
    <row r="117" spans="1:4" x14ac:dyDescent="0.3">
      <c r="A117" s="266" t="s">
        <v>479</v>
      </c>
    </row>
    <row r="118" spans="1:4" x14ac:dyDescent="0.3">
      <c r="A118" s="266" t="s">
        <v>510</v>
      </c>
    </row>
    <row r="119" spans="1:4" x14ac:dyDescent="0.3">
      <c r="A119" s="266" t="s">
        <v>505</v>
      </c>
    </row>
    <row r="120" spans="1:4" x14ac:dyDescent="0.3">
      <c r="A120" s="266" t="s">
        <v>512</v>
      </c>
    </row>
    <row r="121" spans="1:4" x14ac:dyDescent="0.3">
      <c r="A121" s="266" t="s">
        <v>518</v>
      </c>
    </row>
    <row r="122" spans="1:4" x14ac:dyDescent="0.3">
      <c r="A122" s="266" t="s">
        <v>520</v>
      </c>
    </row>
    <row r="123" spans="1:4" x14ac:dyDescent="0.3">
      <c r="A123" s="266" t="s">
        <v>514</v>
      </c>
    </row>
    <row r="124" spans="1:4" x14ac:dyDescent="0.3">
      <c r="A124" s="266" t="s">
        <v>560</v>
      </c>
    </row>
    <row r="125" spans="1:4" x14ac:dyDescent="0.3">
      <c r="A125" s="266" t="s">
        <v>562</v>
      </c>
    </row>
    <row r="126" spans="1:4" x14ac:dyDescent="0.3">
      <c r="A126" s="266" t="s">
        <v>550</v>
      </c>
    </row>
    <row r="127" spans="1:4" x14ac:dyDescent="0.3">
      <c r="A127" s="266" t="s">
        <v>554</v>
      </c>
    </row>
    <row r="128" spans="1:4" x14ac:dyDescent="0.3">
      <c r="A128" s="266" t="s">
        <v>1095</v>
      </c>
    </row>
    <row r="129" spans="1:1" x14ac:dyDescent="0.3">
      <c r="A129" s="266" t="s">
        <v>584</v>
      </c>
    </row>
    <row r="130" spans="1:1" x14ac:dyDescent="0.3">
      <c r="A130" s="266" t="s">
        <v>592</v>
      </c>
    </row>
    <row r="131" spans="1:1" x14ac:dyDescent="0.3">
      <c r="A131" s="266" t="s">
        <v>594</v>
      </c>
    </row>
    <row r="132" spans="1:1" x14ac:dyDescent="0.3">
      <c r="A132" s="266" t="s">
        <v>601</v>
      </c>
    </row>
    <row r="133" spans="1:1" x14ac:dyDescent="0.3">
      <c r="A133" s="266" t="s">
        <v>609</v>
      </c>
    </row>
    <row r="134" spans="1:1" x14ac:dyDescent="0.3">
      <c r="A134" s="266" t="s">
        <v>607</v>
      </c>
    </row>
    <row r="135" spans="1:1" x14ac:dyDescent="0.3">
      <c r="A135" s="266" t="s">
        <v>612</v>
      </c>
    </row>
    <row r="136" spans="1:1" x14ac:dyDescent="0.3">
      <c r="A136" s="266" t="s">
        <v>764</v>
      </c>
    </row>
    <row r="137" spans="1:1" x14ac:dyDescent="0.3">
      <c r="A137" s="266" t="s">
        <v>347</v>
      </c>
    </row>
    <row r="138" spans="1:1" x14ac:dyDescent="0.3">
      <c r="A138" s="266" t="s">
        <v>704</v>
      </c>
    </row>
    <row r="139" spans="1:1" x14ac:dyDescent="0.3">
      <c r="A139" s="266" t="s">
        <v>680</v>
      </c>
    </row>
    <row r="140" spans="1:1" x14ac:dyDescent="0.3">
      <c r="A140" s="266" t="s">
        <v>619</v>
      </c>
    </row>
    <row r="141" spans="1:1" x14ac:dyDescent="0.3">
      <c r="A141" s="266" t="s">
        <v>647</v>
      </c>
    </row>
    <row r="142" spans="1:1" x14ac:dyDescent="0.3">
      <c r="A142" s="266" t="s">
        <v>651</v>
      </c>
    </row>
    <row r="143" spans="1:1" x14ac:dyDescent="0.3">
      <c r="A143" s="266" t="s">
        <v>626</v>
      </c>
    </row>
    <row r="144" spans="1:1" x14ac:dyDescent="0.3">
      <c r="A144" s="266" t="s">
        <v>655</v>
      </c>
    </row>
    <row r="145" spans="1:1" x14ac:dyDescent="0.3">
      <c r="A145" s="266" t="s">
        <v>657</v>
      </c>
    </row>
    <row r="146" spans="1:1" x14ac:dyDescent="0.3">
      <c r="A146" s="266" t="s">
        <v>929</v>
      </c>
    </row>
    <row r="147" spans="1:1" x14ac:dyDescent="0.3">
      <c r="A147" s="266" t="s">
        <v>675</v>
      </c>
    </row>
    <row r="148" spans="1:1" x14ac:dyDescent="0.3">
      <c r="A148" s="266" t="s">
        <v>1108</v>
      </c>
    </row>
    <row r="149" spans="1:1" x14ac:dyDescent="0.3">
      <c r="A149" s="266" t="s">
        <v>1120</v>
      </c>
    </row>
    <row r="150" spans="1:1" x14ac:dyDescent="0.3">
      <c r="A150" s="266" t="s">
        <v>1122</v>
      </c>
    </row>
    <row r="151" spans="1:1" x14ac:dyDescent="0.3">
      <c r="A151" s="266" t="s">
        <v>1168</v>
      </c>
    </row>
    <row r="152" spans="1:1" x14ac:dyDescent="0.3">
      <c r="A152" s="266" t="s">
        <v>636</v>
      </c>
    </row>
    <row r="153" spans="1:1" x14ac:dyDescent="0.3">
      <c r="A153" s="266" t="s">
        <v>630</v>
      </c>
    </row>
    <row r="154" spans="1:1" x14ac:dyDescent="0.3">
      <c r="A154" s="266" t="s">
        <v>628</v>
      </c>
    </row>
    <row r="155" spans="1:1" x14ac:dyDescent="0.3">
      <c r="A155" s="266" t="s">
        <v>693</v>
      </c>
    </row>
    <row r="156" spans="1:1" x14ac:dyDescent="0.3">
      <c r="A156" s="266" t="s">
        <v>1895</v>
      </c>
    </row>
    <row r="157" spans="1:1" x14ac:dyDescent="0.3">
      <c r="A157" s="266" t="s">
        <v>773</v>
      </c>
    </row>
    <row r="158" spans="1:1" x14ac:dyDescent="0.3">
      <c r="A158" s="266" t="s">
        <v>435</v>
      </c>
    </row>
    <row r="159" spans="1:1" x14ac:dyDescent="0.3">
      <c r="A159" s="266" t="s">
        <v>729</v>
      </c>
    </row>
    <row r="160" spans="1:1" x14ac:dyDescent="0.3">
      <c r="A160" s="266" t="s">
        <v>733</v>
      </c>
    </row>
    <row r="161" spans="1:1" x14ac:dyDescent="0.3">
      <c r="A161" s="266" t="s">
        <v>1444</v>
      </c>
    </row>
    <row r="162" spans="1:1" x14ac:dyDescent="0.3">
      <c r="A162" s="266" t="s">
        <v>814</v>
      </c>
    </row>
    <row r="163" spans="1:1" x14ac:dyDescent="0.3">
      <c r="A163" s="266" t="s">
        <v>816</v>
      </c>
    </row>
    <row r="164" spans="1:1" x14ac:dyDescent="0.3">
      <c r="A164" s="266" t="s">
        <v>799</v>
      </c>
    </row>
    <row r="165" spans="1:1" x14ac:dyDescent="0.3">
      <c r="A165" s="266" t="s">
        <v>801</v>
      </c>
    </row>
    <row r="166" spans="1:1" x14ac:dyDescent="0.3">
      <c r="A166" s="266" t="s">
        <v>808</v>
      </c>
    </row>
    <row r="167" spans="1:1" x14ac:dyDescent="0.3">
      <c r="A167" s="266" t="s">
        <v>803</v>
      </c>
    </row>
    <row r="168" spans="1:1" x14ac:dyDescent="0.3">
      <c r="A168" s="266" t="s">
        <v>812</v>
      </c>
    </row>
    <row r="169" spans="1:1" x14ac:dyDescent="0.3">
      <c r="A169" s="266" t="s">
        <v>847</v>
      </c>
    </row>
    <row r="170" spans="1:1" x14ac:dyDescent="0.3">
      <c r="A170" s="266" t="s">
        <v>641</v>
      </c>
    </row>
    <row r="171" spans="1:1" x14ac:dyDescent="0.3">
      <c r="A171" s="266" t="s">
        <v>644</v>
      </c>
    </row>
    <row r="172" spans="1:1" x14ac:dyDescent="0.3">
      <c r="A172" s="266" t="s">
        <v>781</v>
      </c>
    </row>
    <row r="173" spans="1:1" x14ac:dyDescent="0.3">
      <c r="A173" s="266" t="s">
        <v>838</v>
      </c>
    </row>
    <row r="174" spans="1:1" x14ac:dyDescent="0.3">
      <c r="A174" s="266" t="s">
        <v>852</v>
      </c>
    </row>
    <row r="175" spans="1:1" x14ac:dyDescent="0.3">
      <c r="A175" s="266" t="s">
        <v>855</v>
      </c>
    </row>
    <row r="176" spans="1:1" x14ac:dyDescent="0.3">
      <c r="A176" s="266" t="s">
        <v>857</v>
      </c>
    </row>
    <row r="177" spans="1:1" x14ac:dyDescent="0.3">
      <c r="A177" s="266" t="s">
        <v>859</v>
      </c>
    </row>
    <row r="178" spans="1:1" x14ac:dyDescent="0.3">
      <c r="A178" s="266" t="s">
        <v>863</v>
      </c>
    </row>
    <row r="179" spans="1:1" x14ac:dyDescent="0.3">
      <c r="A179" s="266" t="s">
        <v>867</v>
      </c>
    </row>
    <row r="180" spans="1:1" x14ac:dyDescent="0.3">
      <c r="A180" s="266" t="s">
        <v>871</v>
      </c>
    </row>
    <row r="181" spans="1:1" x14ac:dyDescent="0.3">
      <c r="A181" s="266" t="s">
        <v>875</v>
      </c>
    </row>
    <row r="182" spans="1:1" x14ac:dyDescent="0.3">
      <c r="A182" s="266" t="s">
        <v>879</v>
      </c>
    </row>
    <row r="183" spans="1:1" x14ac:dyDescent="0.3">
      <c r="A183" s="266" t="s">
        <v>865</v>
      </c>
    </row>
    <row r="184" spans="1:1" x14ac:dyDescent="0.3">
      <c r="A184" s="266" t="s">
        <v>869</v>
      </c>
    </row>
    <row r="185" spans="1:1" x14ac:dyDescent="0.3">
      <c r="A185" s="266" t="s">
        <v>873</v>
      </c>
    </row>
    <row r="186" spans="1:1" x14ac:dyDescent="0.3">
      <c r="A186" s="266" t="s">
        <v>877</v>
      </c>
    </row>
    <row r="187" spans="1:1" x14ac:dyDescent="0.3">
      <c r="A187" s="266" t="s">
        <v>881</v>
      </c>
    </row>
    <row r="188" spans="1:1" x14ac:dyDescent="0.3">
      <c r="A188" s="266" t="s">
        <v>883</v>
      </c>
    </row>
    <row r="189" spans="1:1" x14ac:dyDescent="0.3">
      <c r="A189" s="266" t="s">
        <v>948</v>
      </c>
    </row>
    <row r="190" spans="1:1" x14ac:dyDescent="0.3">
      <c r="A190" s="266" t="s">
        <v>952</v>
      </c>
    </row>
    <row r="191" spans="1:1" x14ac:dyDescent="0.3">
      <c r="A191" s="266" t="s">
        <v>964</v>
      </c>
    </row>
    <row r="192" spans="1:1" x14ac:dyDescent="0.3">
      <c r="A192" s="266" t="s">
        <v>965</v>
      </c>
    </row>
    <row r="193" spans="1:1" x14ac:dyDescent="0.3">
      <c r="A193" s="266" t="s">
        <v>911</v>
      </c>
    </row>
    <row r="194" spans="1:1" x14ac:dyDescent="0.3">
      <c r="A194" s="266" t="s">
        <v>917</v>
      </c>
    </row>
    <row r="195" spans="1:1" x14ac:dyDescent="0.3">
      <c r="A195" s="266" t="s">
        <v>924</v>
      </c>
    </row>
    <row r="196" spans="1:1" x14ac:dyDescent="0.3">
      <c r="A196" s="266" t="s">
        <v>925</v>
      </c>
    </row>
    <row r="197" spans="1:1" x14ac:dyDescent="0.3">
      <c r="A197" s="266" t="s">
        <v>915</v>
      </c>
    </row>
    <row r="198" spans="1:1" x14ac:dyDescent="0.3">
      <c r="A198" s="266" t="s">
        <v>937</v>
      </c>
    </row>
    <row r="199" spans="1:1" x14ac:dyDescent="0.3">
      <c r="A199" s="266" t="s">
        <v>933</v>
      </c>
    </row>
    <row r="200" spans="1:1" x14ac:dyDescent="0.3">
      <c r="A200" s="266" t="s">
        <v>935</v>
      </c>
    </row>
    <row r="201" spans="1:1" x14ac:dyDescent="0.3">
      <c r="A201" s="266" t="s">
        <v>939</v>
      </c>
    </row>
    <row r="202" spans="1:1" x14ac:dyDescent="0.3">
      <c r="A202" s="266" t="s">
        <v>905</v>
      </c>
    </row>
    <row r="203" spans="1:1" x14ac:dyDescent="0.3">
      <c r="A203" s="266" t="s">
        <v>945</v>
      </c>
    </row>
    <row r="204" spans="1:1" x14ac:dyDescent="0.3">
      <c r="A204" s="266" t="s">
        <v>954</v>
      </c>
    </row>
    <row r="205" spans="1:1" x14ac:dyDescent="0.3">
      <c r="A205" s="266" t="s">
        <v>958</v>
      </c>
    </row>
    <row r="206" spans="1:1" x14ac:dyDescent="0.3">
      <c r="A206" s="266" t="s">
        <v>960</v>
      </c>
    </row>
    <row r="207" spans="1:1" x14ac:dyDescent="0.3">
      <c r="A207" s="266" t="s">
        <v>1368</v>
      </c>
    </row>
    <row r="208" spans="1:1" x14ac:dyDescent="0.3">
      <c r="A208" s="266" t="s">
        <v>776</v>
      </c>
    </row>
    <row r="209" spans="1:1" x14ac:dyDescent="0.3">
      <c r="A209" s="266" t="s">
        <v>1250</v>
      </c>
    </row>
    <row r="210" spans="1:1" x14ac:dyDescent="0.3">
      <c r="A210" s="266" t="s">
        <v>2393</v>
      </c>
    </row>
    <row r="211" spans="1:1" x14ac:dyDescent="0.3">
      <c r="A211" s="266" t="s">
        <v>1093</v>
      </c>
    </row>
    <row r="212" spans="1:1" x14ac:dyDescent="0.3">
      <c r="A212" s="266" t="s">
        <v>2110</v>
      </c>
    </row>
    <row r="213" spans="1:1" x14ac:dyDescent="0.3">
      <c r="A213" s="266" t="s">
        <v>1037</v>
      </c>
    </row>
    <row r="214" spans="1:1" x14ac:dyDescent="0.3">
      <c r="A214" s="266" t="s">
        <v>1044</v>
      </c>
    </row>
    <row r="215" spans="1:1" x14ac:dyDescent="0.3">
      <c r="A215" s="266" t="s">
        <v>150</v>
      </c>
    </row>
    <row r="216" spans="1:1" x14ac:dyDescent="0.3">
      <c r="A216" s="266" t="s">
        <v>1080</v>
      </c>
    </row>
    <row r="217" spans="1:1" x14ac:dyDescent="0.3">
      <c r="A217" s="266" t="s">
        <v>832</v>
      </c>
    </row>
    <row r="218" spans="1:1" x14ac:dyDescent="0.3">
      <c r="A218" s="266" t="s">
        <v>337</v>
      </c>
    </row>
    <row r="219" spans="1:1" x14ac:dyDescent="0.3">
      <c r="A219" s="266" t="s">
        <v>826</v>
      </c>
    </row>
    <row r="220" spans="1:1" x14ac:dyDescent="0.3">
      <c r="A220" s="266" t="s">
        <v>1076</v>
      </c>
    </row>
    <row r="221" spans="1:1" x14ac:dyDescent="0.3">
      <c r="A221" s="266" t="s">
        <v>134</v>
      </c>
    </row>
    <row r="222" spans="1:1" x14ac:dyDescent="0.3">
      <c r="A222" s="266" t="s">
        <v>2111</v>
      </c>
    </row>
    <row r="223" spans="1:1" x14ac:dyDescent="0.3">
      <c r="A223" s="266" t="s">
        <v>1375</v>
      </c>
    </row>
    <row r="224" spans="1:1" x14ac:dyDescent="0.3">
      <c r="A224" s="266" t="s">
        <v>1103</v>
      </c>
    </row>
    <row r="225" spans="1:1" x14ac:dyDescent="0.3">
      <c r="A225" s="266" t="s">
        <v>474</v>
      </c>
    </row>
    <row r="226" spans="1:1" x14ac:dyDescent="0.3">
      <c r="A226" s="266" t="s">
        <v>497</v>
      </c>
    </row>
    <row r="227" spans="1:1" x14ac:dyDescent="0.3">
      <c r="A227" s="266" t="s">
        <v>597</v>
      </c>
    </row>
    <row r="228" spans="1:1" x14ac:dyDescent="0.3">
      <c r="A228" s="266" t="s">
        <v>682</v>
      </c>
    </row>
    <row r="229" spans="1:1" x14ac:dyDescent="0.3">
      <c r="A229" s="266" t="s">
        <v>414</v>
      </c>
    </row>
    <row r="230" spans="1:1" x14ac:dyDescent="0.3">
      <c r="A230" s="266" t="s">
        <v>426</v>
      </c>
    </row>
    <row r="231" spans="1:1" x14ac:dyDescent="0.3">
      <c r="A231" s="266" t="s">
        <v>885</v>
      </c>
    </row>
    <row r="232" spans="1:1" x14ac:dyDescent="0.3">
      <c r="A232" s="266" t="s">
        <v>888</v>
      </c>
    </row>
    <row r="233" spans="1:1" x14ac:dyDescent="0.3">
      <c r="A233" s="266" t="s">
        <v>1437</v>
      </c>
    </row>
    <row r="234" spans="1:1" x14ac:dyDescent="0.3">
      <c r="A234" s="266" t="s">
        <v>1442</v>
      </c>
    </row>
    <row r="235" spans="1:1" x14ac:dyDescent="0.3">
      <c r="A235" s="266" t="s">
        <v>568</v>
      </c>
    </row>
    <row r="236" spans="1:1" x14ac:dyDescent="0.3">
      <c r="A236" s="266" t="s">
        <v>731</v>
      </c>
    </row>
    <row r="237" spans="1:1" x14ac:dyDescent="0.3">
      <c r="A237" s="266" t="s">
        <v>1074</v>
      </c>
    </row>
    <row r="238" spans="1:1" x14ac:dyDescent="0.3">
      <c r="A238" s="266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6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6" bestFit="1" customWidth="1"/>
    <col min="2" max="3" width="32.69921875" style="266" customWidth="1"/>
    <col min="4" max="4" width="12.69921875" style="266" customWidth="1"/>
    <col min="5" max="5" width="18.09765625" style="266" customWidth="1"/>
    <col min="6" max="6" width="12.19921875" style="266" customWidth="1"/>
    <col min="7" max="7" width="15.8984375" style="266" bestFit="1" customWidth="1"/>
    <col min="8" max="8" width="22.69921875" style="266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7" bestFit="1" customWidth="1"/>
    <col min="2" max="2" width="9.8984375" style="267" bestFit="1" customWidth="1"/>
    <col min="3" max="3" width="5.796875" style="267" bestFit="1" customWidth="1"/>
    <col min="4" max="4" width="10" style="267" bestFit="1" customWidth="1"/>
    <col min="5" max="5" width="5.796875" style="267" bestFit="1" customWidth="1"/>
    <col min="6" max="6" width="10.09765625" style="267" bestFit="1" customWidth="1"/>
    <col min="7" max="7" width="5.796875" style="267" bestFit="1" customWidth="1"/>
    <col min="8" max="8" width="9.796875" style="267" bestFit="1" customWidth="1"/>
    <col min="9" max="9" width="5.796875" style="267" bestFit="1" customWidth="1"/>
    <col min="10" max="10" width="10" style="267" bestFit="1" customWidth="1"/>
    <col min="11" max="11" width="5.796875" style="267" bestFit="1" customWidth="1"/>
    <col min="12" max="12" width="10.19921875" style="267" bestFit="1" customWidth="1"/>
    <col min="13" max="13" width="5.796875" style="267" bestFit="1" customWidth="1"/>
    <col min="14" max="14" width="10" style="267" bestFit="1" customWidth="1"/>
    <col min="15" max="15" width="5.796875" style="267" bestFit="1" customWidth="1"/>
    <col min="16" max="16" width="10.19921875" style="267" bestFit="1" customWidth="1"/>
    <col min="17" max="17" width="5.796875" style="267" bestFit="1" customWidth="1"/>
    <col min="18" max="18" width="10" style="267" bestFit="1" customWidth="1"/>
    <col min="19" max="19" width="5.796875" style="267" bestFit="1" customWidth="1"/>
    <col min="20" max="20" width="10.09765625" style="267" bestFit="1" customWidth="1"/>
    <col min="21" max="21" width="5.796875" style="267" bestFit="1" customWidth="1"/>
    <col min="22" max="22" width="9.59765625" style="267" bestFit="1" customWidth="1"/>
    <col min="23" max="23" width="5.796875" style="267" bestFit="1" customWidth="1"/>
    <col min="24" max="24" width="8.59765625" style="267" bestFit="1" customWidth="1"/>
    <col min="25" max="25" width="5.796875" style="267" bestFit="1" customWidth="1"/>
    <col min="26" max="26" width="9" style="267" bestFit="1" customWidth="1"/>
    <col min="27" max="27" width="5.796875" style="267" bestFit="1" customWidth="1"/>
    <col min="28" max="28" width="8.8984375" style="267" bestFit="1" customWidth="1"/>
    <col min="29" max="29" width="5.796875" style="267" bestFit="1" customWidth="1"/>
    <col min="30" max="30" width="9.09765625" style="267" bestFit="1" customWidth="1"/>
    <col min="31" max="31" width="5.796875" style="267" bestFit="1" customWidth="1"/>
    <col min="32" max="32" width="9.09765625" style="267" bestFit="1" customWidth="1"/>
    <col min="33" max="33" width="5.796875" style="267" bestFit="1" customWidth="1"/>
    <col min="34" max="34" width="9.59765625" style="267" bestFit="1" customWidth="1"/>
    <col min="35" max="35" width="5.796875" style="267" bestFit="1" customWidth="1"/>
    <col min="36" max="36" width="10.3984375" style="267" bestFit="1" customWidth="1"/>
    <col min="37" max="37" width="5.796875" style="267" bestFit="1" customWidth="1"/>
    <col min="38" max="38" width="9.796875" style="267" bestFit="1" customWidth="1"/>
    <col min="39" max="39" width="5.796875" style="267" bestFit="1" customWidth="1"/>
    <col min="40" max="40" width="9.796875" style="267" bestFit="1" customWidth="1"/>
    <col min="41" max="41" width="5.796875" style="267" bestFit="1" customWidth="1"/>
    <col min="42" max="42" width="9.59765625" style="267" bestFit="1" customWidth="1"/>
    <col min="43" max="43" width="5.796875" style="267" bestFit="1" customWidth="1"/>
    <col min="44" max="44" width="10" style="267" bestFit="1" customWidth="1"/>
    <col min="45" max="45" width="5.796875" style="267" bestFit="1" customWidth="1"/>
    <col min="46" max="46" width="10.19921875" style="267" bestFit="1" customWidth="1"/>
    <col min="47" max="47" width="5.796875" style="267" bestFit="1" customWidth="1"/>
    <col min="48" max="48" width="10.19921875" style="267" bestFit="1" customWidth="1"/>
    <col min="49" max="49" width="5.796875" style="267" bestFit="1" customWidth="1"/>
    <col min="50" max="50" width="10" style="267" bestFit="1" customWidth="1"/>
    <col min="51" max="51" width="5.796875" style="267" bestFit="1" customWidth="1"/>
    <col min="52" max="52" width="9.796875" style="267" bestFit="1" customWidth="1"/>
    <col min="53" max="53" width="5.796875" style="267" bestFit="1" customWidth="1"/>
    <col min="54" max="54" width="10" style="267" bestFit="1" customWidth="1"/>
    <col min="55" max="55" width="5.796875" style="267" bestFit="1" customWidth="1"/>
    <col min="56" max="56" width="10.19921875" style="267" bestFit="1" customWidth="1"/>
    <col min="57" max="57" width="5.796875" style="267" bestFit="1" customWidth="1"/>
    <col min="58" max="58" width="10.09765625" style="267" bestFit="1" customWidth="1"/>
    <col min="59" max="59" width="5.796875" style="267" bestFit="1" customWidth="1"/>
    <col min="60" max="60" width="9.796875" style="267" bestFit="1" customWidth="1"/>
    <col min="61" max="61" width="5.796875" style="267" bestFit="1" customWidth="1"/>
    <col min="62" max="62" width="9.296875" style="267" bestFit="1" customWidth="1"/>
    <col min="63" max="63" width="5.796875" style="267" bestFit="1" customWidth="1"/>
    <col min="64" max="64" width="10.8984375" style="267" bestFit="1" customWidth="1"/>
    <col min="65" max="65" width="5.796875" style="267" bestFit="1" customWidth="1"/>
    <col min="66" max="66" width="9.59765625" style="267" bestFit="1" customWidth="1"/>
    <col min="67" max="67" width="5.796875" style="267" bestFit="1" customWidth="1"/>
    <col min="68" max="68" width="9.796875" style="267" bestFit="1" customWidth="1"/>
    <col min="69" max="69" width="5.796875" style="267" bestFit="1" customWidth="1"/>
    <col min="70" max="70" width="10.296875" style="267" bestFit="1" customWidth="1"/>
    <col min="71" max="71" width="5.796875" style="267" bestFit="1" customWidth="1"/>
    <col min="72" max="72" width="10.5" style="267" bestFit="1" customWidth="1"/>
    <col min="73" max="73" width="5.796875" style="267" bestFit="1" customWidth="1"/>
    <col min="74" max="74" width="10.5" style="267" bestFit="1" customWidth="1"/>
    <col min="75" max="75" width="5.796875" style="267" bestFit="1" customWidth="1"/>
    <col min="76" max="76" width="10.3984375" style="267" bestFit="1" customWidth="1"/>
    <col min="77" max="77" width="5.796875" style="267" bestFit="1" customWidth="1"/>
    <col min="78" max="78" width="11" style="267" bestFit="1" customWidth="1"/>
    <col min="79" max="79" width="5.796875" style="267" bestFit="1" customWidth="1"/>
    <col min="80" max="80" width="10.796875" style="267" bestFit="1" customWidth="1"/>
    <col min="81" max="81" width="5.796875" style="267" bestFit="1" customWidth="1"/>
    <col min="82" max="82" width="10.796875" style="267" bestFit="1" customWidth="1"/>
    <col min="83" max="83" width="5.796875" style="267" bestFit="1" customWidth="1"/>
    <col min="84" max="84" width="11" style="267" bestFit="1" customWidth="1"/>
    <col min="85" max="85" width="5.796875" style="267" bestFit="1" customWidth="1"/>
    <col min="86" max="86" width="9.19921875" style="267" bestFit="1" customWidth="1"/>
    <col min="87" max="87" width="5.796875" style="267" bestFit="1" customWidth="1"/>
    <col min="88" max="88" width="10.3984375" style="267" bestFit="1" customWidth="1"/>
    <col min="89" max="89" width="5.796875" style="267" bestFit="1" customWidth="1"/>
    <col min="90" max="90" width="9.09765625" style="267" bestFit="1" customWidth="1"/>
    <col min="91" max="91" width="5.796875" style="267" bestFit="1" customWidth="1"/>
    <col min="92" max="92" width="11" style="267" bestFit="1" customWidth="1"/>
    <col min="93" max="93" width="5.796875" style="267" bestFit="1" customWidth="1"/>
    <col min="94" max="94" width="9.296875" style="267" bestFit="1" customWidth="1"/>
    <col min="95" max="95" width="5.796875" style="267" bestFit="1" customWidth="1"/>
    <col min="96" max="96" width="9.09765625" style="267" bestFit="1" customWidth="1"/>
    <col min="97" max="97" width="5.796875" style="267" bestFit="1" customWidth="1"/>
    <col min="98" max="98" width="9.59765625" style="267" bestFit="1" customWidth="1"/>
    <col min="99" max="99" width="5.796875" style="267" bestFit="1" customWidth="1"/>
    <col min="100" max="100" width="10" style="267" bestFit="1" customWidth="1"/>
    <col min="101" max="101" width="5.796875" style="267" bestFit="1" customWidth="1"/>
    <col min="102" max="102" width="9.5" style="267" bestFit="1" customWidth="1"/>
    <col min="103" max="103" width="5.796875" style="267" bestFit="1" customWidth="1"/>
    <col min="104" max="104" width="10" style="267" bestFit="1" customWidth="1"/>
    <col min="105" max="105" width="5.796875" style="267" bestFit="1" customWidth="1"/>
    <col min="106" max="106" width="9.796875" style="267" bestFit="1" customWidth="1"/>
    <col min="107" max="107" width="5.796875" style="267" bestFit="1" customWidth="1"/>
    <col min="108" max="108" width="10.19921875" style="267" bestFit="1" customWidth="1"/>
    <col min="109" max="109" width="5.796875" style="267" bestFit="1" customWidth="1"/>
    <col min="110" max="110" width="10" style="267" bestFit="1" customWidth="1"/>
    <col min="111" max="111" width="5.796875" style="267" bestFit="1" customWidth="1"/>
    <col min="112" max="112" width="10.3984375" style="267" bestFit="1" customWidth="1"/>
    <col min="113" max="113" width="5.796875" style="267" bestFit="1" customWidth="1"/>
    <col min="114" max="114" width="7.3984375" style="267" bestFit="1" customWidth="1"/>
    <col min="115" max="115" width="5.796875" style="267" bestFit="1" customWidth="1"/>
    <col min="116" max="117" width="13.19921875" style="267" bestFit="1" customWidth="1"/>
    <col min="118" max="16384" width="8.69921875" style="267"/>
  </cols>
  <sheetData>
    <row r="1" spans="1:61" x14ac:dyDescent="0.35">
      <c r="A1" s="334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5" customFormat="1" x14ac:dyDescent="0.35">
      <c r="A2" s="336" t="s">
        <v>2308</v>
      </c>
      <c r="B2" s="337" t="s">
        <v>2309</v>
      </c>
      <c r="C2" s="338"/>
      <c r="D2" s="339"/>
      <c r="E2" s="339"/>
      <c r="F2" s="340">
        <v>44396</v>
      </c>
      <c r="G2" s="340"/>
      <c r="H2" s="340">
        <f t="shared" ref="H2:H12" si="0">D40</f>
        <v>44403</v>
      </c>
      <c r="I2" s="340"/>
      <c r="J2" s="340">
        <f t="shared" ref="J2:J12" si="1">F40</f>
        <v>44461</v>
      </c>
      <c r="K2" s="340"/>
      <c r="L2" s="340">
        <f t="shared" ref="L2:L12" si="2">H40</f>
        <v>44404</v>
      </c>
      <c r="M2" s="340"/>
      <c r="N2" s="340">
        <f t="shared" ref="N2:N12" si="3">J40</f>
        <v>44431</v>
      </c>
      <c r="O2" s="340"/>
      <c r="P2" s="340">
        <f t="shared" ref="P2:P12" si="4">L40</f>
        <v>44432</v>
      </c>
      <c r="Q2" s="340"/>
      <c r="R2" s="340">
        <f t="shared" ref="R2:R12" si="5">N40</f>
        <v>44433</v>
      </c>
      <c r="S2" s="340"/>
      <c r="T2" s="340">
        <f t="shared" ref="T2:T12" si="6">P40</f>
        <v>44434</v>
      </c>
      <c r="U2" s="340"/>
      <c r="V2" s="340">
        <f t="shared" ref="V2:V12" si="7">R40</f>
        <v>44435</v>
      </c>
      <c r="W2" s="340"/>
      <c r="X2" s="340">
        <f t="shared" ref="X2:X12" si="8">T40</f>
        <v>44438</v>
      </c>
      <c r="Y2" s="340"/>
      <c r="Z2" s="340">
        <f t="shared" ref="Z2:Z12" si="9">V40</f>
        <v>44439</v>
      </c>
      <c r="AA2" s="340"/>
      <c r="AB2" s="340">
        <f t="shared" ref="AB2:AB12" si="10">X40</f>
        <v>44440</v>
      </c>
      <c r="AC2" s="340"/>
      <c r="AD2" s="340">
        <f t="shared" ref="AD2:AD12" si="11">Z40</f>
        <v>44441</v>
      </c>
      <c r="AE2" s="340"/>
      <c r="AF2" s="340">
        <f t="shared" ref="AF2:AF12" si="12">AB40</f>
        <v>44442</v>
      </c>
      <c r="AG2" s="340"/>
      <c r="AH2" s="340">
        <f t="shared" ref="AH2:AH12" si="13">AD40</f>
        <v>44447</v>
      </c>
      <c r="AI2" s="340"/>
      <c r="AJ2" s="340">
        <f t="shared" ref="AJ2:AJ12" si="14">AF40</f>
        <v>44448</v>
      </c>
      <c r="AK2" s="340"/>
      <c r="AL2" s="340">
        <f t="shared" ref="AL2:AL12" si="15">AH40</f>
        <v>44452</v>
      </c>
      <c r="AM2" s="340"/>
      <c r="AN2" s="340">
        <f t="shared" ref="AN2:AN12" si="16">AJ40</f>
        <v>44481</v>
      </c>
      <c r="AO2" s="340"/>
      <c r="AP2" s="340">
        <f t="shared" ref="AP2:AP12" si="17">AL40</f>
        <v>44453</v>
      </c>
      <c r="AQ2" s="340"/>
      <c r="AR2" s="340">
        <f t="shared" ref="AR2:AR12" si="18">AN40</f>
        <v>44455</v>
      </c>
      <c r="AS2" s="340"/>
      <c r="AT2" s="340">
        <f t="shared" ref="AT2:AT12" si="19">AP40</f>
        <v>44456</v>
      </c>
      <c r="AU2" s="340"/>
      <c r="AV2" s="340">
        <f t="shared" ref="AV2:AV12" si="20">AR40</f>
        <v>44462</v>
      </c>
      <c r="AW2" s="340"/>
      <c r="AX2" s="340">
        <f t="shared" ref="AX2:AX12" si="21">AT40</f>
        <v>44467</v>
      </c>
      <c r="AY2" s="340"/>
      <c r="AZ2" s="340">
        <f t="shared" ref="AZ2:AZ12" si="22">AV40</f>
        <v>44463</v>
      </c>
      <c r="BA2" s="340"/>
      <c r="BB2" s="340">
        <f t="shared" ref="BB2:BB12" si="23">AX40</f>
        <v>44466</v>
      </c>
      <c r="BC2" s="340"/>
      <c r="BD2" s="340">
        <f t="shared" ref="BD2:BD12" si="24">AZ40</f>
        <v>44515</v>
      </c>
      <c r="BE2" s="340"/>
      <c r="BF2" s="340">
        <f t="shared" ref="BF2:BF12" si="25">BB40</f>
        <v>44516</v>
      </c>
      <c r="BG2" s="340"/>
      <c r="BH2" s="340">
        <f t="shared" ref="BH2:BH12" si="26">BD40</f>
        <v>44468</v>
      </c>
      <c r="BI2" s="340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7">
        <f t="shared" si="28"/>
        <v>8</v>
      </c>
      <c r="G4" s="267">
        <f t="shared" si="29"/>
        <v>8</v>
      </c>
      <c r="H4" s="267">
        <f t="shared" si="0"/>
        <v>4</v>
      </c>
      <c r="I4" s="267">
        <f t="shared" si="30"/>
        <v>4</v>
      </c>
      <c r="J4" s="267">
        <f t="shared" si="1"/>
        <v>3</v>
      </c>
      <c r="K4" s="267">
        <f t="shared" si="31"/>
        <v>3</v>
      </c>
      <c r="L4" s="267">
        <f t="shared" si="2"/>
        <v>0</v>
      </c>
      <c r="M4" s="267">
        <f t="shared" si="32"/>
        <v>0</v>
      </c>
      <c r="N4" s="267">
        <f t="shared" si="3"/>
        <v>0</v>
      </c>
      <c r="O4" s="267">
        <f t="shared" si="33"/>
        <v>0</v>
      </c>
      <c r="P4" s="267">
        <f t="shared" si="4"/>
        <v>0</v>
      </c>
      <c r="Q4" s="267">
        <f t="shared" si="34"/>
        <v>0</v>
      </c>
      <c r="R4" s="267">
        <f t="shared" si="5"/>
        <v>0</v>
      </c>
      <c r="S4" s="267">
        <f t="shared" si="35"/>
        <v>0</v>
      </c>
      <c r="T4" s="267">
        <f t="shared" si="6"/>
        <v>0</v>
      </c>
      <c r="U4" s="267">
        <f t="shared" si="36"/>
        <v>0</v>
      </c>
      <c r="V4" s="267">
        <f t="shared" si="7"/>
        <v>0</v>
      </c>
      <c r="W4" s="267">
        <f t="shared" si="37"/>
        <v>0</v>
      </c>
      <c r="X4" s="267">
        <f t="shared" si="8"/>
        <v>0</v>
      </c>
      <c r="Y4" s="267">
        <f t="shared" si="38"/>
        <v>0</v>
      </c>
      <c r="Z4" s="267">
        <f t="shared" si="9"/>
        <v>0</v>
      </c>
      <c r="AA4" s="267">
        <f t="shared" si="39"/>
        <v>0</v>
      </c>
      <c r="AB4" s="267">
        <f t="shared" si="10"/>
        <v>0</v>
      </c>
      <c r="AC4" s="267">
        <f t="shared" si="40"/>
        <v>0</v>
      </c>
      <c r="AD4" s="267">
        <f t="shared" si="11"/>
        <v>0</v>
      </c>
      <c r="AE4" s="267">
        <f t="shared" si="41"/>
        <v>0</v>
      </c>
      <c r="AF4" s="267">
        <f t="shared" si="12"/>
        <v>0</v>
      </c>
      <c r="AG4" s="267">
        <f t="shared" si="42"/>
        <v>0</v>
      </c>
      <c r="AH4" s="267">
        <f t="shared" si="13"/>
        <v>0</v>
      </c>
      <c r="AI4" s="267">
        <f t="shared" si="43"/>
        <v>0</v>
      </c>
      <c r="AJ4" s="267">
        <f t="shared" si="14"/>
        <v>0</v>
      </c>
      <c r="AK4" s="267">
        <f t="shared" si="44"/>
        <v>0</v>
      </c>
      <c r="AL4" s="267">
        <f t="shared" si="15"/>
        <v>0</v>
      </c>
      <c r="AM4" s="267">
        <f t="shared" si="45"/>
        <v>0</v>
      </c>
      <c r="AN4" s="267">
        <f t="shared" si="16"/>
        <v>0</v>
      </c>
      <c r="AO4" s="267">
        <f t="shared" si="46"/>
        <v>0</v>
      </c>
      <c r="AP4" s="267">
        <f t="shared" si="17"/>
        <v>0</v>
      </c>
      <c r="AQ4" s="267">
        <f t="shared" si="47"/>
        <v>0</v>
      </c>
      <c r="AR4" s="267">
        <f t="shared" si="18"/>
        <v>0</v>
      </c>
      <c r="AS4" s="267">
        <f t="shared" si="48"/>
        <v>0</v>
      </c>
      <c r="AT4" s="267">
        <f t="shared" si="19"/>
        <v>0</v>
      </c>
      <c r="AU4" s="267">
        <f t="shared" si="49"/>
        <v>0</v>
      </c>
      <c r="AV4" s="267">
        <f t="shared" si="20"/>
        <v>0</v>
      </c>
      <c r="AW4" s="267">
        <f t="shared" si="50"/>
        <v>0</v>
      </c>
      <c r="AX4" s="267">
        <f t="shared" si="21"/>
        <v>0</v>
      </c>
      <c r="AY4" s="267">
        <f t="shared" si="51"/>
        <v>0</v>
      </c>
      <c r="AZ4" s="267">
        <f t="shared" si="22"/>
        <v>0</v>
      </c>
      <c r="BA4" s="267">
        <f t="shared" si="52"/>
        <v>0</v>
      </c>
      <c r="BB4" s="267">
        <f t="shared" si="23"/>
        <v>0</v>
      </c>
      <c r="BC4" s="267">
        <f t="shared" si="53"/>
        <v>0</v>
      </c>
      <c r="BD4" s="267">
        <f t="shared" si="24"/>
        <v>0</v>
      </c>
      <c r="BE4" s="267">
        <f t="shared" si="54"/>
        <v>0</v>
      </c>
      <c r="BF4" s="267">
        <f t="shared" si="25"/>
        <v>0</v>
      </c>
      <c r="BG4" s="267">
        <f t="shared" si="55"/>
        <v>0</v>
      </c>
      <c r="BH4" s="267">
        <f t="shared" si="26"/>
        <v>0</v>
      </c>
      <c r="BI4" s="267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7">
        <f t="shared" si="28"/>
        <v>0</v>
      </c>
      <c r="G5" s="267">
        <f t="shared" si="29"/>
        <v>0</v>
      </c>
      <c r="H5" s="267">
        <f t="shared" si="0"/>
        <v>5</v>
      </c>
      <c r="I5" s="267">
        <f t="shared" si="30"/>
        <v>5</v>
      </c>
      <c r="J5" s="267">
        <f t="shared" si="1"/>
        <v>0</v>
      </c>
      <c r="K5" s="267">
        <f t="shared" si="31"/>
        <v>0</v>
      </c>
      <c r="L5" s="267">
        <f t="shared" si="2"/>
        <v>10</v>
      </c>
      <c r="M5" s="267">
        <f t="shared" si="32"/>
        <v>10</v>
      </c>
      <c r="N5" s="267">
        <f t="shared" si="3"/>
        <v>9</v>
      </c>
      <c r="O5" s="267">
        <f t="shared" si="33"/>
        <v>9</v>
      </c>
      <c r="P5" s="267">
        <f t="shared" si="4"/>
        <v>6</v>
      </c>
      <c r="Q5" s="267">
        <f t="shared" si="34"/>
        <v>6</v>
      </c>
      <c r="R5" s="267">
        <f t="shared" si="5"/>
        <v>4</v>
      </c>
      <c r="S5" s="267">
        <f t="shared" si="35"/>
        <v>4</v>
      </c>
      <c r="T5" s="267">
        <f t="shared" si="6"/>
        <v>4</v>
      </c>
      <c r="U5" s="267">
        <f t="shared" si="36"/>
        <v>4</v>
      </c>
      <c r="V5" s="267">
        <f t="shared" si="7"/>
        <v>4</v>
      </c>
      <c r="W5" s="267">
        <f t="shared" si="37"/>
        <v>4</v>
      </c>
      <c r="X5" s="267">
        <f t="shared" si="8"/>
        <v>0</v>
      </c>
      <c r="Y5" s="267">
        <f t="shared" si="38"/>
        <v>0</v>
      </c>
      <c r="Z5" s="267">
        <f t="shared" si="9"/>
        <v>0</v>
      </c>
      <c r="AA5" s="267">
        <f t="shared" si="39"/>
        <v>0</v>
      </c>
      <c r="AB5" s="267">
        <f t="shared" si="10"/>
        <v>0</v>
      </c>
      <c r="AC5" s="267">
        <f t="shared" si="40"/>
        <v>0</v>
      </c>
      <c r="AD5" s="267">
        <f t="shared" si="11"/>
        <v>4</v>
      </c>
      <c r="AE5" s="267">
        <f t="shared" si="41"/>
        <v>4</v>
      </c>
      <c r="AF5" s="267">
        <f t="shared" si="12"/>
        <v>0</v>
      </c>
      <c r="AG5" s="267">
        <f t="shared" si="42"/>
        <v>0</v>
      </c>
      <c r="AH5" s="267">
        <f t="shared" si="13"/>
        <v>0</v>
      </c>
      <c r="AI5" s="267">
        <f t="shared" si="43"/>
        <v>0</v>
      </c>
      <c r="AJ5" s="267">
        <f t="shared" si="14"/>
        <v>0</v>
      </c>
      <c r="AK5" s="267">
        <f t="shared" si="44"/>
        <v>0</v>
      </c>
      <c r="AL5" s="267">
        <f t="shared" si="15"/>
        <v>0</v>
      </c>
      <c r="AM5" s="267">
        <f t="shared" si="45"/>
        <v>0</v>
      </c>
      <c r="AN5" s="267">
        <f t="shared" si="16"/>
        <v>0</v>
      </c>
      <c r="AO5" s="267">
        <f t="shared" si="46"/>
        <v>0</v>
      </c>
      <c r="AP5" s="267">
        <f t="shared" si="17"/>
        <v>3</v>
      </c>
      <c r="AQ5" s="267">
        <f t="shared" si="47"/>
        <v>3</v>
      </c>
      <c r="AR5" s="267">
        <f t="shared" si="18"/>
        <v>0</v>
      </c>
      <c r="AS5" s="267">
        <f t="shared" si="48"/>
        <v>0</v>
      </c>
      <c r="AT5" s="267">
        <f t="shared" si="19"/>
        <v>0</v>
      </c>
      <c r="AU5" s="267">
        <f t="shared" si="49"/>
        <v>0</v>
      </c>
      <c r="AV5" s="267">
        <f t="shared" si="20"/>
        <v>0</v>
      </c>
      <c r="AW5" s="267">
        <f t="shared" si="50"/>
        <v>0</v>
      </c>
      <c r="AX5" s="267">
        <f t="shared" si="21"/>
        <v>0</v>
      </c>
      <c r="AY5" s="267">
        <f t="shared" si="51"/>
        <v>0</v>
      </c>
      <c r="AZ5" s="267">
        <f t="shared" si="22"/>
        <v>0</v>
      </c>
      <c r="BA5" s="267">
        <f t="shared" si="52"/>
        <v>0</v>
      </c>
      <c r="BB5" s="267">
        <f t="shared" si="23"/>
        <v>0</v>
      </c>
      <c r="BC5" s="267">
        <f t="shared" si="53"/>
        <v>0</v>
      </c>
      <c r="BD5" s="267">
        <f t="shared" si="24"/>
        <v>0</v>
      </c>
      <c r="BE5" s="267">
        <f t="shared" si="54"/>
        <v>0</v>
      </c>
      <c r="BF5" s="267">
        <f t="shared" si="25"/>
        <v>0</v>
      </c>
      <c r="BG5" s="267">
        <f t="shared" si="55"/>
        <v>0</v>
      </c>
      <c r="BH5" s="267">
        <f t="shared" si="26"/>
        <v>0</v>
      </c>
      <c r="BI5" s="267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7">
        <f t="shared" si="28"/>
        <v>0</v>
      </c>
      <c r="G6" s="267">
        <f t="shared" si="29"/>
        <v>0</v>
      </c>
      <c r="H6" s="267">
        <f t="shared" si="0"/>
        <v>0</v>
      </c>
      <c r="I6" s="267">
        <f t="shared" si="30"/>
        <v>0</v>
      </c>
      <c r="J6" s="267">
        <f t="shared" si="1"/>
        <v>0</v>
      </c>
      <c r="K6" s="267">
        <f t="shared" si="31"/>
        <v>0</v>
      </c>
      <c r="L6" s="267">
        <f t="shared" si="2"/>
        <v>0</v>
      </c>
      <c r="M6" s="267">
        <f t="shared" si="32"/>
        <v>0</v>
      </c>
      <c r="N6" s="267">
        <f t="shared" si="3"/>
        <v>0</v>
      </c>
      <c r="O6" s="267">
        <f t="shared" si="33"/>
        <v>0</v>
      </c>
      <c r="P6" s="267">
        <f t="shared" si="4"/>
        <v>0</v>
      </c>
      <c r="Q6" s="267">
        <f t="shared" si="34"/>
        <v>0</v>
      </c>
      <c r="R6" s="267">
        <f t="shared" si="5"/>
        <v>0</v>
      </c>
      <c r="S6" s="267">
        <f t="shared" si="35"/>
        <v>0</v>
      </c>
      <c r="T6" s="267">
        <f t="shared" si="6"/>
        <v>0</v>
      </c>
      <c r="U6" s="267">
        <f t="shared" si="36"/>
        <v>0</v>
      </c>
      <c r="V6" s="267">
        <f t="shared" si="7"/>
        <v>0</v>
      </c>
      <c r="W6" s="267">
        <f t="shared" si="37"/>
        <v>0</v>
      </c>
      <c r="X6" s="267">
        <f t="shared" si="8"/>
        <v>1</v>
      </c>
      <c r="Y6" s="267">
        <f t="shared" si="38"/>
        <v>1</v>
      </c>
      <c r="Z6" s="267">
        <f t="shared" si="9"/>
        <v>3</v>
      </c>
      <c r="AA6" s="267">
        <f t="shared" si="39"/>
        <v>3</v>
      </c>
      <c r="AB6" s="267">
        <f t="shared" si="10"/>
        <v>3</v>
      </c>
      <c r="AC6" s="267">
        <f t="shared" si="40"/>
        <v>3</v>
      </c>
      <c r="AD6" s="267">
        <f t="shared" si="11"/>
        <v>1</v>
      </c>
      <c r="AE6" s="267">
        <f t="shared" si="41"/>
        <v>1</v>
      </c>
      <c r="AF6" s="267">
        <f t="shared" si="12"/>
        <v>5</v>
      </c>
      <c r="AG6" s="267">
        <f t="shared" si="42"/>
        <v>5</v>
      </c>
      <c r="AH6" s="267">
        <f t="shared" si="13"/>
        <v>0</v>
      </c>
      <c r="AI6" s="267">
        <f t="shared" si="43"/>
        <v>0</v>
      </c>
      <c r="AJ6" s="267">
        <f t="shared" si="14"/>
        <v>0</v>
      </c>
      <c r="AK6" s="267">
        <f t="shared" si="44"/>
        <v>0</v>
      </c>
      <c r="AL6" s="267">
        <f t="shared" si="15"/>
        <v>5</v>
      </c>
      <c r="AM6" s="267">
        <f t="shared" si="45"/>
        <v>5</v>
      </c>
      <c r="AN6" s="267">
        <f t="shared" si="16"/>
        <v>0</v>
      </c>
      <c r="AO6" s="267">
        <f t="shared" si="46"/>
        <v>0</v>
      </c>
      <c r="AP6" s="267">
        <f t="shared" si="17"/>
        <v>0</v>
      </c>
      <c r="AQ6" s="267">
        <f t="shared" si="47"/>
        <v>0</v>
      </c>
      <c r="AR6" s="267">
        <f t="shared" si="18"/>
        <v>0</v>
      </c>
      <c r="AS6" s="267">
        <f t="shared" si="48"/>
        <v>0</v>
      </c>
      <c r="AT6" s="267">
        <f t="shared" si="19"/>
        <v>0</v>
      </c>
      <c r="AU6" s="267">
        <f t="shared" si="49"/>
        <v>0</v>
      </c>
      <c r="AV6" s="267">
        <f t="shared" si="20"/>
        <v>0</v>
      </c>
      <c r="AW6" s="267">
        <f t="shared" si="50"/>
        <v>0</v>
      </c>
      <c r="AX6" s="267">
        <f t="shared" si="21"/>
        <v>0</v>
      </c>
      <c r="AY6" s="267">
        <f t="shared" si="51"/>
        <v>0</v>
      </c>
      <c r="AZ6" s="267">
        <f t="shared" si="22"/>
        <v>0</v>
      </c>
      <c r="BA6" s="267">
        <f t="shared" si="52"/>
        <v>0</v>
      </c>
      <c r="BB6" s="267">
        <f t="shared" si="23"/>
        <v>0</v>
      </c>
      <c r="BC6" s="267">
        <f t="shared" si="53"/>
        <v>0</v>
      </c>
      <c r="BD6" s="267">
        <f t="shared" si="24"/>
        <v>0</v>
      </c>
      <c r="BE6" s="267">
        <f t="shared" si="54"/>
        <v>0</v>
      </c>
      <c r="BF6" s="267">
        <f t="shared" si="25"/>
        <v>0</v>
      </c>
      <c r="BG6" s="267">
        <f t="shared" si="55"/>
        <v>0</v>
      </c>
      <c r="BH6" s="267">
        <f t="shared" si="26"/>
        <v>0</v>
      </c>
      <c r="BI6" s="267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7">
        <f t="shared" si="28"/>
        <v>0</v>
      </c>
      <c r="G7" s="267">
        <f t="shared" si="29"/>
        <v>0</v>
      </c>
      <c r="H7" s="267">
        <f t="shared" si="0"/>
        <v>0</v>
      </c>
      <c r="I7" s="267">
        <f t="shared" si="30"/>
        <v>0</v>
      </c>
      <c r="J7" s="267">
        <f t="shared" si="1"/>
        <v>0</v>
      </c>
      <c r="K7" s="267">
        <f t="shared" si="31"/>
        <v>0</v>
      </c>
      <c r="L7" s="267">
        <f t="shared" si="2"/>
        <v>0</v>
      </c>
      <c r="M7" s="267">
        <f t="shared" si="32"/>
        <v>0</v>
      </c>
      <c r="N7" s="267">
        <f t="shared" si="3"/>
        <v>0</v>
      </c>
      <c r="O7" s="267">
        <f t="shared" si="33"/>
        <v>0</v>
      </c>
      <c r="P7" s="267">
        <f t="shared" si="4"/>
        <v>0</v>
      </c>
      <c r="Q7" s="267">
        <f t="shared" si="34"/>
        <v>0</v>
      </c>
      <c r="R7" s="267">
        <f t="shared" si="5"/>
        <v>0</v>
      </c>
      <c r="S7" s="267">
        <f t="shared" si="35"/>
        <v>0</v>
      </c>
      <c r="T7" s="267">
        <f t="shared" si="6"/>
        <v>0</v>
      </c>
      <c r="U7" s="267">
        <f t="shared" si="36"/>
        <v>0</v>
      </c>
      <c r="V7" s="267">
        <f t="shared" si="7"/>
        <v>0</v>
      </c>
      <c r="W7" s="267">
        <f t="shared" si="37"/>
        <v>0</v>
      </c>
      <c r="X7" s="267">
        <f t="shared" si="8"/>
        <v>3</v>
      </c>
      <c r="Y7" s="267">
        <f t="shared" si="38"/>
        <v>3</v>
      </c>
      <c r="Z7" s="267">
        <f t="shared" si="9"/>
        <v>0</v>
      </c>
      <c r="AA7" s="267">
        <f t="shared" si="39"/>
        <v>0</v>
      </c>
      <c r="AB7" s="267">
        <f t="shared" si="10"/>
        <v>0</v>
      </c>
      <c r="AC7" s="267">
        <f t="shared" si="40"/>
        <v>0</v>
      </c>
      <c r="AD7" s="267">
        <f t="shared" si="11"/>
        <v>0</v>
      </c>
      <c r="AE7" s="267">
        <f t="shared" si="41"/>
        <v>0</v>
      </c>
      <c r="AF7" s="267">
        <f t="shared" si="12"/>
        <v>0</v>
      </c>
      <c r="AG7" s="267">
        <f t="shared" si="42"/>
        <v>0</v>
      </c>
      <c r="AH7" s="267">
        <f t="shared" si="13"/>
        <v>6</v>
      </c>
      <c r="AI7" s="267">
        <f t="shared" si="43"/>
        <v>6</v>
      </c>
      <c r="AJ7" s="267">
        <f t="shared" si="14"/>
        <v>4</v>
      </c>
      <c r="AK7" s="267">
        <f t="shared" si="44"/>
        <v>4</v>
      </c>
      <c r="AL7" s="267">
        <f t="shared" si="15"/>
        <v>1</v>
      </c>
      <c r="AM7" s="267">
        <f t="shared" si="45"/>
        <v>1</v>
      </c>
      <c r="AN7" s="267">
        <f t="shared" si="16"/>
        <v>5</v>
      </c>
      <c r="AO7" s="267">
        <f t="shared" si="46"/>
        <v>5</v>
      </c>
      <c r="AP7" s="267">
        <f t="shared" si="17"/>
        <v>0</v>
      </c>
      <c r="AQ7" s="267">
        <f t="shared" si="47"/>
        <v>0</v>
      </c>
      <c r="AR7" s="267">
        <f t="shared" si="18"/>
        <v>12</v>
      </c>
      <c r="AS7" s="267">
        <f t="shared" si="48"/>
        <v>12</v>
      </c>
      <c r="AT7" s="267">
        <f t="shared" si="19"/>
        <v>5</v>
      </c>
      <c r="AU7" s="267">
        <f t="shared" si="49"/>
        <v>5</v>
      </c>
      <c r="AV7" s="267">
        <f t="shared" si="20"/>
        <v>0</v>
      </c>
      <c r="AW7" s="267">
        <f t="shared" si="50"/>
        <v>0</v>
      </c>
      <c r="AX7" s="267">
        <f t="shared" si="21"/>
        <v>0</v>
      </c>
      <c r="AY7" s="267">
        <f t="shared" si="51"/>
        <v>0</v>
      </c>
      <c r="AZ7" s="267">
        <f t="shared" si="22"/>
        <v>0</v>
      </c>
      <c r="BA7" s="267">
        <f t="shared" si="52"/>
        <v>0</v>
      </c>
      <c r="BB7" s="267">
        <f t="shared" si="23"/>
        <v>0</v>
      </c>
      <c r="BC7" s="267">
        <f t="shared" si="53"/>
        <v>0</v>
      </c>
      <c r="BD7" s="267">
        <f t="shared" si="24"/>
        <v>0</v>
      </c>
      <c r="BE7" s="267">
        <f t="shared" si="54"/>
        <v>0</v>
      </c>
      <c r="BF7" s="267">
        <f t="shared" si="25"/>
        <v>0</v>
      </c>
      <c r="BG7" s="267">
        <f t="shared" si="55"/>
        <v>0</v>
      </c>
      <c r="BH7" s="267">
        <f t="shared" si="26"/>
        <v>6</v>
      </c>
      <c r="BI7" s="267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7">
        <f t="shared" si="28"/>
        <v>0</v>
      </c>
      <c r="G8" s="267">
        <f t="shared" si="29"/>
        <v>0</v>
      </c>
      <c r="H8" s="267">
        <f t="shared" si="0"/>
        <v>0</v>
      </c>
      <c r="I8" s="267">
        <f t="shared" si="30"/>
        <v>0</v>
      </c>
      <c r="J8" s="267">
        <f t="shared" si="1"/>
        <v>0</v>
      </c>
      <c r="K8" s="267">
        <f t="shared" si="31"/>
        <v>0</v>
      </c>
      <c r="L8" s="267">
        <f t="shared" si="2"/>
        <v>0</v>
      </c>
      <c r="M8" s="267">
        <f t="shared" si="32"/>
        <v>0</v>
      </c>
      <c r="N8" s="267">
        <f t="shared" si="3"/>
        <v>0</v>
      </c>
      <c r="O8" s="267">
        <f t="shared" si="33"/>
        <v>0</v>
      </c>
      <c r="P8" s="267">
        <f t="shared" si="4"/>
        <v>0</v>
      </c>
      <c r="Q8" s="267">
        <f t="shared" si="34"/>
        <v>0</v>
      </c>
      <c r="R8" s="267">
        <f t="shared" si="5"/>
        <v>0</v>
      </c>
      <c r="S8" s="267">
        <f t="shared" si="35"/>
        <v>0</v>
      </c>
      <c r="T8" s="267">
        <f t="shared" si="6"/>
        <v>0</v>
      </c>
      <c r="U8" s="267">
        <f t="shared" si="36"/>
        <v>0</v>
      </c>
      <c r="V8" s="267">
        <f t="shared" si="7"/>
        <v>0</v>
      </c>
      <c r="W8" s="267">
        <f t="shared" si="37"/>
        <v>0</v>
      </c>
      <c r="X8" s="267">
        <f t="shared" si="8"/>
        <v>0</v>
      </c>
      <c r="Y8" s="267">
        <f t="shared" si="38"/>
        <v>0</v>
      </c>
      <c r="Z8" s="267">
        <f t="shared" si="9"/>
        <v>0</v>
      </c>
      <c r="AA8" s="267">
        <f t="shared" si="39"/>
        <v>0</v>
      </c>
      <c r="AB8" s="267">
        <f t="shared" si="10"/>
        <v>0</v>
      </c>
      <c r="AC8" s="267">
        <f t="shared" si="40"/>
        <v>0</v>
      </c>
      <c r="AD8" s="267">
        <f t="shared" si="11"/>
        <v>0</v>
      </c>
      <c r="AE8" s="267">
        <f t="shared" si="41"/>
        <v>0</v>
      </c>
      <c r="AF8" s="267">
        <f t="shared" si="12"/>
        <v>0</v>
      </c>
      <c r="AG8" s="267">
        <f t="shared" si="42"/>
        <v>0</v>
      </c>
      <c r="AH8" s="267">
        <f t="shared" si="13"/>
        <v>0</v>
      </c>
      <c r="AI8" s="267">
        <f t="shared" si="43"/>
        <v>0</v>
      </c>
      <c r="AJ8" s="267">
        <f t="shared" si="14"/>
        <v>0</v>
      </c>
      <c r="AK8" s="267">
        <f t="shared" si="44"/>
        <v>0</v>
      </c>
      <c r="AL8" s="267">
        <f t="shared" si="15"/>
        <v>0</v>
      </c>
      <c r="AM8" s="267">
        <f t="shared" si="45"/>
        <v>0</v>
      </c>
      <c r="AN8" s="267">
        <f t="shared" si="16"/>
        <v>0</v>
      </c>
      <c r="AO8" s="267">
        <f t="shared" si="46"/>
        <v>0</v>
      </c>
      <c r="AP8" s="267">
        <f t="shared" si="17"/>
        <v>0</v>
      </c>
      <c r="AQ8" s="267">
        <f t="shared" si="47"/>
        <v>0</v>
      </c>
      <c r="AR8" s="267">
        <f t="shared" si="18"/>
        <v>0</v>
      </c>
      <c r="AS8" s="267">
        <f t="shared" si="48"/>
        <v>0</v>
      </c>
      <c r="AT8" s="267">
        <f t="shared" si="19"/>
        <v>0</v>
      </c>
      <c r="AU8" s="267">
        <f t="shared" si="49"/>
        <v>0</v>
      </c>
      <c r="AV8" s="267">
        <f t="shared" si="20"/>
        <v>6</v>
      </c>
      <c r="AW8" s="267">
        <f t="shared" si="50"/>
        <v>6</v>
      </c>
      <c r="AX8" s="267">
        <f t="shared" si="21"/>
        <v>4</v>
      </c>
      <c r="AY8" s="267">
        <f t="shared" si="51"/>
        <v>4</v>
      </c>
      <c r="AZ8" s="267">
        <f t="shared" si="22"/>
        <v>8</v>
      </c>
      <c r="BA8" s="267">
        <f t="shared" si="52"/>
        <v>8</v>
      </c>
      <c r="BB8" s="267">
        <f t="shared" si="23"/>
        <v>8</v>
      </c>
      <c r="BC8" s="267">
        <f t="shared" si="53"/>
        <v>8</v>
      </c>
      <c r="BD8" s="267">
        <f t="shared" si="24"/>
        <v>0</v>
      </c>
      <c r="BE8" s="267">
        <f t="shared" si="54"/>
        <v>0</v>
      </c>
      <c r="BF8" s="267">
        <f t="shared" si="25"/>
        <v>0</v>
      </c>
      <c r="BG8" s="267">
        <f t="shared" si="55"/>
        <v>0</v>
      </c>
      <c r="BH8" s="267">
        <f t="shared" si="26"/>
        <v>0</v>
      </c>
      <c r="BI8" s="267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7">
        <f t="shared" si="28"/>
        <v>1</v>
      </c>
      <c r="G9" s="267">
        <f t="shared" si="29"/>
        <v>1</v>
      </c>
      <c r="H9" s="267">
        <f t="shared" si="0"/>
        <v>0</v>
      </c>
      <c r="I9" s="267">
        <f t="shared" si="30"/>
        <v>0</v>
      </c>
      <c r="J9" s="267">
        <f t="shared" si="1"/>
        <v>0</v>
      </c>
      <c r="K9" s="267">
        <f t="shared" si="31"/>
        <v>0</v>
      </c>
      <c r="L9" s="267">
        <f t="shared" si="2"/>
        <v>2</v>
      </c>
      <c r="M9" s="267">
        <f t="shared" si="32"/>
        <v>2</v>
      </c>
      <c r="N9" s="267">
        <f t="shared" si="3"/>
        <v>0</v>
      </c>
      <c r="O9" s="267">
        <f t="shared" si="33"/>
        <v>0</v>
      </c>
      <c r="P9" s="267">
        <f t="shared" si="4"/>
        <v>0</v>
      </c>
      <c r="Q9" s="267">
        <f t="shared" si="34"/>
        <v>0</v>
      </c>
      <c r="R9" s="267">
        <f t="shared" si="5"/>
        <v>2</v>
      </c>
      <c r="S9" s="267">
        <f t="shared" si="35"/>
        <v>2</v>
      </c>
      <c r="T9" s="267">
        <f t="shared" si="6"/>
        <v>0</v>
      </c>
      <c r="U9" s="267">
        <f t="shared" si="36"/>
        <v>0</v>
      </c>
      <c r="V9" s="267">
        <f t="shared" si="7"/>
        <v>0</v>
      </c>
      <c r="W9" s="267">
        <f t="shared" si="37"/>
        <v>0</v>
      </c>
      <c r="X9" s="267">
        <f t="shared" si="8"/>
        <v>0</v>
      </c>
      <c r="Y9" s="267">
        <f t="shared" si="38"/>
        <v>0</v>
      </c>
      <c r="Z9" s="267">
        <f t="shared" si="9"/>
        <v>1</v>
      </c>
      <c r="AA9" s="267">
        <f t="shared" si="39"/>
        <v>1</v>
      </c>
      <c r="AB9" s="267">
        <f t="shared" si="10"/>
        <v>0</v>
      </c>
      <c r="AC9" s="267">
        <f t="shared" si="40"/>
        <v>0</v>
      </c>
      <c r="AD9" s="267">
        <f t="shared" si="11"/>
        <v>2</v>
      </c>
      <c r="AE9" s="267">
        <f t="shared" si="41"/>
        <v>2</v>
      </c>
      <c r="AF9" s="267">
        <f t="shared" si="12"/>
        <v>0</v>
      </c>
      <c r="AG9" s="267">
        <f t="shared" si="42"/>
        <v>0</v>
      </c>
      <c r="AH9" s="267">
        <f t="shared" si="13"/>
        <v>1</v>
      </c>
      <c r="AI9" s="267">
        <f t="shared" si="43"/>
        <v>1</v>
      </c>
      <c r="AJ9" s="267">
        <f t="shared" si="14"/>
        <v>0</v>
      </c>
      <c r="AK9" s="267">
        <f t="shared" si="44"/>
        <v>0</v>
      </c>
      <c r="AL9" s="267">
        <f t="shared" si="15"/>
        <v>1</v>
      </c>
      <c r="AM9" s="267">
        <f t="shared" si="45"/>
        <v>1</v>
      </c>
      <c r="AN9" s="267">
        <f t="shared" si="16"/>
        <v>0</v>
      </c>
      <c r="AO9" s="267">
        <f t="shared" si="46"/>
        <v>0</v>
      </c>
      <c r="AP9" s="267">
        <f t="shared" si="17"/>
        <v>0</v>
      </c>
      <c r="AQ9" s="267">
        <f t="shared" si="47"/>
        <v>0</v>
      </c>
      <c r="AR9" s="267">
        <f t="shared" si="18"/>
        <v>0</v>
      </c>
      <c r="AS9" s="267">
        <f t="shared" si="48"/>
        <v>0</v>
      </c>
      <c r="AT9" s="267">
        <f t="shared" si="19"/>
        <v>0</v>
      </c>
      <c r="AU9" s="267">
        <f t="shared" si="49"/>
        <v>0</v>
      </c>
      <c r="AV9" s="267">
        <f t="shared" si="20"/>
        <v>0</v>
      </c>
      <c r="AW9" s="267">
        <f t="shared" si="50"/>
        <v>0</v>
      </c>
      <c r="AX9" s="267">
        <f t="shared" si="21"/>
        <v>1</v>
      </c>
      <c r="AY9" s="267">
        <f t="shared" si="51"/>
        <v>1</v>
      </c>
      <c r="AZ9" s="267">
        <f t="shared" si="22"/>
        <v>0</v>
      </c>
      <c r="BA9" s="267">
        <f t="shared" si="52"/>
        <v>0</v>
      </c>
      <c r="BB9" s="267">
        <f t="shared" si="23"/>
        <v>0</v>
      </c>
      <c r="BC9" s="267">
        <f t="shared" si="53"/>
        <v>0</v>
      </c>
      <c r="BD9" s="267">
        <f t="shared" si="24"/>
        <v>14</v>
      </c>
      <c r="BE9" s="267">
        <f t="shared" si="54"/>
        <v>14</v>
      </c>
      <c r="BF9" s="267">
        <f t="shared" si="25"/>
        <v>21</v>
      </c>
      <c r="BG9" s="267">
        <f t="shared" si="55"/>
        <v>21</v>
      </c>
      <c r="BH9" s="267">
        <f t="shared" si="26"/>
        <v>0</v>
      </c>
      <c r="BI9" s="267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7">
        <f t="shared" si="28"/>
        <v>0</v>
      </c>
      <c r="G10" s="267">
        <f t="shared" si="29"/>
        <v>0</v>
      </c>
      <c r="H10" s="267">
        <f t="shared" si="0"/>
        <v>0</v>
      </c>
      <c r="I10" s="267">
        <f t="shared" si="30"/>
        <v>0</v>
      </c>
      <c r="J10" s="267">
        <f t="shared" si="1"/>
        <v>0</v>
      </c>
      <c r="K10" s="267">
        <f t="shared" si="31"/>
        <v>0</v>
      </c>
      <c r="L10" s="267">
        <f t="shared" si="2"/>
        <v>0</v>
      </c>
      <c r="M10" s="267">
        <f t="shared" si="32"/>
        <v>0</v>
      </c>
      <c r="N10" s="267">
        <f t="shared" si="3"/>
        <v>0</v>
      </c>
      <c r="O10" s="267">
        <f t="shared" si="33"/>
        <v>0</v>
      </c>
      <c r="P10" s="267">
        <f t="shared" si="4"/>
        <v>0</v>
      </c>
      <c r="Q10" s="267">
        <f t="shared" si="34"/>
        <v>0</v>
      </c>
      <c r="R10" s="267">
        <f t="shared" si="5"/>
        <v>0</v>
      </c>
      <c r="S10" s="267">
        <f t="shared" si="35"/>
        <v>0</v>
      </c>
      <c r="T10" s="267">
        <f t="shared" si="6"/>
        <v>0</v>
      </c>
      <c r="U10" s="267">
        <f t="shared" si="36"/>
        <v>0</v>
      </c>
      <c r="V10" s="267">
        <f t="shared" si="7"/>
        <v>0</v>
      </c>
      <c r="W10" s="267">
        <f t="shared" si="37"/>
        <v>0</v>
      </c>
      <c r="X10" s="267">
        <f t="shared" si="8"/>
        <v>0</v>
      </c>
      <c r="Y10" s="267">
        <f t="shared" si="38"/>
        <v>0</v>
      </c>
      <c r="Z10" s="267">
        <f t="shared" si="9"/>
        <v>0</v>
      </c>
      <c r="AA10" s="267">
        <f t="shared" si="39"/>
        <v>0</v>
      </c>
      <c r="AB10" s="267">
        <f t="shared" si="10"/>
        <v>0</v>
      </c>
      <c r="AC10" s="267">
        <f t="shared" si="40"/>
        <v>0</v>
      </c>
      <c r="AD10" s="267">
        <f t="shared" si="11"/>
        <v>0</v>
      </c>
      <c r="AE10" s="267">
        <f t="shared" si="41"/>
        <v>0</v>
      </c>
      <c r="AF10" s="267">
        <f t="shared" si="12"/>
        <v>0</v>
      </c>
      <c r="AG10" s="267">
        <f t="shared" si="42"/>
        <v>0</v>
      </c>
      <c r="AH10" s="267">
        <f t="shared" si="13"/>
        <v>0</v>
      </c>
      <c r="AI10" s="267">
        <f t="shared" si="43"/>
        <v>0</v>
      </c>
      <c r="AJ10" s="267">
        <f t="shared" si="14"/>
        <v>0</v>
      </c>
      <c r="AK10" s="267">
        <f t="shared" si="44"/>
        <v>0</v>
      </c>
      <c r="AL10" s="267">
        <f t="shared" si="15"/>
        <v>0</v>
      </c>
      <c r="AM10" s="267">
        <f t="shared" si="45"/>
        <v>0</v>
      </c>
      <c r="AN10" s="267">
        <f t="shared" si="16"/>
        <v>0</v>
      </c>
      <c r="AO10" s="267">
        <f t="shared" si="46"/>
        <v>0</v>
      </c>
      <c r="AP10" s="267">
        <f t="shared" si="17"/>
        <v>0</v>
      </c>
      <c r="AQ10" s="267">
        <f t="shared" si="47"/>
        <v>0</v>
      </c>
      <c r="AR10" s="267">
        <f t="shared" si="18"/>
        <v>0</v>
      </c>
      <c r="AS10" s="267">
        <f t="shared" si="48"/>
        <v>0</v>
      </c>
      <c r="AT10" s="267">
        <f t="shared" si="19"/>
        <v>0</v>
      </c>
      <c r="AU10" s="267">
        <f t="shared" si="49"/>
        <v>0</v>
      </c>
      <c r="AV10" s="267">
        <f t="shared" si="20"/>
        <v>0</v>
      </c>
      <c r="AW10" s="267">
        <f t="shared" si="50"/>
        <v>0</v>
      </c>
      <c r="AX10" s="267">
        <f t="shared" si="21"/>
        <v>0</v>
      </c>
      <c r="AY10" s="267">
        <f t="shared" si="51"/>
        <v>0</v>
      </c>
      <c r="AZ10" s="267">
        <f t="shared" si="22"/>
        <v>0</v>
      </c>
      <c r="BA10" s="267">
        <f t="shared" si="52"/>
        <v>0</v>
      </c>
      <c r="BB10" s="267">
        <f t="shared" si="23"/>
        <v>0</v>
      </c>
      <c r="BC10" s="267">
        <f t="shared" si="53"/>
        <v>0</v>
      </c>
      <c r="BD10" s="267">
        <f t="shared" si="24"/>
        <v>31</v>
      </c>
      <c r="BE10" s="267">
        <f t="shared" si="54"/>
        <v>31</v>
      </c>
      <c r="BF10" s="267">
        <f t="shared" si="25"/>
        <v>21</v>
      </c>
      <c r="BG10" s="267">
        <f t="shared" si="55"/>
        <v>21</v>
      </c>
      <c r="BH10" s="267">
        <f t="shared" si="26"/>
        <v>0</v>
      </c>
      <c r="BI10" s="267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7">
        <f t="shared" si="28"/>
        <v>0</v>
      </c>
      <c r="G11" s="267">
        <f t="shared" si="29"/>
        <v>0</v>
      </c>
      <c r="H11" s="267">
        <f t="shared" si="0"/>
        <v>0</v>
      </c>
      <c r="I11" s="267">
        <f t="shared" si="30"/>
        <v>0</v>
      </c>
      <c r="J11" s="267">
        <f t="shared" si="1"/>
        <v>0</v>
      </c>
      <c r="K11" s="267">
        <f t="shared" si="31"/>
        <v>0</v>
      </c>
      <c r="L11" s="267">
        <f t="shared" si="2"/>
        <v>0</v>
      </c>
      <c r="M11" s="267">
        <f t="shared" si="32"/>
        <v>0</v>
      </c>
      <c r="N11" s="267">
        <f t="shared" si="3"/>
        <v>0</v>
      </c>
      <c r="O11" s="267">
        <f t="shared" si="33"/>
        <v>0</v>
      </c>
      <c r="P11" s="267">
        <f t="shared" si="4"/>
        <v>0</v>
      </c>
      <c r="Q11" s="267">
        <f t="shared" si="34"/>
        <v>0</v>
      </c>
      <c r="R11" s="267">
        <f t="shared" si="5"/>
        <v>0</v>
      </c>
      <c r="S11" s="267">
        <f t="shared" si="35"/>
        <v>0</v>
      </c>
      <c r="T11" s="267">
        <f t="shared" si="6"/>
        <v>0</v>
      </c>
      <c r="U11" s="267">
        <f t="shared" si="36"/>
        <v>0</v>
      </c>
      <c r="V11" s="267">
        <f t="shared" si="7"/>
        <v>0</v>
      </c>
      <c r="W11" s="267">
        <f t="shared" si="37"/>
        <v>0</v>
      </c>
      <c r="X11" s="267">
        <f t="shared" si="8"/>
        <v>1</v>
      </c>
      <c r="Y11" s="267">
        <f t="shared" si="38"/>
        <v>1</v>
      </c>
      <c r="Z11" s="267">
        <f t="shared" si="9"/>
        <v>0</v>
      </c>
      <c r="AA11" s="267">
        <f t="shared" si="39"/>
        <v>0</v>
      </c>
      <c r="AB11" s="267">
        <f t="shared" si="10"/>
        <v>0</v>
      </c>
      <c r="AC11" s="267">
        <f t="shared" si="40"/>
        <v>0</v>
      </c>
      <c r="AD11" s="267">
        <f t="shared" si="11"/>
        <v>0</v>
      </c>
      <c r="AE11" s="267">
        <f t="shared" si="41"/>
        <v>0</v>
      </c>
      <c r="AF11" s="267">
        <f t="shared" si="12"/>
        <v>0</v>
      </c>
      <c r="AG11" s="267">
        <f t="shared" si="42"/>
        <v>0</v>
      </c>
      <c r="AH11" s="267">
        <f t="shared" si="13"/>
        <v>0</v>
      </c>
      <c r="AI11" s="267">
        <f t="shared" si="43"/>
        <v>0</v>
      </c>
      <c r="AJ11" s="267">
        <f t="shared" si="14"/>
        <v>0</v>
      </c>
      <c r="AK11" s="267">
        <f t="shared" si="44"/>
        <v>0</v>
      </c>
      <c r="AL11" s="267">
        <f t="shared" si="15"/>
        <v>0</v>
      </c>
      <c r="AM11" s="267">
        <f t="shared" si="45"/>
        <v>0</v>
      </c>
      <c r="AN11" s="267">
        <f t="shared" si="16"/>
        <v>0</v>
      </c>
      <c r="AO11" s="267">
        <f t="shared" si="46"/>
        <v>0</v>
      </c>
      <c r="AP11" s="267">
        <f t="shared" si="17"/>
        <v>0</v>
      </c>
      <c r="AQ11" s="267">
        <f t="shared" si="47"/>
        <v>0</v>
      </c>
      <c r="AR11" s="267">
        <f t="shared" si="18"/>
        <v>0</v>
      </c>
      <c r="AS11" s="267">
        <f t="shared" si="48"/>
        <v>0</v>
      </c>
      <c r="AT11" s="267">
        <f t="shared" si="19"/>
        <v>0</v>
      </c>
      <c r="AU11" s="267">
        <f t="shared" si="49"/>
        <v>0</v>
      </c>
      <c r="AV11" s="267">
        <f t="shared" si="20"/>
        <v>0</v>
      </c>
      <c r="AW11" s="267">
        <f t="shared" si="50"/>
        <v>0</v>
      </c>
      <c r="AX11" s="267">
        <f t="shared" si="21"/>
        <v>0</v>
      </c>
      <c r="AY11" s="267">
        <f t="shared" si="51"/>
        <v>0</v>
      </c>
      <c r="AZ11" s="267">
        <f t="shared" si="22"/>
        <v>0</v>
      </c>
      <c r="BA11" s="267">
        <f t="shared" si="52"/>
        <v>0</v>
      </c>
      <c r="BB11" s="267">
        <f t="shared" si="23"/>
        <v>0</v>
      </c>
      <c r="BC11" s="267">
        <f t="shared" si="53"/>
        <v>0</v>
      </c>
      <c r="BD11" s="267">
        <f t="shared" si="24"/>
        <v>0</v>
      </c>
      <c r="BE11" s="267">
        <f t="shared" si="54"/>
        <v>0</v>
      </c>
      <c r="BF11" s="267">
        <f t="shared" si="25"/>
        <v>0</v>
      </c>
      <c r="BG11" s="267">
        <f t="shared" si="55"/>
        <v>0</v>
      </c>
      <c r="BH11" s="267">
        <f t="shared" si="26"/>
        <v>0</v>
      </c>
      <c r="BI11" s="267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6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1" customFormat="1" x14ac:dyDescent="0.35">
      <c r="A17" s="336" t="s">
        <v>2308</v>
      </c>
      <c r="B17" s="342" t="s">
        <v>2173</v>
      </c>
      <c r="C17" s="342" t="s">
        <v>53</v>
      </c>
      <c r="D17" s="342" t="s">
        <v>2174</v>
      </c>
      <c r="E17" s="342" t="s">
        <v>2310</v>
      </c>
      <c r="F17" s="343">
        <v>44400</v>
      </c>
      <c r="G17" s="343"/>
      <c r="H17" s="343">
        <v>44407</v>
      </c>
      <c r="I17" s="343"/>
      <c r="J17" s="343">
        <v>44414</v>
      </c>
      <c r="K17" s="343"/>
      <c r="L17" s="343">
        <v>44421</v>
      </c>
      <c r="M17" s="343"/>
      <c r="N17" s="343">
        <v>44428</v>
      </c>
      <c r="O17" s="343"/>
      <c r="P17" s="343">
        <v>44435</v>
      </c>
      <c r="Q17" s="343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7">
        <v>9</v>
      </c>
      <c r="G19" s="267">
        <v>8</v>
      </c>
      <c r="H19" s="267">
        <v>6</v>
      </c>
      <c r="I19" s="267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7">
        <v>43</v>
      </c>
      <c r="I20" s="267">
        <v>17</v>
      </c>
      <c r="J20" s="267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7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7">
        <v>6</v>
      </c>
      <c r="L22" s="267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7">
        <v>30</v>
      </c>
      <c r="G23" s="267">
        <v>10</v>
      </c>
      <c r="N23" s="267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7">
        <v>14</v>
      </c>
      <c r="G24" s="267">
        <v>12</v>
      </c>
      <c r="J24" s="267">
        <v>1</v>
      </c>
      <c r="N24" s="267">
        <v>14</v>
      </c>
      <c r="P24" s="267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7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7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641" t="s">
        <v>2311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67" t="s">
        <v>74</v>
      </c>
      <c r="DL40" s="267" t="s">
        <v>2171</v>
      </c>
      <c r="DM40" s="267" t="s">
        <v>2172</v>
      </c>
    </row>
    <row r="41" spans="1:117" ht="15.75" customHeight="1" x14ac:dyDescent="0.35">
      <c r="A41" s="639" t="s">
        <v>21</v>
      </c>
      <c r="B41" s="267" t="s">
        <v>2173</v>
      </c>
      <c r="C41" s="267" t="s">
        <v>2174</v>
      </c>
      <c r="D41" s="267" t="s">
        <v>2173</v>
      </c>
      <c r="E41" s="267" t="s">
        <v>2174</v>
      </c>
      <c r="F41" s="267" t="s">
        <v>2173</v>
      </c>
      <c r="G41" s="267" t="s">
        <v>2174</v>
      </c>
      <c r="H41" s="267" t="s">
        <v>2173</v>
      </c>
      <c r="I41" s="267" t="s">
        <v>2174</v>
      </c>
      <c r="J41" s="267" t="s">
        <v>2173</v>
      </c>
      <c r="K41" s="267" t="s">
        <v>2174</v>
      </c>
      <c r="L41" s="267" t="s">
        <v>2173</v>
      </c>
      <c r="M41" s="267" t="s">
        <v>2174</v>
      </c>
      <c r="N41" s="267" t="s">
        <v>2173</v>
      </c>
      <c r="O41" s="267" t="s">
        <v>2174</v>
      </c>
      <c r="P41" s="267" t="s">
        <v>2173</v>
      </c>
      <c r="Q41" s="267" t="s">
        <v>2174</v>
      </c>
      <c r="R41" s="267" t="s">
        <v>2173</v>
      </c>
      <c r="S41" s="267" t="s">
        <v>2174</v>
      </c>
      <c r="T41" s="267" t="s">
        <v>2173</v>
      </c>
      <c r="U41" s="267" t="s">
        <v>2174</v>
      </c>
      <c r="V41" s="267" t="s">
        <v>2173</v>
      </c>
      <c r="W41" s="267" t="s">
        <v>2174</v>
      </c>
      <c r="X41" s="267" t="s">
        <v>2173</v>
      </c>
      <c r="Y41" s="267" t="s">
        <v>2174</v>
      </c>
      <c r="Z41" s="267" t="s">
        <v>2173</v>
      </c>
      <c r="AA41" s="267" t="s">
        <v>2174</v>
      </c>
      <c r="AB41" s="267" t="s">
        <v>2173</v>
      </c>
      <c r="AC41" s="267" t="s">
        <v>2174</v>
      </c>
      <c r="AD41" s="267" t="s">
        <v>2173</v>
      </c>
      <c r="AE41" s="267" t="s">
        <v>2174</v>
      </c>
      <c r="AF41" s="267" t="s">
        <v>2173</v>
      </c>
      <c r="AG41" s="267" t="s">
        <v>2174</v>
      </c>
      <c r="AH41" s="267" t="s">
        <v>2173</v>
      </c>
      <c r="AI41" s="267" t="s">
        <v>2174</v>
      </c>
      <c r="AJ41" s="267" t="s">
        <v>2173</v>
      </c>
      <c r="AK41" s="267" t="s">
        <v>2174</v>
      </c>
      <c r="AL41" s="267" t="s">
        <v>2173</v>
      </c>
      <c r="AM41" s="267" t="s">
        <v>2174</v>
      </c>
      <c r="AN41" s="267" t="s">
        <v>2173</v>
      </c>
      <c r="AO41" s="267" t="s">
        <v>2174</v>
      </c>
      <c r="AP41" s="267" t="s">
        <v>2173</v>
      </c>
      <c r="AQ41" s="267" t="s">
        <v>2174</v>
      </c>
      <c r="AR41" s="267" t="s">
        <v>2173</v>
      </c>
      <c r="AS41" s="267" t="s">
        <v>2174</v>
      </c>
      <c r="AT41" s="267" t="s">
        <v>2173</v>
      </c>
      <c r="AU41" s="267" t="s">
        <v>2174</v>
      </c>
      <c r="AV41" s="267" t="s">
        <v>2173</v>
      </c>
      <c r="AW41" s="267" t="s">
        <v>2174</v>
      </c>
      <c r="AX41" s="267" t="s">
        <v>2173</v>
      </c>
      <c r="AY41" s="267" t="s">
        <v>2174</v>
      </c>
      <c r="AZ41" s="267" t="s">
        <v>2173</v>
      </c>
      <c r="BA41" s="267" t="s">
        <v>2174</v>
      </c>
      <c r="BB41" s="267" t="s">
        <v>2173</v>
      </c>
      <c r="BC41" s="267" t="s">
        <v>2174</v>
      </c>
      <c r="BD41" s="267" t="s">
        <v>2173</v>
      </c>
      <c r="BE41" s="267" t="s">
        <v>2174</v>
      </c>
      <c r="BF41" s="267" t="s">
        <v>2173</v>
      </c>
      <c r="BG41" s="267" t="s">
        <v>2174</v>
      </c>
      <c r="BH41" s="267" t="s">
        <v>2173</v>
      </c>
      <c r="BI41" s="267" t="s">
        <v>2174</v>
      </c>
      <c r="BJ41" s="267" t="s">
        <v>2173</v>
      </c>
      <c r="BK41" s="267" t="s">
        <v>2174</v>
      </c>
      <c r="BL41" s="267" t="s">
        <v>2173</v>
      </c>
      <c r="BM41" s="267" t="s">
        <v>2174</v>
      </c>
      <c r="BN41" s="267" t="s">
        <v>2173</v>
      </c>
      <c r="BO41" s="267" t="s">
        <v>2174</v>
      </c>
      <c r="BP41" s="267" t="s">
        <v>2173</v>
      </c>
      <c r="BQ41" s="267" t="s">
        <v>2174</v>
      </c>
      <c r="BR41" s="267" t="s">
        <v>2173</v>
      </c>
      <c r="BS41" s="267" t="s">
        <v>2174</v>
      </c>
      <c r="BT41" s="267" t="s">
        <v>2173</v>
      </c>
      <c r="BU41" s="267" t="s">
        <v>2174</v>
      </c>
      <c r="BV41" s="267" t="s">
        <v>2173</v>
      </c>
      <c r="BW41" s="267" t="s">
        <v>2174</v>
      </c>
      <c r="BX41" s="267" t="s">
        <v>2173</v>
      </c>
      <c r="BY41" s="267" t="s">
        <v>2174</v>
      </c>
      <c r="BZ41" s="267" t="s">
        <v>2173</v>
      </c>
      <c r="CA41" s="267" t="s">
        <v>2174</v>
      </c>
      <c r="CB41" s="267" t="s">
        <v>2173</v>
      </c>
      <c r="CC41" s="267" t="s">
        <v>2174</v>
      </c>
      <c r="CD41" s="267" t="s">
        <v>2173</v>
      </c>
      <c r="CE41" s="267" t="s">
        <v>2174</v>
      </c>
      <c r="CF41" s="267" t="s">
        <v>2173</v>
      </c>
      <c r="CG41" s="267" t="s">
        <v>2174</v>
      </c>
      <c r="CH41" s="267" t="s">
        <v>2173</v>
      </c>
      <c r="CI41" s="267" t="s">
        <v>2174</v>
      </c>
      <c r="CJ41" s="267" t="s">
        <v>2173</v>
      </c>
      <c r="CK41" s="267" t="s">
        <v>2174</v>
      </c>
      <c r="CL41" s="267" t="s">
        <v>2173</v>
      </c>
      <c r="CM41" s="267" t="s">
        <v>2174</v>
      </c>
      <c r="CN41" s="267" t="s">
        <v>2173</v>
      </c>
      <c r="CO41" s="267" t="s">
        <v>2174</v>
      </c>
      <c r="CP41" s="267" t="s">
        <v>2173</v>
      </c>
      <c r="CQ41" s="267" t="s">
        <v>2174</v>
      </c>
      <c r="CR41" s="267" t="s">
        <v>2173</v>
      </c>
      <c r="CS41" s="267" t="s">
        <v>2174</v>
      </c>
      <c r="CT41" s="267" t="s">
        <v>2173</v>
      </c>
      <c r="CU41" s="267" t="s">
        <v>2174</v>
      </c>
      <c r="CV41" s="267" t="s">
        <v>2173</v>
      </c>
      <c r="CW41" s="267" t="s">
        <v>2174</v>
      </c>
      <c r="CX41" s="267" t="s">
        <v>2173</v>
      </c>
      <c r="CY41" s="267" t="s">
        <v>2174</v>
      </c>
      <c r="CZ41" s="267" t="s">
        <v>2173</v>
      </c>
      <c r="DA41" s="267" t="s">
        <v>2174</v>
      </c>
      <c r="DB41" s="267" t="s">
        <v>2173</v>
      </c>
      <c r="DC41" s="267" t="s">
        <v>2174</v>
      </c>
      <c r="DD41" s="267" t="s">
        <v>2173</v>
      </c>
      <c r="DE41" s="267" t="s">
        <v>2174</v>
      </c>
      <c r="DF41" s="267" t="s">
        <v>2173</v>
      </c>
      <c r="DG41" s="267" t="s">
        <v>2174</v>
      </c>
      <c r="DH41" s="267" t="s">
        <v>2173</v>
      </c>
      <c r="DI41" s="267" t="s">
        <v>2174</v>
      </c>
      <c r="DJ41" s="267" t="s">
        <v>2173</v>
      </c>
      <c r="DK41" s="267" t="s">
        <v>2174</v>
      </c>
    </row>
    <row r="42" spans="1:117" ht="15.75" customHeight="1" x14ac:dyDescent="0.35">
      <c r="A42" s="2" t="s">
        <v>65</v>
      </c>
      <c r="B42" s="640">
        <v>8</v>
      </c>
      <c r="C42" s="640">
        <v>8</v>
      </c>
      <c r="D42" s="640">
        <v>4</v>
      </c>
      <c r="E42" s="640">
        <v>4</v>
      </c>
      <c r="F42" s="640">
        <v>3</v>
      </c>
      <c r="G42" s="640">
        <v>3</v>
      </c>
      <c r="H42" s="640"/>
      <c r="I42" s="640"/>
      <c r="J42" s="640"/>
      <c r="K42" s="640"/>
      <c r="L42" s="640"/>
      <c r="M42" s="640"/>
      <c r="N42" s="640"/>
      <c r="O42" s="640"/>
      <c r="P42" s="640"/>
      <c r="Q42" s="640"/>
      <c r="R42" s="640"/>
      <c r="S42" s="640"/>
      <c r="T42" s="640"/>
      <c r="U42" s="640"/>
      <c r="V42" s="640"/>
      <c r="W42" s="640"/>
      <c r="X42" s="640"/>
      <c r="Y42" s="640"/>
      <c r="Z42" s="640"/>
      <c r="AA42" s="640"/>
      <c r="AB42" s="640"/>
      <c r="AC42" s="640"/>
      <c r="AD42" s="640"/>
      <c r="AE42" s="640"/>
      <c r="AF42" s="640"/>
      <c r="AG42" s="640"/>
      <c r="AH42" s="640"/>
      <c r="AI42" s="640"/>
      <c r="AJ42" s="640"/>
      <c r="AK42" s="640"/>
      <c r="AL42" s="640"/>
      <c r="AM42" s="640"/>
      <c r="AN42" s="640"/>
      <c r="AO42" s="640"/>
      <c r="AP42" s="640"/>
      <c r="AQ42" s="640"/>
      <c r="AR42" s="640"/>
      <c r="AS42" s="640"/>
      <c r="AT42" s="640"/>
      <c r="AU42" s="640"/>
      <c r="AV42" s="640"/>
      <c r="AW42" s="640"/>
      <c r="AX42" s="640"/>
      <c r="AY42" s="640"/>
      <c r="AZ42" s="640"/>
      <c r="BA42" s="640"/>
      <c r="BB42" s="640"/>
      <c r="BC42" s="640"/>
      <c r="BD42" s="640"/>
      <c r="BE42" s="640"/>
      <c r="BF42" s="640"/>
      <c r="BG42" s="640"/>
      <c r="BH42" s="640"/>
      <c r="BI42" s="640"/>
      <c r="BJ42" s="640"/>
      <c r="BK42" s="640"/>
      <c r="BL42" s="640"/>
      <c r="BM42" s="640"/>
      <c r="BN42" s="640"/>
      <c r="BO42" s="640"/>
      <c r="BP42" s="640"/>
      <c r="BQ42" s="640"/>
      <c r="BR42" s="640"/>
      <c r="BS42" s="640"/>
      <c r="BT42" s="640"/>
      <c r="BU42" s="640"/>
      <c r="BV42" s="640"/>
      <c r="BW42" s="640"/>
      <c r="BX42" s="640"/>
      <c r="BY42" s="640"/>
      <c r="BZ42" s="640"/>
      <c r="CA42" s="640"/>
      <c r="CB42" s="640"/>
      <c r="CC42" s="640"/>
      <c r="CD42" s="640"/>
      <c r="CE42" s="640"/>
      <c r="CF42" s="640"/>
      <c r="CG42" s="640"/>
      <c r="CH42" s="640"/>
      <c r="CI42" s="640"/>
      <c r="CJ42" s="640"/>
      <c r="CK42" s="640"/>
      <c r="CL42" s="640"/>
      <c r="CM42" s="640"/>
      <c r="CN42" s="640"/>
      <c r="CO42" s="640"/>
      <c r="CP42" s="640"/>
      <c r="CQ42" s="640"/>
      <c r="CR42" s="640"/>
      <c r="CS42" s="640"/>
      <c r="CT42" s="640"/>
      <c r="CU42" s="640"/>
      <c r="CV42" s="640"/>
      <c r="CW42" s="640"/>
      <c r="CX42" s="640"/>
      <c r="CY42" s="640"/>
      <c r="CZ42" s="640"/>
      <c r="DA42" s="640"/>
      <c r="DB42" s="640"/>
      <c r="DC42" s="640"/>
      <c r="DD42" s="640"/>
      <c r="DE42" s="640"/>
      <c r="DF42" s="640"/>
      <c r="DG42" s="640"/>
      <c r="DH42" s="640"/>
      <c r="DI42" s="640"/>
      <c r="DJ42" s="640"/>
      <c r="DK42" s="640"/>
      <c r="DL42" s="640">
        <v>15</v>
      </c>
      <c r="DM42" s="640">
        <v>15</v>
      </c>
    </row>
    <row r="43" spans="1:117" ht="15.75" customHeight="1" x14ac:dyDescent="0.35">
      <c r="A43" s="2" t="s">
        <v>66</v>
      </c>
      <c r="B43" s="640"/>
      <c r="C43" s="640"/>
      <c r="D43" s="640">
        <v>5</v>
      </c>
      <c r="E43" s="640">
        <v>5</v>
      </c>
      <c r="F43" s="640"/>
      <c r="G43" s="640"/>
      <c r="H43" s="640">
        <v>10</v>
      </c>
      <c r="I43" s="640">
        <v>10</v>
      </c>
      <c r="J43" s="640">
        <v>9</v>
      </c>
      <c r="K43" s="640">
        <v>9</v>
      </c>
      <c r="L43" s="640">
        <v>6</v>
      </c>
      <c r="M43" s="640">
        <v>6</v>
      </c>
      <c r="N43" s="640">
        <v>4</v>
      </c>
      <c r="O43" s="640">
        <v>4</v>
      </c>
      <c r="P43" s="640">
        <v>4</v>
      </c>
      <c r="Q43" s="640">
        <v>4</v>
      </c>
      <c r="R43" s="640">
        <v>4</v>
      </c>
      <c r="S43" s="640">
        <v>4</v>
      </c>
      <c r="T43" s="640"/>
      <c r="U43" s="640"/>
      <c r="V43" s="640"/>
      <c r="W43" s="640"/>
      <c r="X43" s="640"/>
      <c r="Y43" s="640"/>
      <c r="Z43" s="640">
        <v>4</v>
      </c>
      <c r="AA43" s="640">
        <v>4</v>
      </c>
      <c r="AB43" s="640"/>
      <c r="AC43" s="640"/>
      <c r="AD43" s="640"/>
      <c r="AE43" s="640"/>
      <c r="AF43" s="640"/>
      <c r="AG43" s="640"/>
      <c r="AH43" s="640"/>
      <c r="AI43" s="640"/>
      <c r="AJ43" s="640"/>
      <c r="AK43" s="640"/>
      <c r="AL43" s="640">
        <v>3</v>
      </c>
      <c r="AM43" s="640">
        <v>3</v>
      </c>
      <c r="AN43" s="640"/>
      <c r="AO43" s="640"/>
      <c r="AP43" s="640"/>
      <c r="AQ43" s="640"/>
      <c r="AR43" s="640"/>
      <c r="AS43" s="640"/>
      <c r="AT43" s="640"/>
      <c r="AU43" s="640"/>
      <c r="AV43" s="640"/>
      <c r="AW43" s="640"/>
      <c r="AX43" s="640"/>
      <c r="AY43" s="640"/>
      <c r="AZ43" s="640"/>
      <c r="BA43" s="640"/>
      <c r="BB43" s="640"/>
      <c r="BC43" s="640"/>
      <c r="BD43" s="640"/>
      <c r="BE43" s="640"/>
      <c r="BF43" s="640"/>
      <c r="BG43" s="640"/>
      <c r="BH43" s="640"/>
      <c r="BI43" s="640"/>
      <c r="BJ43" s="640"/>
      <c r="BK43" s="640"/>
      <c r="BL43" s="640">
        <v>6</v>
      </c>
      <c r="BM43" s="640">
        <v>6</v>
      </c>
      <c r="BN43" s="640"/>
      <c r="BO43" s="640"/>
      <c r="BP43" s="640">
        <v>1</v>
      </c>
      <c r="BQ43" s="640">
        <v>1</v>
      </c>
      <c r="BR43" s="640">
        <v>5</v>
      </c>
      <c r="BS43" s="640">
        <v>5</v>
      </c>
      <c r="BT43" s="640">
        <v>4</v>
      </c>
      <c r="BU43" s="640">
        <v>4</v>
      </c>
      <c r="BV43" s="640"/>
      <c r="BW43" s="640"/>
      <c r="BX43" s="640"/>
      <c r="BY43" s="640"/>
      <c r="BZ43" s="640"/>
      <c r="CA43" s="640"/>
      <c r="CB43" s="640">
        <v>14</v>
      </c>
      <c r="CC43" s="640">
        <v>14</v>
      </c>
      <c r="CD43" s="640"/>
      <c r="CE43" s="640"/>
      <c r="CF43" s="640"/>
      <c r="CG43" s="640"/>
      <c r="CH43" s="640"/>
      <c r="CI43" s="640"/>
      <c r="CJ43" s="640"/>
      <c r="CK43" s="640"/>
      <c r="CL43" s="640"/>
      <c r="CM43" s="640"/>
      <c r="CN43" s="640"/>
      <c r="CO43" s="640"/>
      <c r="CP43" s="640"/>
      <c r="CQ43" s="640"/>
      <c r="CR43" s="640"/>
      <c r="CS43" s="640"/>
      <c r="CT43" s="640"/>
      <c r="CU43" s="640"/>
      <c r="CV43" s="640"/>
      <c r="CW43" s="640"/>
      <c r="CX43" s="640"/>
      <c r="CY43" s="640"/>
      <c r="CZ43" s="640"/>
      <c r="DA43" s="640"/>
      <c r="DB43" s="640"/>
      <c r="DC43" s="640"/>
      <c r="DD43" s="640"/>
      <c r="DE43" s="640"/>
      <c r="DF43" s="640"/>
      <c r="DG43" s="640"/>
      <c r="DH43" s="640"/>
      <c r="DI43" s="640"/>
      <c r="DJ43" s="640"/>
      <c r="DK43" s="640"/>
      <c r="DL43" s="640">
        <v>79</v>
      </c>
      <c r="DM43" s="640">
        <v>79</v>
      </c>
    </row>
    <row r="44" spans="1:117" ht="15.75" customHeight="1" x14ac:dyDescent="0.35">
      <c r="A44" s="2" t="s">
        <v>67</v>
      </c>
      <c r="B44" s="640"/>
      <c r="C44" s="640"/>
      <c r="D44" s="640"/>
      <c r="E44" s="640"/>
      <c r="F44" s="640"/>
      <c r="G44" s="640"/>
      <c r="H44" s="640"/>
      <c r="I44" s="640"/>
      <c r="J44" s="640"/>
      <c r="K44" s="640"/>
      <c r="L44" s="640"/>
      <c r="M44" s="640"/>
      <c r="N44" s="640"/>
      <c r="O44" s="640"/>
      <c r="P44" s="640"/>
      <c r="Q44" s="640"/>
      <c r="R44" s="640"/>
      <c r="S44" s="640"/>
      <c r="T44" s="640">
        <v>1</v>
      </c>
      <c r="U44" s="640">
        <v>1</v>
      </c>
      <c r="V44" s="640">
        <v>3</v>
      </c>
      <c r="W44" s="640">
        <v>3</v>
      </c>
      <c r="X44" s="640">
        <v>3</v>
      </c>
      <c r="Y44" s="640">
        <v>3</v>
      </c>
      <c r="Z44" s="640">
        <v>1</v>
      </c>
      <c r="AA44" s="640">
        <v>1</v>
      </c>
      <c r="AB44" s="640">
        <v>5</v>
      </c>
      <c r="AC44" s="640">
        <v>5</v>
      </c>
      <c r="AD44" s="640"/>
      <c r="AE44" s="640"/>
      <c r="AF44" s="640"/>
      <c r="AG44" s="640"/>
      <c r="AH44" s="640">
        <v>5</v>
      </c>
      <c r="AI44" s="640">
        <v>5</v>
      </c>
      <c r="AJ44" s="640"/>
      <c r="AK44" s="640"/>
      <c r="AL44" s="640"/>
      <c r="AM44" s="640"/>
      <c r="AN44" s="640"/>
      <c r="AO44" s="640"/>
      <c r="AP44" s="640"/>
      <c r="AQ44" s="640"/>
      <c r="AR44" s="640"/>
      <c r="AS44" s="640"/>
      <c r="AT44" s="640"/>
      <c r="AU44" s="640"/>
      <c r="AV44" s="640"/>
      <c r="AW44" s="640"/>
      <c r="AX44" s="640"/>
      <c r="AY44" s="640"/>
      <c r="AZ44" s="640"/>
      <c r="BA44" s="640"/>
      <c r="BB44" s="640"/>
      <c r="BC44" s="640"/>
      <c r="BD44" s="640"/>
      <c r="BE44" s="640"/>
      <c r="BF44" s="640"/>
      <c r="BG44" s="640"/>
      <c r="BH44" s="640"/>
      <c r="BI44" s="640"/>
      <c r="BJ44" s="640"/>
      <c r="BK44" s="640"/>
      <c r="BL44" s="640">
        <v>3</v>
      </c>
      <c r="BM44" s="640">
        <v>3</v>
      </c>
      <c r="BN44" s="640"/>
      <c r="BO44" s="640"/>
      <c r="BP44" s="640">
        <v>16</v>
      </c>
      <c r="BQ44" s="640">
        <v>16</v>
      </c>
      <c r="BR44" s="640"/>
      <c r="BS44" s="640"/>
      <c r="BT44" s="640">
        <v>1</v>
      </c>
      <c r="BU44" s="640">
        <v>1</v>
      </c>
      <c r="BV44" s="640"/>
      <c r="BW44" s="640"/>
      <c r="BX44" s="640"/>
      <c r="BY44" s="640"/>
      <c r="BZ44" s="640"/>
      <c r="CA44" s="640"/>
      <c r="CB44" s="640"/>
      <c r="CC44" s="640"/>
      <c r="CD44" s="640"/>
      <c r="CE44" s="640"/>
      <c r="CF44" s="640"/>
      <c r="CG44" s="640"/>
      <c r="CH44" s="640"/>
      <c r="CI44" s="640"/>
      <c r="CJ44" s="640"/>
      <c r="CK44" s="640"/>
      <c r="CL44" s="640"/>
      <c r="CM44" s="640"/>
      <c r="CN44" s="640"/>
      <c r="CO44" s="640"/>
      <c r="CP44" s="640"/>
      <c r="CQ44" s="640"/>
      <c r="CR44" s="640"/>
      <c r="CS44" s="640"/>
      <c r="CT44" s="640"/>
      <c r="CU44" s="640"/>
      <c r="CV44" s="640"/>
      <c r="CW44" s="640"/>
      <c r="CX44" s="640"/>
      <c r="CY44" s="640"/>
      <c r="CZ44" s="640"/>
      <c r="DA44" s="640"/>
      <c r="DB44" s="640"/>
      <c r="DC44" s="640"/>
      <c r="DD44" s="640"/>
      <c r="DE44" s="640"/>
      <c r="DF44" s="640"/>
      <c r="DG44" s="640"/>
      <c r="DH44" s="640"/>
      <c r="DI44" s="640"/>
      <c r="DJ44" s="640"/>
      <c r="DK44" s="640"/>
      <c r="DL44" s="640">
        <v>38</v>
      </c>
      <c r="DM44" s="640">
        <v>38</v>
      </c>
    </row>
    <row r="45" spans="1:117" ht="15.75" customHeight="1" x14ac:dyDescent="0.35">
      <c r="A45" s="2" t="s">
        <v>68</v>
      </c>
      <c r="B45" s="640"/>
      <c r="C45" s="640"/>
      <c r="D45" s="640"/>
      <c r="E45" s="640"/>
      <c r="F45" s="640"/>
      <c r="G45" s="640"/>
      <c r="H45" s="640"/>
      <c r="I45" s="640"/>
      <c r="J45" s="640"/>
      <c r="K45" s="640"/>
      <c r="L45" s="640"/>
      <c r="M45" s="640"/>
      <c r="N45" s="640"/>
      <c r="O45" s="640"/>
      <c r="P45" s="640"/>
      <c r="Q45" s="640"/>
      <c r="R45" s="640"/>
      <c r="S45" s="640"/>
      <c r="T45" s="640">
        <v>3</v>
      </c>
      <c r="U45" s="640">
        <v>3</v>
      </c>
      <c r="V45" s="640"/>
      <c r="W45" s="640"/>
      <c r="X45" s="640"/>
      <c r="Y45" s="640"/>
      <c r="Z45" s="640"/>
      <c r="AA45" s="640"/>
      <c r="AB45" s="640"/>
      <c r="AC45" s="640"/>
      <c r="AD45" s="640">
        <v>6</v>
      </c>
      <c r="AE45" s="640">
        <v>6</v>
      </c>
      <c r="AF45" s="640">
        <v>4</v>
      </c>
      <c r="AG45" s="640">
        <v>4</v>
      </c>
      <c r="AH45" s="640">
        <v>1</v>
      </c>
      <c r="AI45" s="640">
        <v>1</v>
      </c>
      <c r="AJ45" s="640">
        <v>5</v>
      </c>
      <c r="AK45" s="640">
        <v>5</v>
      </c>
      <c r="AL45" s="640"/>
      <c r="AM45" s="640"/>
      <c r="AN45" s="640">
        <v>12</v>
      </c>
      <c r="AO45" s="640">
        <v>12</v>
      </c>
      <c r="AP45" s="640">
        <v>5</v>
      </c>
      <c r="AQ45" s="640">
        <v>5</v>
      </c>
      <c r="AR45" s="640"/>
      <c r="AS45" s="640"/>
      <c r="AT45" s="640"/>
      <c r="AU45" s="640"/>
      <c r="AV45" s="640"/>
      <c r="AW45" s="640"/>
      <c r="AX45" s="640"/>
      <c r="AY45" s="640"/>
      <c r="AZ45" s="640"/>
      <c r="BA45" s="640"/>
      <c r="BB45" s="640"/>
      <c r="BC45" s="640"/>
      <c r="BD45" s="640">
        <v>6</v>
      </c>
      <c r="BE45" s="640">
        <v>6</v>
      </c>
      <c r="BF45" s="640">
        <v>11</v>
      </c>
      <c r="BG45" s="640">
        <v>11</v>
      </c>
      <c r="BH45" s="640">
        <v>2</v>
      </c>
      <c r="BI45" s="640">
        <v>2</v>
      </c>
      <c r="BJ45" s="640">
        <v>1</v>
      </c>
      <c r="BK45" s="640">
        <v>1</v>
      </c>
      <c r="BL45" s="640"/>
      <c r="BM45" s="640"/>
      <c r="BN45" s="640">
        <v>7</v>
      </c>
      <c r="BO45" s="640">
        <v>7</v>
      </c>
      <c r="BP45" s="640"/>
      <c r="BQ45" s="640"/>
      <c r="BR45" s="640"/>
      <c r="BS45" s="640"/>
      <c r="BT45" s="640"/>
      <c r="BU45" s="640"/>
      <c r="BV45" s="640">
        <v>5</v>
      </c>
      <c r="BW45" s="640">
        <v>5</v>
      </c>
      <c r="BX45" s="640">
        <v>8</v>
      </c>
      <c r="BY45" s="640">
        <v>8</v>
      </c>
      <c r="BZ45" s="640"/>
      <c r="CA45" s="640"/>
      <c r="CB45" s="640"/>
      <c r="CC45" s="640"/>
      <c r="CD45" s="640"/>
      <c r="CE45" s="640"/>
      <c r="CF45" s="640"/>
      <c r="CG45" s="640"/>
      <c r="CH45" s="640"/>
      <c r="CI45" s="640"/>
      <c r="CJ45" s="640"/>
      <c r="CK45" s="640"/>
      <c r="CL45" s="640"/>
      <c r="CM45" s="640"/>
      <c r="CN45" s="640"/>
      <c r="CO45" s="640"/>
      <c r="CP45" s="640"/>
      <c r="CQ45" s="640"/>
      <c r="CR45" s="640"/>
      <c r="CS45" s="640"/>
      <c r="CT45" s="640"/>
      <c r="CU45" s="640"/>
      <c r="CV45" s="640"/>
      <c r="CW45" s="640"/>
      <c r="CX45" s="640"/>
      <c r="CY45" s="640"/>
      <c r="CZ45" s="640"/>
      <c r="DA45" s="640"/>
      <c r="DB45" s="640"/>
      <c r="DC45" s="640"/>
      <c r="DD45" s="640"/>
      <c r="DE45" s="640"/>
      <c r="DF45" s="640"/>
      <c r="DG45" s="640"/>
      <c r="DH45" s="640"/>
      <c r="DI45" s="640"/>
      <c r="DJ45" s="640"/>
      <c r="DK45" s="640"/>
      <c r="DL45" s="640">
        <v>76</v>
      </c>
      <c r="DM45" s="640">
        <v>76</v>
      </c>
    </row>
    <row r="46" spans="1:117" ht="15.75" customHeight="1" x14ac:dyDescent="0.35">
      <c r="A46" s="2" t="s">
        <v>69</v>
      </c>
      <c r="B46" s="640"/>
      <c r="C46" s="640"/>
      <c r="D46" s="640"/>
      <c r="E46" s="640"/>
      <c r="F46" s="640"/>
      <c r="G46" s="640"/>
      <c r="H46" s="640"/>
      <c r="I46" s="640"/>
      <c r="J46" s="640"/>
      <c r="K46" s="640"/>
      <c r="L46" s="640"/>
      <c r="M46" s="640"/>
      <c r="N46" s="640"/>
      <c r="O46" s="640"/>
      <c r="P46" s="640"/>
      <c r="Q46" s="640"/>
      <c r="R46" s="640"/>
      <c r="S46" s="640"/>
      <c r="T46" s="640"/>
      <c r="U46" s="640"/>
      <c r="V46" s="640"/>
      <c r="W46" s="640"/>
      <c r="X46" s="640"/>
      <c r="Y46" s="640"/>
      <c r="Z46" s="640"/>
      <c r="AA46" s="640"/>
      <c r="AB46" s="640"/>
      <c r="AC46" s="640"/>
      <c r="AD46" s="640"/>
      <c r="AE46" s="640"/>
      <c r="AF46" s="640"/>
      <c r="AG46" s="640"/>
      <c r="AH46" s="640"/>
      <c r="AI46" s="640"/>
      <c r="AJ46" s="640"/>
      <c r="AK46" s="640"/>
      <c r="AL46" s="640"/>
      <c r="AM46" s="640"/>
      <c r="AN46" s="640"/>
      <c r="AO46" s="640"/>
      <c r="AP46" s="640"/>
      <c r="AQ46" s="640"/>
      <c r="AR46" s="640">
        <v>6</v>
      </c>
      <c r="AS46" s="640">
        <v>6</v>
      </c>
      <c r="AT46" s="640">
        <v>4</v>
      </c>
      <c r="AU46" s="640">
        <v>4</v>
      </c>
      <c r="AV46" s="640">
        <v>8</v>
      </c>
      <c r="AW46" s="640">
        <v>8</v>
      </c>
      <c r="AX46" s="640">
        <v>8</v>
      </c>
      <c r="AY46" s="640">
        <v>8</v>
      </c>
      <c r="AZ46" s="640"/>
      <c r="BA46" s="640"/>
      <c r="BB46" s="640"/>
      <c r="BC46" s="640"/>
      <c r="BD46" s="640"/>
      <c r="BE46" s="640"/>
      <c r="BF46" s="640"/>
      <c r="BG46" s="640"/>
      <c r="BH46" s="640"/>
      <c r="BI46" s="640"/>
      <c r="BJ46" s="640"/>
      <c r="BK46" s="640"/>
      <c r="BL46" s="640"/>
      <c r="BM46" s="640"/>
      <c r="BN46" s="640"/>
      <c r="BO46" s="640"/>
      <c r="BP46" s="640"/>
      <c r="BQ46" s="640"/>
      <c r="BR46" s="640"/>
      <c r="BS46" s="640"/>
      <c r="BT46" s="640"/>
      <c r="BU46" s="640"/>
      <c r="BV46" s="640"/>
      <c r="BW46" s="640"/>
      <c r="BX46" s="640"/>
      <c r="BY46" s="640"/>
      <c r="BZ46" s="640"/>
      <c r="CA46" s="640"/>
      <c r="CB46" s="640"/>
      <c r="CC46" s="640"/>
      <c r="CD46" s="640">
        <v>8</v>
      </c>
      <c r="CE46" s="640">
        <v>8</v>
      </c>
      <c r="CF46" s="640">
        <v>7</v>
      </c>
      <c r="CG46" s="640">
        <v>7</v>
      </c>
      <c r="CH46" s="640"/>
      <c r="CI46" s="640"/>
      <c r="CJ46" s="640">
        <v>3</v>
      </c>
      <c r="CK46" s="640">
        <v>3</v>
      </c>
      <c r="CL46" s="640">
        <v>4</v>
      </c>
      <c r="CM46" s="640">
        <v>4</v>
      </c>
      <c r="CN46" s="640"/>
      <c r="CO46" s="640"/>
      <c r="CP46" s="640">
        <v>7</v>
      </c>
      <c r="CQ46" s="640">
        <v>7</v>
      </c>
      <c r="CR46" s="640">
        <v>5</v>
      </c>
      <c r="CS46" s="640">
        <v>5</v>
      </c>
      <c r="CT46" s="640">
        <v>5</v>
      </c>
      <c r="CU46" s="640">
        <v>5</v>
      </c>
      <c r="CV46" s="640">
        <v>5</v>
      </c>
      <c r="CW46" s="640">
        <v>5</v>
      </c>
      <c r="CX46" s="640"/>
      <c r="CY46" s="640"/>
      <c r="CZ46" s="640">
        <v>8</v>
      </c>
      <c r="DA46" s="640">
        <v>8</v>
      </c>
      <c r="DB46" s="640">
        <v>1</v>
      </c>
      <c r="DC46" s="640">
        <v>1</v>
      </c>
      <c r="DD46" s="640">
        <v>3</v>
      </c>
      <c r="DE46" s="640">
        <v>3</v>
      </c>
      <c r="DF46" s="640">
        <v>5</v>
      </c>
      <c r="DG46" s="640">
        <v>5</v>
      </c>
      <c r="DH46" s="640"/>
      <c r="DI46" s="640"/>
      <c r="DJ46" s="640"/>
      <c r="DK46" s="640"/>
      <c r="DL46" s="640">
        <v>87</v>
      </c>
      <c r="DM46" s="640">
        <v>87</v>
      </c>
    </row>
    <row r="47" spans="1:117" ht="15.75" customHeight="1" x14ac:dyDescent="0.35">
      <c r="A47" s="2" t="s">
        <v>70</v>
      </c>
      <c r="B47" s="640">
        <v>1</v>
      </c>
      <c r="C47" s="640">
        <v>1</v>
      </c>
      <c r="D47" s="640"/>
      <c r="E47" s="640"/>
      <c r="F47" s="640"/>
      <c r="G47" s="640"/>
      <c r="H47" s="640">
        <v>2</v>
      </c>
      <c r="I47" s="640">
        <v>2</v>
      </c>
      <c r="J47" s="640"/>
      <c r="K47" s="640"/>
      <c r="L47" s="640"/>
      <c r="M47" s="640"/>
      <c r="N47" s="640">
        <v>2</v>
      </c>
      <c r="O47" s="640">
        <v>2</v>
      </c>
      <c r="P47" s="640"/>
      <c r="Q47" s="640"/>
      <c r="R47" s="640"/>
      <c r="S47" s="640"/>
      <c r="T47" s="640"/>
      <c r="U47" s="640"/>
      <c r="V47" s="640">
        <v>1</v>
      </c>
      <c r="W47" s="640">
        <v>1</v>
      </c>
      <c r="X47" s="640"/>
      <c r="Y47" s="640"/>
      <c r="Z47" s="640">
        <v>2</v>
      </c>
      <c r="AA47" s="640">
        <v>2</v>
      </c>
      <c r="AB47" s="640"/>
      <c r="AC47" s="640"/>
      <c r="AD47" s="640">
        <v>1</v>
      </c>
      <c r="AE47" s="640">
        <v>1</v>
      </c>
      <c r="AF47" s="640"/>
      <c r="AG47" s="640"/>
      <c r="AH47" s="640">
        <v>1</v>
      </c>
      <c r="AI47" s="640">
        <v>1</v>
      </c>
      <c r="AJ47" s="640"/>
      <c r="AK47" s="640"/>
      <c r="AL47" s="640"/>
      <c r="AM47" s="640"/>
      <c r="AN47" s="640"/>
      <c r="AO47" s="640"/>
      <c r="AP47" s="640"/>
      <c r="AQ47" s="640"/>
      <c r="AR47" s="640"/>
      <c r="AS47" s="640"/>
      <c r="AT47" s="640">
        <v>1</v>
      </c>
      <c r="AU47" s="640">
        <v>1</v>
      </c>
      <c r="AV47" s="640"/>
      <c r="AW47" s="640"/>
      <c r="AX47" s="640"/>
      <c r="AY47" s="640"/>
      <c r="AZ47" s="640">
        <v>14</v>
      </c>
      <c r="BA47" s="640">
        <v>14</v>
      </c>
      <c r="BB47" s="640">
        <v>21</v>
      </c>
      <c r="BC47" s="640">
        <v>21</v>
      </c>
      <c r="BD47" s="640"/>
      <c r="BE47" s="640"/>
      <c r="BF47" s="640"/>
      <c r="BG47" s="640"/>
      <c r="BH47" s="640"/>
      <c r="BI47" s="640"/>
      <c r="BJ47" s="640"/>
      <c r="BK47" s="640"/>
      <c r="BL47" s="640"/>
      <c r="BM47" s="640"/>
      <c r="BN47" s="640"/>
      <c r="BO47" s="640"/>
      <c r="BP47" s="640">
        <v>1</v>
      </c>
      <c r="BQ47" s="640">
        <v>1</v>
      </c>
      <c r="BR47" s="640"/>
      <c r="BS47" s="640"/>
      <c r="BT47" s="640">
        <v>10</v>
      </c>
      <c r="BU47" s="640">
        <v>10</v>
      </c>
      <c r="BV47" s="640">
        <v>3</v>
      </c>
      <c r="BW47" s="640">
        <v>3</v>
      </c>
      <c r="BX47" s="640"/>
      <c r="BY47" s="640"/>
      <c r="BZ47" s="640">
        <v>4</v>
      </c>
      <c r="CA47" s="640">
        <v>4</v>
      </c>
      <c r="CB47" s="640"/>
      <c r="CC47" s="640"/>
      <c r="CD47" s="640"/>
      <c r="CE47" s="640"/>
      <c r="CF47" s="640"/>
      <c r="CG47" s="640"/>
      <c r="CH47" s="640"/>
      <c r="CI47" s="640"/>
      <c r="CJ47" s="640"/>
      <c r="CK47" s="640"/>
      <c r="CL47" s="640"/>
      <c r="CM47" s="640"/>
      <c r="CN47" s="640"/>
      <c r="CO47" s="640"/>
      <c r="CP47" s="640"/>
      <c r="CQ47" s="640"/>
      <c r="CR47" s="640"/>
      <c r="CS47" s="640"/>
      <c r="CT47" s="640">
        <v>2</v>
      </c>
      <c r="CU47" s="640">
        <v>2</v>
      </c>
      <c r="CV47" s="640">
        <v>9</v>
      </c>
      <c r="CW47" s="640">
        <v>9</v>
      </c>
      <c r="CX47" s="640">
        <v>4</v>
      </c>
      <c r="CY47" s="640">
        <v>4</v>
      </c>
      <c r="CZ47" s="640"/>
      <c r="DA47" s="640"/>
      <c r="DB47" s="640"/>
      <c r="DC47" s="640"/>
      <c r="DD47" s="640"/>
      <c r="DE47" s="640"/>
      <c r="DF47" s="640"/>
      <c r="DG47" s="640"/>
      <c r="DH47" s="640">
        <v>18</v>
      </c>
      <c r="DI47" s="640">
        <v>18</v>
      </c>
      <c r="DJ47" s="640"/>
      <c r="DK47" s="640"/>
      <c r="DL47" s="640">
        <v>97</v>
      </c>
      <c r="DM47" s="640">
        <v>97</v>
      </c>
    </row>
    <row r="48" spans="1:117" ht="15.75" customHeight="1" x14ac:dyDescent="0.35">
      <c r="A48" s="2" t="s">
        <v>72</v>
      </c>
      <c r="B48" s="640"/>
      <c r="C48" s="640"/>
      <c r="D48" s="640"/>
      <c r="E48" s="640"/>
      <c r="F48" s="640"/>
      <c r="G48" s="640"/>
      <c r="H48" s="640"/>
      <c r="I48" s="640"/>
      <c r="J48" s="640"/>
      <c r="K48" s="640"/>
      <c r="L48" s="640"/>
      <c r="M48" s="640"/>
      <c r="N48" s="640"/>
      <c r="O48" s="640"/>
      <c r="P48" s="640"/>
      <c r="Q48" s="640"/>
      <c r="R48" s="640"/>
      <c r="S48" s="640"/>
      <c r="T48" s="640"/>
      <c r="U48" s="640"/>
      <c r="V48" s="640"/>
      <c r="W48" s="640"/>
      <c r="X48" s="640"/>
      <c r="Y48" s="640"/>
      <c r="Z48" s="640"/>
      <c r="AA48" s="640"/>
      <c r="AB48" s="640"/>
      <c r="AC48" s="640"/>
      <c r="AD48" s="640"/>
      <c r="AE48" s="640"/>
      <c r="AF48" s="640"/>
      <c r="AG48" s="640"/>
      <c r="AH48" s="640"/>
      <c r="AI48" s="640"/>
      <c r="AJ48" s="640"/>
      <c r="AK48" s="640"/>
      <c r="AL48" s="640"/>
      <c r="AM48" s="640"/>
      <c r="AN48" s="640"/>
      <c r="AO48" s="640"/>
      <c r="AP48" s="640"/>
      <c r="AQ48" s="640"/>
      <c r="AR48" s="640"/>
      <c r="AS48" s="640"/>
      <c r="AT48" s="640"/>
      <c r="AU48" s="640"/>
      <c r="AV48" s="640"/>
      <c r="AW48" s="640"/>
      <c r="AX48" s="640"/>
      <c r="AY48" s="640"/>
      <c r="AZ48" s="640">
        <v>31</v>
      </c>
      <c r="BA48" s="640">
        <v>31</v>
      </c>
      <c r="BB48" s="640">
        <v>21</v>
      </c>
      <c r="BC48" s="640">
        <v>21</v>
      </c>
      <c r="BD48" s="640"/>
      <c r="BE48" s="640"/>
      <c r="BF48" s="640"/>
      <c r="BG48" s="640"/>
      <c r="BH48" s="640"/>
      <c r="BI48" s="640"/>
      <c r="BJ48" s="640"/>
      <c r="BK48" s="640"/>
      <c r="BL48" s="640"/>
      <c r="BM48" s="640"/>
      <c r="BN48" s="640"/>
      <c r="BO48" s="640"/>
      <c r="BP48" s="640"/>
      <c r="BQ48" s="640"/>
      <c r="BR48" s="640"/>
      <c r="BS48" s="640"/>
      <c r="BT48" s="640"/>
      <c r="BU48" s="640"/>
      <c r="BV48" s="640"/>
      <c r="BW48" s="640"/>
      <c r="BX48" s="640"/>
      <c r="BY48" s="640"/>
      <c r="BZ48" s="640"/>
      <c r="CA48" s="640"/>
      <c r="CB48" s="640"/>
      <c r="CC48" s="640"/>
      <c r="CD48" s="640"/>
      <c r="CE48" s="640"/>
      <c r="CF48" s="640"/>
      <c r="CG48" s="640"/>
      <c r="CH48" s="640">
        <v>2</v>
      </c>
      <c r="CI48" s="640">
        <v>2</v>
      </c>
      <c r="CJ48" s="640">
        <v>11</v>
      </c>
      <c r="CK48" s="640">
        <v>11</v>
      </c>
      <c r="CL48" s="640">
        <v>1</v>
      </c>
      <c r="CM48" s="640">
        <v>1</v>
      </c>
      <c r="CN48" s="640">
        <v>10</v>
      </c>
      <c r="CO48" s="640">
        <v>10</v>
      </c>
      <c r="CP48" s="640"/>
      <c r="CQ48" s="640"/>
      <c r="CR48" s="640"/>
      <c r="CS48" s="640"/>
      <c r="CT48" s="640"/>
      <c r="CU48" s="640"/>
      <c r="CV48" s="640"/>
      <c r="CW48" s="640"/>
      <c r="CX48" s="640"/>
      <c r="CY48" s="640"/>
      <c r="CZ48" s="640">
        <v>30</v>
      </c>
      <c r="DA48" s="640">
        <v>30</v>
      </c>
      <c r="DB48" s="640">
        <v>12</v>
      </c>
      <c r="DC48" s="640">
        <v>12</v>
      </c>
      <c r="DD48" s="640"/>
      <c r="DE48" s="640"/>
      <c r="DF48" s="640">
        <v>18</v>
      </c>
      <c r="DG48" s="640">
        <v>18</v>
      </c>
      <c r="DH48" s="640"/>
      <c r="DI48" s="640"/>
      <c r="DJ48" s="640"/>
      <c r="DK48" s="640"/>
      <c r="DL48" s="640">
        <v>136</v>
      </c>
      <c r="DM48" s="640">
        <v>136</v>
      </c>
    </row>
    <row r="49" spans="1:117" ht="15.75" customHeight="1" x14ac:dyDescent="0.35">
      <c r="A49" s="2" t="s">
        <v>73</v>
      </c>
      <c r="B49" s="640"/>
      <c r="C49" s="640"/>
      <c r="D49" s="640"/>
      <c r="E49" s="640"/>
      <c r="F49" s="640"/>
      <c r="G49" s="640"/>
      <c r="H49" s="640"/>
      <c r="I49" s="640"/>
      <c r="J49" s="640"/>
      <c r="K49" s="640"/>
      <c r="L49" s="640"/>
      <c r="M49" s="640"/>
      <c r="N49" s="640"/>
      <c r="O49" s="640"/>
      <c r="P49" s="640"/>
      <c r="Q49" s="640"/>
      <c r="R49" s="640"/>
      <c r="S49" s="640"/>
      <c r="T49" s="640">
        <v>1</v>
      </c>
      <c r="U49" s="640">
        <v>1</v>
      </c>
      <c r="V49" s="640"/>
      <c r="W49" s="640"/>
      <c r="X49" s="640"/>
      <c r="Y49" s="640"/>
      <c r="Z49" s="640"/>
      <c r="AA49" s="640"/>
      <c r="AB49" s="640"/>
      <c r="AC49" s="640"/>
      <c r="AD49" s="640"/>
      <c r="AE49" s="640"/>
      <c r="AF49" s="640"/>
      <c r="AG49" s="640"/>
      <c r="AH49" s="640"/>
      <c r="AI49" s="640"/>
      <c r="AJ49" s="640"/>
      <c r="AK49" s="640"/>
      <c r="AL49" s="640"/>
      <c r="AM49" s="640"/>
      <c r="AN49" s="640"/>
      <c r="AO49" s="640"/>
      <c r="AP49" s="640"/>
      <c r="AQ49" s="640"/>
      <c r="AR49" s="640"/>
      <c r="AS49" s="640"/>
      <c r="AT49" s="640"/>
      <c r="AU49" s="640"/>
      <c r="AV49" s="640"/>
      <c r="AW49" s="640"/>
      <c r="AX49" s="640"/>
      <c r="AY49" s="640"/>
      <c r="AZ49" s="640"/>
      <c r="BA49" s="640"/>
      <c r="BB49" s="640"/>
      <c r="BC49" s="640"/>
      <c r="BD49" s="640"/>
      <c r="BE49" s="640"/>
      <c r="BF49" s="640"/>
      <c r="BG49" s="640"/>
      <c r="BH49" s="640"/>
      <c r="BI49" s="640"/>
      <c r="BJ49" s="640"/>
      <c r="BK49" s="640"/>
      <c r="BL49" s="640"/>
      <c r="BM49" s="640"/>
      <c r="BN49" s="640"/>
      <c r="BO49" s="640"/>
      <c r="BP49" s="640"/>
      <c r="BQ49" s="640"/>
      <c r="BR49" s="640"/>
      <c r="BS49" s="640"/>
      <c r="BT49" s="640"/>
      <c r="BU49" s="640"/>
      <c r="BV49" s="640"/>
      <c r="BW49" s="640"/>
      <c r="BX49" s="640"/>
      <c r="BY49" s="640"/>
      <c r="BZ49" s="640"/>
      <c r="CA49" s="640"/>
      <c r="CB49" s="640"/>
      <c r="CC49" s="640"/>
      <c r="CD49" s="640"/>
      <c r="CE49" s="640"/>
      <c r="CF49" s="640"/>
      <c r="CG49" s="640"/>
      <c r="CH49" s="640"/>
      <c r="CI49" s="640"/>
      <c r="CJ49" s="640"/>
      <c r="CK49" s="640"/>
      <c r="CL49" s="640"/>
      <c r="CM49" s="640"/>
      <c r="CN49" s="640"/>
      <c r="CO49" s="640"/>
      <c r="CP49" s="640"/>
      <c r="CQ49" s="640"/>
      <c r="CR49" s="640"/>
      <c r="CS49" s="640"/>
      <c r="CT49" s="640"/>
      <c r="CU49" s="640"/>
      <c r="CV49" s="640"/>
      <c r="CW49" s="640"/>
      <c r="CX49" s="640"/>
      <c r="CY49" s="640"/>
      <c r="CZ49" s="640"/>
      <c r="DA49" s="640"/>
      <c r="DB49" s="640"/>
      <c r="DC49" s="640"/>
      <c r="DD49" s="640"/>
      <c r="DE49" s="640"/>
      <c r="DF49" s="640"/>
      <c r="DG49" s="640"/>
      <c r="DH49" s="640"/>
      <c r="DI49" s="640"/>
      <c r="DJ49" s="640"/>
      <c r="DK49" s="640"/>
      <c r="DL49" s="640">
        <v>1</v>
      </c>
      <c r="DM49" s="640">
        <v>1</v>
      </c>
    </row>
    <row r="50" spans="1:117" ht="15.75" customHeight="1" x14ac:dyDescent="0.35">
      <c r="A50" s="2" t="s">
        <v>45</v>
      </c>
      <c r="B50" s="640">
        <v>9</v>
      </c>
      <c r="C50" s="640">
        <v>9</v>
      </c>
      <c r="D50" s="640">
        <v>9</v>
      </c>
      <c r="E50" s="640">
        <v>9</v>
      </c>
      <c r="F50" s="640">
        <v>3</v>
      </c>
      <c r="G50" s="640">
        <v>3</v>
      </c>
      <c r="H50" s="640">
        <v>12</v>
      </c>
      <c r="I50" s="640">
        <v>12</v>
      </c>
      <c r="J50" s="640">
        <v>9</v>
      </c>
      <c r="K50" s="640">
        <v>9</v>
      </c>
      <c r="L50" s="640">
        <v>6</v>
      </c>
      <c r="M50" s="640">
        <v>6</v>
      </c>
      <c r="N50" s="640">
        <v>6</v>
      </c>
      <c r="O50" s="640">
        <v>6</v>
      </c>
      <c r="P50" s="640">
        <v>4</v>
      </c>
      <c r="Q50" s="640">
        <v>4</v>
      </c>
      <c r="R50" s="640">
        <v>4</v>
      </c>
      <c r="S50" s="640">
        <v>4</v>
      </c>
      <c r="T50" s="640">
        <v>5</v>
      </c>
      <c r="U50" s="640">
        <v>5</v>
      </c>
      <c r="V50" s="640">
        <v>4</v>
      </c>
      <c r="W50" s="640">
        <v>4</v>
      </c>
      <c r="X50" s="640">
        <v>3</v>
      </c>
      <c r="Y50" s="640">
        <v>3</v>
      </c>
      <c r="Z50" s="640">
        <v>7</v>
      </c>
      <c r="AA50" s="640">
        <v>7</v>
      </c>
      <c r="AB50" s="640">
        <v>5</v>
      </c>
      <c r="AC50" s="640">
        <v>5</v>
      </c>
      <c r="AD50" s="640">
        <v>7</v>
      </c>
      <c r="AE50" s="640">
        <v>7</v>
      </c>
      <c r="AF50" s="640">
        <v>4</v>
      </c>
      <c r="AG50" s="640">
        <v>4</v>
      </c>
      <c r="AH50" s="640">
        <v>7</v>
      </c>
      <c r="AI50" s="640">
        <v>7</v>
      </c>
      <c r="AJ50" s="640">
        <v>5</v>
      </c>
      <c r="AK50" s="640">
        <v>5</v>
      </c>
      <c r="AL50" s="640">
        <v>3</v>
      </c>
      <c r="AM50" s="640">
        <v>3</v>
      </c>
      <c r="AN50" s="640">
        <v>12</v>
      </c>
      <c r="AO50" s="640">
        <v>12</v>
      </c>
      <c r="AP50" s="640">
        <v>5</v>
      </c>
      <c r="AQ50" s="640">
        <v>5</v>
      </c>
      <c r="AR50" s="640">
        <v>6</v>
      </c>
      <c r="AS50" s="640">
        <v>6</v>
      </c>
      <c r="AT50" s="640">
        <v>5</v>
      </c>
      <c r="AU50" s="640">
        <v>5</v>
      </c>
      <c r="AV50" s="640">
        <v>8</v>
      </c>
      <c r="AW50" s="640">
        <v>8</v>
      </c>
      <c r="AX50" s="640">
        <v>8</v>
      </c>
      <c r="AY50" s="640">
        <v>8</v>
      </c>
      <c r="AZ50" s="640">
        <v>45</v>
      </c>
      <c r="BA50" s="640">
        <v>45</v>
      </c>
      <c r="BB50" s="640">
        <v>42</v>
      </c>
      <c r="BC50" s="640">
        <v>42</v>
      </c>
      <c r="BD50" s="640">
        <v>6</v>
      </c>
      <c r="BE50" s="640">
        <v>6</v>
      </c>
      <c r="BF50" s="640">
        <v>11</v>
      </c>
      <c r="BG50" s="640">
        <v>11</v>
      </c>
      <c r="BH50" s="640">
        <v>2</v>
      </c>
      <c r="BI50" s="640">
        <v>2</v>
      </c>
      <c r="BJ50" s="640">
        <v>1</v>
      </c>
      <c r="BK50" s="640">
        <v>1</v>
      </c>
      <c r="BL50" s="640">
        <v>9</v>
      </c>
      <c r="BM50" s="640">
        <v>9</v>
      </c>
      <c r="BN50" s="640">
        <v>7</v>
      </c>
      <c r="BO50" s="640">
        <v>7</v>
      </c>
      <c r="BP50" s="640">
        <v>18</v>
      </c>
      <c r="BQ50" s="640">
        <v>18</v>
      </c>
      <c r="BR50" s="640">
        <v>5</v>
      </c>
      <c r="BS50" s="640">
        <v>5</v>
      </c>
      <c r="BT50" s="640">
        <v>15</v>
      </c>
      <c r="BU50" s="640">
        <v>15</v>
      </c>
      <c r="BV50" s="640">
        <v>8</v>
      </c>
      <c r="BW50" s="640">
        <v>8</v>
      </c>
      <c r="BX50" s="640">
        <v>8</v>
      </c>
      <c r="BY50" s="640">
        <v>8</v>
      </c>
      <c r="BZ50" s="640">
        <v>4</v>
      </c>
      <c r="CA50" s="640">
        <v>4</v>
      </c>
      <c r="CB50" s="640">
        <v>14</v>
      </c>
      <c r="CC50" s="640">
        <v>14</v>
      </c>
      <c r="CD50" s="640">
        <v>8</v>
      </c>
      <c r="CE50" s="640">
        <v>8</v>
      </c>
      <c r="CF50" s="640">
        <v>7</v>
      </c>
      <c r="CG50" s="640">
        <v>7</v>
      </c>
      <c r="CH50" s="640">
        <v>2</v>
      </c>
      <c r="CI50" s="640">
        <v>2</v>
      </c>
      <c r="CJ50" s="640">
        <v>14</v>
      </c>
      <c r="CK50" s="640">
        <v>14</v>
      </c>
      <c r="CL50" s="640">
        <v>5</v>
      </c>
      <c r="CM50" s="640">
        <v>5</v>
      </c>
      <c r="CN50" s="640">
        <v>10</v>
      </c>
      <c r="CO50" s="640">
        <v>10</v>
      </c>
      <c r="CP50" s="640">
        <v>7</v>
      </c>
      <c r="CQ50" s="640">
        <v>7</v>
      </c>
      <c r="CR50" s="640">
        <v>5</v>
      </c>
      <c r="CS50" s="640">
        <v>5</v>
      </c>
      <c r="CT50" s="640">
        <v>7</v>
      </c>
      <c r="CU50" s="640">
        <v>7</v>
      </c>
      <c r="CV50" s="640">
        <v>14</v>
      </c>
      <c r="CW50" s="640">
        <v>14</v>
      </c>
      <c r="CX50" s="640">
        <v>4</v>
      </c>
      <c r="CY50" s="640">
        <v>4</v>
      </c>
      <c r="CZ50" s="640">
        <v>38</v>
      </c>
      <c r="DA50" s="640">
        <v>38</v>
      </c>
      <c r="DB50" s="640">
        <v>13</v>
      </c>
      <c r="DC50" s="640">
        <v>13</v>
      </c>
      <c r="DD50" s="640">
        <v>3</v>
      </c>
      <c r="DE50" s="640">
        <v>3</v>
      </c>
      <c r="DF50" s="640">
        <v>23</v>
      </c>
      <c r="DG50" s="640">
        <v>23</v>
      </c>
      <c r="DH50" s="640">
        <v>18</v>
      </c>
      <c r="DI50" s="640">
        <v>18</v>
      </c>
      <c r="DJ50" s="640"/>
      <c r="DK50" s="640"/>
      <c r="DL50" s="640">
        <v>529</v>
      </c>
      <c r="DM50" s="640">
        <v>529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7" bestFit="1" customWidth="1"/>
    <col min="2" max="2" width="10.5" style="267" bestFit="1" customWidth="1"/>
    <col min="3" max="3" width="10" style="267" bestFit="1" customWidth="1"/>
    <col min="4" max="4" width="9.5" style="267" bestFit="1" customWidth="1"/>
    <col min="5" max="5" width="9.8984375" style="267" bestFit="1" customWidth="1"/>
    <col min="6" max="6" width="9.796875" style="267" bestFit="1" customWidth="1"/>
    <col min="7" max="7" width="10" style="267" bestFit="1" customWidth="1"/>
    <col min="8" max="8" width="9.796875" style="267" bestFit="1" customWidth="1"/>
    <col min="9" max="10" width="10" style="267" bestFit="1" customWidth="1"/>
    <col min="11" max="11" width="10.09765625" style="267" bestFit="1" customWidth="1"/>
    <col min="12" max="12" width="9.09765625" style="267" bestFit="1" customWidth="1"/>
    <col min="13" max="13" width="10.19921875" style="267" bestFit="1" customWidth="1"/>
    <col min="14" max="14" width="11" style="267" bestFit="1" customWidth="1"/>
    <col min="15" max="15" width="10.796875" style="267" bestFit="1" customWidth="1"/>
    <col min="16" max="16" width="10" style="267" bestFit="1" customWidth="1"/>
    <col min="17" max="17" width="9.5" style="267" bestFit="1" customWidth="1"/>
    <col min="18" max="18" width="5.796875" style="267" bestFit="1" customWidth="1"/>
    <col min="19" max="20" width="8.69921875" style="267" customWidth="1"/>
    <col min="21" max="16384" width="8.69921875" style="267"/>
  </cols>
  <sheetData>
    <row r="3" spans="1:18" x14ac:dyDescent="0.35">
      <c r="A3" s="639" t="s">
        <v>2312</v>
      </c>
      <c r="B3" s="639" t="s">
        <v>64</v>
      </c>
    </row>
    <row r="4" spans="1:18" x14ac:dyDescent="0.35">
      <c r="A4" s="639" t="s">
        <v>2313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67" t="s">
        <v>45</v>
      </c>
    </row>
    <row r="5" spans="1:18" x14ac:dyDescent="0.35">
      <c r="A5" s="2" t="s">
        <v>108</v>
      </c>
      <c r="B5" s="640"/>
      <c r="C5" s="640"/>
      <c r="D5" s="640"/>
      <c r="E5" s="640">
        <v>1</v>
      </c>
      <c r="F5" s="640"/>
      <c r="G5" s="640"/>
      <c r="H5" s="640"/>
      <c r="I5" s="640"/>
      <c r="J5" s="640"/>
      <c r="K5" s="640"/>
      <c r="L5" s="640"/>
      <c r="M5" s="640">
        <v>1</v>
      </c>
      <c r="N5" s="640"/>
      <c r="O5" s="640"/>
      <c r="P5" s="640"/>
      <c r="Q5" s="640"/>
      <c r="R5" s="640">
        <v>2</v>
      </c>
    </row>
    <row r="6" spans="1:18" x14ac:dyDescent="0.35">
      <c r="A6" s="2" t="s">
        <v>114</v>
      </c>
      <c r="B6" s="640"/>
      <c r="C6" s="640"/>
      <c r="D6" s="640"/>
      <c r="E6" s="640">
        <v>13</v>
      </c>
      <c r="F6" s="640"/>
      <c r="G6" s="640">
        <v>4</v>
      </c>
      <c r="H6" s="640"/>
      <c r="I6" s="640"/>
      <c r="J6" s="640"/>
      <c r="K6" s="640"/>
      <c r="L6" s="640"/>
      <c r="M6" s="640"/>
      <c r="N6" s="640"/>
      <c r="O6" s="640"/>
      <c r="P6" s="640"/>
      <c r="Q6" s="640"/>
      <c r="R6" s="640">
        <v>17</v>
      </c>
    </row>
    <row r="7" spans="1:18" x14ac:dyDescent="0.35">
      <c r="A7" s="2" t="s">
        <v>121</v>
      </c>
      <c r="B7" s="640"/>
      <c r="C7" s="640"/>
      <c r="D7" s="640"/>
      <c r="E7" s="640">
        <v>10</v>
      </c>
      <c r="F7" s="640"/>
      <c r="G7" s="640"/>
      <c r="H7" s="640"/>
      <c r="I7" s="640"/>
      <c r="J7" s="640"/>
      <c r="K7" s="640"/>
      <c r="L7" s="640"/>
      <c r="M7" s="640"/>
      <c r="N7" s="640"/>
      <c r="O7" s="640"/>
      <c r="P7" s="640"/>
      <c r="Q7" s="640"/>
      <c r="R7" s="640">
        <v>10</v>
      </c>
    </row>
    <row r="8" spans="1:18" x14ac:dyDescent="0.35">
      <c r="A8" s="2" t="s">
        <v>137</v>
      </c>
      <c r="B8" s="640"/>
      <c r="C8" s="640"/>
      <c r="D8" s="640"/>
      <c r="E8" s="640">
        <v>2</v>
      </c>
      <c r="F8" s="640"/>
      <c r="G8" s="640"/>
      <c r="H8" s="640"/>
      <c r="I8" s="640"/>
      <c r="J8" s="640"/>
      <c r="K8" s="640"/>
      <c r="L8" s="640"/>
      <c r="M8" s="640"/>
      <c r="N8" s="640"/>
      <c r="O8" s="640"/>
      <c r="P8" s="640"/>
      <c r="Q8" s="640"/>
      <c r="R8" s="640">
        <v>2</v>
      </c>
    </row>
    <row r="9" spans="1:18" x14ac:dyDescent="0.35">
      <c r="A9" s="2" t="s">
        <v>148</v>
      </c>
      <c r="B9" s="640"/>
      <c r="C9" s="640"/>
      <c r="D9" s="640"/>
      <c r="E9" s="640"/>
      <c r="F9" s="640">
        <v>2</v>
      </c>
      <c r="G9" s="640"/>
      <c r="H9" s="640"/>
      <c r="I9" s="640"/>
      <c r="J9" s="640"/>
      <c r="K9" s="640"/>
      <c r="L9" s="640"/>
      <c r="M9" s="640"/>
      <c r="N9" s="640"/>
      <c r="O9" s="640"/>
      <c r="P9" s="640"/>
      <c r="Q9" s="640"/>
      <c r="R9" s="640">
        <v>2</v>
      </c>
    </row>
    <row r="10" spans="1:18" x14ac:dyDescent="0.35">
      <c r="A10" s="2" t="s">
        <v>143</v>
      </c>
      <c r="B10" s="640"/>
      <c r="C10" s="640"/>
      <c r="D10" s="640"/>
      <c r="E10" s="640"/>
      <c r="F10" s="640">
        <v>2</v>
      </c>
      <c r="G10" s="640"/>
      <c r="H10" s="640"/>
      <c r="I10" s="640"/>
      <c r="J10" s="640"/>
      <c r="K10" s="640"/>
      <c r="L10" s="640"/>
      <c r="M10" s="640"/>
      <c r="N10" s="640"/>
      <c r="O10" s="640"/>
      <c r="P10" s="640"/>
      <c r="Q10" s="640"/>
      <c r="R10" s="640">
        <v>2</v>
      </c>
    </row>
    <row r="11" spans="1:18" x14ac:dyDescent="0.35">
      <c r="A11" s="2" t="s">
        <v>139</v>
      </c>
      <c r="B11" s="640"/>
      <c r="C11" s="640"/>
      <c r="D11" s="640"/>
      <c r="E11" s="640"/>
      <c r="F11" s="640">
        <v>2</v>
      </c>
      <c r="G11" s="640"/>
      <c r="H11" s="640"/>
      <c r="I11" s="640"/>
      <c r="J11" s="640"/>
      <c r="K11" s="640"/>
      <c r="L11" s="640"/>
      <c r="M11" s="640"/>
      <c r="N11" s="640"/>
      <c r="O11" s="640"/>
      <c r="P11" s="640"/>
      <c r="Q11" s="640"/>
      <c r="R11" s="640">
        <v>2</v>
      </c>
    </row>
    <row r="12" spans="1:18" x14ac:dyDescent="0.35">
      <c r="A12" s="2" t="s">
        <v>257</v>
      </c>
      <c r="B12" s="640"/>
      <c r="C12" s="640"/>
      <c r="D12" s="640"/>
      <c r="E12" s="640">
        <v>1</v>
      </c>
      <c r="F12" s="640"/>
      <c r="G12" s="640"/>
      <c r="H12" s="640"/>
      <c r="I12" s="640"/>
      <c r="J12" s="640"/>
      <c r="K12" s="640"/>
      <c r="L12" s="640"/>
      <c r="M12" s="640"/>
      <c r="N12" s="640"/>
      <c r="O12" s="640">
        <v>1</v>
      </c>
      <c r="P12" s="640"/>
      <c r="Q12" s="640"/>
      <c r="R12" s="640">
        <v>2</v>
      </c>
    </row>
    <row r="13" spans="1:18" x14ac:dyDescent="0.35">
      <c r="A13" s="2" t="s">
        <v>298</v>
      </c>
      <c r="B13" s="640"/>
      <c r="C13" s="640"/>
      <c r="D13" s="640">
        <v>1</v>
      </c>
      <c r="E13" s="640"/>
      <c r="F13" s="640"/>
      <c r="G13" s="640"/>
      <c r="H13" s="640">
        <v>1</v>
      </c>
      <c r="I13" s="640"/>
      <c r="J13" s="640"/>
      <c r="K13" s="640">
        <v>4</v>
      </c>
      <c r="L13" s="640"/>
      <c r="M13" s="640"/>
      <c r="N13" s="640"/>
      <c r="O13" s="640"/>
      <c r="P13" s="640"/>
      <c r="Q13" s="640"/>
      <c r="R13" s="640">
        <v>6</v>
      </c>
    </row>
    <row r="14" spans="1:18" x14ac:dyDescent="0.35">
      <c r="A14" s="2" t="s">
        <v>991</v>
      </c>
      <c r="B14" s="640">
        <v>1</v>
      </c>
      <c r="C14" s="640"/>
      <c r="D14" s="640"/>
      <c r="E14" s="640"/>
      <c r="F14" s="640"/>
      <c r="G14" s="640"/>
      <c r="H14" s="640"/>
      <c r="I14" s="640"/>
      <c r="J14" s="640"/>
      <c r="K14" s="640"/>
      <c r="L14" s="640"/>
      <c r="M14" s="640"/>
      <c r="N14" s="640"/>
      <c r="O14" s="640"/>
      <c r="P14" s="640"/>
      <c r="Q14" s="640"/>
      <c r="R14" s="640">
        <v>1</v>
      </c>
    </row>
    <row r="15" spans="1:18" x14ac:dyDescent="0.35">
      <c r="A15" s="2" t="s">
        <v>1003</v>
      </c>
      <c r="B15" s="640"/>
      <c r="C15" s="640">
        <v>3</v>
      </c>
      <c r="D15" s="640"/>
      <c r="E15" s="640"/>
      <c r="F15" s="640"/>
      <c r="G15" s="640"/>
      <c r="H15" s="640"/>
      <c r="I15" s="640"/>
      <c r="J15" s="640"/>
      <c r="K15" s="640"/>
      <c r="L15" s="640"/>
      <c r="M15" s="640"/>
      <c r="N15" s="640"/>
      <c r="O15" s="640"/>
      <c r="P15" s="640"/>
      <c r="Q15" s="640"/>
      <c r="R15" s="640">
        <v>3</v>
      </c>
    </row>
    <row r="16" spans="1:18" x14ac:dyDescent="0.35">
      <c r="A16" s="2" t="s">
        <v>995</v>
      </c>
      <c r="B16" s="640"/>
      <c r="C16" s="640">
        <v>2</v>
      </c>
      <c r="D16" s="640"/>
      <c r="E16" s="640"/>
      <c r="F16" s="640"/>
      <c r="G16" s="640"/>
      <c r="H16" s="640"/>
      <c r="I16" s="640"/>
      <c r="J16" s="640"/>
      <c r="K16" s="640"/>
      <c r="L16" s="640"/>
      <c r="M16" s="640"/>
      <c r="N16" s="640"/>
      <c r="O16" s="640"/>
      <c r="P16" s="640"/>
      <c r="Q16" s="640"/>
      <c r="R16" s="640">
        <v>2</v>
      </c>
    </row>
    <row r="17" spans="1:18" x14ac:dyDescent="0.35">
      <c r="A17" s="2" t="s">
        <v>993</v>
      </c>
      <c r="B17" s="640">
        <v>4</v>
      </c>
      <c r="C17" s="640"/>
      <c r="D17" s="640"/>
      <c r="E17" s="640"/>
      <c r="F17" s="640"/>
      <c r="G17" s="640"/>
      <c r="H17" s="640"/>
      <c r="I17" s="640"/>
      <c r="J17" s="640"/>
      <c r="K17" s="640"/>
      <c r="L17" s="640"/>
      <c r="M17" s="640"/>
      <c r="N17" s="640"/>
      <c r="O17" s="640"/>
      <c r="P17" s="640"/>
      <c r="Q17" s="640"/>
      <c r="R17" s="640">
        <v>4</v>
      </c>
    </row>
    <row r="18" spans="1:18" x14ac:dyDescent="0.35">
      <c r="A18" s="2" t="s">
        <v>989</v>
      </c>
      <c r="B18" s="640">
        <v>2</v>
      </c>
      <c r="C18" s="640"/>
      <c r="D18" s="640"/>
      <c r="E18" s="640"/>
      <c r="F18" s="640"/>
      <c r="G18" s="640"/>
      <c r="H18" s="640"/>
      <c r="I18" s="640"/>
      <c r="J18" s="640"/>
      <c r="K18" s="640"/>
      <c r="L18" s="640"/>
      <c r="M18" s="640"/>
      <c r="N18" s="640"/>
      <c r="O18" s="640"/>
      <c r="P18" s="640"/>
      <c r="Q18" s="640"/>
      <c r="R18" s="640">
        <v>2</v>
      </c>
    </row>
    <row r="19" spans="1:18" x14ac:dyDescent="0.35">
      <c r="A19" s="2" t="s">
        <v>1001</v>
      </c>
      <c r="B19" s="640">
        <v>4</v>
      </c>
      <c r="C19" s="640"/>
      <c r="D19" s="640"/>
      <c r="E19" s="640"/>
      <c r="F19" s="640"/>
      <c r="G19" s="640"/>
      <c r="H19" s="640"/>
      <c r="I19" s="640"/>
      <c r="J19" s="640"/>
      <c r="K19" s="640"/>
      <c r="L19" s="640"/>
      <c r="M19" s="640"/>
      <c r="N19" s="640"/>
      <c r="O19" s="640"/>
      <c r="P19" s="640"/>
      <c r="Q19" s="640"/>
      <c r="R19" s="640">
        <v>4</v>
      </c>
    </row>
    <row r="20" spans="1:18" x14ac:dyDescent="0.35">
      <c r="A20" s="2" t="s">
        <v>997</v>
      </c>
      <c r="B20" s="640"/>
      <c r="C20" s="640">
        <v>1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0"/>
      <c r="O20" s="640"/>
      <c r="P20" s="640"/>
      <c r="Q20" s="640"/>
      <c r="R20" s="640">
        <v>1</v>
      </c>
    </row>
    <row r="21" spans="1:18" x14ac:dyDescent="0.35">
      <c r="A21" s="2" t="s">
        <v>1007</v>
      </c>
      <c r="B21" s="640"/>
      <c r="C21" s="640">
        <v>1</v>
      </c>
      <c r="D21" s="640"/>
      <c r="E21" s="640"/>
      <c r="F21" s="640"/>
      <c r="G21" s="640"/>
      <c r="H21" s="640"/>
      <c r="I21" s="640"/>
      <c r="J21" s="640"/>
      <c r="K21" s="640"/>
      <c r="L21" s="640"/>
      <c r="M21" s="640"/>
      <c r="N21" s="640"/>
      <c r="O21" s="640"/>
      <c r="P21" s="640"/>
      <c r="Q21" s="640"/>
      <c r="R21" s="640">
        <v>1</v>
      </c>
    </row>
    <row r="22" spans="1:18" x14ac:dyDescent="0.35">
      <c r="A22" s="2" t="s">
        <v>1052</v>
      </c>
      <c r="B22" s="640"/>
      <c r="C22" s="640"/>
      <c r="D22" s="640">
        <v>2</v>
      </c>
      <c r="E22" s="640"/>
      <c r="F22" s="640"/>
      <c r="G22" s="640"/>
      <c r="H22" s="640"/>
      <c r="I22" s="640"/>
      <c r="J22" s="640"/>
      <c r="K22" s="640"/>
      <c r="L22" s="640"/>
      <c r="M22" s="640"/>
      <c r="N22" s="640"/>
      <c r="O22" s="640"/>
      <c r="P22" s="640"/>
      <c r="Q22" s="640"/>
      <c r="R22" s="640">
        <v>2</v>
      </c>
    </row>
    <row r="23" spans="1:18" x14ac:dyDescent="0.35">
      <c r="A23" s="2" t="s">
        <v>1416</v>
      </c>
      <c r="B23" s="640"/>
      <c r="C23" s="640"/>
      <c r="D23" s="640">
        <v>2</v>
      </c>
      <c r="E23" s="640"/>
      <c r="F23" s="640"/>
      <c r="G23" s="640"/>
      <c r="H23" s="640"/>
      <c r="I23" s="640"/>
      <c r="J23" s="640"/>
      <c r="K23" s="640"/>
      <c r="L23" s="640"/>
      <c r="M23" s="640"/>
      <c r="N23" s="640"/>
      <c r="O23" s="640"/>
      <c r="P23" s="640">
        <v>1</v>
      </c>
      <c r="Q23" s="640"/>
      <c r="R23" s="640">
        <v>3</v>
      </c>
    </row>
    <row r="24" spans="1:18" x14ac:dyDescent="0.35">
      <c r="A24" s="2" t="s">
        <v>1419</v>
      </c>
      <c r="B24" s="640"/>
      <c r="C24" s="640"/>
      <c r="D24" s="640">
        <v>2</v>
      </c>
      <c r="E24" s="640"/>
      <c r="F24" s="640"/>
      <c r="G24" s="640"/>
      <c r="H24" s="640"/>
      <c r="I24" s="640"/>
      <c r="J24" s="640"/>
      <c r="K24" s="640"/>
      <c r="L24" s="640"/>
      <c r="M24" s="640"/>
      <c r="N24" s="640"/>
      <c r="O24" s="640"/>
      <c r="P24" s="640">
        <v>1</v>
      </c>
      <c r="Q24" s="640"/>
      <c r="R24" s="640">
        <v>3</v>
      </c>
    </row>
    <row r="25" spans="1:18" x14ac:dyDescent="0.35">
      <c r="A25" s="2" t="s">
        <v>981</v>
      </c>
      <c r="B25" s="640">
        <v>3</v>
      </c>
      <c r="C25" s="640"/>
      <c r="D25" s="640"/>
      <c r="E25" s="640"/>
      <c r="F25" s="640"/>
      <c r="G25" s="640"/>
      <c r="H25" s="640"/>
      <c r="I25" s="640"/>
      <c r="J25" s="640"/>
      <c r="K25" s="640"/>
      <c r="L25" s="640"/>
      <c r="M25" s="640"/>
      <c r="N25" s="640"/>
      <c r="O25" s="640"/>
      <c r="P25" s="640"/>
      <c r="Q25" s="640"/>
      <c r="R25" s="640">
        <v>3</v>
      </c>
    </row>
    <row r="26" spans="1:18" x14ac:dyDescent="0.35">
      <c r="A26" s="2" t="s">
        <v>1025</v>
      </c>
      <c r="B26" s="640"/>
      <c r="C26" s="640">
        <v>3</v>
      </c>
      <c r="D26" s="640"/>
      <c r="E26" s="640"/>
      <c r="F26" s="640"/>
      <c r="G26" s="640"/>
      <c r="H26" s="640"/>
      <c r="I26" s="640"/>
      <c r="J26" s="640"/>
      <c r="K26" s="640"/>
      <c r="L26" s="640"/>
      <c r="M26" s="640"/>
      <c r="N26" s="640"/>
      <c r="O26" s="640"/>
      <c r="P26" s="640"/>
      <c r="Q26" s="640"/>
      <c r="R26" s="640">
        <v>3</v>
      </c>
    </row>
    <row r="27" spans="1:18" x14ac:dyDescent="0.35">
      <c r="A27" s="2" t="s">
        <v>1019</v>
      </c>
      <c r="B27" s="640"/>
      <c r="C27" s="640">
        <v>3</v>
      </c>
      <c r="D27" s="640"/>
      <c r="E27" s="640"/>
      <c r="F27" s="640"/>
      <c r="G27" s="640"/>
      <c r="H27" s="640"/>
      <c r="I27" s="640"/>
      <c r="J27" s="640"/>
      <c r="K27" s="640"/>
      <c r="L27" s="640"/>
      <c r="M27" s="640"/>
      <c r="N27" s="640"/>
      <c r="O27" s="640"/>
      <c r="P27" s="640"/>
      <c r="Q27" s="640"/>
      <c r="R27" s="640">
        <v>3</v>
      </c>
    </row>
    <row r="28" spans="1:18" x14ac:dyDescent="0.35">
      <c r="A28" s="2" t="s">
        <v>986</v>
      </c>
      <c r="B28" s="640">
        <v>1</v>
      </c>
      <c r="C28" s="640"/>
      <c r="D28" s="640"/>
      <c r="E28" s="640"/>
      <c r="F28" s="640"/>
      <c r="G28" s="640"/>
      <c r="H28" s="640"/>
      <c r="I28" s="640"/>
      <c r="J28" s="640"/>
      <c r="K28" s="640"/>
      <c r="L28" s="640"/>
      <c r="M28" s="640"/>
      <c r="N28" s="640"/>
      <c r="O28" s="640"/>
      <c r="P28" s="640"/>
      <c r="Q28" s="640"/>
      <c r="R28" s="640">
        <v>1</v>
      </c>
    </row>
    <row r="29" spans="1:18" x14ac:dyDescent="0.35">
      <c r="A29" s="2" t="s">
        <v>1013</v>
      </c>
      <c r="B29" s="640"/>
      <c r="C29" s="640"/>
      <c r="D29" s="640">
        <v>4</v>
      </c>
      <c r="E29" s="640"/>
      <c r="F29" s="640"/>
      <c r="G29" s="640"/>
      <c r="H29" s="640"/>
      <c r="I29" s="640"/>
      <c r="J29" s="640"/>
      <c r="K29" s="640"/>
      <c r="L29" s="640"/>
      <c r="M29" s="640"/>
      <c r="N29" s="640"/>
      <c r="O29" s="640"/>
      <c r="P29" s="640"/>
      <c r="Q29" s="640"/>
      <c r="R29" s="640">
        <v>4</v>
      </c>
    </row>
    <row r="30" spans="1:18" x14ac:dyDescent="0.35">
      <c r="A30" s="2" t="s">
        <v>1015</v>
      </c>
      <c r="B30" s="640"/>
      <c r="C30" s="640"/>
      <c r="D30" s="640">
        <v>1</v>
      </c>
      <c r="E30" s="640"/>
      <c r="F30" s="640"/>
      <c r="G30" s="640"/>
      <c r="H30" s="640"/>
      <c r="I30" s="640"/>
      <c r="J30" s="640"/>
      <c r="K30" s="640"/>
      <c r="L30" s="640"/>
      <c r="M30" s="640"/>
      <c r="N30" s="640"/>
      <c r="O30" s="640"/>
      <c r="P30" s="640"/>
      <c r="Q30" s="640"/>
      <c r="R30" s="640">
        <v>1</v>
      </c>
    </row>
    <row r="31" spans="1:18" x14ac:dyDescent="0.35">
      <c r="A31" s="2" t="s">
        <v>1023</v>
      </c>
      <c r="B31" s="640"/>
      <c r="C31" s="640">
        <v>3</v>
      </c>
      <c r="D31" s="640"/>
      <c r="E31" s="640"/>
      <c r="F31" s="640"/>
      <c r="G31" s="640"/>
      <c r="H31" s="640"/>
      <c r="I31" s="640"/>
      <c r="J31" s="640"/>
      <c r="K31" s="640"/>
      <c r="L31" s="640"/>
      <c r="M31" s="640"/>
      <c r="N31" s="640"/>
      <c r="O31" s="640"/>
      <c r="P31" s="640"/>
      <c r="Q31" s="640"/>
      <c r="R31" s="640">
        <v>3</v>
      </c>
    </row>
    <row r="32" spans="1:18" x14ac:dyDescent="0.35">
      <c r="A32" s="2" t="s">
        <v>1513</v>
      </c>
      <c r="B32" s="640"/>
      <c r="C32" s="640"/>
      <c r="D32" s="640">
        <v>1</v>
      </c>
      <c r="E32" s="640"/>
      <c r="F32" s="640"/>
      <c r="G32" s="640"/>
      <c r="H32" s="640"/>
      <c r="I32" s="640"/>
      <c r="J32" s="640"/>
      <c r="K32" s="640"/>
      <c r="L32" s="640"/>
      <c r="M32" s="640"/>
      <c r="N32" s="640"/>
      <c r="O32" s="640"/>
      <c r="P32" s="640">
        <v>3</v>
      </c>
      <c r="Q32" s="640"/>
      <c r="R32" s="640">
        <v>4</v>
      </c>
    </row>
    <row r="33" spans="1:18" x14ac:dyDescent="0.35">
      <c r="A33" s="2" t="s">
        <v>1517</v>
      </c>
      <c r="B33" s="640"/>
      <c r="C33" s="640"/>
      <c r="D33" s="640">
        <v>1</v>
      </c>
      <c r="E33" s="640"/>
      <c r="F33" s="640"/>
      <c r="G33" s="640"/>
      <c r="H33" s="640"/>
      <c r="I33" s="640"/>
      <c r="J33" s="640"/>
      <c r="K33" s="640"/>
      <c r="L33" s="640"/>
      <c r="M33" s="640"/>
      <c r="N33" s="640"/>
      <c r="O33" s="640"/>
      <c r="P33" s="640">
        <v>2</v>
      </c>
      <c r="Q33" s="640"/>
      <c r="R33" s="640">
        <v>3</v>
      </c>
    </row>
    <row r="34" spans="1:18" x14ac:dyDescent="0.35">
      <c r="A34" s="2" t="s">
        <v>118</v>
      </c>
      <c r="B34" s="640"/>
      <c r="C34" s="640"/>
      <c r="D34" s="640"/>
      <c r="E34" s="640"/>
      <c r="F34" s="640"/>
      <c r="G34" s="640">
        <v>11</v>
      </c>
      <c r="H34" s="640"/>
      <c r="I34" s="640"/>
      <c r="J34" s="640"/>
      <c r="K34" s="640"/>
      <c r="L34" s="640"/>
      <c r="M34" s="640"/>
      <c r="N34" s="640"/>
      <c r="O34" s="640"/>
      <c r="P34" s="640"/>
      <c r="Q34" s="640"/>
      <c r="R34" s="640">
        <v>11</v>
      </c>
    </row>
    <row r="35" spans="1:18" x14ac:dyDescent="0.35">
      <c r="A35" s="2" t="s">
        <v>125</v>
      </c>
      <c r="B35" s="640"/>
      <c r="C35" s="640"/>
      <c r="D35" s="640"/>
      <c r="E35" s="640"/>
      <c r="F35" s="640"/>
      <c r="G35" s="640">
        <v>7</v>
      </c>
      <c r="H35" s="640"/>
      <c r="I35" s="640"/>
      <c r="J35" s="640"/>
      <c r="K35" s="640"/>
      <c r="L35" s="640"/>
      <c r="M35" s="640"/>
      <c r="N35" s="640"/>
      <c r="O35" s="640"/>
      <c r="P35" s="640"/>
      <c r="Q35" s="640"/>
      <c r="R35" s="640">
        <v>7</v>
      </c>
    </row>
    <row r="36" spans="1:18" x14ac:dyDescent="0.35">
      <c r="A36" s="2" t="s">
        <v>1390</v>
      </c>
      <c r="B36" s="640"/>
      <c r="C36" s="640"/>
      <c r="D36" s="640"/>
      <c r="E36" s="640"/>
      <c r="F36" s="640"/>
      <c r="G36" s="640">
        <v>3</v>
      </c>
      <c r="H36" s="640"/>
      <c r="I36" s="640"/>
      <c r="J36" s="640"/>
      <c r="K36" s="640"/>
      <c r="L36" s="640"/>
      <c r="M36" s="640"/>
      <c r="N36" s="640"/>
      <c r="O36" s="640"/>
      <c r="P36" s="640"/>
      <c r="Q36" s="640"/>
      <c r="R36" s="640">
        <v>3</v>
      </c>
    </row>
    <row r="37" spans="1:18" x14ac:dyDescent="0.35">
      <c r="A37" s="2" t="s">
        <v>1569</v>
      </c>
      <c r="B37" s="640"/>
      <c r="C37" s="640"/>
      <c r="D37" s="640"/>
      <c r="E37" s="640"/>
      <c r="F37" s="640"/>
      <c r="G37" s="640">
        <v>5</v>
      </c>
      <c r="H37" s="640"/>
      <c r="I37" s="640"/>
      <c r="J37" s="640"/>
      <c r="K37" s="640"/>
      <c r="L37" s="640"/>
      <c r="M37" s="640"/>
      <c r="N37" s="640"/>
      <c r="O37" s="640"/>
      <c r="P37" s="640"/>
      <c r="Q37" s="640"/>
      <c r="R37" s="640">
        <v>5</v>
      </c>
    </row>
    <row r="38" spans="1:18" x14ac:dyDescent="0.35">
      <c r="A38" s="2" t="s">
        <v>818</v>
      </c>
      <c r="B38" s="640"/>
      <c r="C38" s="640"/>
      <c r="D38" s="640"/>
      <c r="E38" s="640"/>
      <c r="F38" s="640"/>
      <c r="G38" s="640">
        <v>1</v>
      </c>
      <c r="H38" s="640"/>
      <c r="I38" s="640"/>
      <c r="J38" s="640"/>
      <c r="K38" s="640"/>
      <c r="L38" s="640"/>
      <c r="M38" s="640"/>
      <c r="N38" s="640">
        <v>1</v>
      </c>
      <c r="O38" s="640"/>
      <c r="P38" s="640"/>
      <c r="Q38" s="640"/>
      <c r="R38" s="640">
        <v>2</v>
      </c>
    </row>
    <row r="39" spans="1:18" x14ac:dyDescent="0.35">
      <c r="A39" s="2" t="s">
        <v>172</v>
      </c>
      <c r="B39" s="640"/>
      <c r="C39" s="640"/>
      <c r="D39" s="640"/>
      <c r="E39" s="640"/>
      <c r="F39" s="640"/>
      <c r="G39" s="640">
        <v>5</v>
      </c>
      <c r="H39" s="640"/>
      <c r="I39" s="640"/>
      <c r="J39" s="640"/>
      <c r="K39" s="640"/>
      <c r="L39" s="640"/>
      <c r="M39" s="640"/>
      <c r="N39" s="640"/>
      <c r="O39" s="640"/>
      <c r="P39" s="640"/>
      <c r="Q39" s="640"/>
      <c r="R39" s="640">
        <v>5</v>
      </c>
    </row>
    <row r="40" spans="1:18" x14ac:dyDescent="0.35">
      <c r="A40" s="2" t="s">
        <v>174</v>
      </c>
      <c r="B40" s="640"/>
      <c r="C40" s="640"/>
      <c r="D40" s="640"/>
      <c r="E40" s="640"/>
      <c r="F40" s="640"/>
      <c r="G40" s="640">
        <v>2</v>
      </c>
      <c r="H40" s="640"/>
      <c r="I40" s="640"/>
      <c r="J40" s="640"/>
      <c r="K40" s="640"/>
      <c r="L40" s="640"/>
      <c r="M40" s="640"/>
      <c r="N40" s="640"/>
      <c r="O40" s="640"/>
      <c r="P40" s="640"/>
      <c r="Q40" s="640"/>
      <c r="R40" s="640">
        <v>2</v>
      </c>
    </row>
    <row r="41" spans="1:18" x14ac:dyDescent="0.35">
      <c r="A41" s="2" t="s">
        <v>178</v>
      </c>
      <c r="B41" s="640"/>
      <c r="C41" s="640"/>
      <c r="D41" s="640"/>
      <c r="E41" s="640"/>
      <c r="F41" s="640"/>
      <c r="G41" s="640">
        <v>6</v>
      </c>
      <c r="H41" s="640"/>
      <c r="I41" s="640"/>
      <c r="J41" s="640">
        <v>3</v>
      </c>
      <c r="K41" s="640"/>
      <c r="L41" s="640"/>
      <c r="M41" s="640"/>
      <c r="N41" s="640"/>
      <c r="O41" s="640"/>
      <c r="P41" s="640"/>
      <c r="Q41" s="640"/>
      <c r="R41" s="640">
        <v>9</v>
      </c>
    </row>
    <row r="42" spans="1:18" x14ac:dyDescent="0.35">
      <c r="A42" s="2" t="s">
        <v>185</v>
      </c>
      <c r="B42" s="640"/>
      <c r="C42" s="640"/>
      <c r="D42" s="640"/>
      <c r="E42" s="640"/>
      <c r="F42" s="640"/>
      <c r="G42" s="640">
        <v>3</v>
      </c>
      <c r="H42" s="640"/>
      <c r="I42" s="640"/>
      <c r="J42" s="640"/>
      <c r="K42" s="640"/>
      <c r="L42" s="640"/>
      <c r="M42" s="640"/>
      <c r="N42" s="640"/>
      <c r="O42" s="640"/>
      <c r="P42" s="640"/>
      <c r="Q42" s="640"/>
      <c r="R42" s="640">
        <v>3</v>
      </c>
    </row>
    <row r="43" spans="1:18" x14ac:dyDescent="0.35">
      <c r="A43" s="2" t="s">
        <v>180</v>
      </c>
      <c r="B43" s="640"/>
      <c r="C43" s="640"/>
      <c r="D43" s="640"/>
      <c r="E43" s="640"/>
      <c r="F43" s="640"/>
      <c r="G43" s="640">
        <v>11</v>
      </c>
      <c r="H43" s="640"/>
      <c r="I43" s="640"/>
      <c r="J43" s="640"/>
      <c r="K43" s="640"/>
      <c r="L43" s="640"/>
      <c r="M43" s="640"/>
      <c r="N43" s="640"/>
      <c r="O43" s="640"/>
      <c r="P43" s="640"/>
      <c r="Q43" s="640"/>
      <c r="R43" s="640">
        <v>11</v>
      </c>
    </row>
    <row r="44" spans="1:18" x14ac:dyDescent="0.35">
      <c r="A44" s="2" t="s">
        <v>188</v>
      </c>
      <c r="B44" s="640"/>
      <c r="C44" s="640"/>
      <c r="D44" s="640"/>
      <c r="E44" s="640"/>
      <c r="F44" s="640"/>
      <c r="G44" s="640"/>
      <c r="H44" s="640">
        <v>1</v>
      </c>
      <c r="I44" s="640"/>
      <c r="J44" s="640"/>
      <c r="K44" s="640"/>
      <c r="L44" s="640"/>
      <c r="M44" s="640"/>
      <c r="N44" s="640"/>
      <c r="O44" s="640"/>
      <c r="P44" s="640"/>
      <c r="Q44" s="640"/>
      <c r="R44" s="640">
        <v>1</v>
      </c>
    </row>
    <row r="45" spans="1:18" x14ac:dyDescent="0.35">
      <c r="A45" s="2" t="s">
        <v>191</v>
      </c>
      <c r="B45" s="640"/>
      <c r="C45" s="640"/>
      <c r="D45" s="640"/>
      <c r="E45" s="640"/>
      <c r="F45" s="640"/>
      <c r="G45" s="640"/>
      <c r="H45" s="640">
        <v>7</v>
      </c>
      <c r="I45" s="640"/>
      <c r="J45" s="640"/>
      <c r="K45" s="640"/>
      <c r="L45" s="640">
        <v>2</v>
      </c>
      <c r="M45" s="640"/>
      <c r="N45" s="640"/>
      <c r="O45" s="640"/>
      <c r="P45" s="640"/>
      <c r="Q45" s="640"/>
      <c r="R45" s="640">
        <v>9</v>
      </c>
    </row>
    <row r="46" spans="1:18" x14ac:dyDescent="0.35">
      <c r="A46" s="2" t="s">
        <v>1379</v>
      </c>
      <c r="B46" s="640"/>
      <c r="C46" s="640"/>
      <c r="D46" s="640"/>
      <c r="E46" s="640"/>
      <c r="F46" s="640"/>
      <c r="G46" s="640"/>
      <c r="H46" s="640">
        <v>1</v>
      </c>
      <c r="I46" s="640"/>
      <c r="J46" s="640"/>
      <c r="K46" s="640"/>
      <c r="L46" s="640"/>
      <c r="M46" s="640"/>
      <c r="N46" s="640"/>
      <c r="O46" s="640"/>
      <c r="P46" s="640"/>
      <c r="Q46" s="640">
        <v>1</v>
      </c>
      <c r="R46" s="640">
        <v>2</v>
      </c>
    </row>
    <row r="47" spans="1:18" x14ac:dyDescent="0.35">
      <c r="A47" s="2" t="s">
        <v>209</v>
      </c>
      <c r="B47" s="640"/>
      <c r="C47" s="640"/>
      <c r="D47" s="640"/>
      <c r="E47" s="640"/>
      <c r="F47" s="640"/>
      <c r="G47" s="640"/>
      <c r="H47" s="640">
        <v>3</v>
      </c>
      <c r="I47" s="640"/>
      <c r="J47" s="640"/>
      <c r="K47" s="640"/>
      <c r="L47" s="640"/>
      <c r="M47" s="640"/>
      <c r="N47" s="640"/>
      <c r="O47" s="640"/>
      <c r="P47" s="640"/>
      <c r="Q47" s="640"/>
      <c r="R47" s="640">
        <v>3</v>
      </c>
    </row>
    <row r="48" spans="1:18" x14ac:dyDescent="0.35">
      <c r="A48" s="2" t="s">
        <v>211</v>
      </c>
      <c r="B48" s="640"/>
      <c r="C48" s="640"/>
      <c r="D48" s="640"/>
      <c r="E48" s="640"/>
      <c r="F48" s="640"/>
      <c r="G48" s="640"/>
      <c r="H48" s="640"/>
      <c r="I48" s="640">
        <v>2</v>
      </c>
      <c r="J48" s="640"/>
      <c r="K48" s="640"/>
      <c r="L48" s="640"/>
      <c r="M48" s="640"/>
      <c r="N48" s="640"/>
      <c r="O48" s="640"/>
      <c r="P48" s="640"/>
      <c r="Q48" s="640"/>
      <c r="R48" s="640">
        <v>2</v>
      </c>
    </row>
    <row r="49" spans="1:18" x14ac:dyDescent="0.35">
      <c r="A49" s="2" t="s">
        <v>214</v>
      </c>
      <c r="B49" s="640"/>
      <c r="C49" s="640"/>
      <c r="D49" s="640"/>
      <c r="E49" s="640"/>
      <c r="F49" s="640"/>
      <c r="G49" s="640"/>
      <c r="H49" s="640"/>
      <c r="I49" s="640">
        <v>4</v>
      </c>
      <c r="J49" s="640"/>
      <c r="K49" s="640"/>
      <c r="L49" s="640"/>
      <c r="M49" s="640"/>
      <c r="N49" s="640"/>
      <c r="O49" s="640"/>
      <c r="P49" s="640"/>
      <c r="Q49" s="640"/>
      <c r="R49" s="640">
        <v>4</v>
      </c>
    </row>
    <row r="50" spans="1:18" x14ac:dyDescent="0.35">
      <c r="A50" s="2" t="s">
        <v>197</v>
      </c>
      <c r="B50" s="640"/>
      <c r="C50" s="640"/>
      <c r="D50" s="640"/>
      <c r="E50" s="640"/>
      <c r="F50" s="640"/>
      <c r="G50" s="640"/>
      <c r="H50" s="640"/>
      <c r="I50" s="640">
        <v>3</v>
      </c>
      <c r="J50" s="640"/>
      <c r="K50" s="640"/>
      <c r="L50" s="640"/>
      <c r="M50" s="640"/>
      <c r="N50" s="640"/>
      <c r="O50" s="640"/>
      <c r="P50" s="640"/>
      <c r="Q50" s="640"/>
      <c r="R50" s="640">
        <v>3</v>
      </c>
    </row>
    <row r="51" spans="1:18" x14ac:dyDescent="0.35">
      <c r="A51" s="2" t="s">
        <v>201</v>
      </c>
      <c r="B51" s="640"/>
      <c r="C51" s="640"/>
      <c r="D51" s="640"/>
      <c r="E51" s="640"/>
      <c r="F51" s="640"/>
      <c r="G51" s="640"/>
      <c r="H51" s="640"/>
      <c r="I51" s="640">
        <v>6</v>
      </c>
      <c r="J51" s="640"/>
      <c r="K51" s="640"/>
      <c r="L51" s="640"/>
      <c r="M51" s="640"/>
      <c r="N51" s="640"/>
      <c r="O51" s="640"/>
      <c r="P51" s="640"/>
      <c r="Q51" s="640"/>
      <c r="R51" s="640">
        <v>6</v>
      </c>
    </row>
    <row r="52" spans="1:18" x14ac:dyDescent="0.35">
      <c r="A52" s="2" t="s">
        <v>203</v>
      </c>
      <c r="B52" s="640"/>
      <c r="C52" s="640"/>
      <c r="D52" s="640"/>
      <c r="E52" s="640"/>
      <c r="F52" s="640"/>
      <c r="G52" s="640"/>
      <c r="H52" s="640"/>
      <c r="I52" s="640">
        <v>2</v>
      </c>
      <c r="J52" s="640"/>
      <c r="K52" s="640"/>
      <c r="L52" s="640"/>
      <c r="M52" s="640"/>
      <c r="N52" s="640"/>
      <c r="O52" s="640"/>
      <c r="P52" s="640"/>
      <c r="Q52" s="640"/>
      <c r="R52" s="640">
        <v>2</v>
      </c>
    </row>
    <row r="53" spans="1:18" x14ac:dyDescent="0.35">
      <c r="A53" s="2" t="s">
        <v>1011</v>
      </c>
      <c r="B53" s="640"/>
      <c r="C53" s="640"/>
      <c r="D53" s="640">
        <v>1</v>
      </c>
      <c r="E53" s="640"/>
      <c r="F53" s="640"/>
      <c r="G53" s="640"/>
      <c r="H53" s="640"/>
      <c r="I53" s="640"/>
      <c r="J53" s="640"/>
      <c r="K53" s="640"/>
      <c r="L53" s="640"/>
      <c r="M53" s="640"/>
      <c r="N53" s="640"/>
      <c r="O53" s="640"/>
      <c r="P53" s="640"/>
      <c r="Q53" s="640"/>
      <c r="R53" s="640">
        <v>1</v>
      </c>
    </row>
    <row r="54" spans="1:18" x14ac:dyDescent="0.35">
      <c r="A54" s="2" t="s">
        <v>820</v>
      </c>
      <c r="B54" s="640"/>
      <c r="C54" s="640"/>
      <c r="D54" s="640"/>
      <c r="E54" s="640"/>
      <c r="F54" s="640"/>
      <c r="G54" s="640">
        <v>1</v>
      </c>
      <c r="H54" s="640"/>
      <c r="I54" s="640"/>
      <c r="J54" s="640"/>
      <c r="K54" s="640"/>
      <c r="L54" s="640"/>
      <c r="M54" s="640"/>
      <c r="N54" s="640">
        <v>3</v>
      </c>
      <c r="O54" s="640"/>
      <c r="P54" s="640"/>
      <c r="Q54" s="640"/>
      <c r="R54" s="640">
        <v>4</v>
      </c>
    </row>
    <row r="55" spans="1:18" x14ac:dyDescent="0.35">
      <c r="A55" s="2" t="s">
        <v>194</v>
      </c>
      <c r="B55" s="640"/>
      <c r="C55" s="640"/>
      <c r="D55" s="640"/>
      <c r="E55" s="640"/>
      <c r="F55" s="640"/>
      <c r="G55" s="640"/>
      <c r="H55" s="640">
        <v>1</v>
      </c>
      <c r="I55" s="640"/>
      <c r="J55" s="640"/>
      <c r="K55" s="640"/>
      <c r="L55" s="640"/>
      <c r="M55" s="640"/>
      <c r="N55" s="640"/>
      <c r="O55" s="640"/>
      <c r="P55" s="640"/>
      <c r="Q55" s="640"/>
      <c r="R55" s="640">
        <v>1</v>
      </c>
    </row>
    <row r="56" spans="1:18" x14ac:dyDescent="0.35">
      <c r="A56" s="2" t="s">
        <v>45</v>
      </c>
      <c r="B56" s="640">
        <v>15</v>
      </c>
      <c r="C56" s="640">
        <v>16</v>
      </c>
      <c r="D56" s="640">
        <v>15</v>
      </c>
      <c r="E56" s="640">
        <v>27</v>
      </c>
      <c r="F56" s="640">
        <v>6</v>
      </c>
      <c r="G56" s="640">
        <v>59</v>
      </c>
      <c r="H56" s="640">
        <v>14</v>
      </c>
      <c r="I56" s="640">
        <v>17</v>
      </c>
      <c r="J56" s="640">
        <v>3</v>
      </c>
      <c r="K56" s="640">
        <v>4</v>
      </c>
      <c r="L56" s="640">
        <v>2</v>
      </c>
      <c r="M56" s="640">
        <v>1</v>
      </c>
      <c r="N56" s="640">
        <v>4</v>
      </c>
      <c r="O56" s="640">
        <v>1</v>
      </c>
      <c r="P56" s="640">
        <v>7</v>
      </c>
      <c r="Q56" s="640">
        <v>1</v>
      </c>
      <c r="R56" s="640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7" bestFit="1" customWidth="1"/>
    <col min="3" max="11" width="19.09765625" style="267" bestFit="1" customWidth="1"/>
    <col min="12" max="12" width="19.796875" style="267" bestFit="1" customWidth="1"/>
    <col min="13" max="49" width="19.09765625" style="267" bestFit="1" customWidth="1"/>
    <col min="50" max="50" width="22.19921875" style="267" bestFit="1" customWidth="1"/>
    <col min="51" max="77" width="19.09765625" style="267" bestFit="1" customWidth="1"/>
    <col min="78" max="79" width="26.8984375" style="267" bestFit="1" customWidth="1"/>
    <col min="80" max="16384" width="8.69921875" style="267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4" customFormat="1" x14ac:dyDescent="0.35">
      <c r="A2" s="345"/>
      <c r="B2" s="50"/>
      <c r="C2" s="50"/>
      <c r="F2" s="346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7"/>
    </row>
    <row r="34" spans="1:79" x14ac:dyDescent="0.35">
      <c r="B34" s="642" t="s">
        <v>2316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67" t="s">
        <v>2142</v>
      </c>
      <c r="N35" s="53">
        <v>44421</v>
      </c>
      <c r="P35" s="53">
        <v>44419</v>
      </c>
      <c r="R35" s="267" t="s">
        <v>74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67" t="s">
        <v>2163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67" t="s">
        <v>2314</v>
      </c>
      <c r="CA35" s="267" t="s">
        <v>2315</v>
      </c>
    </row>
    <row r="36" spans="1:79" x14ac:dyDescent="0.35">
      <c r="A36" s="643" t="s">
        <v>1451</v>
      </c>
      <c r="B36" s="267" t="s">
        <v>2317</v>
      </c>
      <c r="C36" s="267" t="s">
        <v>2318</v>
      </c>
      <c r="D36" s="267" t="s">
        <v>2317</v>
      </c>
      <c r="E36" s="267" t="s">
        <v>2318</v>
      </c>
      <c r="F36" s="267" t="s">
        <v>2317</v>
      </c>
      <c r="G36" s="267" t="s">
        <v>2318</v>
      </c>
      <c r="H36" s="267" t="s">
        <v>2317</v>
      </c>
      <c r="I36" s="267" t="s">
        <v>2318</v>
      </c>
      <c r="J36" s="267" t="s">
        <v>2317</v>
      </c>
      <c r="K36" s="267" t="s">
        <v>2318</v>
      </c>
      <c r="L36" s="267" t="s">
        <v>2317</v>
      </c>
      <c r="M36" s="267" t="s">
        <v>2318</v>
      </c>
      <c r="N36" s="267" t="s">
        <v>2317</v>
      </c>
      <c r="O36" s="267" t="s">
        <v>2318</v>
      </c>
      <c r="P36" s="267" t="s">
        <v>2317</v>
      </c>
      <c r="Q36" s="267" t="s">
        <v>2318</v>
      </c>
      <c r="R36" s="267" t="s">
        <v>2317</v>
      </c>
      <c r="S36" s="267" t="s">
        <v>2318</v>
      </c>
      <c r="T36" s="267" t="s">
        <v>2317</v>
      </c>
      <c r="U36" s="267" t="s">
        <v>2318</v>
      </c>
      <c r="V36" s="267" t="s">
        <v>2317</v>
      </c>
      <c r="W36" s="267" t="s">
        <v>2318</v>
      </c>
      <c r="X36" s="267" t="s">
        <v>2317</v>
      </c>
      <c r="Y36" s="267" t="s">
        <v>2318</v>
      </c>
      <c r="Z36" s="267" t="s">
        <v>2317</v>
      </c>
      <c r="AA36" s="267" t="s">
        <v>2318</v>
      </c>
      <c r="AB36" s="267" t="s">
        <v>2317</v>
      </c>
      <c r="AC36" s="267" t="s">
        <v>2318</v>
      </c>
      <c r="AD36" s="267" t="s">
        <v>2317</v>
      </c>
      <c r="AE36" s="267" t="s">
        <v>2318</v>
      </c>
      <c r="AF36" s="267" t="s">
        <v>2317</v>
      </c>
      <c r="AG36" s="267" t="s">
        <v>2318</v>
      </c>
      <c r="AH36" s="267" t="s">
        <v>2317</v>
      </c>
      <c r="AI36" s="267" t="s">
        <v>2318</v>
      </c>
      <c r="AJ36" s="267" t="s">
        <v>2317</v>
      </c>
      <c r="AK36" s="267" t="s">
        <v>2318</v>
      </c>
      <c r="AL36" s="267" t="s">
        <v>2317</v>
      </c>
      <c r="AM36" s="267" t="s">
        <v>2318</v>
      </c>
      <c r="AN36" s="267" t="s">
        <v>2317</v>
      </c>
      <c r="AO36" s="267" t="s">
        <v>2318</v>
      </c>
      <c r="AP36" s="267" t="s">
        <v>2317</v>
      </c>
      <c r="AQ36" s="267" t="s">
        <v>2318</v>
      </c>
      <c r="AR36" s="267" t="s">
        <v>2317</v>
      </c>
      <c r="AS36" s="267" t="s">
        <v>2318</v>
      </c>
      <c r="AT36" s="267" t="s">
        <v>2317</v>
      </c>
      <c r="AU36" s="267" t="s">
        <v>2318</v>
      </c>
      <c r="AV36" s="267" t="s">
        <v>2317</v>
      </c>
      <c r="AW36" s="267" t="s">
        <v>2318</v>
      </c>
      <c r="AX36" s="267" t="s">
        <v>2317</v>
      </c>
      <c r="AY36" s="267" t="s">
        <v>2318</v>
      </c>
      <c r="AZ36" s="267" t="s">
        <v>2317</v>
      </c>
      <c r="BA36" s="267" t="s">
        <v>2318</v>
      </c>
      <c r="BB36" s="267" t="s">
        <v>2317</v>
      </c>
      <c r="BC36" s="267" t="s">
        <v>2318</v>
      </c>
      <c r="BD36" s="267" t="s">
        <v>2317</v>
      </c>
      <c r="BE36" s="267" t="s">
        <v>2318</v>
      </c>
      <c r="BF36" s="267" t="s">
        <v>2317</v>
      </c>
      <c r="BG36" s="267" t="s">
        <v>2318</v>
      </c>
      <c r="BH36" s="267" t="s">
        <v>2317</v>
      </c>
      <c r="BI36" s="267" t="s">
        <v>2318</v>
      </c>
      <c r="BJ36" s="267" t="s">
        <v>2317</v>
      </c>
      <c r="BK36" s="267" t="s">
        <v>2318</v>
      </c>
      <c r="BL36" s="267" t="s">
        <v>2317</v>
      </c>
      <c r="BM36" s="267" t="s">
        <v>2318</v>
      </c>
      <c r="BN36" s="267" t="s">
        <v>2317</v>
      </c>
      <c r="BO36" s="267" t="s">
        <v>2318</v>
      </c>
      <c r="BP36" s="267" t="s">
        <v>2317</v>
      </c>
      <c r="BQ36" s="267" t="s">
        <v>2318</v>
      </c>
      <c r="BR36" s="267" t="s">
        <v>2317</v>
      </c>
      <c r="BS36" s="267" t="s">
        <v>2318</v>
      </c>
      <c r="BT36" s="267" t="s">
        <v>2317</v>
      </c>
      <c r="BU36" s="267" t="s">
        <v>2318</v>
      </c>
      <c r="BV36" s="267" t="s">
        <v>2317</v>
      </c>
      <c r="BW36" s="267" t="s">
        <v>2318</v>
      </c>
      <c r="BX36" s="267" t="s">
        <v>2317</v>
      </c>
      <c r="BY36" s="267" t="s">
        <v>2318</v>
      </c>
    </row>
    <row r="37" spans="1:79" x14ac:dyDescent="0.35">
      <c r="A37" s="42">
        <v>44396</v>
      </c>
      <c r="B37" s="640"/>
      <c r="C37" s="640"/>
      <c r="D37" s="640"/>
      <c r="E37" s="640"/>
      <c r="F37" s="640"/>
      <c r="G37" s="640"/>
      <c r="H37" s="640"/>
      <c r="I37" s="640"/>
      <c r="J37" s="640"/>
      <c r="K37" s="640"/>
      <c r="L37" s="640"/>
      <c r="M37" s="640"/>
      <c r="N37" s="640"/>
      <c r="O37" s="640"/>
      <c r="P37" s="640"/>
      <c r="Q37" s="640"/>
      <c r="R37" s="640"/>
      <c r="S37" s="640"/>
      <c r="T37" s="640"/>
      <c r="U37" s="640"/>
      <c r="V37" s="640"/>
      <c r="W37" s="640"/>
      <c r="X37" s="640"/>
      <c r="Y37" s="640"/>
      <c r="Z37" s="640"/>
      <c r="AA37" s="640"/>
      <c r="AB37" s="640"/>
      <c r="AC37" s="640"/>
      <c r="AD37" s="640"/>
      <c r="AE37" s="640"/>
      <c r="AF37" s="640"/>
      <c r="AG37" s="640"/>
      <c r="AH37" s="640"/>
      <c r="AI37" s="640"/>
      <c r="AJ37" s="640"/>
      <c r="AK37" s="640"/>
      <c r="AL37" s="640"/>
      <c r="AM37" s="640"/>
      <c r="AN37" s="640"/>
      <c r="AO37" s="640"/>
      <c r="AP37" s="640"/>
      <c r="AQ37" s="640"/>
      <c r="AR37" s="640"/>
      <c r="AS37" s="640"/>
      <c r="AT37" s="640"/>
      <c r="AU37" s="640"/>
      <c r="AV37" s="640"/>
      <c r="AW37" s="640"/>
      <c r="AX37" s="640"/>
      <c r="AY37" s="640"/>
      <c r="AZ37" s="640"/>
      <c r="BA37" s="640"/>
      <c r="BB37" s="640"/>
      <c r="BC37" s="640"/>
      <c r="BD37" s="640"/>
      <c r="BE37" s="640"/>
      <c r="BF37" s="640"/>
      <c r="BG37" s="640"/>
      <c r="BH37" s="640"/>
      <c r="BI37" s="640"/>
      <c r="BJ37" s="640">
        <v>1</v>
      </c>
      <c r="BK37" s="640">
        <v>1</v>
      </c>
      <c r="BL37" s="640"/>
      <c r="BM37" s="640"/>
      <c r="BN37" s="640"/>
      <c r="BO37" s="640"/>
      <c r="BP37" s="640"/>
      <c r="BQ37" s="640"/>
      <c r="BR37" s="640"/>
      <c r="BS37" s="640"/>
      <c r="BT37" s="640"/>
      <c r="BU37" s="640"/>
      <c r="BV37" s="640"/>
      <c r="BW37" s="640"/>
      <c r="BX37" s="640"/>
      <c r="BY37" s="640"/>
      <c r="BZ37" s="640">
        <v>1</v>
      </c>
      <c r="CA37" s="640">
        <v>1</v>
      </c>
    </row>
    <row r="38" spans="1:79" x14ac:dyDescent="0.35">
      <c r="A38" s="42">
        <v>44397</v>
      </c>
      <c r="B38" s="640">
        <v>2</v>
      </c>
      <c r="C38" s="640">
        <v>2</v>
      </c>
      <c r="D38" s="640"/>
      <c r="E38" s="640"/>
      <c r="F38" s="640"/>
      <c r="G38" s="640"/>
      <c r="H38" s="640"/>
      <c r="I38" s="640"/>
      <c r="J38" s="640"/>
      <c r="K38" s="640"/>
      <c r="L38" s="640"/>
      <c r="M38" s="640"/>
      <c r="N38" s="640"/>
      <c r="O38" s="640"/>
      <c r="P38" s="640"/>
      <c r="Q38" s="640"/>
      <c r="R38" s="640"/>
      <c r="S38" s="640"/>
      <c r="T38" s="640"/>
      <c r="U38" s="640"/>
      <c r="V38" s="640"/>
      <c r="W38" s="640"/>
      <c r="X38" s="640"/>
      <c r="Y38" s="640"/>
      <c r="Z38" s="640"/>
      <c r="AA38" s="640"/>
      <c r="AB38" s="640"/>
      <c r="AC38" s="640"/>
      <c r="AD38" s="640"/>
      <c r="AE38" s="640"/>
      <c r="AF38" s="640"/>
      <c r="AG38" s="640"/>
      <c r="AH38" s="640"/>
      <c r="AI38" s="640"/>
      <c r="AJ38" s="640"/>
      <c r="AK38" s="640"/>
      <c r="AL38" s="640"/>
      <c r="AM38" s="640"/>
      <c r="AN38" s="640"/>
      <c r="AO38" s="640"/>
      <c r="AP38" s="640"/>
      <c r="AQ38" s="640"/>
      <c r="AR38" s="640"/>
      <c r="AS38" s="640"/>
      <c r="AT38" s="640"/>
      <c r="AU38" s="640"/>
      <c r="AV38" s="640"/>
      <c r="AW38" s="640"/>
      <c r="AX38" s="640"/>
      <c r="AY38" s="640"/>
      <c r="AZ38" s="640"/>
      <c r="BA38" s="640"/>
      <c r="BB38" s="640"/>
      <c r="BC38" s="640"/>
      <c r="BD38" s="640"/>
      <c r="BE38" s="640"/>
      <c r="BF38" s="640"/>
      <c r="BG38" s="640"/>
      <c r="BH38" s="640"/>
      <c r="BI38" s="640"/>
      <c r="BJ38" s="640"/>
      <c r="BK38" s="640"/>
      <c r="BL38" s="640"/>
      <c r="BM38" s="640"/>
      <c r="BN38" s="640"/>
      <c r="BO38" s="640"/>
      <c r="BP38" s="640"/>
      <c r="BQ38" s="640"/>
      <c r="BR38" s="640"/>
      <c r="BS38" s="640"/>
      <c r="BT38" s="640"/>
      <c r="BU38" s="640"/>
      <c r="BV38" s="640"/>
      <c r="BW38" s="640"/>
      <c r="BX38" s="640"/>
      <c r="BY38" s="640"/>
      <c r="BZ38" s="640">
        <v>2</v>
      </c>
      <c r="CA38" s="640">
        <v>2</v>
      </c>
    </row>
    <row r="39" spans="1:79" x14ac:dyDescent="0.35">
      <c r="A39" s="42">
        <v>44398</v>
      </c>
      <c r="B39" s="640">
        <v>1</v>
      </c>
      <c r="C39" s="640">
        <v>1</v>
      </c>
      <c r="D39" s="640">
        <v>1</v>
      </c>
      <c r="E39" s="640"/>
      <c r="F39" s="640"/>
      <c r="G39" s="640"/>
      <c r="H39" s="640"/>
      <c r="I39" s="640"/>
      <c r="J39" s="640">
        <v>4</v>
      </c>
      <c r="K39" s="640">
        <v>4</v>
      </c>
      <c r="L39" s="640"/>
      <c r="M39" s="640"/>
      <c r="N39" s="640"/>
      <c r="O39" s="640"/>
      <c r="P39" s="640"/>
      <c r="Q39" s="640"/>
      <c r="R39" s="640"/>
      <c r="S39" s="640"/>
      <c r="T39" s="640"/>
      <c r="U39" s="640"/>
      <c r="V39" s="640"/>
      <c r="W39" s="640"/>
      <c r="X39" s="640"/>
      <c r="Y39" s="640"/>
      <c r="Z39" s="640"/>
      <c r="AA39" s="640"/>
      <c r="AB39" s="640"/>
      <c r="AC39" s="640"/>
      <c r="AD39" s="640"/>
      <c r="AE39" s="640"/>
      <c r="AF39" s="640"/>
      <c r="AG39" s="640"/>
      <c r="AH39" s="640"/>
      <c r="AI39" s="640"/>
      <c r="AJ39" s="640"/>
      <c r="AK39" s="640"/>
      <c r="AL39" s="640"/>
      <c r="AM39" s="640"/>
      <c r="AN39" s="640"/>
      <c r="AO39" s="640"/>
      <c r="AP39" s="640"/>
      <c r="AQ39" s="640"/>
      <c r="AR39" s="640"/>
      <c r="AS39" s="640"/>
      <c r="AT39" s="640"/>
      <c r="AU39" s="640"/>
      <c r="AV39" s="640"/>
      <c r="AW39" s="640"/>
      <c r="AX39" s="640"/>
      <c r="AY39" s="640"/>
      <c r="AZ39" s="640"/>
      <c r="BA39" s="640"/>
      <c r="BB39" s="640"/>
      <c r="BC39" s="640"/>
      <c r="BD39" s="640"/>
      <c r="BE39" s="640"/>
      <c r="BF39" s="640"/>
      <c r="BG39" s="640"/>
      <c r="BH39" s="640"/>
      <c r="BI39" s="640"/>
      <c r="BJ39" s="640"/>
      <c r="BK39" s="640"/>
      <c r="BL39" s="640"/>
      <c r="BM39" s="640"/>
      <c r="BN39" s="640"/>
      <c r="BO39" s="640"/>
      <c r="BP39" s="640"/>
      <c r="BQ39" s="640"/>
      <c r="BR39" s="640"/>
      <c r="BS39" s="640"/>
      <c r="BT39" s="640"/>
      <c r="BU39" s="640"/>
      <c r="BV39" s="640"/>
      <c r="BW39" s="640"/>
      <c r="BX39" s="640"/>
      <c r="BY39" s="640"/>
      <c r="BZ39" s="640">
        <v>6</v>
      </c>
      <c r="CA39" s="640">
        <v>5</v>
      </c>
    </row>
    <row r="40" spans="1:79" x14ac:dyDescent="0.35">
      <c r="A40" s="42">
        <v>44399</v>
      </c>
      <c r="B40" s="640">
        <v>2</v>
      </c>
      <c r="C40" s="640">
        <v>2</v>
      </c>
      <c r="D40" s="640"/>
      <c r="E40" s="640"/>
      <c r="F40" s="640">
        <v>1</v>
      </c>
      <c r="G40" s="640">
        <v>1</v>
      </c>
      <c r="H40" s="640"/>
      <c r="I40" s="640"/>
      <c r="J40" s="640"/>
      <c r="K40" s="640"/>
      <c r="L40" s="640"/>
      <c r="M40" s="640"/>
      <c r="N40" s="640">
        <v>1</v>
      </c>
      <c r="O40" s="640">
        <v>1</v>
      </c>
      <c r="P40" s="640"/>
      <c r="Q40" s="640"/>
      <c r="R40" s="640"/>
      <c r="S40" s="640"/>
      <c r="T40" s="640"/>
      <c r="U40" s="640"/>
      <c r="V40" s="640"/>
      <c r="W40" s="640"/>
      <c r="X40" s="640"/>
      <c r="Y40" s="640"/>
      <c r="Z40" s="640"/>
      <c r="AA40" s="640"/>
      <c r="AB40" s="640"/>
      <c r="AC40" s="640"/>
      <c r="AD40" s="640"/>
      <c r="AE40" s="640"/>
      <c r="AF40" s="640"/>
      <c r="AG40" s="640"/>
      <c r="AH40" s="640"/>
      <c r="AI40" s="640"/>
      <c r="AJ40" s="640"/>
      <c r="AK40" s="640"/>
      <c r="AL40" s="640"/>
      <c r="AM40" s="640"/>
      <c r="AN40" s="640"/>
      <c r="AO40" s="640"/>
      <c r="AP40" s="640"/>
      <c r="AQ40" s="640"/>
      <c r="AR40" s="640"/>
      <c r="AS40" s="640"/>
      <c r="AT40" s="640"/>
      <c r="AU40" s="640"/>
      <c r="AV40" s="640"/>
      <c r="AW40" s="640"/>
      <c r="AX40" s="640"/>
      <c r="AY40" s="640"/>
      <c r="AZ40" s="640"/>
      <c r="BA40" s="640"/>
      <c r="BB40" s="640"/>
      <c r="BC40" s="640"/>
      <c r="BD40" s="640"/>
      <c r="BE40" s="640"/>
      <c r="BF40" s="640"/>
      <c r="BG40" s="640"/>
      <c r="BH40" s="640"/>
      <c r="BI40" s="640"/>
      <c r="BJ40" s="640"/>
      <c r="BK40" s="640"/>
      <c r="BL40" s="640"/>
      <c r="BM40" s="640"/>
      <c r="BN40" s="640"/>
      <c r="BO40" s="640"/>
      <c r="BP40" s="640"/>
      <c r="BQ40" s="640"/>
      <c r="BR40" s="640"/>
      <c r="BS40" s="640"/>
      <c r="BT40" s="640"/>
      <c r="BU40" s="640"/>
      <c r="BV40" s="640"/>
      <c r="BW40" s="640"/>
      <c r="BX40" s="640"/>
      <c r="BY40" s="640"/>
      <c r="BZ40" s="640">
        <v>4</v>
      </c>
      <c r="CA40" s="640">
        <v>4</v>
      </c>
    </row>
    <row r="41" spans="1:79" x14ac:dyDescent="0.35">
      <c r="A41" s="42">
        <v>44400</v>
      </c>
      <c r="B41" s="640">
        <v>1</v>
      </c>
      <c r="C41" s="640">
        <v>1</v>
      </c>
      <c r="D41" s="640"/>
      <c r="E41" s="640"/>
      <c r="F41" s="640"/>
      <c r="G41" s="640"/>
      <c r="H41" s="640">
        <v>1</v>
      </c>
      <c r="I41" s="640">
        <v>1</v>
      </c>
      <c r="J41" s="640"/>
      <c r="K41" s="640"/>
      <c r="L41" s="640"/>
      <c r="M41" s="640"/>
      <c r="N41" s="640"/>
      <c r="O41" s="640"/>
      <c r="P41" s="640"/>
      <c r="Q41" s="640"/>
      <c r="R41" s="640"/>
      <c r="S41" s="640"/>
      <c r="T41" s="640"/>
      <c r="U41" s="640"/>
      <c r="V41" s="640"/>
      <c r="W41" s="640"/>
      <c r="X41" s="640"/>
      <c r="Y41" s="640"/>
      <c r="Z41" s="640"/>
      <c r="AA41" s="640"/>
      <c r="AB41" s="640"/>
      <c r="AC41" s="640"/>
      <c r="AD41" s="640"/>
      <c r="AE41" s="640"/>
      <c r="AF41" s="640"/>
      <c r="AG41" s="640"/>
      <c r="AH41" s="640"/>
      <c r="AI41" s="640"/>
      <c r="AJ41" s="640"/>
      <c r="AK41" s="640"/>
      <c r="AL41" s="640"/>
      <c r="AM41" s="640"/>
      <c r="AN41" s="640"/>
      <c r="AO41" s="640"/>
      <c r="AP41" s="640"/>
      <c r="AQ41" s="640"/>
      <c r="AR41" s="640"/>
      <c r="AS41" s="640"/>
      <c r="AT41" s="640"/>
      <c r="AU41" s="640"/>
      <c r="AV41" s="640"/>
      <c r="AW41" s="640"/>
      <c r="AX41" s="640"/>
      <c r="AY41" s="640"/>
      <c r="AZ41" s="640"/>
      <c r="BA41" s="640"/>
      <c r="BB41" s="640"/>
      <c r="BC41" s="640"/>
      <c r="BD41" s="640"/>
      <c r="BE41" s="640"/>
      <c r="BF41" s="640"/>
      <c r="BG41" s="640"/>
      <c r="BH41" s="640"/>
      <c r="BI41" s="640"/>
      <c r="BJ41" s="640"/>
      <c r="BK41" s="640"/>
      <c r="BL41" s="640"/>
      <c r="BM41" s="640"/>
      <c r="BN41" s="640"/>
      <c r="BO41" s="640"/>
      <c r="BP41" s="640"/>
      <c r="BQ41" s="640"/>
      <c r="BR41" s="640"/>
      <c r="BS41" s="640"/>
      <c r="BT41" s="640"/>
      <c r="BU41" s="640"/>
      <c r="BV41" s="640"/>
      <c r="BW41" s="640"/>
      <c r="BX41" s="640"/>
      <c r="BY41" s="640"/>
      <c r="BZ41" s="640">
        <v>2</v>
      </c>
      <c r="CA41" s="640">
        <v>2</v>
      </c>
    </row>
    <row r="42" spans="1:79" x14ac:dyDescent="0.35">
      <c r="A42" s="2" t="s">
        <v>74</v>
      </c>
      <c r="B42" s="640"/>
      <c r="C42" s="640"/>
      <c r="D42" s="640"/>
      <c r="E42" s="640"/>
      <c r="F42" s="640"/>
      <c r="G42" s="640"/>
      <c r="H42" s="640"/>
      <c r="I42" s="640"/>
      <c r="J42" s="640"/>
      <c r="K42" s="640"/>
      <c r="L42" s="640"/>
      <c r="M42" s="640"/>
      <c r="N42" s="640"/>
      <c r="O42" s="640"/>
      <c r="P42" s="640"/>
      <c r="Q42" s="640"/>
      <c r="R42" s="640"/>
      <c r="S42" s="640"/>
      <c r="T42" s="640"/>
      <c r="U42" s="640"/>
      <c r="V42" s="640"/>
      <c r="W42" s="640"/>
      <c r="X42" s="640"/>
      <c r="Y42" s="640"/>
      <c r="Z42" s="640"/>
      <c r="AA42" s="640"/>
      <c r="AB42" s="640"/>
      <c r="AC42" s="640"/>
      <c r="AD42" s="640"/>
      <c r="AE42" s="640"/>
      <c r="AF42" s="640"/>
      <c r="AG42" s="640"/>
      <c r="AH42" s="640"/>
      <c r="AI42" s="640"/>
      <c r="AJ42" s="640"/>
      <c r="AK42" s="640"/>
      <c r="AL42" s="640"/>
      <c r="AM42" s="640"/>
      <c r="AN42" s="640"/>
      <c r="AO42" s="640"/>
      <c r="AP42" s="640"/>
      <c r="AQ42" s="640"/>
      <c r="AR42" s="640"/>
      <c r="AS42" s="640"/>
      <c r="AT42" s="640"/>
      <c r="AU42" s="640"/>
      <c r="AV42" s="640"/>
      <c r="AW42" s="640"/>
      <c r="AX42" s="640"/>
      <c r="AY42" s="640"/>
      <c r="AZ42" s="640"/>
      <c r="BA42" s="640"/>
      <c r="BB42" s="640"/>
      <c r="BC42" s="640"/>
      <c r="BD42" s="640"/>
      <c r="BE42" s="640"/>
      <c r="BF42" s="640"/>
      <c r="BG42" s="640"/>
      <c r="BH42" s="640"/>
      <c r="BI42" s="640"/>
      <c r="BJ42" s="640"/>
      <c r="BK42" s="640"/>
      <c r="BL42" s="640"/>
      <c r="BM42" s="640"/>
      <c r="BN42" s="640"/>
      <c r="BO42" s="640"/>
      <c r="BP42" s="640"/>
      <c r="BQ42" s="640"/>
      <c r="BR42" s="640"/>
      <c r="BS42" s="640"/>
      <c r="BT42" s="640"/>
      <c r="BU42" s="640"/>
      <c r="BV42" s="640"/>
      <c r="BW42" s="640"/>
      <c r="BX42" s="640"/>
      <c r="BY42" s="640"/>
      <c r="BZ42" s="640"/>
      <c r="CA42" s="640"/>
    </row>
    <row r="43" spans="1:79" x14ac:dyDescent="0.35">
      <c r="A43" s="42">
        <v>44403</v>
      </c>
      <c r="B43" s="640"/>
      <c r="C43" s="640"/>
      <c r="D43" s="640">
        <v>2</v>
      </c>
      <c r="E43" s="640">
        <v>2</v>
      </c>
      <c r="F43" s="640"/>
      <c r="G43" s="640"/>
      <c r="H43" s="640">
        <v>1</v>
      </c>
      <c r="I43" s="640">
        <v>1</v>
      </c>
      <c r="J43" s="640">
        <v>6</v>
      </c>
      <c r="K43" s="640">
        <v>6</v>
      </c>
      <c r="L43" s="640"/>
      <c r="M43" s="640"/>
      <c r="N43" s="640"/>
      <c r="O43" s="640"/>
      <c r="P43" s="640"/>
      <c r="Q43" s="640"/>
      <c r="R43" s="640"/>
      <c r="S43" s="640"/>
      <c r="T43" s="640"/>
      <c r="U43" s="640"/>
      <c r="V43" s="640"/>
      <c r="W43" s="640"/>
      <c r="X43" s="640"/>
      <c r="Y43" s="640"/>
      <c r="Z43" s="640"/>
      <c r="AA43" s="640"/>
      <c r="AB43" s="640"/>
      <c r="AC43" s="640"/>
      <c r="AD43" s="640"/>
      <c r="AE43" s="640"/>
      <c r="AF43" s="640"/>
      <c r="AG43" s="640"/>
      <c r="AH43" s="640"/>
      <c r="AI43" s="640"/>
      <c r="AJ43" s="640"/>
      <c r="AK43" s="640"/>
      <c r="AL43" s="640"/>
      <c r="AM43" s="640"/>
      <c r="AN43" s="640"/>
      <c r="AO43" s="640"/>
      <c r="AP43" s="640"/>
      <c r="AQ43" s="640"/>
      <c r="AR43" s="640"/>
      <c r="AS43" s="640"/>
      <c r="AT43" s="640"/>
      <c r="AU43" s="640"/>
      <c r="AV43" s="640"/>
      <c r="AW43" s="640"/>
      <c r="AX43" s="640"/>
      <c r="AY43" s="640"/>
      <c r="AZ43" s="640"/>
      <c r="BA43" s="640"/>
      <c r="BB43" s="640"/>
      <c r="BC43" s="640"/>
      <c r="BD43" s="640"/>
      <c r="BE43" s="640"/>
      <c r="BF43" s="640"/>
      <c r="BG43" s="640"/>
      <c r="BH43" s="640"/>
      <c r="BI43" s="640"/>
      <c r="BJ43" s="640"/>
      <c r="BK43" s="640"/>
      <c r="BL43" s="640"/>
      <c r="BM43" s="640"/>
      <c r="BN43" s="640"/>
      <c r="BO43" s="640"/>
      <c r="BP43" s="640"/>
      <c r="BQ43" s="640"/>
      <c r="BR43" s="640"/>
      <c r="BS43" s="640"/>
      <c r="BT43" s="640"/>
      <c r="BU43" s="640"/>
      <c r="BV43" s="640"/>
      <c r="BW43" s="640"/>
      <c r="BX43" s="640"/>
      <c r="BY43" s="640"/>
      <c r="BZ43" s="640">
        <v>9</v>
      </c>
      <c r="CA43" s="640">
        <v>9</v>
      </c>
    </row>
    <row r="44" spans="1:79" x14ac:dyDescent="0.35">
      <c r="A44" s="42">
        <v>44404</v>
      </c>
      <c r="B44" s="640"/>
      <c r="C44" s="640"/>
      <c r="D44" s="640">
        <v>1</v>
      </c>
      <c r="E44" s="640">
        <v>1</v>
      </c>
      <c r="F44" s="640"/>
      <c r="G44" s="640"/>
      <c r="H44" s="640"/>
      <c r="I44" s="640"/>
      <c r="J44" s="640"/>
      <c r="K44" s="640"/>
      <c r="L44" s="640">
        <v>1</v>
      </c>
      <c r="M44" s="640">
        <v>1</v>
      </c>
      <c r="N44" s="640">
        <v>2</v>
      </c>
      <c r="O44" s="640">
        <v>2</v>
      </c>
      <c r="P44" s="640"/>
      <c r="Q44" s="640"/>
      <c r="R44" s="640"/>
      <c r="S44" s="640"/>
      <c r="T44" s="640"/>
      <c r="U44" s="640"/>
      <c r="V44" s="640"/>
      <c r="W44" s="640"/>
      <c r="X44" s="640"/>
      <c r="Y44" s="640"/>
      <c r="Z44" s="640"/>
      <c r="AA44" s="640"/>
      <c r="AB44" s="640"/>
      <c r="AC44" s="640"/>
      <c r="AD44" s="640"/>
      <c r="AE44" s="640"/>
      <c r="AF44" s="640"/>
      <c r="AG44" s="640"/>
      <c r="AH44" s="640"/>
      <c r="AI44" s="640"/>
      <c r="AJ44" s="640"/>
      <c r="AK44" s="640"/>
      <c r="AL44" s="640"/>
      <c r="AM44" s="640"/>
      <c r="AN44" s="640"/>
      <c r="AO44" s="640"/>
      <c r="AP44" s="640"/>
      <c r="AQ44" s="640"/>
      <c r="AR44" s="640"/>
      <c r="AS44" s="640"/>
      <c r="AT44" s="640"/>
      <c r="AU44" s="640"/>
      <c r="AV44" s="640"/>
      <c r="AW44" s="640"/>
      <c r="AX44" s="640"/>
      <c r="AY44" s="640"/>
      <c r="AZ44" s="640"/>
      <c r="BA44" s="640"/>
      <c r="BB44" s="640"/>
      <c r="BC44" s="640"/>
      <c r="BD44" s="640"/>
      <c r="BE44" s="640"/>
      <c r="BF44" s="640"/>
      <c r="BG44" s="640"/>
      <c r="BH44" s="640"/>
      <c r="BI44" s="640"/>
      <c r="BJ44" s="640"/>
      <c r="BK44" s="640"/>
      <c r="BL44" s="640"/>
      <c r="BM44" s="640"/>
      <c r="BN44" s="640"/>
      <c r="BO44" s="640"/>
      <c r="BP44" s="640"/>
      <c r="BQ44" s="640"/>
      <c r="BR44" s="640"/>
      <c r="BS44" s="640"/>
      <c r="BT44" s="640"/>
      <c r="BU44" s="640"/>
      <c r="BV44" s="640"/>
      <c r="BW44" s="640"/>
      <c r="BX44" s="640"/>
      <c r="BY44" s="640"/>
      <c r="BZ44" s="640">
        <v>4</v>
      </c>
      <c r="CA44" s="640">
        <v>4</v>
      </c>
    </row>
    <row r="45" spans="1:79" x14ac:dyDescent="0.35">
      <c r="A45" s="42">
        <v>44405</v>
      </c>
      <c r="B45" s="640"/>
      <c r="C45" s="640"/>
      <c r="D45" s="640"/>
      <c r="E45" s="640"/>
      <c r="F45" s="640"/>
      <c r="G45" s="640"/>
      <c r="H45" s="640"/>
      <c r="I45" s="640"/>
      <c r="J45" s="640"/>
      <c r="K45" s="640"/>
      <c r="L45" s="640"/>
      <c r="M45" s="640"/>
      <c r="N45" s="640"/>
      <c r="O45" s="640"/>
      <c r="P45" s="640">
        <v>6</v>
      </c>
      <c r="Q45" s="640">
        <v>6</v>
      </c>
      <c r="R45" s="640"/>
      <c r="S45" s="640"/>
      <c r="T45" s="640"/>
      <c r="U45" s="640"/>
      <c r="V45" s="640"/>
      <c r="W45" s="640"/>
      <c r="X45" s="640"/>
      <c r="Y45" s="640"/>
      <c r="Z45" s="640"/>
      <c r="AA45" s="640"/>
      <c r="AB45" s="640"/>
      <c r="AC45" s="640"/>
      <c r="AD45" s="640"/>
      <c r="AE45" s="640"/>
      <c r="AF45" s="640"/>
      <c r="AG45" s="640"/>
      <c r="AH45" s="640"/>
      <c r="AI45" s="640"/>
      <c r="AJ45" s="640"/>
      <c r="AK45" s="640"/>
      <c r="AL45" s="640"/>
      <c r="AM45" s="640"/>
      <c r="AN45" s="640"/>
      <c r="AO45" s="640"/>
      <c r="AP45" s="640"/>
      <c r="AQ45" s="640"/>
      <c r="AR45" s="640"/>
      <c r="AS45" s="640"/>
      <c r="AT45" s="640"/>
      <c r="AU45" s="640"/>
      <c r="AV45" s="640"/>
      <c r="AW45" s="640"/>
      <c r="AX45" s="640"/>
      <c r="AY45" s="640"/>
      <c r="AZ45" s="640"/>
      <c r="BA45" s="640"/>
      <c r="BB45" s="640"/>
      <c r="BC45" s="640"/>
      <c r="BD45" s="640"/>
      <c r="BE45" s="640"/>
      <c r="BF45" s="640"/>
      <c r="BG45" s="640"/>
      <c r="BH45" s="640"/>
      <c r="BI45" s="640"/>
      <c r="BJ45" s="640"/>
      <c r="BK45" s="640"/>
      <c r="BL45" s="640"/>
      <c r="BM45" s="640"/>
      <c r="BN45" s="640"/>
      <c r="BO45" s="640"/>
      <c r="BP45" s="640"/>
      <c r="BQ45" s="640"/>
      <c r="BR45" s="640"/>
      <c r="BS45" s="640"/>
      <c r="BT45" s="640"/>
      <c r="BU45" s="640"/>
      <c r="BV45" s="640"/>
      <c r="BW45" s="640"/>
      <c r="BX45" s="640"/>
      <c r="BY45" s="640"/>
      <c r="BZ45" s="640">
        <v>6</v>
      </c>
      <c r="CA45" s="640">
        <v>6</v>
      </c>
    </row>
    <row r="46" spans="1:79" x14ac:dyDescent="0.35">
      <c r="A46" s="42">
        <v>44431</v>
      </c>
      <c r="B46" s="640"/>
      <c r="C46" s="640"/>
      <c r="D46" s="640"/>
      <c r="E46" s="640"/>
      <c r="F46" s="640"/>
      <c r="G46" s="640"/>
      <c r="H46" s="640"/>
      <c r="I46" s="640"/>
      <c r="J46" s="640"/>
      <c r="K46" s="640"/>
      <c r="L46" s="640"/>
      <c r="M46" s="640"/>
      <c r="N46" s="640"/>
      <c r="O46" s="640"/>
      <c r="P46" s="640"/>
      <c r="Q46" s="640"/>
      <c r="R46" s="640"/>
      <c r="S46" s="640"/>
      <c r="T46" s="640">
        <v>2</v>
      </c>
      <c r="U46" s="640">
        <v>2</v>
      </c>
      <c r="V46" s="640"/>
      <c r="W46" s="640"/>
      <c r="X46" s="640"/>
      <c r="Y46" s="640"/>
      <c r="Z46" s="640"/>
      <c r="AA46" s="640"/>
      <c r="AB46" s="640"/>
      <c r="AC46" s="640"/>
      <c r="AD46" s="640"/>
      <c r="AE46" s="640"/>
      <c r="AF46" s="640"/>
      <c r="AG46" s="640"/>
      <c r="AH46" s="640"/>
      <c r="AI46" s="640"/>
      <c r="AJ46" s="640"/>
      <c r="AK46" s="640"/>
      <c r="AL46" s="640"/>
      <c r="AM46" s="640"/>
      <c r="AN46" s="640"/>
      <c r="AO46" s="640"/>
      <c r="AP46" s="640"/>
      <c r="AQ46" s="640"/>
      <c r="AR46" s="640"/>
      <c r="AS46" s="640"/>
      <c r="AT46" s="640"/>
      <c r="AU46" s="640"/>
      <c r="AV46" s="640"/>
      <c r="AW46" s="640"/>
      <c r="AX46" s="640"/>
      <c r="AY46" s="640"/>
      <c r="AZ46" s="640"/>
      <c r="BA46" s="640"/>
      <c r="BB46" s="640"/>
      <c r="BC46" s="640"/>
      <c r="BD46" s="640"/>
      <c r="BE46" s="640"/>
      <c r="BF46" s="640"/>
      <c r="BG46" s="640"/>
      <c r="BH46" s="640"/>
      <c r="BI46" s="640"/>
      <c r="BJ46" s="640"/>
      <c r="BK46" s="640"/>
      <c r="BL46" s="640"/>
      <c r="BM46" s="640"/>
      <c r="BN46" s="640"/>
      <c r="BO46" s="640"/>
      <c r="BP46" s="640"/>
      <c r="BQ46" s="640"/>
      <c r="BR46" s="640"/>
      <c r="BS46" s="640"/>
      <c r="BT46" s="640"/>
      <c r="BU46" s="640"/>
      <c r="BV46" s="640"/>
      <c r="BW46" s="640"/>
      <c r="BX46" s="640"/>
      <c r="BY46" s="640"/>
      <c r="BZ46" s="640">
        <v>2</v>
      </c>
      <c r="CA46" s="640">
        <v>2</v>
      </c>
    </row>
    <row r="47" spans="1:79" x14ac:dyDescent="0.35">
      <c r="A47" s="42">
        <v>44432</v>
      </c>
      <c r="B47" s="640"/>
      <c r="C47" s="640"/>
      <c r="D47" s="640"/>
      <c r="E47" s="640"/>
      <c r="F47" s="640"/>
      <c r="G47" s="640"/>
      <c r="H47" s="640"/>
      <c r="I47" s="640"/>
      <c r="J47" s="640"/>
      <c r="K47" s="640"/>
      <c r="L47" s="640"/>
      <c r="M47" s="640"/>
      <c r="N47" s="640"/>
      <c r="O47" s="640"/>
      <c r="P47" s="640"/>
      <c r="Q47" s="640"/>
      <c r="R47" s="640"/>
      <c r="S47" s="640"/>
      <c r="T47" s="640"/>
      <c r="U47" s="640"/>
      <c r="V47" s="640">
        <v>1</v>
      </c>
      <c r="W47" s="640">
        <v>1</v>
      </c>
      <c r="X47" s="640">
        <v>2</v>
      </c>
      <c r="Y47" s="640">
        <v>2</v>
      </c>
      <c r="Z47" s="640"/>
      <c r="AA47" s="640"/>
      <c r="AB47" s="640"/>
      <c r="AC47" s="640"/>
      <c r="AD47" s="640"/>
      <c r="AE47" s="640"/>
      <c r="AF47" s="640"/>
      <c r="AG47" s="640"/>
      <c r="AH47" s="640"/>
      <c r="AI47" s="640"/>
      <c r="AJ47" s="640"/>
      <c r="AK47" s="640"/>
      <c r="AL47" s="640"/>
      <c r="AM47" s="640"/>
      <c r="AN47" s="640"/>
      <c r="AO47" s="640"/>
      <c r="AP47" s="640"/>
      <c r="AQ47" s="640"/>
      <c r="AR47" s="640"/>
      <c r="AS47" s="640"/>
      <c r="AT47" s="640"/>
      <c r="AU47" s="640"/>
      <c r="AV47" s="640"/>
      <c r="AW47" s="640"/>
      <c r="AX47" s="640"/>
      <c r="AY47" s="640"/>
      <c r="AZ47" s="640"/>
      <c r="BA47" s="640"/>
      <c r="BB47" s="640"/>
      <c r="BC47" s="640"/>
      <c r="BD47" s="640"/>
      <c r="BE47" s="640"/>
      <c r="BF47" s="640"/>
      <c r="BG47" s="640"/>
      <c r="BH47" s="640"/>
      <c r="BI47" s="640"/>
      <c r="BJ47" s="640"/>
      <c r="BK47" s="640"/>
      <c r="BL47" s="640"/>
      <c r="BM47" s="640"/>
      <c r="BN47" s="640"/>
      <c r="BO47" s="640"/>
      <c r="BP47" s="640"/>
      <c r="BQ47" s="640"/>
      <c r="BR47" s="640">
        <v>1</v>
      </c>
      <c r="BS47" s="640">
        <v>1</v>
      </c>
      <c r="BT47" s="640">
        <v>2</v>
      </c>
      <c r="BU47" s="640"/>
      <c r="BV47" s="640"/>
      <c r="BW47" s="640"/>
      <c r="BX47" s="640"/>
      <c r="BY47" s="640"/>
      <c r="BZ47" s="640">
        <v>6</v>
      </c>
      <c r="CA47" s="640">
        <v>4</v>
      </c>
    </row>
    <row r="48" spans="1:79" x14ac:dyDescent="0.35">
      <c r="A48" s="42">
        <v>44433</v>
      </c>
      <c r="B48" s="640"/>
      <c r="C48" s="640"/>
      <c r="D48" s="640"/>
      <c r="E48" s="640"/>
      <c r="F48" s="640"/>
      <c r="G48" s="640"/>
      <c r="H48" s="640"/>
      <c r="I48" s="640"/>
      <c r="J48" s="640"/>
      <c r="K48" s="640"/>
      <c r="L48" s="640"/>
      <c r="M48" s="640"/>
      <c r="N48" s="640"/>
      <c r="O48" s="640"/>
      <c r="P48" s="640"/>
      <c r="Q48" s="640"/>
      <c r="R48" s="640"/>
      <c r="S48" s="640"/>
      <c r="T48" s="640"/>
      <c r="U48" s="640"/>
      <c r="V48" s="640"/>
      <c r="W48" s="640"/>
      <c r="X48" s="640"/>
      <c r="Y48" s="640"/>
      <c r="Z48" s="640"/>
      <c r="AA48" s="640"/>
      <c r="AB48" s="640"/>
      <c r="AC48" s="640"/>
      <c r="AD48" s="640"/>
      <c r="AE48" s="640"/>
      <c r="AF48" s="640"/>
      <c r="AG48" s="640"/>
      <c r="AH48" s="640"/>
      <c r="AI48" s="640"/>
      <c r="AJ48" s="640"/>
      <c r="AK48" s="640"/>
      <c r="AL48" s="640"/>
      <c r="AM48" s="640"/>
      <c r="AN48" s="640"/>
      <c r="AO48" s="640"/>
      <c r="AP48" s="640"/>
      <c r="AQ48" s="640"/>
      <c r="AR48" s="640"/>
      <c r="AS48" s="640"/>
      <c r="AT48" s="640"/>
      <c r="AU48" s="640"/>
      <c r="AV48" s="640"/>
      <c r="AW48" s="640"/>
      <c r="AX48" s="640"/>
      <c r="AY48" s="640"/>
      <c r="AZ48" s="640"/>
      <c r="BA48" s="640"/>
      <c r="BB48" s="640"/>
      <c r="BC48" s="640"/>
      <c r="BD48" s="640"/>
      <c r="BE48" s="640"/>
      <c r="BF48" s="640"/>
      <c r="BG48" s="640"/>
      <c r="BH48" s="640"/>
      <c r="BI48" s="640"/>
      <c r="BJ48" s="640"/>
      <c r="BK48" s="640"/>
      <c r="BL48" s="640"/>
      <c r="BM48" s="640"/>
      <c r="BN48" s="640"/>
      <c r="BO48" s="640"/>
      <c r="BP48" s="640"/>
      <c r="BQ48" s="640"/>
      <c r="BR48" s="640"/>
      <c r="BS48" s="640"/>
      <c r="BT48" s="640">
        <v>1</v>
      </c>
      <c r="BU48" s="640"/>
      <c r="BV48" s="640">
        <v>1</v>
      </c>
      <c r="BW48" s="640">
        <v>1</v>
      </c>
      <c r="BX48" s="640"/>
      <c r="BY48" s="640"/>
      <c r="BZ48" s="640">
        <v>2</v>
      </c>
      <c r="CA48" s="640">
        <v>1</v>
      </c>
    </row>
    <row r="49" spans="1:79" x14ac:dyDescent="0.35">
      <c r="A49" s="42">
        <v>44438</v>
      </c>
      <c r="B49" s="640"/>
      <c r="C49" s="640"/>
      <c r="D49" s="640"/>
      <c r="E49" s="640"/>
      <c r="F49" s="640"/>
      <c r="G49" s="640"/>
      <c r="H49" s="640"/>
      <c r="I49" s="640"/>
      <c r="J49" s="640"/>
      <c r="K49" s="640"/>
      <c r="L49" s="640"/>
      <c r="M49" s="640"/>
      <c r="N49" s="640"/>
      <c r="O49" s="640"/>
      <c r="P49" s="640"/>
      <c r="Q49" s="640"/>
      <c r="R49" s="640"/>
      <c r="S49" s="640"/>
      <c r="T49" s="640"/>
      <c r="U49" s="640"/>
      <c r="V49" s="640"/>
      <c r="W49" s="640"/>
      <c r="X49" s="640"/>
      <c r="Y49" s="640"/>
      <c r="Z49" s="640">
        <v>3</v>
      </c>
      <c r="AA49" s="640">
        <v>3</v>
      </c>
      <c r="AB49" s="640">
        <v>1</v>
      </c>
      <c r="AC49" s="640">
        <v>1</v>
      </c>
      <c r="AD49" s="640"/>
      <c r="AE49" s="640"/>
      <c r="AF49" s="640"/>
      <c r="AG49" s="640"/>
      <c r="AH49" s="640"/>
      <c r="AI49" s="640"/>
      <c r="AJ49" s="640"/>
      <c r="AK49" s="640"/>
      <c r="AL49" s="640"/>
      <c r="AM49" s="640"/>
      <c r="AN49" s="640"/>
      <c r="AO49" s="640"/>
      <c r="AP49" s="640"/>
      <c r="AQ49" s="640"/>
      <c r="AR49" s="640"/>
      <c r="AS49" s="640"/>
      <c r="AT49" s="640"/>
      <c r="AU49" s="640"/>
      <c r="AV49" s="640"/>
      <c r="AW49" s="640"/>
      <c r="AX49" s="640"/>
      <c r="AY49" s="640"/>
      <c r="AZ49" s="640"/>
      <c r="BA49" s="640"/>
      <c r="BB49" s="640"/>
      <c r="BC49" s="640"/>
      <c r="BD49" s="640"/>
      <c r="BE49" s="640"/>
      <c r="BF49" s="640"/>
      <c r="BG49" s="640"/>
      <c r="BH49" s="640"/>
      <c r="BI49" s="640"/>
      <c r="BJ49" s="640"/>
      <c r="BK49" s="640"/>
      <c r="BL49" s="640"/>
      <c r="BM49" s="640"/>
      <c r="BN49" s="640"/>
      <c r="BO49" s="640"/>
      <c r="BP49" s="640"/>
      <c r="BQ49" s="640"/>
      <c r="BR49" s="640"/>
      <c r="BS49" s="640"/>
      <c r="BT49" s="640"/>
      <c r="BU49" s="640"/>
      <c r="BV49" s="640"/>
      <c r="BW49" s="640"/>
      <c r="BX49" s="640"/>
      <c r="BY49" s="640"/>
      <c r="BZ49" s="640">
        <v>4</v>
      </c>
      <c r="CA49" s="640">
        <v>4</v>
      </c>
    </row>
    <row r="50" spans="1:79" x14ac:dyDescent="0.35">
      <c r="A50" s="42">
        <v>44439</v>
      </c>
      <c r="B50" s="640"/>
      <c r="C50" s="640"/>
      <c r="D50" s="640"/>
      <c r="E50" s="640"/>
      <c r="F50" s="640"/>
      <c r="G50" s="640"/>
      <c r="H50" s="640"/>
      <c r="I50" s="640"/>
      <c r="J50" s="640"/>
      <c r="K50" s="640"/>
      <c r="L50" s="640"/>
      <c r="M50" s="640"/>
      <c r="N50" s="640"/>
      <c r="O50" s="640"/>
      <c r="P50" s="640"/>
      <c r="Q50" s="640"/>
      <c r="R50" s="640"/>
      <c r="S50" s="640"/>
      <c r="T50" s="640"/>
      <c r="U50" s="640"/>
      <c r="V50" s="640"/>
      <c r="W50" s="640"/>
      <c r="X50" s="640"/>
      <c r="Y50" s="640"/>
      <c r="Z50" s="640">
        <v>1</v>
      </c>
      <c r="AA50" s="640">
        <v>1</v>
      </c>
      <c r="AB50" s="640">
        <v>1</v>
      </c>
      <c r="AC50" s="640">
        <v>1</v>
      </c>
      <c r="AD50" s="640"/>
      <c r="AE50" s="640"/>
      <c r="AF50" s="640"/>
      <c r="AG50" s="640"/>
      <c r="AH50" s="640"/>
      <c r="AI50" s="640"/>
      <c r="AJ50" s="640"/>
      <c r="AK50" s="640"/>
      <c r="AL50" s="640"/>
      <c r="AM50" s="640"/>
      <c r="AN50" s="640"/>
      <c r="AO50" s="640"/>
      <c r="AP50" s="640"/>
      <c r="AQ50" s="640"/>
      <c r="AR50" s="640"/>
      <c r="AS50" s="640"/>
      <c r="AT50" s="640"/>
      <c r="AU50" s="640"/>
      <c r="AV50" s="640"/>
      <c r="AW50" s="640"/>
      <c r="AX50" s="640"/>
      <c r="AY50" s="640"/>
      <c r="AZ50" s="640"/>
      <c r="BA50" s="640"/>
      <c r="BB50" s="640"/>
      <c r="BC50" s="640"/>
      <c r="BD50" s="640"/>
      <c r="BE50" s="640"/>
      <c r="BF50" s="640"/>
      <c r="BG50" s="640"/>
      <c r="BH50" s="640"/>
      <c r="BI50" s="640"/>
      <c r="BJ50" s="640"/>
      <c r="BK50" s="640"/>
      <c r="BL50" s="640"/>
      <c r="BM50" s="640"/>
      <c r="BN50" s="640"/>
      <c r="BO50" s="640"/>
      <c r="BP50" s="640"/>
      <c r="BQ50" s="640"/>
      <c r="BR50" s="640"/>
      <c r="BS50" s="640"/>
      <c r="BT50" s="640"/>
      <c r="BU50" s="640"/>
      <c r="BV50" s="640"/>
      <c r="BW50" s="640"/>
      <c r="BX50" s="640"/>
      <c r="BY50" s="640"/>
      <c r="BZ50" s="640">
        <v>2</v>
      </c>
      <c r="CA50" s="640">
        <v>2</v>
      </c>
    </row>
    <row r="51" spans="1:79" x14ac:dyDescent="0.35">
      <c r="A51" s="42">
        <v>44452</v>
      </c>
      <c r="B51" s="640"/>
      <c r="C51" s="640"/>
      <c r="D51" s="640"/>
      <c r="E51" s="640"/>
      <c r="F51" s="640"/>
      <c r="G51" s="640"/>
      <c r="H51" s="640"/>
      <c r="I51" s="640"/>
      <c r="J51" s="640"/>
      <c r="K51" s="640"/>
      <c r="L51" s="640"/>
      <c r="M51" s="640"/>
      <c r="N51" s="640"/>
      <c r="O51" s="640"/>
      <c r="P51" s="640"/>
      <c r="Q51" s="640"/>
      <c r="R51" s="640"/>
      <c r="S51" s="640"/>
      <c r="T51" s="640"/>
      <c r="U51" s="640"/>
      <c r="V51" s="640"/>
      <c r="W51" s="640"/>
      <c r="X51" s="640"/>
      <c r="Y51" s="640"/>
      <c r="Z51" s="640"/>
      <c r="AA51" s="640"/>
      <c r="AB51" s="640">
        <v>2</v>
      </c>
      <c r="AC51" s="640">
        <v>1</v>
      </c>
      <c r="AD51" s="640"/>
      <c r="AE51" s="640"/>
      <c r="AF51" s="640"/>
      <c r="AG51" s="640"/>
      <c r="AH51" s="640"/>
      <c r="AI51" s="640"/>
      <c r="AJ51" s="640"/>
      <c r="AK51" s="640"/>
      <c r="AL51" s="640"/>
      <c r="AM51" s="640"/>
      <c r="AN51" s="640"/>
      <c r="AO51" s="640"/>
      <c r="AP51" s="640"/>
      <c r="AQ51" s="640"/>
      <c r="AR51" s="640"/>
      <c r="AS51" s="640"/>
      <c r="AT51" s="640"/>
      <c r="AU51" s="640"/>
      <c r="AV51" s="640"/>
      <c r="AW51" s="640"/>
      <c r="AX51" s="640"/>
      <c r="AY51" s="640"/>
      <c r="AZ51" s="640"/>
      <c r="BA51" s="640"/>
      <c r="BB51" s="640"/>
      <c r="BC51" s="640"/>
      <c r="BD51" s="640"/>
      <c r="BE51" s="640"/>
      <c r="BF51" s="640"/>
      <c r="BG51" s="640"/>
      <c r="BH51" s="640"/>
      <c r="BI51" s="640"/>
      <c r="BJ51" s="640"/>
      <c r="BK51" s="640"/>
      <c r="BL51" s="640"/>
      <c r="BM51" s="640"/>
      <c r="BN51" s="640"/>
      <c r="BO51" s="640"/>
      <c r="BP51" s="640"/>
      <c r="BQ51" s="640"/>
      <c r="BR51" s="640"/>
      <c r="BS51" s="640"/>
      <c r="BT51" s="640"/>
      <c r="BU51" s="640"/>
      <c r="BV51" s="640"/>
      <c r="BW51" s="640"/>
      <c r="BX51" s="640"/>
      <c r="BY51" s="640"/>
      <c r="BZ51" s="640">
        <v>2</v>
      </c>
      <c r="CA51" s="640">
        <v>1</v>
      </c>
    </row>
    <row r="52" spans="1:79" x14ac:dyDescent="0.35">
      <c r="A52" s="42">
        <v>44455</v>
      </c>
      <c r="B52" s="640"/>
      <c r="C52" s="640"/>
      <c r="D52" s="640"/>
      <c r="E52" s="640"/>
      <c r="F52" s="640"/>
      <c r="G52" s="640"/>
      <c r="H52" s="640"/>
      <c r="I52" s="640"/>
      <c r="J52" s="640"/>
      <c r="K52" s="640"/>
      <c r="L52" s="640"/>
      <c r="M52" s="640"/>
      <c r="N52" s="640"/>
      <c r="O52" s="640"/>
      <c r="P52" s="640"/>
      <c r="Q52" s="640"/>
      <c r="R52" s="640"/>
      <c r="S52" s="640"/>
      <c r="T52" s="640"/>
      <c r="U52" s="640"/>
      <c r="V52" s="640"/>
      <c r="W52" s="640"/>
      <c r="X52" s="640"/>
      <c r="Y52" s="640"/>
      <c r="Z52" s="640"/>
      <c r="AA52" s="640"/>
      <c r="AB52" s="640"/>
      <c r="AC52" s="640"/>
      <c r="AD52" s="640">
        <v>3</v>
      </c>
      <c r="AE52" s="640">
        <v>2</v>
      </c>
      <c r="AF52" s="640">
        <v>1</v>
      </c>
      <c r="AG52" s="640">
        <v>1</v>
      </c>
      <c r="AH52" s="640"/>
      <c r="AI52" s="640"/>
      <c r="AJ52" s="640"/>
      <c r="AK52" s="640"/>
      <c r="AL52" s="640"/>
      <c r="AM52" s="640"/>
      <c r="AN52" s="640"/>
      <c r="AO52" s="640"/>
      <c r="AP52" s="640"/>
      <c r="AQ52" s="640"/>
      <c r="AR52" s="640"/>
      <c r="AS52" s="640"/>
      <c r="AT52" s="640"/>
      <c r="AU52" s="640"/>
      <c r="AV52" s="640"/>
      <c r="AW52" s="640"/>
      <c r="AX52" s="640"/>
      <c r="AY52" s="640"/>
      <c r="AZ52" s="640"/>
      <c r="BA52" s="640"/>
      <c r="BB52" s="640"/>
      <c r="BC52" s="640"/>
      <c r="BD52" s="640"/>
      <c r="BE52" s="640"/>
      <c r="BF52" s="640"/>
      <c r="BG52" s="640"/>
      <c r="BH52" s="640"/>
      <c r="BI52" s="640"/>
      <c r="BJ52" s="640"/>
      <c r="BK52" s="640"/>
      <c r="BL52" s="640"/>
      <c r="BM52" s="640"/>
      <c r="BN52" s="640"/>
      <c r="BO52" s="640"/>
      <c r="BP52" s="640"/>
      <c r="BQ52" s="640"/>
      <c r="BR52" s="640"/>
      <c r="BS52" s="640"/>
      <c r="BT52" s="640"/>
      <c r="BU52" s="640"/>
      <c r="BV52" s="640"/>
      <c r="BW52" s="640"/>
      <c r="BX52" s="640"/>
      <c r="BY52" s="640"/>
      <c r="BZ52" s="640">
        <v>4</v>
      </c>
      <c r="CA52" s="640">
        <v>3</v>
      </c>
    </row>
    <row r="53" spans="1:79" x14ac:dyDescent="0.35">
      <c r="A53" s="42">
        <v>44462</v>
      </c>
      <c r="B53" s="640"/>
      <c r="C53" s="640"/>
      <c r="D53" s="640"/>
      <c r="E53" s="640"/>
      <c r="F53" s="640"/>
      <c r="G53" s="640"/>
      <c r="H53" s="640"/>
      <c r="I53" s="640"/>
      <c r="J53" s="640"/>
      <c r="K53" s="640"/>
      <c r="L53" s="640"/>
      <c r="M53" s="640"/>
      <c r="N53" s="640"/>
      <c r="O53" s="640"/>
      <c r="P53" s="640"/>
      <c r="Q53" s="640"/>
      <c r="R53" s="640"/>
      <c r="S53" s="640"/>
      <c r="T53" s="640"/>
      <c r="U53" s="640"/>
      <c r="V53" s="640"/>
      <c r="W53" s="640"/>
      <c r="X53" s="640"/>
      <c r="Y53" s="640"/>
      <c r="Z53" s="640"/>
      <c r="AA53" s="640"/>
      <c r="AB53" s="640"/>
      <c r="AC53" s="640"/>
      <c r="AD53" s="640"/>
      <c r="AE53" s="640"/>
      <c r="AF53" s="640"/>
      <c r="AG53" s="640"/>
      <c r="AH53" s="640">
        <v>1</v>
      </c>
      <c r="AI53" s="640">
        <v>1</v>
      </c>
      <c r="AJ53" s="640"/>
      <c r="AK53" s="640"/>
      <c r="AL53" s="640"/>
      <c r="AM53" s="640"/>
      <c r="AN53" s="640"/>
      <c r="AO53" s="640"/>
      <c r="AP53" s="640"/>
      <c r="AQ53" s="640"/>
      <c r="AR53" s="640"/>
      <c r="AS53" s="640"/>
      <c r="AT53" s="640"/>
      <c r="AU53" s="640"/>
      <c r="AV53" s="640"/>
      <c r="AW53" s="640"/>
      <c r="AX53" s="640"/>
      <c r="AY53" s="640"/>
      <c r="AZ53" s="640"/>
      <c r="BA53" s="640"/>
      <c r="BB53" s="640"/>
      <c r="BC53" s="640"/>
      <c r="BD53" s="640"/>
      <c r="BE53" s="640"/>
      <c r="BF53" s="640"/>
      <c r="BG53" s="640"/>
      <c r="BH53" s="640"/>
      <c r="BI53" s="640"/>
      <c r="BJ53" s="640"/>
      <c r="BK53" s="640"/>
      <c r="BL53" s="640"/>
      <c r="BM53" s="640"/>
      <c r="BN53" s="640"/>
      <c r="BO53" s="640"/>
      <c r="BP53" s="640"/>
      <c r="BQ53" s="640"/>
      <c r="BR53" s="640"/>
      <c r="BS53" s="640"/>
      <c r="BT53" s="640"/>
      <c r="BU53" s="640"/>
      <c r="BV53" s="640"/>
      <c r="BW53" s="640"/>
      <c r="BX53" s="640"/>
      <c r="BY53" s="640"/>
      <c r="BZ53" s="640">
        <v>1</v>
      </c>
      <c r="CA53" s="640">
        <v>1</v>
      </c>
    </row>
    <row r="54" spans="1:79" x14ac:dyDescent="0.35">
      <c r="A54" s="42">
        <v>44463</v>
      </c>
      <c r="B54" s="640"/>
      <c r="C54" s="640"/>
      <c r="D54" s="640"/>
      <c r="E54" s="640"/>
      <c r="F54" s="640"/>
      <c r="G54" s="640"/>
      <c r="H54" s="640"/>
      <c r="I54" s="640"/>
      <c r="J54" s="640"/>
      <c r="K54" s="640"/>
      <c r="L54" s="640"/>
      <c r="M54" s="640"/>
      <c r="N54" s="640"/>
      <c r="O54" s="640"/>
      <c r="P54" s="640"/>
      <c r="Q54" s="640"/>
      <c r="R54" s="640"/>
      <c r="S54" s="640"/>
      <c r="T54" s="640"/>
      <c r="U54" s="640"/>
      <c r="V54" s="640"/>
      <c r="W54" s="640"/>
      <c r="X54" s="640"/>
      <c r="Y54" s="640"/>
      <c r="Z54" s="640"/>
      <c r="AA54" s="640"/>
      <c r="AB54" s="640">
        <v>2</v>
      </c>
      <c r="AC54" s="640">
        <v>2</v>
      </c>
      <c r="AD54" s="640"/>
      <c r="AE54" s="640"/>
      <c r="AF54" s="640"/>
      <c r="AG54" s="640"/>
      <c r="AH54" s="640"/>
      <c r="AI54" s="640"/>
      <c r="AJ54" s="640"/>
      <c r="AK54" s="640"/>
      <c r="AL54" s="640"/>
      <c r="AM54" s="640"/>
      <c r="AN54" s="640"/>
      <c r="AO54" s="640"/>
      <c r="AP54" s="640"/>
      <c r="AQ54" s="640"/>
      <c r="AR54" s="640"/>
      <c r="AS54" s="640"/>
      <c r="AT54" s="640"/>
      <c r="AU54" s="640"/>
      <c r="AV54" s="640"/>
      <c r="AW54" s="640"/>
      <c r="AX54" s="640"/>
      <c r="AY54" s="640"/>
      <c r="AZ54" s="640"/>
      <c r="BA54" s="640"/>
      <c r="BB54" s="640"/>
      <c r="BC54" s="640"/>
      <c r="BD54" s="640"/>
      <c r="BE54" s="640"/>
      <c r="BF54" s="640"/>
      <c r="BG54" s="640"/>
      <c r="BH54" s="640"/>
      <c r="BI54" s="640"/>
      <c r="BJ54" s="640"/>
      <c r="BK54" s="640"/>
      <c r="BL54" s="640"/>
      <c r="BM54" s="640"/>
      <c r="BN54" s="640"/>
      <c r="BO54" s="640"/>
      <c r="BP54" s="640"/>
      <c r="BQ54" s="640"/>
      <c r="BR54" s="640"/>
      <c r="BS54" s="640"/>
      <c r="BT54" s="640"/>
      <c r="BU54" s="640"/>
      <c r="BV54" s="640"/>
      <c r="BW54" s="640"/>
      <c r="BX54" s="640"/>
      <c r="BY54" s="640"/>
      <c r="BZ54" s="640">
        <v>2</v>
      </c>
      <c r="CA54" s="640">
        <v>2</v>
      </c>
    </row>
    <row r="55" spans="1:79" x14ac:dyDescent="0.35">
      <c r="A55" s="42">
        <v>44467</v>
      </c>
      <c r="B55" s="640"/>
      <c r="C55" s="640"/>
      <c r="D55" s="640"/>
      <c r="E55" s="640"/>
      <c r="F55" s="640"/>
      <c r="G55" s="640"/>
      <c r="H55" s="640"/>
      <c r="I55" s="640"/>
      <c r="J55" s="640"/>
      <c r="K55" s="640"/>
      <c r="L55" s="640"/>
      <c r="M55" s="640"/>
      <c r="N55" s="640"/>
      <c r="O55" s="640"/>
      <c r="P55" s="640"/>
      <c r="Q55" s="640"/>
      <c r="R55" s="640"/>
      <c r="S55" s="640"/>
      <c r="T55" s="640"/>
      <c r="U55" s="640"/>
      <c r="V55" s="640"/>
      <c r="W55" s="640"/>
      <c r="X55" s="640"/>
      <c r="Y55" s="640"/>
      <c r="Z55" s="640"/>
      <c r="AA55" s="640"/>
      <c r="AB55" s="640"/>
      <c r="AC55" s="640"/>
      <c r="AD55" s="640"/>
      <c r="AE55" s="640"/>
      <c r="AF55" s="640"/>
      <c r="AG55" s="640"/>
      <c r="AH55" s="640"/>
      <c r="AI55" s="640"/>
      <c r="AJ55" s="640">
        <v>1</v>
      </c>
      <c r="AK55" s="640">
        <v>1</v>
      </c>
      <c r="AL55" s="640"/>
      <c r="AM55" s="640"/>
      <c r="AN55" s="640"/>
      <c r="AO55" s="640"/>
      <c r="AP55" s="640"/>
      <c r="AQ55" s="640"/>
      <c r="AR55" s="640"/>
      <c r="AS55" s="640"/>
      <c r="AT55" s="640"/>
      <c r="AU55" s="640"/>
      <c r="AV55" s="640"/>
      <c r="AW55" s="640"/>
      <c r="AX55" s="640"/>
      <c r="AY55" s="640"/>
      <c r="AZ55" s="640"/>
      <c r="BA55" s="640"/>
      <c r="BB55" s="640"/>
      <c r="BC55" s="640"/>
      <c r="BD55" s="640"/>
      <c r="BE55" s="640"/>
      <c r="BF55" s="640"/>
      <c r="BG55" s="640"/>
      <c r="BH55" s="640"/>
      <c r="BI55" s="640"/>
      <c r="BJ55" s="640"/>
      <c r="BK55" s="640"/>
      <c r="BL55" s="640"/>
      <c r="BM55" s="640"/>
      <c r="BN55" s="640"/>
      <c r="BO55" s="640"/>
      <c r="BP55" s="640"/>
      <c r="BQ55" s="640"/>
      <c r="BR55" s="640"/>
      <c r="BS55" s="640"/>
      <c r="BT55" s="640"/>
      <c r="BU55" s="640"/>
      <c r="BV55" s="640"/>
      <c r="BW55" s="640"/>
      <c r="BX55" s="640"/>
      <c r="BY55" s="640"/>
      <c r="BZ55" s="640">
        <v>1</v>
      </c>
      <c r="CA55" s="640">
        <v>1</v>
      </c>
    </row>
    <row r="56" spans="1:79" x14ac:dyDescent="0.35">
      <c r="A56" s="42">
        <v>44468</v>
      </c>
      <c r="B56" s="640"/>
      <c r="C56" s="640"/>
      <c r="D56" s="640"/>
      <c r="E56" s="640"/>
      <c r="F56" s="640"/>
      <c r="G56" s="640"/>
      <c r="H56" s="640"/>
      <c r="I56" s="640"/>
      <c r="J56" s="640"/>
      <c r="K56" s="640"/>
      <c r="L56" s="640"/>
      <c r="M56" s="640"/>
      <c r="N56" s="640"/>
      <c r="O56" s="640"/>
      <c r="P56" s="640"/>
      <c r="Q56" s="640"/>
      <c r="R56" s="640"/>
      <c r="S56" s="640"/>
      <c r="T56" s="640"/>
      <c r="U56" s="640"/>
      <c r="V56" s="640"/>
      <c r="W56" s="640"/>
      <c r="X56" s="640"/>
      <c r="Y56" s="640"/>
      <c r="Z56" s="640"/>
      <c r="AA56" s="640"/>
      <c r="AB56" s="640"/>
      <c r="AC56" s="640"/>
      <c r="AD56" s="640"/>
      <c r="AE56" s="640"/>
      <c r="AF56" s="640"/>
      <c r="AG56" s="640"/>
      <c r="AH56" s="640"/>
      <c r="AI56" s="640"/>
      <c r="AJ56" s="640"/>
      <c r="AK56" s="640"/>
      <c r="AL56" s="640">
        <v>1</v>
      </c>
      <c r="AM56" s="640"/>
      <c r="AN56" s="640"/>
      <c r="AO56" s="640"/>
      <c r="AP56" s="640"/>
      <c r="AQ56" s="640"/>
      <c r="AR56" s="640"/>
      <c r="AS56" s="640"/>
      <c r="AT56" s="640"/>
      <c r="AU56" s="640"/>
      <c r="AV56" s="640"/>
      <c r="AW56" s="640"/>
      <c r="AX56" s="640"/>
      <c r="AY56" s="640"/>
      <c r="AZ56" s="640"/>
      <c r="BA56" s="640"/>
      <c r="BB56" s="640"/>
      <c r="BC56" s="640"/>
      <c r="BD56" s="640"/>
      <c r="BE56" s="640"/>
      <c r="BF56" s="640"/>
      <c r="BG56" s="640"/>
      <c r="BH56" s="640"/>
      <c r="BI56" s="640"/>
      <c r="BJ56" s="640"/>
      <c r="BK56" s="640"/>
      <c r="BL56" s="640"/>
      <c r="BM56" s="640"/>
      <c r="BN56" s="640"/>
      <c r="BO56" s="640"/>
      <c r="BP56" s="640"/>
      <c r="BQ56" s="640"/>
      <c r="BR56" s="640"/>
      <c r="BS56" s="640"/>
      <c r="BT56" s="640"/>
      <c r="BU56" s="640"/>
      <c r="BV56" s="640"/>
      <c r="BW56" s="640"/>
      <c r="BX56" s="640"/>
      <c r="BY56" s="640"/>
      <c r="BZ56" s="640">
        <v>1</v>
      </c>
      <c r="CA56" s="640"/>
    </row>
    <row r="57" spans="1:79" x14ac:dyDescent="0.35">
      <c r="A57" s="42">
        <v>44481</v>
      </c>
      <c r="B57" s="640"/>
      <c r="C57" s="640"/>
      <c r="D57" s="640"/>
      <c r="E57" s="640"/>
      <c r="F57" s="640"/>
      <c r="G57" s="640"/>
      <c r="H57" s="640"/>
      <c r="I57" s="640"/>
      <c r="J57" s="640"/>
      <c r="K57" s="640"/>
      <c r="L57" s="640"/>
      <c r="M57" s="640"/>
      <c r="N57" s="640"/>
      <c r="O57" s="640"/>
      <c r="P57" s="640"/>
      <c r="Q57" s="640"/>
      <c r="R57" s="640"/>
      <c r="S57" s="640"/>
      <c r="T57" s="640"/>
      <c r="U57" s="640"/>
      <c r="V57" s="640"/>
      <c r="W57" s="640"/>
      <c r="X57" s="640"/>
      <c r="Y57" s="640"/>
      <c r="Z57" s="640"/>
      <c r="AA57" s="640"/>
      <c r="AB57" s="640"/>
      <c r="AC57" s="640"/>
      <c r="AD57" s="640"/>
      <c r="AE57" s="640"/>
      <c r="AF57" s="640"/>
      <c r="AG57" s="640"/>
      <c r="AH57" s="640"/>
      <c r="AI57" s="640"/>
      <c r="AJ57" s="640"/>
      <c r="AK57" s="640"/>
      <c r="AL57" s="640"/>
      <c r="AM57" s="640"/>
      <c r="AN57" s="640">
        <v>1</v>
      </c>
      <c r="AO57" s="640">
        <v>1</v>
      </c>
      <c r="AP57" s="640"/>
      <c r="AQ57" s="640"/>
      <c r="AR57" s="640"/>
      <c r="AS57" s="640"/>
      <c r="AT57" s="640"/>
      <c r="AU57" s="640"/>
      <c r="AV57" s="640"/>
      <c r="AW57" s="640"/>
      <c r="AX57" s="640"/>
      <c r="AY57" s="640"/>
      <c r="AZ57" s="640"/>
      <c r="BA57" s="640"/>
      <c r="BB57" s="640"/>
      <c r="BC57" s="640"/>
      <c r="BD57" s="640"/>
      <c r="BE57" s="640"/>
      <c r="BF57" s="640"/>
      <c r="BG57" s="640"/>
      <c r="BH57" s="640"/>
      <c r="BI57" s="640"/>
      <c r="BJ57" s="640"/>
      <c r="BK57" s="640"/>
      <c r="BL57" s="640"/>
      <c r="BM57" s="640"/>
      <c r="BN57" s="640"/>
      <c r="BO57" s="640"/>
      <c r="BP57" s="640"/>
      <c r="BQ57" s="640"/>
      <c r="BR57" s="640"/>
      <c r="BS57" s="640"/>
      <c r="BT57" s="640"/>
      <c r="BU57" s="640"/>
      <c r="BV57" s="640"/>
      <c r="BW57" s="640"/>
      <c r="BX57" s="640"/>
      <c r="BY57" s="640"/>
      <c r="BZ57" s="640">
        <v>1</v>
      </c>
      <c r="CA57" s="640">
        <v>1</v>
      </c>
    </row>
    <row r="58" spans="1:79" x14ac:dyDescent="0.35">
      <c r="A58" s="42">
        <v>44484</v>
      </c>
      <c r="B58" s="640"/>
      <c r="C58" s="640"/>
      <c r="D58" s="640"/>
      <c r="E58" s="640"/>
      <c r="F58" s="640"/>
      <c r="G58" s="640"/>
      <c r="H58" s="640"/>
      <c r="I58" s="640"/>
      <c r="J58" s="640"/>
      <c r="K58" s="640"/>
      <c r="L58" s="640"/>
      <c r="M58" s="640"/>
      <c r="N58" s="640"/>
      <c r="O58" s="640"/>
      <c r="P58" s="640"/>
      <c r="Q58" s="640"/>
      <c r="R58" s="640"/>
      <c r="S58" s="640"/>
      <c r="T58" s="640"/>
      <c r="U58" s="640"/>
      <c r="V58" s="640"/>
      <c r="W58" s="640"/>
      <c r="X58" s="640"/>
      <c r="Y58" s="640"/>
      <c r="Z58" s="640"/>
      <c r="AA58" s="640"/>
      <c r="AB58" s="640"/>
      <c r="AC58" s="640"/>
      <c r="AD58" s="640"/>
      <c r="AE58" s="640"/>
      <c r="AF58" s="640"/>
      <c r="AG58" s="640"/>
      <c r="AH58" s="640"/>
      <c r="AI58" s="640"/>
      <c r="AJ58" s="640"/>
      <c r="AK58" s="640"/>
      <c r="AL58" s="640"/>
      <c r="AM58" s="640"/>
      <c r="AN58" s="640"/>
      <c r="AO58" s="640"/>
      <c r="AP58" s="640">
        <v>1</v>
      </c>
      <c r="AQ58" s="640">
        <v>1</v>
      </c>
      <c r="AR58" s="640"/>
      <c r="AS58" s="640"/>
      <c r="AT58" s="640"/>
      <c r="AU58" s="640"/>
      <c r="AV58" s="640"/>
      <c r="AW58" s="640"/>
      <c r="AX58" s="640"/>
      <c r="AY58" s="640"/>
      <c r="AZ58" s="640"/>
      <c r="BA58" s="640"/>
      <c r="BB58" s="640"/>
      <c r="BC58" s="640"/>
      <c r="BD58" s="640"/>
      <c r="BE58" s="640"/>
      <c r="BF58" s="640"/>
      <c r="BG58" s="640"/>
      <c r="BH58" s="640"/>
      <c r="BI58" s="640"/>
      <c r="BJ58" s="640"/>
      <c r="BK58" s="640"/>
      <c r="BL58" s="640"/>
      <c r="BM58" s="640"/>
      <c r="BN58" s="640"/>
      <c r="BO58" s="640"/>
      <c r="BP58" s="640"/>
      <c r="BQ58" s="640"/>
      <c r="BR58" s="640"/>
      <c r="BS58" s="640"/>
      <c r="BT58" s="640"/>
      <c r="BU58" s="640"/>
      <c r="BV58" s="640"/>
      <c r="BW58" s="640"/>
      <c r="BX58" s="640"/>
      <c r="BY58" s="640"/>
      <c r="BZ58" s="640">
        <v>1</v>
      </c>
      <c r="CA58" s="640">
        <v>1</v>
      </c>
    </row>
    <row r="59" spans="1:79" x14ac:dyDescent="0.35">
      <c r="A59" s="42">
        <v>44487</v>
      </c>
      <c r="B59" s="640"/>
      <c r="C59" s="640"/>
      <c r="D59" s="640"/>
      <c r="E59" s="640"/>
      <c r="F59" s="640"/>
      <c r="G59" s="640"/>
      <c r="H59" s="640"/>
      <c r="I59" s="640"/>
      <c r="J59" s="640"/>
      <c r="K59" s="640"/>
      <c r="L59" s="640"/>
      <c r="M59" s="640"/>
      <c r="N59" s="640"/>
      <c r="O59" s="640"/>
      <c r="P59" s="640"/>
      <c r="Q59" s="640"/>
      <c r="R59" s="640"/>
      <c r="S59" s="640"/>
      <c r="T59" s="640"/>
      <c r="U59" s="640"/>
      <c r="V59" s="640"/>
      <c r="W59" s="640"/>
      <c r="X59" s="640"/>
      <c r="Y59" s="640"/>
      <c r="Z59" s="640"/>
      <c r="AA59" s="640"/>
      <c r="AB59" s="640"/>
      <c r="AC59" s="640"/>
      <c r="AD59" s="640"/>
      <c r="AE59" s="640"/>
      <c r="AF59" s="640"/>
      <c r="AG59" s="640"/>
      <c r="AH59" s="640"/>
      <c r="AI59" s="640"/>
      <c r="AJ59" s="640"/>
      <c r="AK59" s="640"/>
      <c r="AL59" s="640"/>
      <c r="AM59" s="640"/>
      <c r="AN59" s="640">
        <v>1</v>
      </c>
      <c r="AO59" s="640">
        <v>1</v>
      </c>
      <c r="AP59" s="640"/>
      <c r="AQ59" s="640"/>
      <c r="AR59" s="640"/>
      <c r="AS59" s="640"/>
      <c r="AT59" s="640"/>
      <c r="AU59" s="640"/>
      <c r="AV59" s="640"/>
      <c r="AW59" s="640"/>
      <c r="AX59" s="640"/>
      <c r="AY59" s="640"/>
      <c r="AZ59" s="640"/>
      <c r="BA59" s="640"/>
      <c r="BB59" s="640"/>
      <c r="BC59" s="640"/>
      <c r="BD59" s="640"/>
      <c r="BE59" s="640"/>
      <c r="BF59" s="640"/>
      <c r="BG59" s="640"/>
      <c r="BH59" s="640"/>
      <c r="BI59" s="640"/>
      <c r="BJ59" s="640"/>
      <c r="BK59" s="640"/>
      <c r="BL59" s="640"/>
      <c r="BM59" s="640"/>
      <c r="BN59" s="640"/>
      <c r="BO59" s="640"/>
      <c r="BP59" s="640"/>
      <c r="BQ59" s="640"/>
      <c r="BR59" s="640"/>
      <c r="BS59" s="640"/>
      <c r="BT59" s="640"/>
      <c r="BU59" s="640"/>
      <c r="BV59" s="640"/>
      <c r="BW59" s="640"/>
      <c r="BX59" s="640"/>
      <c r="BY59" s="640"/>
      <c r="BZ59" s="640">
        <v>1</v>
      </c>
      <c r="CA59" s="640">
        <v>1</v>
      </c>
    </row>
    <row r="60" spans="1:79" x14ac:dyDescent="0.35">
      <c r="A60" s="42">
        <v>44488</v>
      </c>
      <c r="B60" s="640"/>
      <c r="C60" s="640"/>
      <c r="D60" s="640"/>
      <c r="E60" s="640"/>
      <c r="F60" s="640"/>
      <c r="G60" s="640"/>
      <c r="H60" s="640"/>
      <c r="I60" s="640"/>
      <c r="J60" s="640"/>
      <c r="K60" s="640"/>
      <c r="L60" s="640"/>
      <c r="M60" s="640"/>
      <c r="N60" s="640"/>
      <c r="O60" s="640"/>
      <c r="P60" s="640"/>
      <c r="Q60" s="640"/>
      <c r="R60" s="640"/>
      <c r="S60" s="640"/>
      <c r="T60" s="640"/>
      <c r="U60" s="640"/>
      <c r="V60" s="640"/>
      <c r="W60" s="640"/>
      <c r="X60" s="640"/>
      <c r="Y60" s="640"/>
      <c r="Z60" s="640"/>
      <c r="AA60" s="640"/>
      <c r="AB60" s="640"/>
      <c r="AC60" s="640"/>
      <c r="AD60" s="640"/>
      <c r="AE60" s="640"/>
      <c r="AF60" s="640"/>
      <c r="AG60" s="640"/>
      <c r="AH60" s="640"/>
      <c r="AI60" s="640"/>
      <c r="AJ60" s="640"/>
      <c r="AK60" s="640"/>
      <c r="AL60" s="640"/>
      <c r="AM60" s="640"/>
      <c r="AN60" s="640"/>
      <c r="AO60" s="640"/>
      <c r="AP60" s="640"/>
      <c r="AQ60" s="640"/>
      <c r="AR60" s="640">
        <v>4</v>
      </c>
      <c r="AS60" s="640">
        <v>4</v>
      </c>
      <c r="AT60" s="640">
        <v>1</v>
      </c>
      <c r="AU60" s="640">
        <v>1</v>
      </c>
      <c r="AV60" s="640">
        <v>1</v>
      </c>
      <c r="AW60" s="640">
        <v>1</v>
      </c>
      <c r="AX60" s="640"/>
      <c r="AY60" s="640"/>
      <c r="AZ60" s="640"/>
      <c r="BA60" s="640"/>
      <c r="BB60" s="640"/>
      <c r="BC60" s="640"/>
      <c r="BD60" s="640"/>
      <c r="BE60" s="640"/>
      <c r="BF60" s="640"/>
      <c r="BG60" s="640"/>
      <c r="BH60" s="640"/>
      <c r="BI60" s="640"/>
      <c r="BJ60" s="640"/>
      <c r="BK60" s="640"/>
      <c r="BL60" s="640"/>
      <c r="BM60" s="640"/>
      <c r="BN60" s="640"/>
      <c r="BO60" s="640"/>
      <c r="BP60" s="640"/>
      <c r="BQ60" s="640"/>
      <c r="BR60" s="640"/>
      <c r="BS60" s="640"/>
      <c r="BT60" s="640"/>
      <c r="BU60" s="640"/>
      <c r="BV60" s="640"/>
      <c r="BW60" s="640"/>
      <c r="BX60" s="640"/>
      <c r="BY60" s="640"/>
      <c r="BZ60" s="640">
        <v>6</v>
      </c>
      <c r="CA60" s="640">
        <v>6</v>
      </c>
    </row>
    <row r="61" spans="1:79" x14ac:dyDescent="0.35">
      <c r="A61" s="42">
        <v>44490</v>
      </c>
      <c r="B61" s="640"/>
      <c r="C61" s="640"/>
      <c r="D61" s="640"/>
      <c r="E61" s="640"/>
      <c r="F61" s="640"/>
      <c r="G61" s="640"/>
      <c r="H61" s="640"/>
      <c r="I61" s="640"/>
      <c r="J61" s="640"/>
      <c r="K61" s="640"/>
      <c r="L61" s="640"/>
      <c r="M61" s="640"/>
      <c r="N61" s="640"/>
      <c r="O61" s="640"/>
      <c r="P61" s="640"/>
      <c r="Q61" s="640"/>
      <c r="R61" s="640"/>
      <c r="S61" s="640"/>
      <c r="T61" s="640"/>
      <c r="U61" s="640"/>
      <c r="V61" s="640"/>
      <c r="W61" s="640"/>
      <c r="X61" s="640"/>
      <c r="Y61" s="640"/>
      <c r="Z61" s="640"/>
      <c r="AA61" s="640"/>
      <c r="AB61" s="640"/>
      <c r="AC61" s="640"/>
      <c r="AD61" s="640"/>
      <c r="AE61" s="640"/>
      <c r="AF61" s="640"/>
      <c r="AG61" s="640"/>
      <c r="AH61" s="640"/>
      <c r="AI61" s="640"/>
      <c r="AJ61" s="640"/>
      <c r="AK61" s="640"/>
      <c r="AL61" s="640"/>
      <c r="AM61" s="640"/>
      <c r="AN61" s="640"/>
      <c r="AO61" s="640"/>
      <c r="AP61" s="640">
        <v>1</v>
      </c>
      <c r="AQ61" s="640">
        <v>1</v>
      </c>
      <c r="AR61" s="640"/>
      <c r="AS61" s="640"/>
      <c r="AT61" s="640"/>
      <c r="AU61" s="640"/>
      <c r="AV61" s="640"/>
      <c r="AW61" s="640"/>
      <c r="AX61" s="640"/>
      <c r="AY61" s="640"/>
      <c r="AZ61" s="640"/>
      <c r="BA61" s="640"/>
      <c r="BB61" s="640"/>
      <c r="BC61" s="640"/>
      <c r="BD61" s="640"/>
      <c r="BE61" s="640"/>
      <c r="BF61" s="640"/>
      <c r="BG61" s="640"/>
      <c r="BH61" s="640"/>
      <c r="BI61" s="640"/>
      <c r="BJ61" s="640"/>
      <c r="BK61" s="640"/>
      <c r="BL61" s="640"/>
      <c r="BM61" s="640"/>
      <c r="BN61" s="640"/>
      <c r="BO61" s="640"/>
      <c r="BP61" s="640"/>
      <c r="BQ61" s="640"/>
      <c r="BR61" s="640"/>
      <c r="BS61" s="640"/>
      <c r="BT61" s="640"/>
      <c r="BU61" s="640"/>
      <c r="BV61" s="640"/>
      <c r="BW61" s="640"/>
      <c r="BX61" s="640"/>
      <c r="BY61" s="640"/>
      <c r="BZ61" s="640">
        <v>1</v>
      </c>
      <c r="CA61" s="640">
        <v>1</v>
      </c>
    </row>
    <row r="62" spans="1:79" x14ac:dyDescent="0.35">
      <c r="A62" s="42">
        <v>44496</v>
      </c>
      <c r="B62" s="640"/>
      <c r="C62" s="640"/>
      <c r="D62" s="640"/>
      <c r="E62" s="640"/>
      <c r="F62" s="640"/>
      <c r="G62" s="640"/>
      <c r="H62" s="640"/>
      <c r="I62" s="640"/>
      <c r="J62" s="640"/>
      <c r="K62" s="640"/>
      <c r="L62" s="640"/>
      <c r="M62" s="640"/>
      <c r="N62" s="640"/>
      <c r="O62" s="640"/>
      <c r="P62" s="640"/>
      <c r="Q62" s="640"/>
      <c r="R62" s="640"/>
      <c r="S62" s="640"/>
      <c r="T62" s="640"/>
      <c r="U62" s="640"/>
      <c r="V62" s="640"/>
      <c r="W62" s="640"/>
      <c r="X62" s="640"/>
      <c r="Y62" s="640"/>
      <c r="Z62" s="640"/>
      <c r="AA62" s="640"/>
      <c r="AB62" s="640"/>
      <c r="AC62" s="640"/>
      <c r="AD62" s="640"/>
      <c r="AE62" s="640"/>
      <c r="AF62" s="640"/>
      <c r="AG62" s="640"/>
      <c r="AH62" s="640"/>
      <c r="AI62" s="640"/>
      <c r="AJ62" s="640"/>
      <c r="AK62" s="640"/>
      <c r="AL62" s="640"/>
      <c r="AM62" s="640"/>
      <c r="AN62" s="640"/>
      <c r="AO62" s="640"/>
      <c r="AP62" s="640"/>
      <c r="AQ62" s="640"/>
      <c r="AR62" s="640"/>
      <c r="AS62" s="640"/>
      <c r="AT62" s="640"/>
      <c r="AU62" s="640"/>
      <c r="AV62" s="640"/>
      <c r="AW62" s="640"/>
      <c r="AX62" s="640">
        <v>1</v>
      </c>
      <c r="AY62" s="640">
        <v>1</v>
      </c>
      <c r="AZ62" s="640"/>
      <c r="BA62" s="640"/>
      <c r="BB62" s="640"/>
      <c r="BC62" s="640"/>
      <c r="BD62" s="640"/>
      <c r="BE62" s="640"/>
      <c r="BF62" s="640"/>
      <c r="BG62" s="640"/>
      <c r="BH62" s="640"/>
      <c r="BI62" s="640"/>
      <c r="BJ62" s="640"/>
      <c r="BK62" s="640"/>
      <c r="BL62" s="640">
        <v>1</v>
      </c>
      <c r="BM62" s="640">
        <v>1</v>
      </c>
      <c r="BN62" s="640"/>
      <c r="BO62" s="640"/>
      <c r="BP62" s="640"/>
      <c r="BQ62" s="640"/>
      <c r="BR62" s="640"/>
      <c r="BS62" s="640"/>
      <c r="BT62" s="640"/>
      <c r="BU62" s="640"/>
      <c r="BV62" s="640"/>
      <c r="BW62" s="640"/>
      <c r="BX62" s="640"/>
      <c r="BY62" s="640"/>
      <c r="BZ62" s="640">
        <v>2</v>
      </c>
      <c r="CA62" s="640">
        <v>2</v>
      </c>
    </row>
    <row r="63" spans="1:79" x14ac:dyDescent="0.35">
      <c r="A63" s="42">
        <v>44491</v>
      </c>
      <c r="B63" s="640"/>
      <c r="C63" s="640"/>
      <c r="D63" s="640"/>
      <c r="E63" s="640"/>
      <c r="F63" s="640"/>
      <c r="G63" s="640"/>
      <c r="H63" s="640"/>
      <c r="I63" s="640"/>
      <c r="J63" s="640"/>
      <c r="K63" s="640"/>
      <c r="L63" s="640"/>
      <c r="M63" s="640"/>
      <c r="N63" s="640"/>
      <c r="O63" s="640"/>
      <c r="P63" s="640"/>
      <c r="Q63" s="640"/>
      <c r="R63" s="640"/>
      <c r="S63" s="640"/>
      <c r="T63" s="640"/>
      <c r="U63" s="640"/>
      <c r="V63" s="640"/>
      <c r="W63" s="640"/>
      <c r="X63" s="640"/>
      <c r="Y63" s="640"/>
      <c r="Z63" s="640"/>
      <c r="AA63" s="640"/>
      <c r="AB63" s="640"/>
      <c r="AC63" s="640"/>
      <c r="AD63" s="640"/>
      <c r="AE63" s="640"/>
      <c r="AF63" s="640"/>
      <c r="AG63" s="640"/>
      <c r="AH63" s="640"/>
      <c r="AI63" s="640"/>
      <c r="AJ63" s="640"/>
      <c r="AK63" s="640"/>
      <c r="AL63" s="640"/>
      <c r="AM63" s="640"/>
      <c r="AN63" s="640"/>
      <c r="AO63" s="640"/>
      <c r="AP63" s="640"/>
      <c r="AQ63" s="640"/>
      <c r="AR63" s="640"/>
      <c r="AS63" s="640"/>
      <c r="AT63" s="640"/>
      <c r="AU63" s="640"/>
      <c r="AV63" s="640"/>
      <c r="AW63" s="640"/>
      <c r="AX63" s="640"/>
      <c r="AY63" s="640"/>
      <c r="AZ63" s="640">
        <v>1</v>
      </c>
      <c r="BA63" s="640">
        <v>1</v>
      </c>
      <c r="BB63" s="640"/>
      <c r="BC63" s="640"/>
      <c r="BD63" s="640"/>
      <c r="BE63" s="640"/>
      <c r="BF63" s="640"/>
      <c r="BG63" s="640"/>
      <c r="BH63" s="640"/>
      <c r="BI63" s="640"/>
      <c r="BJ63" s="640"/>
      <c r="BK63" s="640"/>
      <c r="BL63" s="640"/>
      <c r="BM63" s="640"/>
      <c r="BN63" s="640">
        <v>1</v>
      </c>
      <c r="BO63" s="640">
        <v>1</v>
      </c>
      <c r="BP63" s="640"/>
      <c r="BQ63" s="640"/>
      <c r="BR63" s="640"/>
      <c r="BS63" s="640"/>
      <c r="BT63" s="640"/>
      <c r="BU63" s="640"/>
      <c r="BV63" s="640"/>
      <c r="BW63" s="640"/>
      <c r="BX63" s="640"/>
      <c r="BY63" s="640"/>
      <c r="BZ63" s="640">
        <v>2</v>
      </c>
      <c r="CA63" s="640">
        <v>2</v>
      </c>
    </row>
    <row r="64" spans="1:79" x14ac:dyDescent="0.35">
      <c r="A64" s="42">
        <v>44494</v>
      </c>
      <c r="B64" s="640"/>
      <c r="C64" s="640"/>
      <c r="D64" s="640"/>
      <c r="E64" s="640"/>
      <c r="F64" s="640"/>
      <c r="G64" s="640"/>
      <c r="H64" s="640"/>
      <c r="I64" s="640"/>
      <c r="J64" s="640"/>
      <c r="K64" s="640"/>
      <c r="L64" s="640"/>
      <c r="M64" s="640"/>
      <c r="N64" s="640"/>
      <c r="O64" s="640"/>
      <c r="P64" s="640"/>
      <c r="Q64" s="640"/>
      <c r="R64" s="640"/>
      <c r="S64" s="640"/>
      <c r="T64" s="640"/>
      <c r="U64" s="640"/>
      <c r="V64" s="640"/>
      <c r="W64" s="640"/>
      <c r="X64" s="640"/>
      <c r="Y64" s="640"/>
      <c r="Z64" s="640"/>
      <c r="AA64" s="640"/>
      <c r="AB64" s="640"/>
      <c r="AC64" s="640"/>
      <c r="AD64" s="640"/>
      <c r="AE64" s="640"/>
      <c r="AF64" s="640"/>
      <c r="AG64" s="640"/>
      <c r="AH64" s="640"/>
      <c r="AI64" s="640"/>
      <c r="AJ64" s="640"/>
      <c r="AK64" s="640"/>
      <c r="AL64" s="640"/>
      <c r="AM64" s="640"/>
      <c r="AN64" s="640"/>
      <c r="AO64" s="640"/>
      <c r="AP64" s="640">
        <v>1</v>
      </c>
      <c r="AQ64" s="640">
        <v>1</v>
      </c>
      <c r="AR64" s="640"/>
      <c r="AS64" s="640"/>
      <c r="AT64" s="640"/>
      <c r="AU64" s="640"/>
      <c r="AV64" s="640"/>
      <c r="AW64" s="640"/>
      <c r="AX64" s="640"/>
      <c r="AY64" s="640"/>
      <c r="AZ64" s="640"/>
      <c r="BA64" s="640"/>
      <c r="BB64" s="640">
        <v>1</v>
      </c>
      <c r="BC64" s="640">
        <v>1</v>
      </c>
      <c r="BD64" s="640">
        <v>1</v>
      </c>
      <c r="BE64" s="640">
        <v>1</v>
      </c>
      <c r="BF64" s="640"/>
      <c r="BG64" s="640"/>
      <c r="BH64" s="640"/>
      <c r="BI64" s="640"/>
      <c r="BJ64" s="640"/>
      <c r="BK64" s="640"/>
      <c r="BL64" s="640"/>
      <c r="BM64" s="640"/>
      <c r="BN64" s="640"/>
      <c r="BO64" s="640"/>
      <c r="BP64" s="640"/>
      <c r="BQ64" s="640"/>
      <c r="BR64" s="640"/>
      <c r="BS64" s="640"/>
      <c r="BT64" s="640"/>
      <c r="BU64" s="640"/>
      <c r="BV64" s="640"/>
      <c r="BW64" s="640"/>
      <c r="BX64" s="640"/>
      <c r="BY64" s="640"/>
      <c r="BZ64" s="640">
        <v>3</v>
      </c>
      <c r="CA64" s="640">
        <v>3</v>
      </c>
    </row>
    <row r="65" spans="1:79" x14ac:dyDescent="0.35">
      <c r="A65" s="42">
        <v>44503</v>
      </c>
      <c r="B65" s="640"/>
      <c r="C65" s="640"/>
      <c r="D65" s="640"/>
      <c r="E65" s="640"/>
      <c r="F65" s="640"/>
      <c r="G65" s="640"/>
      <c r="H65" s="640"/>
      <c r="I65" s="640"/>
      <c r="J65" s="640"/>
      <c r="K65" s="640"/>
      <c r="L65" s="640"/>
      <c r="M65" s="640"/>
      <c r="N65" s="640"/>
      <c r="O65" s="640"/>
      <c r="P65" s="640"/>
      <c r="Q65" s="640"/>
      <c r="R65" s="640"/>
      <c r="S65" s="640">
        <v>1</v>
      </c>
      <c r="T65" s="640"/>
      <c r="U65" s="640"/>
      <c r="V65" s="640"/>
      <c r="W65" s="640"/>
      <c r="X65" s="640"/>
      <c r="Y65" s="640"/>
      <c r="Z65" s="640"/>
      <c r="AA65" s="640"/>
      <c r="AB65" s="640"/>
      <c r="AC65" s="640"/>
      <c r="AD65" s="640"/>
      <c r="AE65" s="640"/>
      <c r="AF65" s="640"/>
      <c r="AG65" s="640"/>
      <c r="AH65" s="640"/>
      <c r="AI65" s="640"/>
      <c r="AJ65" s="640"/>
      <c r="AK65" s="640"/>
      <c r="AL65" s="640"/>
      <c r="AM65" s="640"/>
      <c r="AN65" s="640"/>
      <c r="AO65" s="640"/>
      <c r="AP65" s="640"/>
      <c r="AQ65" s="640"/>
      <c r="AR65" s="640"/>
      <c r="AS65" s="640"/>
      <c r="AT65" s="640"/>
      <c r="AU65" s="640"/>
      <c r="AV65" s="640"/>
      <c r="AW65" s="640"/>
      <c r="AX65" s="640"/>
      <c r="AY65" s="640"/>
      <c r="AZ65" s="640"/>
      <c r="BA65" s="640"/>
      <c r="BB65" s="640"/>
      <c r="BC65" s="640"/>
      <c r="BD65" s="640"/>
      <c r="BE65" s="640"/>
      <c r="BF65" s="640">
        <v>2</v>
      </c>
      <c r="BG65" s="640">
        <v>2</v>
      </c>
      <c r="BH65" s="640"/>
      <c r="BI65" s="640"/>
      <c r="BJ65" s="640"/>
      <c r="BK65" s="640"/>
      <c r="BL65" s="640">
        <v>1</v>
      </c>
      <c r="BM65" s="640">
        <v>1</v>
      </c>
      <c r="BN65" s="640"/>
      <c r="BO65" s="640"/>
      <c r="BP65" s="640"/>
      <c r="BQ65" s="640"/>
      <c r="BR65" s="640"/>
      <c r="BS65" s="640"/>
      <c r="BT65" s="640"/>
      <c r="BU65" s="640"/>
      <c r="BV65" s="640"/>
      <c r="BW65" s="640"/>
      <c r="BX65" s="640"/>
      <c r="BY65" s="640"/>
      <c r="BZ65" s="640">
        <v>3</v>
      </c>
      <c r="CA65" s="640">
        <v>4</v>
      </c>
    </row>
    <row r="66" spans="1:79" x14ac:dyDescent="0.35">
      <c r="A66" s="42">
        <v>44504</v>
      </c>
      <c r="B66" s="640"/>
      <c r="C66" s="640"/>
      <c r="D66" s="640"/>
      <c r="E66" s="640"/>
      <c r="F66" s="640"/>
      <c r="G66" s="640"/>
      <c r="H66" s="640"/>
      <c r="I66" s="640"/>
      <c r="J66" s="640"/>
      <c r="K66" s="640"/>
      <c r="L66" s="640"/>
      <c r="M66" s="640"/>
      <c r="N66" s="640"/>
      <c r="O66" s="640"/>
      <c r="P66" s="640"/>
      <c r="Q66" s="640"/>
      <c r="R66" s="640"/>
      <c r="S66" s="640"/>
      <c r="T66" s="640"/>
      <c r="U66" s="640"/>
      <c r="V66" s="640"/>
      <c r="W66" s="640"/>
      <c r="X66" s="640"/>
      <c r="Y66" s="640"/>
      <c r="Z66" s="640"/>
      <c r="AA66" s="640"/>
      <c r="AB66" s="640"/>
      <c r="AC66" s="640"/>
      <c r="AD66" s="640"/>
      <c r="AE66" s="640"/>
      <c r="AF66" s="640"/>
      <c r="AG66" s="640"/>
      <c r="AH66" s="640"/>
      <c r="AI66" s="640"/>
      <c r="AJ66" s="640"/>
      <c r="AK66" s="640"/>
      <c r="AL66" s="640"/>
      <c r="AM66" s="640"/>
      <c r="AN66" s="640"/>
      <c r="AO66" s="640"/>
      <c r="AP66" s="640"/>
      <c r="AQ66" s="640"/>
      <c r="AR66" s="640"/>
      <c r="AS66" s="640"/>
      <c r="AT66" s="640"/>
      <c r="AU66" s="640"/>
      <c r="AV66" s="640"/>
      <c r="AW66" s="640"/>
      <c r="AX66" s="640"/>
      <c r="AY66" s="640"/>
      <c r="AZ66" s="640"/>
      <c r="BA66" s="640"/>
      <c r="BB66" s="640"/>
      <c r="BC66" s="640"/>
      <c r="BD66" s="640"/>
      <c r="BE66" s="640"/>
      <c r="BF66" s="640"/>
      <c r="BG66" s="640"/>
      <c r="BH66" s="640">
        <v>1</v>
      </c>
      <c r="BI66" s="640">
        <v>1</v>
      </c>
      <c r="BJ66" s="640"/>
      <c r="BK66" s="640"/>
      <c r="BL66" s="640"/>
      <c r="BM66" s="640"/>
      <c r="BN66" s="640"/>
      <c r="BO66" s="640"/>
      <c r="BP66" s="640">
        <v>1</v>
      </c>
      <c r="BQ66" s="640">
        <v>1</v>
      </c>
      <c r="BR66" s="640"/>
      <c r="BS66" s="640"/>
      <c r="BT66" s="640"/>
      <c r="BU66" s="640"/>
      <c r="BV66" s="640"/>
      <c r="BW66" s="640"/>
      <c r="BX66" s="640"/>
      <c r="BY66" s="640"/>
      <c r="BZ66" s="640">
        <v>2</v>
      </c>
      <c r="CA66" s="640">
        <v>2</v>
      </c>
    </row>
    <row r="67" spans="1:79" x14ac:dyDescent="0.35">
      <c r="A67" s="42">
        <v>44517</v>
      </c>
      <c r="B67" s="640"/>
      <c r="C67" s="640"/>
      <c r="D67" s="640"/>
      <c r="E67" s="640"/>
      <c r="F67" s="640"/>
      <c r="G67" s="640"/>
      <c r="H67" s="640"/>
      <c r="I67" s="640"/>
      <c r="J67" s="640"/>
      <c r="K67" s="640"/>
      <c r="L67" s="640"/>
      <c r="M67" s="640"/>
      <c r="N67" s="640"/>
      <c r="O67" s="640"/>
      <c r="P67" s="640"/>
      <c r="Q67" s="640"/>
      <c r="R67" s="640"/>
      <c r="S67" s="640"/>
      <c r="T67" s="640"/>
      <c r="U67" s="640"/>
      <c r="V67" s="640"/>
      <c r="W67" s="640"/>
      <c r="X67" s="640"/>
      <c r="Y67" s="640"/>
      <c r="Z67" s="640"/>
      <c r="AA67" s="640"/>
      <c r="AB67" s="640"/>
      <c r="AC67" s="640"/>
      <c r="AD67" s="640"/>
      <c r="AE67" s="640"/>
      <c r="AF67" s="640"/>
      <c r="AG67" s="640"/>
      <c r="AH67" s="640"/>
      <c r="AI67" s="640"/>
      <c r="AJ67" s="640"/>
      <c r="AK67" s="640"/>
      <c r="AL67" s="640"/>
      <c r="AM67" s="640"/>
      <c r="AN67" s="640"/>
      <c r="AO67" s="640"/>
      <c r="AP67" s="640"/>
      <c r="AQ67" s="640"/>
      <c r="AR67" s="640"/>
      <c r="AS67" s="640"/>
      <c r="AT67" s="640"/>
      <c r="AU67" s="640"/>
      <c r="AV67" s="640"/>
      <c r="AW67" s="640"/>
      <c r="AX67" s="640"/>
      <c r="AY67" s="640"/>
      <c r="AZ67" s="640"/>
      <c r="BA67" s="640"/>
      <c r="BB67" s="640"/>
      <c r="BC67" s="640"/>
      <c r="BD67" s="640"/>
      <c r="BE67" s="640"/>
      <c r="BF67" s="640"/>
      <c r="BG67" s="640"/>
      <c r="BH67" s="640"/>
      <c r="BI67" s="640"/>
      <c r="BJ67" s="640"/>
      <c r="BK67" s="640"/>
      <c r="BL67" s="640">
        <v>2</v>
      </c>
      <c r="BM67" s="640">
        <v>2</v>
      </c>
      <c r="BN67" s="640"/>
      <c r="BO67" s="640"/>
      <c r="BP67" s="640"/>
      <c r="BQ67" s="640"/>
      <c r="BR67" s="640"/>
      <c r="BS67" s="640"/>
      <c r="BT67" s="640"/>
      <c r="BU67" s="640"/>
      <c r="BV67" s="640"/>
      <c r="BW67" s="640"/>
      <c r="BX67" s="640"/>
      <c r="BY67" s="640"/>
      <c r="BZ67" s="640">
        <v>2</v>
      </c>
      <c r="CA67" s="640">
        <v>2</v>
      </c>
    </row>
    <row r="68" spans="1:79" x14ac:dyDescent="0.35">
      <c r="A68" s="42">
        <v>44498</v>
      </c>
      <c r="B68" s="640"/>
      <c r="C68" s="640"/>
      <c r="D68" s="640"/>
      <c r="E68" s="640"/>
      <c r="F68" s="640"/>
      <c r="G68" s="640"/>
      <c r="H68" s="640"/>
      <c r="I68" s="640"/>
      <c r="J68" s="640"/>
      <c r="K68" s="640"/>
      <c r="L68" s="640"/>
      <c r="M68" s="640"/>
      <c r="N68" s="640"/>
      <c r="O68" s="640"/>
      <c r="P68" s="640"/>
      <c r="Q68" s="640"/>
      <c r="R68" s="640"/>
      <c r="S68" s="640"/>
      <c r="T68" s="640"/>
      <c r="U68" s="640"/>
      <c r="V68" s="640"/>
      <c r="W68" s="640"/>
      <c r="X68" s="640"/>
      <c r="Y68" s="640"/>
      <c r="Z68" s="640"/>
      <c r="AA68" s="640"/>
      <c r="AB68" s="640"/>
      <c r="AC68" s="640"/>
      <c r="AD68" s="640"/>
      <c r="AE68" s="640"/>
      <c r="AF68" s="640"/>
      <c r="AG68" s="640"/>
      <c r="AH68" s="640"/>
      <c r="AI68" s="640"/>
      <c r="AJ68" s="640"/>
      <c r="AK68" s="640"/>
      <c r="AL68" s="640"/>
      <c r="AM68" s="640"/>
      <c r="AN68" s="640"/>
      <c r="AO68" s="640"/>
      <c r="AP68" s="640">
        <v>2</v>
      </c>
      <c r="AQ68" s="640">
        <v>2</v>
      </c>
      <c r="AR68" s="640"/>
      <c r="AS68" s="640"/>
      <c r="AT68" s="640"/>
      <c r="AU68" s="640"/>
      <c r="AV68" s="640"/>
      <c r="AW68" s="640"/>
      <c r="AX68" s="640"/>
      <c r="AY68" s="640"/>
      <c r="AZ68" s="640"/>
      <c r="BA68" s="640"/>
      <c r="BB68" s="640"/>
      <c r="BC68" s="640"/>
      <c r="BD68" s="640"/>
      <c r="BE68" s="640"/>
      <c r="BF68" s="640"/>
      <c r="BG68" s="640"/>
      <c r="BH68" s="640"/>
      <c r="BI68" s="640"/>
      <c r="BJ68" s="640"/>
      <c r="BK68" s="640"/>
      <c r="BL68" s="640"/>
      <c r="BM68" s="640"/>
      <c r="BN68" s="640">
        <v>1</v>
      </c>
      <c r="BO68" s="640">
        <v>1</v>
      </c>
      <c r="BP68" s="640"/>
      <c r="BQ68" s="640"/>
      <c r="BR68" s="640"/>
      <c r="BS68" s="640"/>
      <c r="BT68" s="640"/>
      <c r="BU68" s="640"/>
      <c r="BV68" s="640"/>
      <c r="BW68" s="640"/>
      <c r="BX68" s="640"/>
      <c r="BY68" s="640"/>
      <c r="BZ68" s="640">
        <v>3</v>
      </c>
      <c r="CA68" s="640">
        <v>3</v>
      </c>
    </row>
    <row r="69" spans="1:79" x14ac:dyDescent="0.35">
      <c r="A69" s="42">
        <v>44524</v>
      </c>
      <c r="B69" s="640"/>
      <c r="C69" s="640"/>
      <c r="D69" s="640"/>
      <c r="E69" s="640"/>
      <c r="F69" s="640"/>
      <c r="G69" s="640"/>
      <c r="H69" s="640"/>
      <c r="I69" s="640"/>
      <c r="J69" s="640"/>
      <c r="K69" s="640"/>
      <c r="L69" s="640"/>
      <c r="M69" s="640"/>
      <c r="N69" s="640"/>
      <c r="O69" s="640"/>
      <c r="P69" s="640"/>
      <c r="Q69" s="640"/>
      <c r="R69" s="640"/>
      <c r="S69" s="640"/>
      <c r="T69" s="640"/>
      <c r="U69" s="640"/>
      <c r="V69" s="640"/>
      <c r="W69" s="640"/>
      <c r="X69" s="640"/>
      <c r="Y69" s="640"/>
      <c r="Z69" s="640"/>
      <c r="AA69" s="640"/>
      <c r="AB69" s="640"/>
      <c r="AC69" s="640"/>
      <c r="AD69" s="640"/>
      <c r="AE69" s="640"/>
      <c r="AF69" s="640"/>
      <c r="AG69" s="640"/>
      <c r="AH69" s="640"/>
      <c r="AI69" s="640"/>
      <c r="AJ69" s="640"/>
      <c r="AK69" s="640"/>
      <c r="AL69" s="640"/>
      <c r="AM69" s="640"/>
      <c r="AN69" s="640"/>
      <c r="AO69" s="640"/>
      <c r="AP69" s="640"/>
      <c r="AQ69" s="640"/>
      <c r="AR69" s="640"/>
      <c r="AS69" s="640"/>
      <c r="AT69" s="640"/>
      <c r="AU69" s="640"/>
      <c r="AV69" s="640"/>
      <c r="AW69" s="640"/>
      <c r="AX69" s="640"/>
      <c r="AY69" s="640"/>
      <c r="AZ69" s="640"/>
      <c r="BA69" s="640"/>
      <c r="BB69" s="640"/>
      <c r="BC69" s="640"/>
      <c r="BD69" s="640"/>
      <c r="BE69" s="640"/>
      <c r="BF69" s="640"/>
      <c r="BG69" s="640"/>
      <c r="BH69" s="640"/>
      <c r="BI69" s="640"/>
      <c r="BJ69" s="640"/>
      <c r="BK69" s="640"/>
      <c r="BL69" s="640">
        <v>1</v>
      </c>
      <c r="BM69" s="640">
        <v>1</v>
      </c>
      <c r="BN69" s="640"/>
      <c r="BO69" s="640"/>
      <c r="BP69" s="640"/>
      <c r="BQ69" s="640"/>
      <c r="BR69" s="640"/>
      <c r="BS69" s="640"/>
      <c r="BT69" s="640"/>
      <c r="BU69" s="640"/>
      <c r="BV69" s="640"/>
      <c r="BW69" s="640"/>
      <c r="BX69" s="640"/>
      <c r="BY69" s="640"/>
      <c r="BZ69" s="640">
        <v>1</v>
      </c>
      <c r="CA69" s="640">
        <v>1</v>
      </c>
    </row>
    <row r="70" spans="1:79" x14ac:dyDescent="0.35">
      <c r="A70" s="42">
        <v>44525</v>
      </c>
      <c r="B70" s="640"/>
      <c r="C70" s="640"/>
      <c r="D70" s="640"/>
      <c r="E70" s="640"/>
      <c r="F70" s="640"/>
      <c r="G70" s="640"/>
      <c r="H70" s="640"/>
      <c r="I70" s="640"/>
      <c r="J70" s="640"/>
      <c r="K70" s="640"/>
      <c r="L70" s="640"/>
      <c r="M70" s="640"/>
      <c r="N70" s="640"/>
      <c r="O70" s="640"/>
      <c r="P70" s="640"/>
      <c r="Q70" s="640"/>
      <c r="R70" s="640"/>
      <c r="S70" s="640"/>
      <c r="T70" s="640"/>
      <c r="U70" s="640"/>
      <c r="V70" s="640"/>
      <c r="W70" s="640"/>
      <c r="X70" s="640"/>
      <c r="Y70" s="640"/>
      <c r="Z70" s="640"/>
      <c r="AA70" s="640"/>
      <c r="AB70" s="640"/>
      <c r="AC70" s="640"/>
      <c r="AD70" s="640"/>
      <c r="AE70" s="640"/>
      <c r="AF70" s="640"/>
      <c r="AG70" s="640"/>
      <c r="AH70" s="640"/>
      <c r="AI70" s="640"/>
      <c r="AJ70" s="640"/>
      <c r="AK70" s="640"/>
      <c r="AL70" s="640"/>
      <c r="AM70" s="640"/>
      <c r="AN70" s="640"/>
      <c r="AO70" s="640"/>
      <c r="AP70" s="640"/>
      <c r="AQ70" s="640"/>
      <c r="AR70" s="640"/>
      <c r="AS70" s="640"/>
      <c r="AT70" s="640"/>
      <c r="AU70" s="640"/>
      <c r="AV70" s="640"/>
      <c r="AW70" s="640"/>
      <c r="AX70" s="640"/>
      <c r="AY70" s="640"/>
      <c r="AZ70" s="640"/>
      <c r="BA70" s="640"/>
      <c r="BB70" s="640"/>
      <c r="BC70" s="640"/>
      <c r="BD70" s="640"/>
      <c r="BE70" s="640"/>
      <c r="BF70" s="640"/>
      <c r="BG70" s="640"/>
      <c r="BH70" s="640"/>
      <c r="BI70" s="640"/>
      <c r="BJ70" s="640"/>
      <c r="BK70" s="640"/>
      <c r="BL70" s="640"/>
      <c r="BM70" s="640"/>
      <c r="BN70" s="640"/>
      <c r="BO70" s="640"/>
      <c r="BP70" s="640"/>
      <c r="BQ70" s="640"/>
      <c r="BR70" s="640"/>
      <c r="BS70" s="640"/>
      <c r="BT70" s="640"/>
      <c r="BU70" s="640"/>
      <c r="BV70" s="640"/>
      <c r="BW70" s="640"/>
      <c r="BX70" s="640">
        <v>1</v>
      </c>
      <c r="BY70" s="640">
        <v>1</v>
      </c>
      <c r="BZ70" s="640">
        <v>1</v>
      </c>
      <c r="CA70" s="640">
        <v>1</v>
      </c>
    </row>
    <row r="71" spans="1:79" x14ac:dyDescent="0.35">
      <c r="A71" s="42">
        <v>44529</v>
      </c>
      <c r="B71" s="640"/>
      <c r="C71" s="640"/>
      <c r="D71" s="640"/>
      <c r="E71" s="640"/>
      <c r="F71" s="640"/>
      <c r="G71" s="640"/>
      <c r="H71" s="640"/>
      <c r="I71" s="640"/>
      <c r="J71" s="640"/>
      <c r="K71" s="640"/>
      <c r="L71" s="640"/>
      <c r="M71" s="640"/>
      <c r="N71" s="640"/>
      <c r="O71" s="640"/>
      <c r="P71" s="640"/>
      <c r="Q71" s="640"/>
      <c r="R71" s="640"/>
      <c r="S71" s="640"/>
      <c r="T71" s="640"/>
      <c r="U71" s="640"/>
      <c r="V71" s="640"/>
      <c r="W71" s="640"/>
      <c r="X71" s="640"/>
      <c r="Y71" s="640"/>
      <c r="Z71" s="640"/>
      <c r="AA71" s="640"/>
      <c r="AB71" s="640"/>
      <c r="AC71" s="640"/>
      <c r="AD71" s="640"/>
      <c r="AE71" s="640"/>
      <c r="AF71" s="640"/>
      <c r="AG71" s="640"/>
      <c r="AH71" s="640"/>
      <c r="AI71" s="640"/>
      <c r="AJ71" s="640"/>
      <c r="AK71" s="640"/>
      <c r="AL71" s="640"/>
      <c r="AM71" s="640"/>
      <c r="AN71" s="640"/>
      <c r="AO71" s="640"/>
      <c r="AP71" s="640"/>
      <c r="AQ71" s="640"/>
      <c r="AR71" s="640"/>
      <c r="AS71" s="640"/>
      <c r="AT71" s="640"/>
      <c r="AU71" s="640"/>
      <c r="AV71" s="640"/>
      <c r="AW71" s="640"/>
      <c r="AX71" s="640"/>
      <c r="AY71" s="640"/>
      <c r="AZ71" s="640"/>
      <c r="BA71" s="640"/>
      <c r="BB71" s="640"/>
      <c r="BC71" s="640"/>
      <c r="BD71" s="640"/>
      <c r="BE71" s="640"/>
      <c r="BF71" s="640"/>
      <c r="BG71" s="640"/>
      <c r="BH71" s="640"/>
      <c r="BI71" s="640"/>
      <c r="BJ71" s="640"/>
      <c r="BK71" s="640"/>
      <c r="BL71" s="640"/>
      <c r="BM71" s="640"/>
      <c r="BN71" s="640"/>
      <c r="BO71" s="640"/>
      <c r="BP71" s="640">
        <v>1</v>
      </c>
      <c r="BQ71" s="640">
        <v>1</v>
      </c>
      <c r="BR71" s="640"/>
      <c r="BS71" s="640"/>
      <c r="BT71" s="640"/>
      <c r="BU71" s="640"/>
      <c r="BV71" s="640"/>
      <c r="BW71" s="640"/>
      <c r="BX71" s="640"/>
      <c r="BY71" s="640"/>
      <c r="BZ71" s="640">
        <v>1</v>
      </c>
      <c r="CA71" s="640">
        <v>1</v>
      </c>
    </row>
    <row r="72" spans="1:79" x14ac:dyDescent="0.35">
      <c r="A72" s="42" t="s">
        <v>45</v>
      </c>
      <c r="B72" s="640">
        <v>6</v>
      </c>
      <c r="C72" s="640">
        <v>6</v>
      </c>
      <c r="D72" s="640">
        <v>4</v>
      </c>
      <c r="E72" s="640">
        <v>3</v>
      </c>
      <c r="F72" s="640">
        <v>1</v>
      </c>
      <c r="G72" s="640">
        <v>1</v>
      </c>
      <c r="H72" s="640">
        <v>2</v>
      </c>
      <c r="I72" s="640">
        <v>2</v>
      </c>
      <c r="J72" s="640">
        <v>10</v>
      </c>
      <c r="K72" s="640">
        <v>10</v>
      </c>
      <c r="L72" s="640">
        <v>1</v>
      </c>
      <c r="M72" s="640">
        <v>1</v>
      </c>
      <c r="N72" s="640">
        <v>3</v>
      </c>
      <c r="O72" s="640">
        <v>3</v>
      </c>
      <c r="P72" s="640">
        <v>6</v>
      </c>
      <c r="Q72" s="640">
        <v>6</v>
      </c>
      <c r="R72" s="640"/>
      <c r="S72" s="640">
        <v>1</v>
      </c>
      <c r="T72" s="640">
        <v>2</v>
      </c>
      <c r="U72" s="640">
        <v>2</v>
      </c>
      <c r="V72" s="640">
        <v>1</v>
      </c>
      <c r="W72" s="640">
        <v>1</v>
      </c>
      <c r="X72" s="640">
        <v>2</v>
      </c>
      <c r="Y72" s="640">
        <v>2</v>
      </c>
      <c r="Z72" s="640">
        <v>4</v>
      </c>
      <c r="AA72" s="640">
        <v>4</v>
      </c>
      <c r="AB72" s="640">
        <v>6</v>
      </c>
      <c r="AC72" s="640">
        <v>5</v>
      </c>
      <c r="AD72" s="640">
        <v>3</v>
      </c>
      <c r="AE72" s="640">
        <v>2</v>
      </c>
      <c r="AF72" s="640">
        <v>1</v>
      </c>
      <c r="AG72" s="640">
        <v>1</v>
      </c>
      <c r="AH72" s="640">
        <v>1</v>
      </c>
      <c r="AI72" s="640">
        <v>1</v>
      </c>
      <c r="AJ72" s="640">
        <v>1</v>
      </c>
      <c r="AK72" s="640">
        <v>1</v>
      </c>
      <c r="AL72" s="640">
        <v>1</v>
      </c>
      <c r="AM72" s="640"/>
      <c r="AN72" s="640">
        <v>2</v>
      </c>
      <c r="AO72" s="640">
        <v>2</v>
      </c>
      <c r="AP72" s="640">
        <v>5</v>
      </c>
      <c r="AQ72" s="640">
        <v>5</v>
      </c>
      <c r="AR72" s="640">
        <v>4</v>
      </c>
      <c r="AS72" s="640">
        <v>4</v>
      </c>
      <c r="AT72" s="640">
        <v>1</v>
      </c>
      <c r="AU72" s="640">
        <v>1</v>
      </c>
      <c r="AV72" s="640">
        <v>1</v>
      </c>
      <c r="AW72" s="640">
        <v>1</v>
      </c>
      <c r="AX72" s="640">
        <v>1</v>
      </c>
      <c r="AY72" s="640">
        <v>1</v>
      </c>
      <c r="AZ72" s="640">
        <v>1</v>
      </c>
      <c r="BA72" s="640">
        <v>1</v>
      </c>
      <c r="BB72" s="640">
        <v>1</v>
      </c>
      <c r="BC72" s="640">
        <v>1</v>
      </c>
      <c r="BD72" s="640">
        <v>1</v>
      </c>
      <c r="BE72" s="640">
        <v>1</v>
      </c>
      <c r="BF72" s="640">
        <v>2</v>
      </c>
      <c r="BG72" s="640">
        <v>2</v>
      </c>
      <c r="BH72" s="640">
        <v>1</v>
      </c>
      <c r="BI72" s="640">
        <v>1</v>
      </c>
      <c r="BJ72" s="640">
        <v>1</v>
      </c>
      <c r="BK72" s="640">
        <v>1</v>
      </c>
      <c r="BL72" s="640">
        <v>5</v>
      </c>
      <c r="BM72" s="640">
        <v>5</v>
      </c>
      <c r="BN72" s="640">
        <v>2</v>
      </c>
      <c r="BO72" s="640">
        <v>2</v>
      </c>
      <c r="BP72" s="640">
        <v>2</v>
      </c>
      <c r="BQ72" s="640">
        <v>2</v>
      </c>
      <c r="BR72" s="640">
        <v>1</v>
      </c>
      <c r="BS72" s="640">
        <v>1</v>
      </c>
      <c r="BT72" s="640">
        <v>3</v>
      </c>
      <c r="BU72" s="640"/>
      <c r="BV72" s="640">
        <v>1</v>
      </c>
      <c r="BW72" s="640">
        <v>1</v>
      </c>
      <c r="BX72" s="640">
        <v>1</v>
      </c>
      <c r="BY72" s="640">
        <v>1</v>
      </c>
      <c r="BZ72" s="640">
        <v>91</v>
      </c>
      <c r="CA72" s="640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2022-01-28T09:26:23Z</dcterms:modified>
</cp:coreProperties>
</file>