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0.16\St1Share(NAS)\SKL\URS審查會議紀錄\"/>
    </mc:Choice>
  </mc:AlternateContent>
  <xr:revisionPtr revIDLastSave="0" documentId="13_ncr:1_{35F3191B-BCFB-4F4F-9A03-0F7EC3E751F0}" xr6:coauthVersionLast="47" xr6:coauthVersionMax="47" xr10:uidLastSave="{00000000-0000-0000-0000-000000000000}"/>
  <bookViews>
    <workbookView xWindow="-110" yWindow="-110" windowWidth="19420" windowHeight="10560" tabRatio="665" activeTab="8" xr2:uid="{00000000-000D-0000-FFFF-FFFF00000000}"/>
  </bookViews>
  <sheets>
    <sheet name="會議回覆追蹤" sheetId="1" r:id="rId1"/>
    <sheet name="統計表2.1" sheetId="33" r:id="rId2"/>
    <sheet name="統計表2" sheetId="2" state="hidden" r:id="rId3"/>
    <sheet name="業務統計20211206" sheetId="36" state="hidden" r:id="rId4"/>
    <sheet name="統計表" sheetId="3" r:id="rId5"/>
    <sheet name="統計tmp" sheetId="4" r:id="rId6"/>
    <sheet name="業務統計 (原始)" sheetId="37" state="hidden" r:id="rId7"/>
    <sheet name="業務統計" sheetId="35" r:id="rId8"/>
    <sheet name="URS確認" sheetId="5" r:id="rId9"/>
    <sheet name="工作表2" sheetId="41" r:id="rId10"/>
    <sheet name="工作表3" sheetId="42" r:id="rId11"/>
    <sheet name="User異動待排" sheetId="40" r:id="rId12"/>
    <sheet name="取消交易" sheetId="6" r:id="rId13"/>
    <sheet name="討論項目" sheetId="7" r:id="rId14"/>
    <sheet name="待辦事項" sheetId="12" r:id="rId15"/>
    <sheet name="後續討論" sheetId="10" r:id="rId16"/>
    <sheet name="需二審tmp" sheetId="9" r:id="rId17"/>
    <sheet name="L4完成進度" sheetId="11" r:id="rId18"/>
    <sheet name="L_tmp" sheetId="13" r:id="rId19"/>
    <sheet name="上線注意事項" sheetId="14" r:id="rId20"/>
    <sheet name="追蹤議題備註" sheetId="15" r:id="rId21"/>
    <sheet name="備註" sheetId="16" r:id="rId22"/>
    <sheet name="SKL放款" sheetId="17" state="hidden" r:id="rId23"/>
    <sheet name="URS確認tmp" sheetId="18" state="hidden" r:id="rId24"/>
    <sheet name="討論項目tmp" sheetId="19" state="hidden" r:id="rId25"/>
    <sheet name="待辦事項tmp" sheetId="20" state="hidden" r:id="rId26"/>
    <sheet name="討論待辦tmp" sheetId="22" r:id="rId27"/>
    <sheet name="Menu" sheetId="23" r:id="rId28"/>
    <sheet name="L4_tmp" sheetId="24" r:id="rId29"/>
    <sheet name="工作表1" sheetId="25" r:id="rId30"/>
    <sheet name="20211105匯出" sheetId="26" r:id="rId31"/>
    <sheet name="統計表 (2)" sheetId="27" state="hidden" r:id="rId32"/>
    <sheet name="下週會議" sheetId="28" state="hidden" r:id="rId33"/>
    <sheet name="會議回覆追蹤tmp" sheetId="29" state="hidden" r:id="rId34"/>
  </sheets>
  <externalReferences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</externalReferences>
  <definedNames>
    <definedName name="_xlnm._FilterDatabase" localSheetId="9" hidden="1">工作表2!$A$1:$B$421</definedName>
    <definedName name="_xlnm._FilterDatabase" localSheetId="14" hidden="1">待辦事項!$A$1:$J$93</definedName>
    <definedName name="_xlnm._FilterDatabase" localSheetId="13" hidden="1">討論項目!$A$1:$P$627</definedName>
    <definedName name="_xlnm._FilterDatabase" localSheetId="16" hidden="1">需二審tmp!$A$1:$G$261</definedName>
    <definedName name="_xlcn.WorksheetConnection_URS確認排程.xlsx功能_331" localSheetId="1" hidden="1">功能_33[]</definedName>
    <definedName name="_xlcn.WorksheetConnection_URS確認排程.xlsx功能_331" localSheetId="6" hidden="1">功能_33[]</definedName>
    <definedName name="_xlcn.WorksheetConnection_URS確認排程.xlsx功能_331" hidden="1">功能_33[]</definedName>
    <definedName name="aaa" localSheetId="6">[1]員工!#REF!</definedName>
    <definedName name="aaa">[1]員工!#REF!</definedName>
    <definedName name="all" localSheetId="26">[1]員工!#REF!</definedName>
    <definedName name="all" localSheetId="0">[2]員工!#REF!</definedName>
    <definedName name="all" localSheetId="6">[1]員工!#REF!</definedName>
    <definedName name="all">[1]員工!#REF!</definedName>
    <definedName name="alltel" localSheetId="26">[1]員工!#REF!</definedName>
    <definedName name="alltel" localSheetId="0">[2]員工!#REF!</definedName>
    <definedName name="alltel" localSheetId="6">[1]員工!#REF!</definedName>
    <definedName name="alltel">[1]員工!#REF!</definedName>
  </definedNames>
  <calcPr calcId="181029"/>
  <pivotCaches>
    <pivotCache cacheId="0" r:id="rId44"/>
    <pivotCache cacheId="1" r:id="rId45"/>
    <pivotCache cacheId="2" r:id="rId46"/>
    <pivotCache cacheId="3" r:id="rId47"/>
    <pivotCache cacheId="4" r:id="rId4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W3" i="5" l="1"/>
  <c r="AW4" i="5"/>
  <c r="AW5" i="5"/>
  <c r="AW6" i="5"/>
  <c r="AW7" i="5"/>
  <c r="AW8" i="5"/>
  <c r="AW9" i="5"/>
  <c r="AW10" i="5"/>
  <c r="AW11" i="5"/>
  <c r="AW12" i="5"/>
  <c r="AW13" i="5"/>
  <c r="AW14" i="5"/>
  <c r="AW15" i="5"/>
  <c r="AW16" i="5"/>
  <c r="AW17" i="5"/>
  <c r="AW18" i="5"/>
  <c r="AW19" i="5"/>
  <c r="AW20" i="5"/>
  <c r="AW21" i="5"/>
  <c r="AW22" i="5"/>
  <c r="AW23" i="5"/>
  <c r="AW24" i="5"/>
  <c r="AW25" i="5"/>
  <c r="AW26" i="5"/>
  <c r="AW27" i="5"/>
  <c r="AW28" i="5"/>
  <c r="AW29" i="5"/>
  <c r="AW30" i="5"/>
  <c r="AW31" i="5"/>
  <c r="AW32" i="5"/>
  <c r="AW33" i="5"/>
  <c r="AW34" i="5"/>
  <c r="AW35" i="5"/>
  <c r="AW36" i="5"/>
  <c r="AW37" i="5"/>
  <c r="AW38" i="5"/>
  <c r="AW39" i="5"/>
  <c r="AW40" i="5"/>
  <c r="AW41" i="5"/>
  <c r="AW42" i="5"/>
  <c r="AW43" i="5"/>
  <c r="AW44" i="5"/>
  <c r="AW45" i="5"/>
  <c r="AW46" i="5"/>
  <c r="AW47" i="5"/>
  <c r="AW48" i="5"/>
  <c r="AW49" i="5"/>
  <c r="AW50" i="5"/>
  <c r="AW51" i="5"/>
  <c r="AW52" i="5"/>
  <c r="AW53" i="5"/>
  <c r="AW54" i="5"/>
  <c r="AW55" i="5"/>
  <c r="AW56" i="5"/>
  <c r="AW57" i="5"/>
  <c r="AW58" i="5"/>
  <c r="AW59" i="5"/>
  <c r="AW60" i="5"/>
  <c r="AW61" i="5"/>
  <c r="AW62" i="5"/>
  <c r="AW63" i="5"/>
  <c r="AW64" i="5"/>
  <c r="AW65" i="5"/>
  <c r="AW66" i="5"/>
  <c r="AW67" i="5"/>
  <c r="AW68" i="5"/>
  <c r="AW69" i="5"/>
  <c r="AW70" i="5"/>
  <c r="AW71" i="5"/>
  <c r="AW72" i="5"/>
  <c r="AW73" i="5"/>
  <c r="AW74" i="5"/>
  <c r="AW75" i="5"/>
  <c r="AW76" i="5"/>
  <c r="AW77" i="5"/>
  <c r="AW78" i="5"/>
  <c r="AW79" i="5"/>
  <c r="AW80" i="5"/>
  <c r="AW81" i="5"/>
  <c r="AW82" i="5"/>
  <c r="AW83" i="5"/>
  <c r="AW84" i="5"/>
  <c r="AW85" i="5"/>
  <c r="AW86" i="5"/>
  <c r="AW87" i="5"/>
  <c r="AW88" i="5"/>
  <c r="AW89" i="5"/>
  <c r="AW90" i="5"/>
  <c r="AW91" i="5"/>
  <c r="AW92" i="5"/>
  <c r="AW93" i="5"/>
  <c r="AW94" i="5"/>
  <c r="AW95" i="5"/>
  <c r="AW96" i="5"/>
  <c r="AW97" i="5"/>
  <c r="AW98" i="5"/>
  <c r="AW99" i="5"/>
  <c r="AW100" i="5"/>
  <c r="AW101" i="5"/>
  <c r="AW102" i="5"/>
  <c r="AW103" i="5"/>
  <c r="AW104" i="5"/>
  <c r="AW105" i="5"/>
  <c r="AW106" i="5"/>
  <c r="AW107" i="5"/>
  <c r="AW108" i="5"/>
  <c r="AW109" i="5"/>
  <c r="AW110" i="5"/>
  <c r="AW111" i="5"/>
  <c r="AW112" i="5"/>
  <c r="AW113" i="5"/>
  <c r="AW114" i="5"/>
  <c r="AW115" i="5"/>
  <c r="AW116" i="5"/>
  <c r="AW117" i="5"/>
  <c r="AW118" i="5"/>
  <c r="AW119" i="5"/>
  <c r="AW120" i="5"/>
  <c r="AW121" i="5"/>
  <c r="AW122" i="5"/>
  <c r="AW123" i="5"/>
  <c r="AW124" i="5"/>
  <c r="AW125" i="5"/>
  <c r="AW126" i="5"/>
  <c r="AW127" i="5"/>
  <c r="AW128" i="5"/>
  <c r="AW129" i="5"/>
  <c r="AW130" i="5"/>
  <c r="AW131" i="5"/>
  <c r="AW132" i="5"/>
  <c r="AW133" i="5"/>
  <c r="AW134" i="5"/>
  <c r="AW135" i="5"/>
  <c r="AW136" i="5"/>
  <c r="AW137" i="5"/>
  <c r="AW138" i="5"/>
  <c r="AW139" i="5"/>
  <c r="AW140" i="5"/>
  <c r="AW141" i="5"/>
  <c r="AW142" i="5"/>
  <c r="AW143" i="5"/>
  <c r="AW144" i="5"/>
  <c r="AW145" i="5"/>
  <c r="AW146" i="5"/>
  <c r="AW147" i="5"/>
  <c r="AW148" i="5"/>
  <c r="AW149" i="5"/>
  <c r="AW150" i="5"/>
  <c r="AW151" i="5"/>
  <c r="AW152" i="5"/>
  <c r="AW153" i="5"/>
  <c r="AW154" i="5"/>
  <c r="AW155" i="5"/>
  <c r="AW156" i="5"/>
  <c r="AW157" i="5"/>
  <c r="AW158" i="5"/>
  <c r="AW159" i="5"/>
  <c r="AW160" i="5"/>
  <c r="AW161" i="5"/>
  <c r="AW162" i="5"/>
  <c r="AW163" i="5"/>
  <c r="AW164" i="5"/>
  <c r="AW165" i="5"/>
  <c r="AW166" i="5"/>
  <c r="AW167" i="5"/>
  <c r="AW168" i="5"/>
  <c r="AW169" i="5"/>
  <c r="AW170" i="5"/>
  <c r="AW171" i="5"/>
  <c r="AW172" i="5"/>
  <c r="AW173" i="5"/>
  <c r="AW174" i="5"/>
  <c r="AW175" i="5"/>
  <c r="AW176" i="5"/>
  <c r="AW177" i="5"/>
  <c r="AW178" i="5"/>
  <c r="AW179" i="5"/>
  <c r="AW180" i="5"/>
  <c r="AW181" i="5"/>
  <c r="AW182" i="5"/>
  <c r="AW183" i="5"/>
  <c r="AW184" i="5"/>
  <c r="AW185" i="5"/>
  <c r="AW186" i="5"/>
  <c r="AW187" i="5"/>
  <c r="AW188" i="5"/>
  <c r="AW189" i="5"/>
  <c r="AW190" i="5"/>
  <c r="AW191" i="5"/>
  <c r="AW192" i="5"/>
  <c r="AW193" i="5"/>
  <c r="AW194" i="5"/>
  <c r="AW195" i="5"/>
  <c r="AW196" i="5"/>
  <c r="AW197" i="5"/>
  <c r="AW198" i="5"/>
  <c r="AW199" i="5"/>
  <c r="AW200" i="5"/>
  <c r="AW201" i="5"/>
  <c r="AW202" i="5"/>
  <c r="AW203" i="5"/>
  <c r="AW204" i="5"/>
  <c r="AW205" i="5"/>
  <c r="AW206" i="5"/>
  <c r="AW207" i="5"/>
  <c r="AW208" i="5"/>
  <c r="AW209" i="5"/>
  <c r="AW210" i="5"/>
  <c r="AW211" i="5"/>
  <c r="AW212" i="5"/>
  <c r="AW213" i="5"/>
  <c r="AW214" i="5"/>
  <c r="AW215" i="5"/>
  <c r="AW216" i="5"/>
  <c r="AW217" i="5"/>
  <c r="AW218" i="5"/>
  <c r="AW219" i="5"/>
  <c r="AW220" i="5"/>
  <c r="AW221" i="5"/>
  <c r="AW222" i="5"/>
  <c r="AW223" i="5"/>
  <c r="AW224" i="5"/>
  <c r="AW225" i="5"/>
  <c r="AW226" i="5"/>
  <c r="AW227" i="5"/>
  <c r="AW228" i="5"/>
  <c r="AW229" i="5"/>
  <c r="AW230" i="5"/>
  <c r="AW231" i="5"/>
  <c r="AW232" i="5"/>
  <c r="AW233" i="5"/>
  <c r="AW234" i="5"/>
  <c r="AW235" i="5"/>
  <c r="AW236" i="5"/>
  <c r="AW237" i="5"/>
  <c r="AW238" i="5"/>
  <c r="AW239" i="5"/>
  <c r="AW240" i="5"/>
  <c r="AW241" i="5"/>
  <c r="AW242" i="5"/>
  <c r="AW243" i="5"/>
  <c r="AW244" i="5"/>
  <c r="AW245" i="5"/>
  <c r="AW246" i="5"/>
  <c r="AW247" i="5"/>
  <c r="AW248" i="5"/>
  <c r="AW249" i="5"/>
  <c r="AW250" i="5"/>
  <c r="AW251" i="5"/>
  <c r="AW252" i="5"/>
  <c r="AW253" i="5"/>
  <c r="AW254" i="5"/>
  <c r="AW255" i="5"/>
  <c r="AW256" i="5"/>
  <c r="AW257" i="5"/>
  <c r="AW258" i="5"/>
  <c r="AW259" i="5"/>
  <c r="AW260" i="5"/>
  <c r="AW261" i="5"/>
  <c r="AW262" i="5"/>
  <c r="AW263" i="5"/>
  <c r="AW264" i="5"/>
  <c r="AW265" i="5"/>
  <c r="AW266" i="5"/>
  <c r="AW267" i="5"/>
  <c r="AW268" i="5"/>
  <c r="AW269" i="5"/>
  <c r="AW270" i="5"/>
  <c r="AW271" i="5"/>
  <c r="AW272" i="5"/>
  <c r="AW273" i="5"/>
  <c r="AW274" i="5"/>
  <c r="AW275" i="5"/>
  <c r="AW276" i="5"/>
  <c r="AW277" i="5"/>
  <c r="AW278" i="5"/>
  <c r="AW279" i="5"/>
  <c r="AW280" i="5"/>
  <c r="AW281" i="5"/>
  <c r="AW282" i="5"/>
  <c r="AW283" i="5"/>
  <c r="AW284" i="5"/>
  <c r="AW285" i="5"/>
  <c r="AW286" i="5"/>
  <c r="AW287" i="5"/>
  <c r="AW288" i="5"/>
  <c r="AW289" i="5"/>
  <c r="AW290" i="5"/>
  <c r="AW291" i="5"/>
  <c r="AW292" i="5"/>
  <c r="AW293" i="5"/>
  <c r="AW294" i="5"/>
  <c r="AW295" i="5"/>
  <c r="AW296" i="5"/>
  <c r="AW297" i="5"/>
  <c r="AW298" i="5"/>
  <c r="AW299" i="5"/>
  <c r="AW300" i="5"/>
  <c r="AW301" i="5"/>
  <c r="AW302" i="5"/>
  <c r="AW303" i="5"/>
  <c r="AW304" i="5"/>
  <c r="AW305" i="5"/>
  <c r="AW306" i="5"/>
  <c r="AW307" i="5"/>
  <c r="AW308" i="5"/>
  <c r="AW309" i="5"/>
  <c r="AW310" i="5"/>
  <c r="AW311" i="5"/>
  <c r="AW312" i="5"/>
  <c r="AW313" i="5"/>
  <c r="AW314" i="5"/>
  <c r="AW315" i="5"/>
  <c r="AW316" i="5"/>
  <c r="AW317" i="5"/>
  <c r="AW318" i="5"/>
  <c r="AW319" i="5"/>
  <c r="AW320" i="5"/>
  <c r="AW321" i="5"/>
  <c r="AW322" i="5"/>
  <c r="AW323" i="5"/>
  <c r="AW324" i="5"/>
  <c r="AW325" i="5"/>
  <c r="AW326" i="5"/>
  <c r="AW327" i="5"/>
  <c r="AW328" i="5"/>
  <c r="AW329" i="5"/>
  <c r="AW330" i="5"/>
  <c r="AW331" i="5"/>
  <c r="AW332" i="5"/>
  <c r="AW333" i="5"/>
  <c r="AW334" i="5"/>
  <c r="AW335" i="5"/>
  <c r="AW336" i="5"/>
  <c r="AW337" i="5"/>
  <c r="AW338" i="5"/>
  <c r="AW339" i="5"/>
  <c r="AW340" i="5"/>
  <c r="AW341" i="5"/>
  <c r="AW342" i="5"/>
  <c r="AW343" i="5"/>
  <c r="AW344" i="5"/>
  <c r="AW345" i="5"/>
  <c r="AW346" i="5"/>
  <c r="AW347" i="5"/>
  <c r="AW348" i="5"/>
  <c r="AW349" i="5"/>
  <c r="AW350" i="5"/>
  <c r="AW351" i="5"/>
  <c r="AW352" i="5"/>
  <c r="AW353" i="5"/>
  <c r="AW354" i="5"/>
  <c r="AW355" i="5"/>
  <c r="AW356" i="5"/>
  <c r="AW357" i="5"/>
  <c r="AW358" i="5"/>
  <c r="AW359" i="5"/>
  <c r="AW360" i="5"/>
  <c r="AW361" i="5"/>
  <c r="AW362" i="5"/>
  <c r="AW363" i="5"/>
  <c r="AW364" i="5"/>
  <c r="AW365" i="5"/>
  <c r="AW366" i="5"/>
  <c r="AW367" i="5"/>
  <c r="AW368" i="5"/>
  <c r="AW369" i="5"/>
  <c r="AW370" i="5"/>
  <c r="AW371" i="5"/>
  <c r="AW372" i="5"/>
  <c r="AW373" i="5"/>
  <c r="AW374" i="5"/>
  <c r="AW375" i="5"/>
  <c r="AW376" i="5"/>
  <c r="AW377" i="5"/>
  <c r="AW378" i="5"/>
  <c r="AW379" i="5"/>
  <c r="AW380" i="5"/>
  <c r="AW381" i="5"/>
  <c r="AW382" i="5"/>
  <c r="AW383" i="5"/>
  <c r="AW384" i="5"/>
  <c r="AW385" i="5"/>
  <c r="AW386" i="5"/>
  <c r="AW387" i="5"/>
  <c r="AW388" i="5"/>
  <c r="AW389" i="5"/>
  <c r="AW390" i="5"/>
  <c r="AW391" i="5"/>
  <c r="AW392" i="5"/>
  <c r="AW393" i="5"/>
  <c r="AW394" i="5"/>
  <c r="AW395" i="5"/>
  <c r="AW396" i="5"/>
  <c r="AW397" i="5"/>
  <c r="AW398" i="5"/>
  <c r="AW399" i="5"/>
  <c r="AW400" i="5"/>
  <c r="AW401" i="5"/>
  <c r="AW402" i="5"/>
  <c r="AW403" i="5"/>
  <c r="AW404" i="5"/>
  <c r="AW405" i="5"/>
  <c r="AW406" i="5"/>
  <c r="AW407" i="5"/>
  <c r="AW408" i="5"/>
  <c r="AW409" i="5"/>
  <c r="AW410" i="5"/>
  <c r="AW411" i="5"/>
  <c r="AW412" i="5"/>
  <c r="AW413" i="5"/>
  <c r="AW414" i="5"/>
  <c r="AW415" i="5"/>
  <c r="AW416" i="5"/>
  <c r="AW417" i="5"/>
  <c r="AW418" i="5"/>
  <c r="AW419" i="5"/>
  <c r="AW420" i="5"/>
  <c r="AW421" i="5"/>
  <c r="AW422" i="5"/>
  <c r="AW423" i="5"/>
  <c r="AW424" i="5"/>
  <c r="AW425" i="5"/>
  <c r="AW426" i="5"/>
  <c r="AW427" i="5"/>
  <c r="AW428" i="5"/>
  <c r="AW429" i="5"/>
  <c r="AW430" i="5"/>
  <c r="AW431" i="5"/>
  <c r="AW432" i="5"/>
  <c r="AW433" i="5"/>
  <c r="AW434" i="5"/>
  <c r="AW435" i="5"/>
  <c r="AW436" i="5"/>
  <c r="AW437" i="5"/>
  <c r="AW438" i="5"/>
  <c r="AW439" i="5"/>
  <c r="AW440" i="5"/>
  <c r="AW441" i="5"/>
  <c r="AW442" i="5"/>
  <c r="AW443" i="5"/>
  <c r="AW444" i="5"/>
  <c r="AW445" i="5"/>
  <c r="AW446" i="5"/>
  <c r="AW447" i="5"/>
  <c r="AW448" i="5"/>
  <c r="AW449" i="5"/>
  <c r="AW450" i="5"/>
  <c r="AW451" i="5"/>
  <c r="AW452" i="5"/>
  <c r="AW453" i="5"/>
  <c r="AW454" i="5"/>
  <c r="AW455" i="5"/>
  <c r="AW456" i="5"/>
  <c r="AW457" i="5"/>
  <c r="AW458" i="5"/>
  <c r="AW459" i="5"/>
  <c r="AW460" i="5"/>
  <c r="AW461" i="5"/>
  <c r="AW462" i="5"/>
  <c r="AW463" i="5"/>
  <c r="AW464" i="5"/>
  <c r="AW465" i="5"/>
  <c r="AW466" i="5"/>
  <c r="AW467" i="5"/>
  <c r="AW468" i="5"/>
  <c r="AW469" i="5"/>
  <c r="AW470" i="5"/>
  <c r="AW471" i="5"/>
  <c r="AW472" i="5"/>
  <c r="AW473" i="5"/>
  <c r="AW474" i="5"/>
  <c r="AW475" i="5"/>
  <c r="AW476" i="5"/>
  <c r="AW477" i="5"/>
  <c r="AW478" i="5"/>
  <c r="AW479" i="5"/>
  <c r="AW480" i="5"/>
  <c r="AW481" i="5"/>
  <c r="AW482" i="5"/>
  <c r="AW483" i="5"/>
  <c r="AW484" i="5"/>
  <c r="AW485" i="5"/>
  <c r="AW486" i="5"/>
  <c r="AW487" i="5"/>
  <c r="AW488" i="5"/>
  <c r="AW489" i="5"/>
  <c r="AW490" i="5"/>
  <c r="AW491" i="5"/>
  <c r="AW492" i="5"/>
  <c r="AW493" i="5"/>
  <c r="AW494" i="5"/>
  <c r="AW495" i="5"/>
  <c r="AW496" i="5"/>
  <c r="AW497" i="5"/>
  <c r="AW498" i="5"/>
  <c r="AW499" i="5"/>
  <c r="AW500" i="5"/>
  <c r="AW501" i="5"/>
  <c r="AW502" i="5"/>
  <c r="AW503" i="5"/>
  <c r="AW504" i="5"/>
  <c r="AW505" i="5"/>
  <c r="AW506" i="5"/>
  <c r="AW507" i="5"/>
  <c r="AW508" i="5"/>
  <c r="AW509" i="5"/>
  <c r="AW510" i="5"/>
  <c r="AW511" i="5"/>
  <c r="AW512" i="5"/>
  <c r="AW513" i="5"/>
  <c r="AW514" i="5"/>
  <c r="AW515" i="5"/>
  <c r="AW516" i="5"/>
  <c r="AW517" i="5"/>
  <c r="AW518" i="5"/>
  <c r="AW519" i="5"/>
  <c r="AW520" i="5"/>
  <c r="AW521" i="5"/>
  <c r="AW522" i="5"/>
  <c r="AW523" i="5"/>
  <c r="AW524" i="5"/>
  <c r="AW525" i="5"/>
  <c r="AW526" i="5"/>
  <c r="AW527" i="5"/>
  <c r="AW528" i="5"/>
  <c r="AW529" i="5"/>
  <c r="AW530" i="5"/>
  <c r="AW531" i="5"/>
  <c r="AW532" i="5"/>
  <c r="AW533" i="5"/>
  <c r="AW534" i="5"/>
  <c r="AW535" i="5"/>
  <c r="AW536" i="5"/>
  <c r="AW537" i="5"/>
  <c r="AW538" i="5"/>
  <c r="AW539" i="5"/>
  <c r="AW540" i="5"/>
  <c r="AW541" i="5"/>
  <c r="AW542" i="5"/>
  <c r="AW543" i="5"/>
  <c r="AW544" i="5"/>
  <c r="AW545" i="5"/>
  <c r="AW546" i="5"/>
  <c r="AW547" i="5"/>
  <c r="AW548" i="5"/>
  <c r="AW549" i="5"/>
  <c r="AW2" i="5"/>
  <c r="B6" i="33" l="1"/>
  <c r="B7" i="33"/>
  <c r="B8" i="33"/>
  <c r="B9" i="33"/>
  <c r="B10" i="33"/>
  <c r="B11" i="33"/>
  <c r="B12" i="33"/>
  <c r="B13" i="33"/>
  <c r="D6" i="33"/>
  <c r="K3" i="33"/>
  <c r="AZ24" i="6"/>
  <c r="AR24" i="6"/>
  <c r="AO24" i="6"/>
  <c r="AH24" i="6"/>
  <c r="Y24" i="6"/>
  <c r="T28" i="22"/>
  <c r="J28" i="22"/>
  <c r="B26" i="22"/>
  <c r="C26" i="22"/>
  <c r="U28" i="22"/>
  <c r="L28" i="22"/>
  <c r="B13" i="22"/>
  <c r="B14" i="22"/>
  <c r="B15" i="22"/>
  <c r="B16" i="22"/>
  <c r="B17" i="22"/>
  <c r="B18" i="22"/>
  <c r="B19" i="22"/>
  <c r="B20" i="22"/>
  <c r="B21" i="22"/>
  <c r="B22" i="22"/>
  <c r="B23" i="22"/>
  <c r="B24" i="22"/>
  <c r="B25" i="22"/>
  <c r="C13" i="22"/>
  <c r="C14" i="22"/>
  <c r="C15" i="22"/>
  <c r="C16" i="22"/>
  <c r="C17" i="22"/>
  <c r="C18" i="22"/>
  <c r="C19" i="22"/>
  <c r="C20" i="22"/>
  <c r="C21" i="22"/>
  <c r="C22" i="22"/>
  <c r="C23" i="22"/>
  <c r="C24" i="22"/>
  <c r="C25" i="22"/>
  <c r="B14" i="33"/>
  <c r="H6" i="33" l="1"/>
  <c r="F6" i="33"/>
  <c r="D26" i="22"/>
  <c r="H595" i="7" l="1"/>
  <c r="H584" i="7"/>
  <c r="H583" i="7"/>
  <c r="H582" i="7"/>
  <c r="H581" i="7"/>
  <c r="H580" i="7"/>
  <c r="H579" i="7"/>
  <c r="H546" i="7"/>
  <c r="H545" i="7"/>
  <c r="H544" i="7"/>
  <c r="H543" i="7"/>
  <c r="H542" i="7"/>
  <c r="H541" i="7"/>
  <c r="H540" i="7"/>
  <c r="H484" i="7"/>
  <c r="H469" i="7"/>
  <c r="H452" i="7"/>
  <c r="H442" i="7"/>
  <c r="H439" i="7"/>
  <c r="H416" i="7"/>
  <c r="H415" i="7"/>
  <c r="H414" i="7"/>
  <c r="H413" i="7"/>
  <c r="H412" i="7"/>
  <c r="H411" i="7"/>
  <c r="H410" i="7"/>
  <c r="H409" i="7"/>
  <c r="H408" i="7"/>
  <c r="H373" i="7"/>
  <c r="H372" i="7"/>
  <c r="H273" i="7"/>
  <c r="H272" i="7"/>
  <c r="H271" i="7"/>
  <c r="H268" i="7"/>
  <c r="H267" i="7"/>
  <c r="H266" i="7"/>
  <c r="H265" i="7"/>
  <c r="H264" i="7"/>
  <c r="H263" i="7"/>
  <c r="H262" i="7"/>
  <c r="H261" i="7"/>
  <c r="H260" i="7"/>
  <c r="H251" i="7"/>
  <c r="H238" i="7"/>
  <c r="H237" i="7"/>
  <c r="H236" i="7"/>
  <c r="H235" i="7"/>
  <c r="H234" i="7"/>
  <c r="H233" i="7"/>
  <c r="H232" i="7"/>
  <c r="H231" i="7"/>
  <c r="H230" i="7"/>
  <c r="H229" i="7"/>
  <c r="H228" i="7"/>
  <c r="H227" i="7"/>
  <c r="H226" i="7"/>
  <c r="H225" i="7"/>
  <c r="H224" i="7"/>
  <c r="H223" i="7"/>
  <c r="H222" i="7"/>
  <c r="H221" i="7"/>
  <c r="H220" i="7"/>
  <c r="H219" i="7"/>
  <c r="H112" i="7"/>
  <c r="H111" i="7"/>
  <c r="H110" i="7"/>
  <c r="H109" i="7"/>
  <c r="H108" i="7"/>
  <c r="H49" i="7"/>
  <c r="H48" i="7"/>
  <c r="H47" i="7"/>
  <c r="H46" i="7"/>
  <c r="H45" i="7"/>
  <c r="H44" i="7"/>
  <c r="H41" i="7"/>
  <c r="H40" i="7"/>
  <c r="H35" i="7"/>
  <c r="H31" i="7"/>
  <c r="H30" i="7"/>
  <c r="H29" i="7"/>
  <c r="H27" i="7"/>
  <c r="H25" i="7"/>
  <c r="H24" i="7"/>
  <c r="E93" i="12"/>
  <c r="F93" i="12" s="1"/>
  <c r="E91" i="12"/>
  <c r="F91" i="12" s="1"/>
  <c r="E89" i="12"/>
  <c r="F89" i="12" s="1"/>
  <c r="E85" i="12"/>
  <c r="F85" i="12" s="1"/>
  <c r="E84" i="12"/>
  <c r="E83" i="12"/>
  <c r="F83" i="12" s="1"/>
  <c r="E81" i="12"/>
  <c r="E80" i="12"/>
  <c r="E77" i="12"/>
  <c r="F77" i="12" s="1"/>
  <c r="E74" i="12"/>
  <c r="E73" i="12"/>
  <c r="F73" i="12" s="1"/>
  <c r="E72" i="12"/>
  <c r="F72" i="12" s="1"/>
  <c r="E70" i="12"/>
  <c r="F70" i="12" s="1"/>
  <c r="E64" i="12"/>
  <c r="F64" i="12" s="1"/>
  <c r="E62" i="12"/>
  <c r="E57" i="12"/>
  <c r="F57" i="12" s="1"/>
  <c r="E54" i="12"/>
  <c r="E53" i="12"/>
  <c r="E52" i="12"/>
  <c r="F52" i="12" s="1"/>
  <c r="E49" i="12"/>
  <c r="E48" i="12"/>
  <c r="E45" i="12"/>
  <c r="F45" i="12" s="1"/>
  <c r="E44" i="12"/>
  <c r="F44" i="12" s="1"/>
  <c r="E43" i="12"/>
  <c r="F43" i="12" s="1"/>
  <c r="E40" i="12"/>
  <c r="F40" i="12" s="1"/>
  <c r="E39" i="12"/>
  <c r="E34" i="12"/>
  <c r="F34" i="12" s="1"/>
  <c r="E33" i="12"/>
  <c r="F33" i="12" s="1"/>
  <c r="E32" i="12"/>
  <c r="E31" i="12"/>
  <c r="F31" i="12" s="1"/>
  <c r="I443" i="7"/>
  <c r="I579" i="7"/>
  <c r="I580" i="7"/>
  <c r="I581" i="7"/>
  <c r="I582" i="7"/>
  <c r="I583" i="7"/>
  <c r="I584" i="7"/>
  <c r="I585" i="7"/>
  <c r="I586" i="7"/>
  <c r="I587" i="7"/>
  <c r="I588" i="7"/>
  <c r="I589" i="7"/>
  <c r="I590" i="7"/>
  <c r="I591" i="7"/>
  <c r="I592" i="7"/>
  <c r="I593" i="7"/>
  <c r="I594" i="7"/>
  <c r="I595" i="7"/>
  <c r="I597" i="7"/>
  <c r="I598" i="7"/>
  <c r="I599" i="7"/>
  <c r="I604" i="7"/>
  <c r="I605" i="7"/>
  <c r="I608" i="7"/>
  <c r="I610" i="7"/>
  <c r="I611" i="7"/>
  <c r="I612" i="7"/>
  <c r="I613" i="7"/>
  <c r="I614" i="7"/>
  <c r="I615" i="7"/>
  <c r="I616" i="7"/>
  <c r="I617" i="7"/>
  <c r="I618" i="7"/>
  <c r="I619" i="7"/>
  <c r="I620" i="7"/>
  <c r="I621" i="7"/>
  <c r="I622" i="7"/>
  <c r="I623" i="7"/>
  <c r="I624" i="7"/>
  <c r="I625" i="7"/>
  <c r="I626" i="7"/>
  <c r="I627" i="7"/>
  <c r="I560" i="7"/>
  <c r="M235" i="5" l="1"/>
  <c r="AT235" i="5" s="1"/>
  <c r="X235" i="5"/>
  <c r="AG235" i="5"/>
  <c r="AN235" i="5"/>
  <c r="AQ235" i="5"/>
  <c r="AT190" i="5"/>
  <c r="AN190" i="5"/>
  <c r="AQ190" i="5"/>
  <c r="AS190" i="5"/>
  <c r="AV190" i="5"/>
  <c r="AT402" i="5"/>
  <c r="X402" i="5"/>
  <c r="AG402" i="5"/>
  <c r="AM402" i="5"/>
  <c r="AN402" i="5"/>
  <c r="AQ402" i="5"/>
  <c r="AU402" i="5"/>
  <c r="L14" i="33"/>
  <c r="K15" i="33"/>
  <c r="C28" i="35"/>
  <c r="C27" i="35"/>
  <c r="C6" i="35"/>
  <c r="C7" i="35"/>
  <c r="C8" i="35"/>
  <c r="C10" i="35"/>
  <c r="C11" i="35"/>
  <c r="C12" i="35"/>
  <c r="C13" i="35"/>
  <c r="C14" i="35"/>
  <c r="C15" i="35"/>
  <c r="C16" i="35"/>
  <c r="C18" i="35"/>
  <c r="C19" i="35"/>
  <c r="C20" i="35"/>
  <c r="C21" i="35"/>
  <c r="C22" i="35"/>
  <c r="C24" i="35"/>
  <c r="C25" i="35"/>
  <c r="C26" i="35"/>
  <c r="C29" i="35"/>
  <c r="C30" i="35"/>
  <c r="C32" i="35"/>
  <c r="C33" i="35"/>
  <c r="C34" i="35"/>
  <c r="C35" i="35"/>
  <c r="C36" i="35"/>
  <c r="C37" i="35"/>
  <c r="C39" i="35"/>
  <c r="C40" i="35"/>
  <c r="C41" i="35"/>
  <c r="C42" i="35"/>
  <c r="C43" i="35"/>
  <c r="C44" i="35"/>
  <c r="C45" i="35"/>
  <c r="C46" i="35"/>
  <c r="C48" i="35"/>
  <c r="C49" i="35"/>
  <c r="C51" i="35"/>
  <c r="C52" i="35"/>
  <c r="C53" i="35"/>
  <c r="C54" i="35"/>
  <c r="C55" i="35"/>
  <c r="C56" i="35"/>
  <c r="C58" i="35"/>
  <c r="C57" i="35" s="1"/>
  <c r="C60" i="35"/>
  <c r="C59" i="35" s="1"/>
  <c r="C5" i="35"/>
  <c r="AT320" i="5"/>
  <c r="X320" i="5"/>
  <c r="AG320" i="5"/>
  <c r="AN320" i="5"/>
  <c r="AQ320" i="5"/>
  <c r="AT406" i="5"/>
  <c r="AS407" i="5"/>
  <c r="AG406" i="5"/>
  <c r="AG407" i="5"/>
  <c r="AN406" i="5"/>
  <c r="AN407" i="5"/>
  <c r="AQ406" i="5"/>
  <c r="AQ407" i="5"/>
  <c r="AR406" i="5"/>
  <c r="AS406" i="5"/>
  <c r="AT407" i="5"/>
  <c r="AV406" i="5"/>
  <c r="AV297" i="5"/>
  <c r="AU297" i="5"/>
  <c r="AT297" i="5"/>
  <c r="AS297" i="5"/>
  <c r="AR297" i="5"/>
  <c r="AQ297" i="5"/>
  <c r="AN297" i="5"/>
  <c r="AG297" i="5"/>
  <c r="X297" i="5"/>
  <c r="L6" i="33"/>
  <c r="L8" i="33"/>
  <c r="L9" i="33"/>
  <c r="L10" i="33"/>
  <c r="L11" i="33"/>
  <c r="L12" i="33"/>
  <c r="L13" i="33"/>
  <c r="AX23" i="6"/>
  <c r="AW23" i="6"/>
  <c r="AV23" i="6"/>
  <c r="AU23" i="6"/>
  <c r="AT23" i="6"/>
  <c r="AS23" i="6"/>
  <c r="AR23" i="6"/>
  <c r="AH23" i="6"/>
  <c r="Y23" i="6"/>
  <c r="AT549" i="5"/>
  <c r="X549" i="5"/>
  <c r="AG549" i="5"/>
  <c r="AN549" i="5"/>
  <c r="AQ549" i="5"/>
  <c r="AT548" i="5"/>
  <c r="X548" i="5"/>
  <c r="AG548" i="5"/>
  <c r="AN548" i="5"/>
  <c r="AQ548" i="5"/>
  <c r="AS547" i="5"/>
  <c r="X547" i="5"/>
  <c r="AG547" i="5"/>
  <c r="AN547" i="5"/>
  <c r="AQ547" i="5"/>
  <c r="AR546" i="5"/>
  <c r="X546" i="5"/>
  <c r="AG546" i="5"/>
  <c r="AN546" i="5"/>
  <c r="AQ546" i="5"/>
  <c r="AU235" i="5" l="1"/>
  <c r="AS235" i="5"/>
  <c r="AV235" i="5"/>
  <c r="AR235" i="5"/>
  <c r="AR190" i="5"/>
  <c r="AU190" i="5"/>
  <c r="AS402" i="5"/>
  <c r="AV402" i="5"/>
  <c r="AR402" i="5"/>
  <c r="C23" i="35"/>
  <c r="C47" i="35"/>
  <c r="C38" i="35"/>
  <c r="C9" i="35"/>
  <c r="C17" i="35"/>
  <c r="C50" i="35"/>
  <c r="C31" i="35"/>
  <c r="AS320" i="5"/>
  <c r="AR320" i="5"/>
  <c r="AV320" i="5"/>
  <c r="AU320" i="5"/>
  <c r="AR407" i="5"/>
  <c r="AV407" i="5"/>
  <c r="AU407" i="5"/>
  <c r="AU406" i="5"/>
  <c r="AS549" i="5"/>
  <c r="AR549" i="5"/>
  <c r="AV549" i="5"/>
  <c r="AU549" i="5"/>
  <c r="AS548" i="5"/>
  <c r="AR548" i="5"/>
  <c r="AV548" i="5"/>
  <c r="AU548" i="5"/>
  <c r="AR547" i="5"/>
  <c r="AV547" i="5"/>
  <c r="AU547" i="5"/>
  <c r="AT547" i="5"/>
  <c r="AV546" i="5"/>
  <c r="AU546" i="5"/>
  <c r="AT546" i="5"/>
  <c r="AS546" i="5"/>
  <c r="AV326" i="5"/>
  <c r="AU326" i="5"/>
  <c r="AT326" i="5"/>
  <c r="AS326" i="5"/>
  <c r="AR326" i="5"/>
  <c r="AQ326" i="5"/>
  <c r="AN326" i="5"/>
  <c r="AG326" i="5"/>
  <c r="X326" i="5"/>
  <c r="B74" i="3"/>
  <c r="C74" i="3"/>
  <c r="J74" i="3" s="1"/>
  <c r="D74" i="3"/>
  <c r="H74" i="3"/>
  <c r="F5" i="40"/>
  <c r="E5" i="40"/>
  <c r="I74" i="3" l="1"/>
  <c r="D25" i="22"/>
  <c r="AV54" i="5"/>
  <c r="AU54" i="5"/>
  <c r="AT54" i="5"/>
  <c r="AS54" i="5"/>
  <c r="AR54" i="5"/>
  <c r="AQ54" i="5"/>
  <c r="AN54" i="5"/>
  <c r="AG54" i="5"/>
  <c r="X54" i="5"/>
  <c r="AQ53" i="5"/>
  <c r="AN53" i="5"/>
  <c r="AG53" i="5"/>
  <c r="X53" i="5"/>
  <c r="AV53" i="5" l="1"/>
  <c r="AS53" i="5"/>
  <c r="AR53" i="5"/>
  <c r="AT53" i="5"/>
  <c r="AU53" i="5"/>
  <c r="AV52" i="5" l="1"/>
  <c r="AU52" i="5"/>
  <c r="AT52" i="5"/>
  <c r="AS52" i="5"/>
  <c r="AR52" i="5"/>
  <c r="AQ52" i="5"/>
  <c r="AN52" i="5"/>
  <c r="AG52" i="5"/>
  <c r="X52" i="5"/>
  <c r="AV51" i="5"/>
  <c r="AU51" i="5"/>
  <c r="AT51" i="5"/>
  <c r="AS51" i="5"/>
  <c r="AR51" i="5"/>
  <c r="AQ51" i="5"/>
  <c r="AN51" i="5"/>
  <c r="AG51" i="5"/>
  <c r="X51" i="5"/>
  <c r="AS17" i="5"/>
  <c r="AE59" i="35"/>
  <c r="AE57" i="35"/>
  <c r="AE50" i="35"/>
  <c r="AE47" i="35"/>
  <c r="AE38" i="35"/>
  <c r="AE31" i="35"/>
  <c r="AE23" i="35"/>
  <c r="AE17" i="35"/>
  <c r="AE9" i="35"/>
  <c r="AE4" i="35"/>
  <c r="C4" i="35"/>
  <c r="C62" i="35" s="1"/>
  <c r="AQ3" i="5"/>
  <c r="AQ4" i="5"/>
  <c r="AQ5" i="5"/>
  <c r="AQ6" i="5"/>
  <c r="AQ7" i="5"/>
  <c r="AQ8" i="5"/>
  <c r="AQ9" i="5"/>
  <c r="AQ10" i="5"/>
  <c r="AQ11" i="5"/>
  <c r="AQ12" i="5"/>
  <c r="AQ13" i="5"/>
  <c r="AQ14" i="5"/>
  <c r="AQ15" i="5"/>
  <c r="AQ16" i="5"/>
  <c r="AQ17" i="5"/>
  <c r="AQ18" i="5"/>
  <c r="AQ19" i="5"/>
  <c r="AQ20" i="5"/>
  <c r="AQ21" i="5"/>
  <c r="AQ22" i="5"/>
  <c r="AQ23" i="5"/>
  <c r="AQ24" i="5"/>
  <c r="AQ25" i="5"/>
  <c r="AQ26" i="5"/>
  <c r="AQ27" i="5"/>
  <c r="AQ28" i="5"/>
  <c r="AQ29" i="5"/>
  <c r="AQ30" i="5"/>
  <c r="AQ31" i="5"/>
  <c r="AQ32" i="5"/>
  <c r="AQ33" i="5"/>
  <c r="AQ34" i="5"/>
  <c r="AQ35" i="5"/>
  <c r="AQ36" i="5"/>
  <c r="AQ37" i="5"/>
  <c r="AQ38" i="5"/>
  <c r="AQ39" i="5"/>
  <c r="AQ40" i="5"/>
  <c r="AQ41" i="5"/>
  <c r="AQ42" i="5"/>
  <c r="AQ43" i="5"/>
  <c r="AQ44" i="5"/>
  <c r="AQ45" i="5"/>
  <c r="AQ46" i="5"/>
  <c r="AQ47" i="5"/>
  <c r="AQ48" i="5"/>
  <c r="AQ49" i="5"/>
  <c r="AQ50" i="5"/>
  <c r="AQ55" i="5"/>
  <c r="AQ56" i="5"/>
  <c r="AQ57" i="5"/>
  <c r="AQ58" i="5"/>
  <c r="AQ59" i="5"/>
  <c r="AQ60" i="5"/>
  <c r="AQ61" i="5"/>
  <c r="AQ62" i="5"/>
  <c r="AQ63" i="5"/>
  <c r="AQ64" i="5"/>
  <c r="AQ65" i="5"/>
  <c r="AQ66" i="5"/>
  <c r="AQ67" i="5"/>
  <c r="AQ68" i="5"/>
  <c r="AQ69" i="5"/>
  <c r="AQ70" i="5"/>
  <c r="AQ71" i="5"/>
  <c r="AQ72" i="5"/>
  <c r="AQ73" i="5"/>
  <c r="AQ74" i="5"/>
  <c r="AQ75" i="5"/>
  <c r="AQ76" i="5"/>
  <c r="AQ77" i="5"/>
  <c r="AQ78" i="5"/>
  <c r="AQ79" i="5"/>
  <c r="AQ80" i="5"/>
  <c r="AQ81" i="5"/>
  <c r="AQ82" i="5"/>
  <c r="AQ83" i="5"/>
  <c r="AQ84" i="5"/>
  <c r="AQ85" i="5"/>
  <c r="AQ86" i="5"/>
  <c r="AQ87" i="5"/>
  <c r="AQ88" i="5"/>
  <c r="AQ89" i="5"/>
  <c r="AQ90" i="5"/>
  <c r="AQ91" i="5"/>
  <c r="AQ92" i="5"/>
  <c r="AQ93" i="5"/>
  <c r="AQ94" i="5"/>
  <c r="AQ95" i="5"/>
  <c r="AQ96" i="5"/>
  <c r="AQ97" i="5"/>
  <c r="AQ98" i="5"/>
  <c r="AQ99" i="5"/>
  <c r="AQ100" i="5"/>
  <c r="AQ101" i="5"/>
  <c r="AQ102" i="5"/>
  <c r="AQ103" i="5"/>
  <c r="AQ104" i="5"/>
  <c r="AQ105" i="5"/>
  <c r="AQ106" i="5"/>
  <c r="AQ107" i="5"/>
  <c r="AQ108" i="5"/>
  <c r="AQ109" i="5"/>
  <c r="AQ110" i="5"/>
  <c r="AQ111" i="5"/>
  <c r="AQ112" i="5"/>
  <c r="AQ113" i="5"/>
  <c r="AQ114" i="5"/>
  <c r="AQ115" i="5"/>
  <c r="AQ116" i="5"/>
  <c r="AQ117" i="5"/>
  <c r="AQ118" i="5"/>
  <c r="AQ119" i="5"/>
  <c r="AQ120" i="5"/>
  <c r="AQ121" i="5"/>
  <c r="AQ122" i="5"/>
  <c r="AQ123" i="5"/>
  <c r="AQ124" i="5"/>
  <c r="AQ125" i="5"/>
  <c r="AQ126" i="5"/>
  <c r="AQ127" i="5"/>
  <c r="AQ128" i="5"/>
  <c r="AQ129" i="5"/>
  <c r="AQ130" i="5"/>
  <c r="AQ131" i="5"/>
  <c r="AQ132" i="5"/>
  <c r="AQ133" i="5"/>
  <c r="AQ134" i="5"/>
  <c r="AQ135" i="5"/>
  <c r="AQ136" i="5"/>
  <c r="AQ137" i="5"/>
  <c r="AQ138" i="5"/>
  <c r="AQ139" i="5"/>
  <c r="AQ140" i="5"/>
  <c r="AQ141" i="5"/>
  <c r="AQ142" i="5"/>
  <c r="AQ143" i="5"/>
  <c r="AQ144" i="5"/>
  <c r="AQ145" i="5"/>
  <c r="AQ146" i="5"/>
  <c r="AQ147" i="5"/>
  <c r="AQ148" i="5"/>
  <c r="AQ149" i="5"/>
  <c r="AQ150" i="5"/>
  <c r="AQ151" i="5"/>
  <c r="AQ152" i="5"/>
  <c r="AQ153" i="5"/>
  <c r="AQ154" i="5"/>
  <c r="AQ176" i="5"/>
  <c r="AQ409" i="5"/>
  <c r="AQ177" i="5"/>
  <c r="AQ158" i="5"/>
  <c r="AQ159" i="5"/>
  <c r="AQ160" i="5"/>
  <c r="AQ181" i="5"/>
  <c r="AQ155" i="5"/>
  <c r="AQ178" i="5"/>
  <c r="AQ170" i="5"/>
  <c r="AQ366" i="5"/>
  <c r="AQ171" i="5"/>
  <c r="AQ368" i="5"/>
  <c r="AQ157" i="5"/>
  <c r="AQ180" i="5"/>
  <c r="AQ163" i="5"/>
  <c r="AQ184" i="5"/>
  <c r="AQ169" i="5"/>
  <c r="AQ364" i="5"/>
  <c r="AQ156" i="5"/>
  <c r="AQ179" i="5"/>
  <c r="AQ168" i="5"/>
  <c r="AQ353" i="5"/>
  <c r="AQ161" i="5"/>
  <c r="AQ182" i="5"/>
  <c r="AQ162" i="5"/>
  <c r="AQ183" i="5"/>
  <c r="AQ165" i="5"/>
  <c r="AQ186" i="5"/>
  <c r="AQ167" i="5"/>
  <c r="AQ352" i="5"/>
  <c r="AQ172" i="5"/>
  <c r="AQ369" i="5"/>
  <c r="AQ188" i="5"/>
  <c r="AQ189" i="5"/>
  <c r="AQ191" i="5"/>
  <c r="AQ192" i="5"/>
  <c r="AQ193" i="5"/>
  <c r="AQ194" i="5"/>
  <c r="AQ195" i="5"/>
  <c r="AQ196" i="5"/>
  <c r="AQ197" i="5"/>
  <c r="AQ198" i="5"/>
  <c r="AQ199" i="5"/>
  <c r="AQ200" i="5"/>
  <c r="AQ201" i="5"/>
  <c r="AQ202" i="5"/>
  <c r="AQ203" i="5"/>
  <c r="AQ204" i="5"/>
  <c r="AQ205" i="5"/>
  <c r="AQ206" i="5"/>
  <c r="AQ207" i="5"/>
  <c r="AQ208" i="5"/>
  <c r="AQ209" i="5"/>
  <c r="AQ210" i="5"/>
  <c r="AQ211" i="5"/>
  <c r="AQ212" i="5"/>
  <c r="AQ213" i="5"/>
  <c r="AQ214" i="5"/>
  <c r="AQ215" i="5"/>
  <c r="AQ216" i="5"/>
  <c r="AQ217" i="5"/>
  <c r="AQ218" i="5"/>
  <c r="AQ219" i="5"/>
  <c r="AQ220" i="5"/>
  <c r="AQ221" i="5"/>
  <c r="AQ222" i="5"/>
  <c r="AQ223" i="5"/>
  <c r="AQ224" i="5"/>
  <c r="AQ225" i="5"/>
  <c r="AQ226" i="5"/>
  <c r="AQ227" i="5"/>
  <c r="AQ228" i="5"/>
  <c r="AQ229" i="5"/>
  <c r="AQ230" i="5"/>
  <c r="AQ231" i="5"/>
  <c r="AQ232" i="5"/>
  <c r="AQ233" i="5"/>
  <c r="AQ234" i="5"/>
  <c r="AQ236" i="5"/>
  <c r="AQ237" i="5"/>
  <c r="AQ238" i="5"/>
  <c r="AQ239" i="5"/>
  <c r="AQ240" i="5"/>
  <c r="AQ241" i="5"/>
  <c r="AQ242" i="5"/>
  <c r="AQ243" i="5"/>
  <c r="AQ244" i="5"/>
  <c r="AQ245" i="5"/>
  <c r="AQ246" i="5"/>
  <c r="AQ247" i="5"/>
  <c r="AQ248" i="5"/>
  <c r="AQ249" i="5"/>
  <c r="AQ250" i="5"/>
  <c r="AQ251" i="5"/>
  <c r="AQ252" i="5"/>
  <c r="AQ253" i="5"/>
  <c r="AQ254" i="5"/>
  <c r="AQ255" i="5"/>
  <c r="AQ256" i="5"/>
  <c r="AQ257" i="5"/>
  <c r="AQ258" i="5"/>
  <c r="AQ259" i="5"/>
  <c r="AQ260" i="5"/>
  <c r="AQ261" i="5"/>
  <c r="AQ262" i="5"/>
  <c r="AQ263" i="5"/>
  <c r="AQ264" i="5"/>
  <c r="AQ265" i="5"/>
  <c r="AQ266" i="5"/>
  <c r="AQ267" i="5"/>
  <c r="AQ268" i="5"/>
  <c r="AQ269" i="5"/>
  <c r="AQ270" i="5"/>
  <c r="AQ271" i="5"/>
  <c r="AQ272" i="5"/>
  <c r="AQ273" i="5"/>
  <c r="AQ274" i="5"/>
  <c r="AQ275" i="5"/>
  <c r="AQ276" i="5"/>
  <c r="AQ277" i="5"/>
  <c r="AQ278" i="5"/>
  <c r="AQ279" i="5"/>
  <c r="AQ280" i="5"/>
  <c r="AQ281" i="5"/>
  <c r="AQ282" i="5"/>
  <c r="AQ283" i="5"/>
  <c r="AQ284" i="5"/>
  <c r="AQ285" i="5"/>
  <c r="AQ286" i="5"/>
  <c r="AQ287" i="5"/>
  <c r="AQ288" i="5"/>
  <c r="AQ289" i="5"/>
  <c r="AQ290" i="5"/>
  <c r="AQ291" i="5"/>
  <c r="AQ292" i="5"/>
  <c r="AQ293" i="5"/>
  <c r="AQ294" i="5"/>
  <c r="AQ295" i="5"/>
  <c r="AQ296" i="5"/>
  <c r="AQ298" i="5"/>
  <c r="AQ299" i="5"/>
  <c r="AQ300" i="5"/>
  <c r="AQ301" i="5"/>
  <c r="AQ302" i="5"/>
  <c r="AQ303" i="5"/>
  <c r="AQ304" i="5"/>
  <c r="AQ305" i="5"/>
  <c r="AQ306" i="5"/>
  <c r="AQ307" i="5"/>
  <c r="AQ308" i="5"/>
  <c r="AQ309" i="5"/>
  <c r="AQ310" i="5"/>
  <c r="AQ311" i="5"/>
  <c r="AQ312" i="5"/>
  <c r="AQ313" i="5"/>
  <c r="AQ314" i="5"/>
  <c r="AQ315" i="5"/>
  <c r="AQ316" i="5"/>
  <c r="AQ317" i="5"/>
  <c r="AQ318" i="5"/>
  <c r="AQ319" i="5"/>
  <c r="AQ321" i="5"/>
  <c r="AQ322" i="5"/>
  <c r="AQ323" i="5"/>
  <c r="AQ324" i="5"/>
  <c r="AQ325" i="5"/>
  <c r="AQ327" i="5"/>
  <c r="AQ328" i="5"/>
  <c r="AQ329" i="5"/>
  <c r="AQ330" i="5"/>
  <c r="AQ331" i="5"/>
  <c r="AQ332" i="5"/>
  <c r="AQ333" i="5"/>
  <c r="AQ334" i="5"/>
  <c r="AQ335" i="5"/>
  <c r="AQ336" i="5"/>
  <c r="AQ337" i="5"/>
  <c r="AQ338" i="5"/>
  <c r="AQ339" i="5"/>
  <c r="AQ340" i="5"/>
  <c r="AQ341" i="5"/>
  <c r="AQ342" i="5"/>
  <c r="AQ343" i="5"/>
  <c r="AQ344" i="5"/>
  <c r="AQ345" i="5"/>
  <c r="AQ346" i="5"/>
  <c r="AQ347" i="5"/>
  <c r="AQ348" i="5"/>
  <c r="AQ349" i="5"/>
  <c r="AQ350" i="5"/>
  <c r="AQ351" i="5"/>
  <c r="AQ174" i="5"/>
  <c r="AQ399" i="5"/>
  <c r="AQ354" i="5"/>
  <c r="AQ355" i="5"/>
  <c r="AQ356" i="5"/>
  <c r="AQ357" i="5"/>
  <c r="AQ358" i="5"/>
  <c r="AQ359" i="5"/>
  <c r="AQ360" i="5"/>
  <c r="AQ361" i="5"/>
  <c r="AQ362" i="5"/>
  <c r="AQ363" i="5"/>
  <c r="AQ175" i="5"/>
  <c r="AQ365" i="5"/>
  <c r="AQ408" i="5"/>
  <c r="AQ367" i="5"/>
  <c r="AQ173" i="5"/>
  <c r="AQ398" i="5"/>
  <c r="AQ370" i="5"/>
  <c r="AQ371" i="5"/>
  <c r="AQ372" i="5"/>
  <c r="AQ373" i="5"/>
  <c r="AQ374" i="5"/>
  <c r="AQ375" i="5"/>
  <c r="AQ376" i="5"/>
  <c r="AQ377" i="5"/>
  <c r="AQ378" i="5"/>
  <c r="AQ379" i="5"/>
  <c r="AQ380" i="5"/>
  <c r="AQ381" i="5"/>
  <c r="AQ382" i="5"/>
  <c r="AQ383" i="5"/>
  <c r="AQ384" i="5"/>
  <c r="AQ385" i="5"/>
  <c r="AQ386" i="5"/>
  <c r="AQ387" i="5"/>
  <c r="AQ388" i="5"/>
  <c r="AQ389" i="5"/>
  <c r="AQ390" i="5"/>
  <c r="AQ391" i="5"/>
  <c r="AQ392" i="5"/>
  <c r="AQ393" i="5"/>
  <c r="AQ394" i="5"/>
  <c r="AQ395" i="5"/>
  <c r="AQ396" i="5"/>
  <c r="AQ397" i="5"/>
  <c r="AQ166" i="5"/>
  <c r="AQ187" i="5"/>
  <c r="AQ400" i="5"/>
  <c r="AQ401" i="5"/>
  <c r="AQ403" i="5"/>
  <c r="AQ404" i="5"/>
  <c r="AQ405" i="5"/>
  <c r="AQ164" i="5"/>
  <c r="AQ185" i="5"/>
  <c r="AQ410" i="5"/>
  <c r="AQ411" i="5"/>
  <c r="AQ412" i="5"/>
  <c r="AQ413" i="5"/>
  <c r="AQ414" i="5"/>
  <c r="AQ415" i="5"/>
  <c r="AQ416" i="5"/>
  <c r="AQ417" i="5"/>
  <c r="AQ418" i="5"/>
  <c r="AQ419" i="5"/>
  <c r="AQ420" i="5"/>
  <c r="AQ421" i="5"/>
  <c r="AQ422" i="5"/>
  <c r="AQ423" i="5"/>
  <c r="AQ424" i="5"/>
  <c r="AQ425" i="5"/>
  <c r="AQ426" i="5"/>
  <c r="AQ427" i="5"/>
  <c r="AQ428" i="5"/>
  <c r="AQ429" i="5"/>
  <c r="AQ430" i="5"/>
  <c r="AQ431" i="5"/>
  <c r="AQ432" i="5"/>
  <c r="AQ433" i="5"/>
  <c r="AQ434" i="5"/>
  <c r="AQ435" i="5"/>
  <c r="AQ436" i="5"/>
  <c r="AQ437" i="5"/>
  <c r="AQ438" i="5"/>
  <c r="AQ439" i="5"/>
  <c r="AQ440" i="5"/>
  <c r="AQ441" i="5"/>
  <c r="AQ442" i="5"/>
  <c r="AQ443" i="5"/>
  <c r="AQ444" i="5"/>
  <c r="AQ445" i="5"/>
  <c r="AQ446" i="5"/>
  <c r="AQ447" i="5"/>
  <c r="AQ448" i="5"/>
  <c r="AQ449" i="5"/>
  <c r="AQ450" i="5"/>
  <c r="AQ451" i="5"/>
  <c r="AQ452" i="5"/>
  <c r="AQ453" i="5"/>
  <c r="AQ454" i="5"/>
  <c r="AQ455" i="5"/>
  <c r="AQ456" i="5"/>
  <c r="AQ457" i="5"/>
  <c r="AQ458" i="5"/>
  <c r="AQ459" i="5"/>
  <c r="AQ460" i="5"/>
  <c r="AQ461" i="5"/>
  <c r="AQ462" i="5"/>
  <c r="AQ463" i="5"/>
  <c r="AQ464" i="5"/>
  <c r="AQ465" i="5"/>
  <c r="AQ466" i="5"/>
  <c r="AQ467" i="5"/>
  <c r="AQ468" i="5"/>
  <c r="AQ469" i="5"/>
  <c r="AQ470" i="5"/>
  <c r="AQ471" i="5"/>
  <c r="AQ472" i="5"/>
  <c r="AQ473" i="5"/>
  <c r="AQ474" i="5"/>
  <c r="AQ475" i="5"/>
  <c r="AQ476" i="5"/>
  <c r="AQ477" i="5"/>
  <c r="AQ478" i="5"/>
  <c r="AQ479" i="5"/>
  <c r="AQ480" i="5"/>
  <c r="AQ481" i="5"/>
  <c r="AQ482" i="5"/>
  <c r="AQ483" i="5"/>
  <c r="AQ484" i="5"/>
  <c r="AQ485" i="5"/>
  <c r="AQ486" i="5"/>
  <c r="AQ487" i="5"/>
  <c r="AQ488" i="5"/>
  <c r="AQ489" i="5"/>
  <c r="AQ490" i="5"/>
  <c r="AQ491" i="5"/>
  <c r="AQ492" i="5"/>
  <c r="AQ493" i="5"/>
  <c r="AQ494" i="5"/>
  <c r="AQ495" i="5"/>
  <c r="AQ496" i="5"/>
  <c r="AQ497" i="5"/>
  <c r="AQ498" i="5"/>
  <c r="AQ499" i="5"/>
  <c r="AQ500" i="5"/>
  <c r="AQ501" i="5"/>
  <c r="AQ502" i="5"/>
  <c r="AQ503" i="5"/>
  <c r="AQ504" i="5"/>
  <c r="AQ505" i="5"/>
  <c r="AQ506" i="5"/>
  <c r="AQ507" i="5"/>
  <c r="AQ508" i="5"/>
  <c r="AQ509" i="5"/>
  <c r="AQ510" i="5"/>
  <c r="AQ511" i="5"/>
  <c r="AQ512" i="5"/>
  <c r="AQ513" i="5"/>
  <c r="AQ514" i="5"/>
  <c r="AQ515" i="5"/>
  <c r="AQ516" i="5"/>
  <c r="AQ517" i="5"/>
  <c r="AQ518" i="5"/>
  <c r="AQ519" i="5"/>
  <c r="AQ520" i="5"/>
  <c r="AQ521" i="5"/>
  <c r="AQ522" i="5"/>
  <c r="AQ523" i="5"/>
  <c r="AQ524" i="5"/>
  <c r="AQ525" i="5"/>
  <c r="AQ526" i="5"/>
  <c r="AQ527" i="5"/>
  <c r="AQ528" i="5"/>
  <c r="AQ529" i="5"/>
  <c r="AQ530" i="5"/>
  <c r="AQ531" i="5"/>
  <c r="AQ532" i="5"/>
  <c r="AQ533" i="5"/>
  <c r="AQ534" i="5"/>
  <c r="AQ535" i="5"/>
  <c r="AQ536" i="5"/>
  <c r="AQ537" i="5"/>
  <c r="AQ538" i="5"/>
  <c r="AQ539" i="5"/>
  <c r="AQ540" i="5"/>
  <c r="AQ541" i="5"/>
  <c r="AQ542" i="5"/>
  <c r="AQ543" i="5"/>
  <c r="AQ544" i="5"/>
  <c r="AQ545" i="5"/>
  <c r="AQ2" i="5"/>
  <c r="AS7" i="5"/>
  <c r="AS8" i="5"/>
  <c r="AS9" i="5"/>
  <c r="AS13" i="5"/>
  <c r="AS14" i="5"/>
  <c r="AS15" i="5"/>
  <c r="AS16" i="5"/>
  <c r="AS22" i="5"/>
  <c r="AS26" i="5"/>
  <c r="AS30" i="5"/>
  <c r="AS34" i="5"/>
  <c r="AS35" i="5"/>
  <c r="AS36" i="5"/>
  <c r="AS37" i="5"/>
  <c r="AS38" i="5"/>
  <c r="AS39" i="5"/>
  <c r="AS46" i="5"/>
  <c r="AS47" i="5"/>
  <c r="AS48" i="5"/>
  <c r="AS50" i="5"/>
  <c r="AS56" i="5"/>
  <c r="AS60" i="5"/>
  <c r="AS63" i="5"/>
  <c r="AS64" i="5"/>
  <c r="AS65" i="5"/>
  <c r="AS67" i="5"/>
  <c r="AS68" i="5"/>
  <c r="AS72" i="5"/>
  <c r="AS75" i="5"/>
  <c r="AS76" i="5"/>
  <c r="AS77" i="5"/>
  <c r="AS78" i="5"/>
  <c r="AS81" i="5"/>
  <c r="AS83" i="5"/>
  <c r="AS84" i="5"/>
  <c r="AS85" i="5"/>
  <c r="AS86" i="5"/>
  <c r="AS87" i="5"/>
  <c r="AS88" i="5"/>
  <c r="AS89" i="5"/>
  <c r="AS90" i="5"/>
  <c r="AS91" i="5"/>
  <c r="AS92" i="5"/>
  <c r="AS93" i="5"/>
  <c r="AS94" i="5"/>
  <c r="AS95" i="5"/>
  <c r="AS96" i="5"/>
  <c r="AS97" i="5"/>
  <c r="AS98" i="5"/>
  <c r="AS100" i="5"/>
  <c r="AS101" i="5"/>
  <c r="AS102" i="5"/>
  <c r="AS103" i="5"/>
  <c r="AS104" i="5"/>
  <c r="AS105" i="5"/>
  <c r="AS112" i="5"/>
  <c r="AS113" i="5"/>
  <c r="AS114" i="5"/>
  <c r="AS115" i="5"/>
  <c r="AS116" i="5"/>
  <c r="AS117" i="5"/>
  <c r="AS118" i="5"/>
  <c r="AS119" i="5"/>
  <c r="AS120" i="5"/>
  <c r="AS121" i="5"/>
  <c r="AS122" i="5"/>
  <c r="AS123" i="5"/>
  <c r="AS124" i="5"/>
  <c r="AS125" i="5"/>
  <c r="AS126" i="5"/>
  <c r="AS127" i="5"/>
  <c r="AS128" i="5"/>
  <c r="AS158" i="5"/>
  <c r="AS159" i="5"/>
  <c r="AS160" i="5"/>
  <c r="AS181" i="5"/>
  <c r="AS155" i="5"/>
  <c r="AS178" i="5"/>
  <c r="AS170" i="5"/>
  <c r="AS366" i="5"/>
  <c r="AS171" i="5"/>
  <c r="AS368" i="5"/>
  <c r="AS157" i="5"/>
  <c r="AS180" i="5"/>
  <c r="AS163" i="5"/>
  <c r="AS184" i="5"/>
  <c r="AS169" i="5"/>
  <c r="AS364" i="5"/>
  <c r="AS156" i="5"/>
  <c r="AS179" i="5"/>
  <c r="AS168" i="5"/>
  <c r="AS353" i="5"/>
  <c r="AS161" i="5"/>
  <c r="AS182" i="5"/>
  <c r="AS162" i="5"/>
  <c r="AS183" i="5"/>
  <c r="AS165" i="5"/>
  <c r="AS186" i="5"/>
  <c r="AS167" i="5"/>
  <c r="AS352" i="5"/>
  <c r="AS172" i="5"/>
  <c r="AS369" i="5"/>
  <c r="AS188" i="5"/>
  <c r="AS189" i="5"/>
  <c r="AS191" i="5"/>
  <c r="AS192" i="5"/>
  <c r="AS193" i="5"/>
  <c r="AS194" i="5"/>
  <c r="AS195" i="5"/>
  <c r="AS196" i="5"/>
  <c r="AS197" i="5"/>
  <c r="AS198" i="5"/>
  <c r="AS199" i="5"/>
  <c r="AS200" i="5"/>
  <c r="AS201" i="5"/>
  <c r="AS202" i="5"/>
  <c r="AS203" i="5"/>
  <c r="AS204" i="5"/>
  <c r="AS205" i="5"/>
  <c r="AS206" i="5"/>
  <c r="AS207" i="5"/>
  <c r="AS208" i="5"/>
  <c r="AS209" i="5"/>
  <c r="AS210" i="5"/>
  <c r="AS211" i="5"/>
  <c r="AS212" i="5"/>
  <c r="AS214" i="5"/>
  <c r="AS215" i="5"/>
  <c r="AS216" i="5"/>
  <c r="AS217" i="5"/>
  <c r="AS218" i="5"/>
  <c r="AS219" i="5"/>
  <c r="AS220" i="5"/>
  <c r="AS221" i="5"/>
  <c r="AS222" i="5"/>
  <c r="AS223" i="5"/>
  <c r="AS224" i="5"/>
  <c r="AS225" i="5"/>
  <c r="AS227" i="5"/>
  <c r="AS229" i="5"/>
  <c r="AS231" i="5"/>
  <c r="AS232" i="5"/>
  <c r="AS233" i="5"/>
  <c r="AS236" i="5"/>
  <c r="AS237" i="5"/>
  <c r="AS238" i="5"/>
  <c r="AS240" i="5"/>
  <c r="AS241" i="5"/>
  <c r="AS242" i="5"/>
  <c r="AS243" i="5"/>
  <c r="AS244" i="5"/>
  <c r="AS245" i="5"/>
  <c r="AS246" i="5"/>
  <c r="AS247" i="5"/>
  <c r="AS248" i="5"/>
  <c r="AS249" i="5"/>
  <c r="AS250" i="5"/>
  <c r="AS251" i="5"/>
  <c r="AS252" i="5"/>
  <c r="AS253" i="5"/>
  <c r="AS254" i="5"/>
  <c r="AS255" i="5"/>
  <c r="AS256" i="5"/>
  <c r="AS257" i="5"/>
  <c r="AS258" i="5"/>
  <c r="AS259" i="5"/>
  <c r="AS260" i="5"/>
  <c r="AS261" i="5"/>
  <c r="AS262" i="5"/>
  <c r="AS263" i="5"/>
  <c r="AS264" i="5"/>
  <c r="AS265" i="5"/>
  <c r="AS266" i="5"/>
  <c r="AS267" i="5"/>
  <c r="AS268" i="5"/>
  <c r="AS269" i="5"/>
  <c r="AS270" i="5"/>
  <c r="AS271" i="5"/>
  <c r="AS272" i="5"/>
  <c r="AS273" i="5"/>
  <c r="AS274" i="5"/>
  <c r="AS275" i="5"/>
  <c r="AS276" i="5"/>
  <c r="AS277" i="5"/>
  <c r="AS278" i="5"/>
  <c r="AS279" i="5"/>
  <c r="AS280" i="5"/>
  <c r="AS281" i="5"/>
  <c r="AS282" i="5"/>
  <c r="AS283" i="5"/>
  <c r="AS284" i="5"/>
  <c r="AS285" i="5"/>
  <c r="AS287" i="5"/>
  <c r="AS289" i="5"/>
  <c r="AS290" i="5"/>
  <c r="AS291" i="5"/>
  <c r="AS292" i="5"/>
  <c r="AS294" i="5"/>
  <c r="AS299" i="5"/>
  <c r="AS300" i="5"/>
  <c r="AS301" i="5"/>
  <c r="AS302" i="5"/>
  <c r="AS303" i="5"/>
  <c r="AS304" i="5"/>
  <c r="AS305" i="5"/>
  <c r="AS306" i="5"/>
  <c r="AS307" i="5"/>
  <c r="AS308" i="5"/>
  <c r="AS309" i="5"/>
  <c r="AS310" i="5"/>
  <c r="AS311" i="5"/>
  <c r="AS312" i="5"/>
  <c r="AS313" i="5"/>
  <c r="AS314" i="5"/>
  <c r="AS315" i="5"/>
  <c r="AS316" i="5"/>
  <c r="AS317" i="5"/>
  <c r="AS318" i="5"/>
  <c r="AS319" i="5"/>
  <c r="AS321" i="5"/>
  <c r="AS322" i="5"/>
  <c r="AS323" i="5"/>
  <c r="AS324" i="5"/>
  <c r="AS325" i="5"/>
  <c r="AS327" i="5"/>
  <c r="AS328" i="5"/>
  <c r="AS329" i="5"/>
  <c r="AS330" i="5"/>
  <c r="AS331" i="5"/>
  <c r="AS332" i="5"/>
  <c r="AS333" i="5"/>
  <c r="AS334" i="5"/>
  <c r="AS335" i="5"/>
  <c r="AS336" i="5"/>
  <c r="AS337" i="5"/>
  <c r="AS338" i="5"/>
  <c r="AS339" i="5"/>
  <c r="AS340" i="5"/>
  <c r="AS341" i="5"/>
  <c r="AS342" i="5"/>
  <c r="AS343" i="5"/>
  <c r="AS344" i="5"/>
  <c r="AS345" i="5"/>
  <c r="AS346" i="5"/>
  <c r="AS347" i="5"/>
  <c r="AS348" i="5"/>
  <c r="AS349" i="5"/>
  <c r="AS350" i="5"/>
  <c r="AS351" i="5"/>
  <c r="AS174" i="5"/>
  <c r="AS399" i="5"/>
  <c r="AS354" i="5"/>
  <c r="AS355" i="5"/>
  <c r="AS356" i="5"/>
  <c r="AS357" i="5"/>
  <c r="AS358" i="5"/>
  <c r="AS359" i="5"/>
  <c r="AS360" i="5"/>
  <c r="AS361" i="5"/>
  <c r="AS362" i="5"/>
  <c r="AS363" i="5"/>
  <c r="AS175" i="5"/>
  <c r="AS365" i="5"/>
  <c r="AS408" i="5"/>
  <c r="AS367" i="5"/>
  <c r="AS173" i="5"/>
  <c r="AS398" i="5"/>
  <c r="AS370" i="5"/>
  <c r="AS371" i="5"/>
  <c r="AS372" i="5"/>
  <c r="AS373" i="5"/>
  <c r="AS374" i="5"/>
  <c r="AS375" i="5"/>
  <c r="AS376" i="5"/>
  <c r="AS377" i="5"/>
  <c r="AS378" i="5"/>
  <c r="AS379" i="5"/>
  <c r="AS380" i="5"/>
  <c r="AS381" i="5"/>
  <c r="AS382" i="5"/>
  <c r="AS383" i="5"/>
  <c r="AS384" i="5"/>
  <c r="AS385" i="5"/>
  <c r="AS386" i="5"/>
  <c r="AS387" i="5"/>
  <c r="AS388" i="5"/>
  <c r="AS389" i="5"/>
  <c r="AS390" i="5"/>
  <c r="AS391" i="5"/>
  <c r="AS392" i="5"/>
  <c r="AS393" i="5"/>
  <c r="AS394" i="5"/>
  <c r="AS395" i="5"/>
  <c r="AS396" i="5"/>
  <c r="AS397" i="5"/>
  <c r="AS166" i="5"/>
  <c r="AS187" i="5"/>
  <c r="AS400" i="5"/>
  <c r="AS401" i="5"/>
  <c r="AS403" i="5"/>
  <c r="AS404" i="5"/>
  <c r="AS405" i="5"/>
  <c r="AS164" i="5"/>
  <c r="AS185" i="5"/>
  <c r="AS410" i="5"/>
  <c r="AS411" i="5"/>
  <c r="AS412" i="5"/>
  <c r="AS413" i="5"/>
  <c r="AS414" i="5"/>
  <c r="AS415" i="5"/>
  <c r="AS416" i="5"/>
  <c r="AS417" i="5"/>
  <c r="AS418" i="5"/>
  <c r="AS419" i="5"/>
  <c r="AS420" i="5"/>
  <c r="AS421" i="5"/>
  <c r="AS422" i="5"/>
  <c r="AS423" i="5"/>
  <c r="AS424" i="5"/>
  <c r="AS425" i="5"/>
  <c r="AS426" i="5"/>
  <c r="AS427" i="5"/>
  <c r="AS428" i="5"/>
  <c r="AS429" i="5"/>
  <c r="AS430" i="5"/>
  <c r="AS431" i="5"/>
  <c r="AS432" i="5"/>
  <c r="AS433" i="5"/>
  <c r="AS434" i="5"/>
  <c r="AS435" i="5"/>
  <c r="AS436" i="5"/>
  <c r="AS437" i="5"/>
  <c r="AS438" i="5"/>
  <c r="AS439" i="5"/>
  <c r="AS440" i="5"/>
  <c r="AS441" i="5"/>
  <c r="AS442" i="5"/>
  <c r="AS443" i="5"/>
  <c r="AS444" i="5"/>
  <c r="AS445" i="5"/>
  <c r="AS446" i="5"/>
  <c r="AS447" i="5"/>
  <c r="AS448" i="5"/>
  <c r="AS449" i="5"/>
  <c r="AS450" i="5"/>
  <c r="AS451" i="5"/>
  <c r="AS452" i="5"/>
  <c r="AS453" i="5"/>
  <c r="AS454" i="5"/>
  <c r="AS455" i="5"/>
  <c r="AS456" i="5"/>
  <c r="AS457" i="5"/>
  <c r="AS458" i="5"/>
  <c r="AS459" i="5"/>
  <c r="AS460" i="5"/>
  <c r="AS461" i="5"/>
  <c r="AS462" i="5"/>
  <c r="AS463" i="5"/>
  <c r="AS464" i="5"/>
  <c r="AS465" i="5"/>
  <c r="AS466" i="5"/>
  <c r="AS467" i="5"/>
  <c r="AS468" i="5"/>
  <c r="AS469" i="5"/>
  <c r="AS470" i="5"/>
  <c r="AS471" i="5"/>
  <c r="AS472" i="5"/>
  <c r="AS473" i="5"/>
  <c r="AS474" i="5"/>
  <c r="AS475" i="5"/>
  <c r="AS476" i="5"/>
  <c r="AS477" i="5"/>
  <c r="AS478" i="5"/>
  <c r="AS479" i="5"/>
  <c r="AS480" i="5"/>
  <c r="AS481" i="5"/>
  <c r="AS482" i="5"/>
  <c r="AS483" i="5"/>
  <c r="AS484" i="5"/>
  <c r="AS485" i="5"/>
  <c r="AS486" i="5"/>
  <c r="AS487" i="5"/>
  <c r="AS488" i="5"/>
  <c r="AS489" i="5"/>
  <c r="AS490" i="5"/>
  <c r="AS491" i="5"/>
  <c r="AS492" i="5"/>
  <c r="AS493" i="5"/>
  <c r="AS494" i="5"/>
  <c r="AS495" i="5"/>
  <c r="AS496" i="5"/>
  <c r="AS497" i="5"/>
  <c r="AS498" i="5"/>
  <c r="AS499" i="5"/>
  <c r="AS500" i="5"/>
  <c r="AS501" i="5"/>
  <c r="AS502" i="5"/>
  <c r="AS503" i="5"/>
  <c r="AS504" i="5"/>
  <c r="AS505" i="5"/>
  <c r="AS506" i="5"/>
  <c r="AS507" i="5"/>
  <c r="AS508" i="5"/>
  <c r="AS509" i="5"/>
  <c r="AS510" i="5"/>
  <c r="AS511" i="5"/>
  <c r="AS512" i="5"/>
  <c r="AS513" i="5"/>
  <c r="AS514" i="5"/>
  <c r="AS515" i="5"/>
  <c r="AS516" i="5"/>
  <c r="AS517" i="5"/>
  <c r="AS518" i="5"/>
  <c r="AS519" i="5"/>
  <c r="AS520" i="5"/>
  <c r="AS521" i="5"/>
  <c r="AS522" i="5"/>
  <c r="AS523" i="5"/>
  <c r="AS524" i="5"/>
  <c r="AS525" i="5"/>
  <c r="AS526" i="5"/>
  <c r="AS527" i="5"/>
  <c r="AS528" i="5"/>
  <c r="AS529" i="5"/>
  <c r="AS530" i="5"/>
  <c r="AS531" i="5"/>
  <c r="AS533" i="5"/>
  <c r="AS536" i="5"/>
  <c r="AS537" i="5"/>
  <c r="AS538" i="5"/>
  <c r="AS539" i="5"/>
  <c r="AS540" i="5"/>
  <c r="AS541" i="5"/>
  <c r="AS542" i="5"/>
  <c r="AS543" i="5"/>
  <c r="AS544" i="5"/>
  <c r="AV7" i="5"/>
  <c r="AV8" i="5"/>
  <c r="AV9" i="5"/>
  <c r="AV13" i="5"/>
  <c r="AV14" i="5"/>
  <c r="AV15" i="5"/>
  <c r="AV16" i="5"/>
  <c r="AV17" i="5"/>
  <c r="AV22" i="5"/>
  <c r="AV26" i="5"/>
  <c r="AV30" i="5"/>
  <c r="AV34" i="5"/>
  <c r="AV35" i="5"/>
  <c r="AV36" i="5"/>
  <c r="AV37" i="5"/>
  <c r="AV38" i="5"/>
  <c r="AV39" i="5"/>
  <c r="AV40" i="5"/>
  <c r="AV46" i="5"/>
  <c r="AV47" i="5"/>
  <c r="AV48" i="5"/>
  <c r="AV49" i="5"/>
  <c r="AV50" i="5"/>
  <c r="AV56" i="5"/>
  <c r="AV60" i="5"/>
  <c r="AV63" i="5"/>
  <c r="AV64" i="5"/>
  <c r="AV65" i="5"/>
  <c r="AV67" i="5"/>
  <c r="AV68" i="5"/>
  <c r="AV72" i="5"/>
  <c r="AV75" i="5"/>
  <c r="AV76" i="5"/>
  <c r="AV77" i="5"/>
  <c r="AV78" i="5"/>
  <c r="AV81" i="5"/>
  <c r="AV83" i="5"/>
  <c r="AV84" i="5"/>
  <c r="AV85" i="5"/>
  <c r="AV86" i="5"/>
  <c r="AV87" i="5"/>
  <c r="AV88" i="5"/>
  <c r="AV89" i="5"/>
  <c r="AV90" i="5"/>
  <c r="AV91" i="5"/>
  <c r="AV92" i="5"/>
  <c r="AV93" i="5"/>
  <c r="AV94" i="5"/>
  <c r="AV95" i="5"/>
  <c r="AV96" i="5"/>
  <c r="AV97" i="5"/>
  <c r="AV98" i="5"/>
  <c r="AV100" i="5"/>
  <c r="AV101" i="5"/>
  <c r="AV102" i="5"/>
  <c r="AV103" i="5"/>
  <c r="AV104" i="5"/>
  <c r="AV105" i="5"/>
  <c r="AV112" i="5"/>
  <c r="AV113" i="5"/>
  <c r="AV114" i="5"/>
  <c r="AV115" i="5"/>
  <c r="AV116" i="5"/>
  <c r="AV117" i="5"/>
  <c r="AV118" i="5"/>
  <c r="AV119" i="5"/>
  <c r="AV120" i="5"/>
  <c r="AV121" i="5"/>
  <c r="AV122" i="5"/>
  <c r="AV123" i="5"/>
  <c r="AV124" i="5"/>
  <c r="AV125" i="5"/>
  <c r="AV126" i="5"/>
  <c r="AV127" i="5"/>
  <c r="AV128" i="5"/>
  <c r="AV129" i="5"/>
  <c r="AV130" i="5"/>
  <c r="AV133" i="5"/>
  <c r="AV135" i="5"/>
  <c r="AV136" i="5"/>
  <c r="AV138" i="5"/>
  <c r="AV140" i="5"/>
  <c r="AV141" i="5"/>
  <c r="AV143" i="5"/>
  <c r="AV144" i="5"/>
  <c r="AV145" i="5"/>
  <c r="AV146" i="5"/>
  <c r="AV147" i="5"/>
  <c r="AV148" i="5"/>
  <c r="AV152" i="5"/>
  <c r="AV158" i="5"/>
  <c r="AV159" i="5"/>
  <c r="AV160" i="5"/>
  <c r="AV181" i="5"/>
  <c r="AV155" i="5"/>
  <c r="AV178" i="5"/>
  <c r="AV170" i="5"/>
  <c r="AV366" i="5"/>
  <c r="AV171" i="5"/>
  <c r="AV368" i="5"/>
  <c r="AV157" i="5"/>
  <c r="AV180" i="5"/>
  <c r="AV163" i="5"/>
  <c r="AV184" i="5"/>
  <c r="AV169" i="5"/>
  <c r="AV364" i="5"/>
  <c r="AV156" i="5"/>
  <c r="AV179" i="5"/>
  <c r="AV168" i="5"/>
  <c r="AV353" i="5"/>
  <c r="AV161" i="5"/>
  <c r="AV182" i="5"/>
  <c r="AV162" i="5"/>
  <c r="AV183" i="5"/>
  <c r="AV165" i="5"/>
  <c r="AV186" i="5"/>
  <c r="AV167" i="5"/>
  <c r="AV352" i="5"/>
  <c r="AV172" i="5"/>
  <c r="AV369" i="5"/>
  <c r="AV188" i="5"/>
  <c r="AV189" i="5"/>
  <c r="AV191" i="5"/>
  <c r="AV192" i="5"/>
  <c r="AV193" i="5"/>
  <c r="AV194" i="5"/>
  <c r="AV195" i="5"/>
  <c r="AV196" i="5"/>
  <c r="AV197" i="5"/>
  <c r="AV198" i="5"/>
  <c r="AV199" i="5"/>
  <c r="AV200" i="5"/>
  <c r="AV201" i="5"/>
  <c r="AV202" i="5"/>
  <c r="AV203" i="5"/>
  <c r="AV204" i="5"/>
  <c r="AV205" i="5"/>
  <c r="AV206" i="5"/>
  <c r="AV207" i="5"/>
  <c r="AV208" i="5"/>
  <c r="AV209" i="5"/>
  <c r="AV210" i="5"/>
  <c r="AV211" i="5"/>
  <c r="AV212" i="5"/>
  <c r="AV214" i="5"/>
  <c r="AV215" i="5"/>
  <c r="AV216" i="5"/>
  <c r="AV217" i="5"/>
  <c r="AV218" i="5"/>
  <c r="AV219" i="5"/>
  <c r="AV220" i="5"/>
  <c r="AV221" i="5"/>
  <c r="AV222" i="5"/>
  <c r="AV223" i="5"/>
  <c r="AV224" i="5"/>
  <c r="AV225" i="5"/>
  <c r="AV227" i="5"/>
  <c r="AV229" i="5"/>
  <c r="AV231" i="5"/>
  <c r="AV232" i="5"/>
  <c r="AV233" i="5"/>
  <c r="AV236" i="5"/>
  <c r="AV237" i="5"/>
  <c r="AV238" i="5"/>
  <c r="AV240" i="5"/>
  <c r="AV241" i="5"/>
  <c r="AV242" i="5"/>
  <c r="AV243" i="5"/>
  <c r="AV244" i="5"/>
  <c r="AV245" i="5"/>
  <c r="AV246" i="5"/>
  <c r="AV247" i="5"/>
  <c r="AV248" i="5"/>
  <c r="AV249" i="5"/>
  <c r="AV250" i="5"/>
  <c r="AV251" i="5"/>
  <c r="AV252" i="5"/>
  <c r="AV253" i="5"/>
  <c r="AV254" i="5"/>
  <c r="AV255" i="5"/>
  <c r="AV256" i="5"/>
  <c r="AV257" i="5"/>
  <c r="AV258" i="5"/>
  <c r="AV259" i="5"/>
  <c r="AV260" i="5"/>
  <c r="AV261" i="5"/>
  <c r="AV262" i="5"/>
  <c r="AV263" i="5"/>
  <c r="AV264" i="5"/>
  <c r="AV265" i="5"/>
  <c r="AV266" i="5"/>
  <c r="AV267" i="5"/>
  <c r="AV268" i="5"/>
  <c r="AV269" i="5"/>
  <c r="AV270" i="5"/>
  <c r="AV271" i="5"/>
  <c r="AV272" i="5"/>
  <c r="AV273" i="5"/>
  <c r="AV274" i="5"/>
  <c r="AV275" i="5"/>
  <c r="AV276" i="5"/>
  <c r="AV277" i="5"/>
  <c r="AV278" i="5"/>
  <c r="AV279" i="5"/>
  <c r="AV280" i="5"/>
  <c r="AV281" i="5"/>
  <c r="AV282" i="5"/>
  <c r="AV283" i="5"/>
  <c r="AV284" i="5"/>
  <c r="AV285" i="5"/>
  <c r="AV286" i="5"/>
  <c r="AV287" i="5"/>
  <c r="AV288" i="5"/>
  <c r="AV289" i="5"/>
  <c r="AV290" i="5"/>
  <c r="AV291" i="5"/>
  <c r="AV292" i="5"/>
  <c r="AV294" i="5"/>
  <c r="AV299" i="5"/>
  <c r="AV300" i="5"/>
  <c r="AV301" i="5"/>
  <c r="AV302" i="5"/>
  <c r="AV303" i="5"/>
  <c r="AV304" i="5"/>
  <c r="AV305" i="5"/>
  <c r="AV306" i="5"/>
  <c r="AV307" i="5"/>
  <c r="AV308" i="5"/>
  <c r="AV309" i="5"/>
  <c r="AV310" i="5"/>
  <c r="AV311" i="5"/>
  <c r="AV312" i="5"/>
  <c r="AV313" i="5"/>
  <c r="AV314" i="5"/>
  <c r="AV315" i="5"/>
  <c r="AV316" i="5"/>
  <c r="AV317" i="5"/>
  <c r="AV318" i="5"/>
  <c r="AV319" i="5"/>
  <c r="AV321" i="5"/>
  <c r="AV322" i="5"/>
  <c r="AV323" i="5"/>
  <c r="AV324" i="5"/>
  <c r="AV325" i="5"/>
  <c r="AV327" i="5"/>
  <c r="AV328" i="5"/>
  <c r="AV329" i="5"/>
  <c r="AV330" i="5"/>
  <c r="AV331" i="5"/>
  <c r="AV332" i="5"/>
  <c r="AV333" i="5"/>
  <c r="AV334" i="5"/>
  <c r="AV335" i="5"/>
  <c r="AV336" i="5"/>
  <c r="AV337" i="5"/>
  <c r="AV338" i="5"/>
  <c r="AV339" i="5"/>
  <c r="AV340" i="5"/>
  <c r="AV341" i="5"/>
  <c r="AV342" i="5"/>
  <c r="AV343" i="5"/>
  <c r="AV344" i="5"/>
  <c r="AV345" i="5"/>
  <c r="AV346" i="5"/>
  <c r="AV347" i="5"/>
  <c r="AV348" i="5"/>
  <c r="AV349" i="5"/>
  <c r="AV350" i="5"/>
  <c r="AV351" i="5"/>
  <c r="AV174" i="5"/>
  <c r="AV399" i="5"/>
  <c r="AV354" i="5"/>
  <c r="AV355" i="5"/>
  <c r="AV356" i="5"/>
  <c r="AV357" i="5"/>
  <c r="AV358" i="5"/>
  <c r="AV359" i="5"/>
  <c r="AV360" i="5"/>
  <c r="AV361" i="5"/>
  <c r="AV362" i="5"/>
  <c r="AV363" i="5"/>
  <c r="AV175" i="5"/>
  <c r="AV365" i="5"/>
  <c r="AV408" i="5"/>
  <c r="AV367" i="5"/>
  <c r="AV173" i="5"/>
  <c r="AV398" i="5"/>
  <c r="AV370" i="5"/>
  <c r="AV371" i="5"/>
  <c r="AV372" i="5"/>
  <c r="AV373" i="5"/>
  <c r="AV374" i="5"/>
  <c r="AV375" i="5"/>
  <c r="AV376" i="5"/>
  <c r="AV377" i="5"/>
  <c r="AV378" i="5"/>
  <c r="AV379" i="5"/>
  <c r="AV380" i="5"/>
  <c r="AV381" i="5"/>
  <c r="AV382" i="5"/>
  <c r="AV383" i="5"/>
  <c r="AV384" i="5"/>
  <c r="AV385" i="5"/>
  <c r="AV386" i="5"/>
  <c r="AV387" i="5"/>
  <c r="AV388" i="5"/>
  <c r="AV389" i="5"/>
  <c r="AV390" i="5"/>
  <c r="AV391" i="5"/>
  <c r="AV392" i="5"/>
  <c r="AV393" i="5"/>
  <c r="AV394" i="5"/>
  <c r="AV395" i="5"/>
  <c r="AV396" i="5"/>
  <c r="AV397" i="5"/>
  <c r="AV166" i="5"/>
  <c r="AV187" i="5"/>
  <c r="AV400" i="5"/>
  <c r="AV401" i="5"/>
  <c r="AV403" i="5"/>
  <c r="AV404" i="5"/>
  <c r="AV405" i="5"/>
  <c r="AV164" i="5"/>
  <c r="AV185" i="5"/>
  <c r="AV410" i="5"/>
  <c r="AV411" i="5"/>
  <c r="AV412" i="5"/>
  <c r="AV413" i="5"/>
  <c r="AV414" i="5"/>
  <c r="AV415" i="5"/>
  <c r="AV416" i="5"/>
  <c r="AV417" i="5"/>
  <c r="AV418" i="5"/>
  <c r="AV419" i="5"/>
  <c r="AV420" i="5"/>
  <c r="AV421" i="5"/>
  <c r="AV422" i="5"/>
  <c r="AV423" i="5"/>
  <c r="AV424" i="5"/>
  <c r="AV425" i="5"/>
  <c r="AV426" i="5"/>
  <c r="AV427" i="5"/>
  <c r="AV428" i="5"/>
  <c r="AV429" i="5"/>
  <c r="AV430" i="5"/>
  <c r="AV431" i="5"/>
  <c r="AV432" i="5"/>
  <c r="AV433" i="5"/>
  <c r="AV434" i="5"/>
  <c r="AV435" i="5"/>
  <c r="AV436" i="5"/>
  <c r="AV437" i="5"/>
  <c r="AV438" i="5"/>
  <c r="AV439" i="5"/>
  <c r="AV440" i="5"/>
  <c r="AV441" i="5"/>
  <c r="AV442" i="5"/>
  <c r="AV443" i="5"/>
  <c r="AV444" i="5"/>
  <c r="AV445" i="5"/>
  <c r="AV446" i="5"/>
  <c r="AV447" i="5"/>
  <c r="AV448" i="5"/>
  <c r="AV449" i="5"/>
  <c r="AV450" i="5"/>
  <c r="AV451" i="5"/>
  <c r="AV452" i="5"/>
  <c r="AV453" i="5"/>
  <c r="AV454" i="5"/>
  <c r="AV455" i="5"/>
  <c r="AV456" i="5"/>
  <c r="AV457" i="5"/>
  <c r="AV458" i="5"/>
  <c r="AV459" i="5"/>
  <c r="AV460" i="5"/>
  <c r="AV461" i="5"/>
  <c r="AV462" i="5"/>
  <c r="AV463" i="5"/>
  <c r="AV464" i="5"/>
  <c r="AV465" i="5"/>
  <c r="AV466" i="5"/>
  <c r="AV467" i="5"/>
  <c r="AV468" i="5"/>
  <c r="AV469" i="5"/>
  <c r="AV470" i="5"/>
  <c r="AV471" i="5"/>
  <c r="AV472" i="5"/>
  <c r="AV473" i="5"/>
  <c r="AV474" i="5"/>
  <c r="AV475" i="5"/>
  <c r="AV476" i="5"/>
  <c r="AV477" i="5"/>
  <c r="AV478" i="5"/>
  <c r="AV479" i="5"/>
  <c r="AV480" i="5"/>
  <c r="AV481" i="5"/>
  <c r="AV482" i="5"/>
  <c r="AV483" i="5"/>
  <c r="AV484" i="5"/>
  <c r="AV485" i="5"/>
  <c r="AV486" i="5"/>
  <c r="AV487" i="5"/>
  <c r="AV488" i="5"/>
  <c r="AV489" i="5"/>
  <c r="AV490" i="5"/>
  <c r="AV491" i="5"/>
  <c r="AV492" i="5"/>
  <c r="AV493" i="5"/>
  <c r="AV494" i="5"/>
  <c r="AV495" i="5"/>
  <c r="AV496" i="5"/>
  <c r="AV497" i="5"/>
  <c r="AV498" i="5"/>
  <c r="AV499" i="5"/>
  <c r="AV500" i="5"/>
  <c r="AV501" i="5"/>
  <c r="AV502" i="5"/>
  <c r="AV503" i="5"/>
  <c r="AV504" i="5"/>
  <c r="AV505" i="5"/>
  <c r="AV506" i="5"/>
  <c r="AV507" i="5"/>
  <c r="AV508" i="5"/>
  <c r="AV509" i="5"/>
  <c r="AV510" i="5"/>
  <c r="AV511" i="5"/>
  <c r="AV512" i="5"/>
  <c r="AV513" i="5"/>
  <c r="AV514" i="5"/>
  <c r="AV515" i="5"/>
  <c r="AV516" i="5"/>
  <c r="AV517" i="5"/>
  <c r="AV518" i="5"/>
  <c r="AV519" i="5"/>
  <c r="AV520" i="5"/>
  <c r="AV521" i="5"/>
  <c r="AV522" i="5"/>
  <c r="AV523" i="5"/>
  <c r="AV524" i="5"/>
  <c r="AV525" i="5"/>
  <c r="AV526" i="5"/>
  <c r="AV527" i="5"/>
  <c r="AV528" i="5"/>
  <c r="AV529" i="5"/>
  <c r="AV530" i="5"/>
  <c r="AV531" i="5"/>
  <c r="AV533" i="5"/>
  <c r="AV536" i="5"/>
  <c r="AV537" i="5"/>
  <c r="AV538" i="5"/>
  <c r="AV539" i="5"/>
  <c r="AV540" i="5"/>
  <c r="AV541" i="5"/>
  <c r="AV542" i="5"/>
  <c r="AV543" i="5"/>
  <c r="AV544" i="5"/>
  <c r="AU7" i="5"/>
  <c r="AU8" i="5"/>
  <c r="AU9" i="5"/>
  <c r="AU13" i="5"/>
  <c r="AU14" i="5"/>
  <c r="AU15" i="5"/>
  <c r="AU16" i="5"/>
  <c r="AU17" i="5"/>
  <c r="AU22" i="5"/>
  <c r="AU26" i="5"/>
  <c r="AU30" i="5"/>
  <c r="AU34" i="5"/>
  <c r="AU35" i="5"/>
  <c r="AU36" i="5"/>
  <c r="AU37" i="5"/>
  <c r="AU38" i="5"/>
  <c r="AU39" i="5"/>
  <c r="AU40" i="5"/>
  <c r="AU46" i="5"/>
  <c r="AU47" i="5"/>
  <c r="AU48" i="5"/>
  <c r="AU49" i="5"/>
  <c r="AU50" i="5"/>
  <c r="AU56" i="5"/>
  <c r="AU60" i="5"/>
  <c r="AU63" i="5"/>
  <c r="AU64" i="5"/>
  <c r="AU65" i="5"/>
  <c r="AU67" i="5"/>
  <c r="AU68" i="5"/>
  <c r="AU72" i="5"/>
  <c r="AU75" i="5"/>
  <c r="AU76" i="5"/>
  <c r="AU77" i="5"/>
  <c r="AU78" i="5"/>
  <c r="AU81" i="5"/>
  <c r="AU83" i="5"/>
  <c r="AU84" i="5"/>
  <c r="AU85" i="5"/>
  <c r="AU86" i="5"/>
  <c r="AU87" i="5"/>
  <c r="AU88" i="5"/>
  <c r="AU89" i="5"/>
  <c r="AU90" i="5"/>
  <c r="AU91" i="5"/>
  <c r="AU92" i="5"/>
  <c r="AU93" i="5"/>
  <c r="AU94" i="5"/>
  <c r="AU95" i="5"/>
  <c r="AU96" i="5"/>
  <c r="AU97" i="5"/>
  <c r="AU98" i="5"/>
  <c r="AU100" i="5"/>
  <c r="AU101" i="5"/>
  <c r="AU102" i="5"/>
  <c r="AU103" i="5"/>
  <c r="AU104" i="5"/>
  <c r="AU105" i="5"/>
  <c r="AU112" i="5"/>
  <c r="AU113" i="5"/>
  <c r="AU114" i="5"/>
  <c r="AU115" i="5"/>
  <c r="AU116" i="5"/>
  <c r="AU117" i="5"/>
  <c r="AU118" i="5"/>
  <c r="AU119" i="5"/>
  <c r="AU120" i="5"/>
  <c r="AU121" i="5"/>
  <c r="AU122" i="5"/>
  <c r="AU123" i="5"/>
  <c r="AU124" i="5"/>
  <c r="AU125" i="5"/>
  <c r="AU126" i="5"/>
  <c r="AU127" i="5"/>
  <c r="AU128" i="5"/>
  <c r="AU129" i="5"/>
  <c r="AU130" i="5"/>
  <c r="AU133" i="5"/>
  <c r="AU135" i="5"/>
  <c r="AU136" i="5"/>
  <c r="AU138" i="5"/>
  <c r="AU140" i="5"/>
  <c r="AU141" i="5"/>
  <c r="AU143" i="5"/>
  <c r="AU144" i="5"/>
  <c r="AU145" i="5"/>
  <c r="AU146" i="5"/>
  <c r="AU147" i="5"/>
  <c r="AU148" i="5"/>
  <c r="AU152" i="5"/>
  <c r="AU158" i="5"/>
  <c r="AU159" i="5"/>
  <c r="AU160" i="5"/>
  <c r="AU181" i="5"/>
  <c r="AU155" i="5"/>
  <c r="AU178" i="5"/>
  <c r="AU170" i="5"/>
  <c r="AU366" i="5"/>
  <c r="AU171" i="5"/>
  <c r="AU368" i="5"/>
  <c r="AU157" i="5"/>
  <c r="AU180" i="5"/>
  <c r="AU163" i="5"/>
  <c r="AU184" i="5"/>
  <c r="AU169" i="5"/>
  <c r="AU364" i="5"/>
  <c r="AU156" i="5"/>
  <c r="AU179" i="5"/>
  <c r="AU168" i="5"/>
  <c r="AU353" i="5"/>
  <c r="AU161" i="5"/>
  <c r="AU182" i="5"/>
  <c r="AU162" i="5"/>
  <c r="AU183" i="5"/>
  <c r="AU165" i="5"/>
  <c r="AU186" i="5"/>
  <c r="AU167" i="5"/>
  <c r="AU352" i="5"/>
  <c r="AU172" i="5"/>
  <c r="AU369" i="5"/>
  <c r="AU188" i="5"/>
  <c r="AU189" i="5"/>
  <c r="AU191" i="5"/>
  <c r="AU192" i="5"/>
  <c r="AU193" i="5"/>
  <c r="AU194" i="5"/>
  <c r="AU195" i="5"/>
  <c r="AU196" i="5"/>
  <c r="AU197" i="5"/>
  <c r="AU198" i="5"/>
  <c r="AU199" i="5"/>
  <c r="AU200" i="5"/>
  <c r="AU201" i="5"/>
  <c r="AU202" i="5"/>
  <c r="AU203" i="5"/>
  <c r="AU204" i="5"/>
  <c r="AU205" i="5"/>
  <c r="AU206" i="5"/>
  <c r="AU207" i="5"/>
  <c r="AU208" i="5"/>
  <c r="AU209" i="5"/>
  <c r="AU210" i="5"/>
  <c r="AU211" i="5"/>
  <c r="AU212" i="5"/>
  <c r="AU214" i="5"/>
  <c r="AU215" i="5"/>
  <c r="AU216" i="5"/>
  <c r="AU217" i="5"/>
  <c r="AU218" i="5"/>
  <c r="AU219" i="5"/>
  <c r="AU220" i="5"/>
  <c r="AU221" i="5"/>
  <c r="AU222" i="5"/>
  <c r="AU223" i="5"/>
  <c r="AU224" i="5"/>
  <c r="AU225" i="5"/>
  <c r="AU227" i="5"/>
  <c r="AU229" i="5"/>
  <c r="AU231" i="5"/>
  <c r="AU232" i="5"/>
  <c r="AU233" i="5"/>
  <c r="AU236" i="5"/>
  <c r="AU237" i="5"/>
  <c r="AU238" i="5"/>
  <c r="AU240" i="5"/>
  <c r="AU241" i="5"/>
  <c r="AU242" i="5"/>
  <c r="AU243" i="5"/>
  <c r="AU244" i="5"/>
  <c r="AU245" i="5"/>
  <c r="AU246" i="5"/>
  <c r="AU247" i="5"/>
  <c r="AU248" i="5"/>
  <c r="AU249" i="5"/>
  <c r="AU250" i="5"/>
  <c r="AU251" i="5"/>
  <c r="AU252" i="5"/>
  <c r="AU253" i="5"/>
  <c r="AU254" i="5"/>
  <c r="AU255" i="5"/>
  <c r="AU256" i="5"/>
  <c r="AU257" i="5"/>
  <c r="AU258" i="5"/>
  <c r="AU259" i="5"/>
  <c r="AU260" i="5"/>
  <c r="AU261" i="5"/>
  <c r="AU262" i="5"/>
  <c r="AU263" i="5"/>
  <c r="AU264" i="5"/>
  <c r="AU265" i="5"/>
  <c r="AU266" i="5"/>
  <c r="AU267" i="5"/>
  <c r="AU268" i="5"/>
  <c r="AU269" i="5"/>
  <c r="AU270" i="5"/>
  <c r="AU271" i="5"/>
  <c r="AU272" i="5"/>
  <c r="AU273" i="5"/>
  <c r="AU274" i="5"/>
  <c r="AU275" i="5"/>
  <c r="AU276" i="5"/>
  <c r="AU277" i="5"/>
  <c r="AU278" i="5"/>
  <c r="AU279" i="5"/>
  <c r="AU280" i="5"/>
  <c r="AU281" i="5"/>
  <c r="AU282" i="5"/>
  <c r="AU283" i="5"/>
  <c r="AU284" i="5"/>
  <c r="AU285" i="5"/>
  <c r="AU286" i="5"/>
  <c r="AU287" i="5"/>
  <c r="AU288" i="5"/>
  <c r="AU289" i="5"/>
  <c r="AU290" i="5"/>
  <c r="AU291" i="5"/>
  <c r="AU292" i="5"/>
  <c r="AU294" i="5"/>
  <c r="AU299" i="5"/>
  <c r="AU300" i="5"/>
  <c r="AU301" i="5"/>
  <c r="AU302" i="5"/>
  <c r="AU303" i="5"/>
  <c r="AU304" i="5"/>
  <c r="AU305" i="5"/>
  <c r="AU306" i="5"/>
  <c r="AU307" i="5"/>
  <c r="AU308" i="5"/>
  <c r="AU309" i="5"/>
  <c r="AU310" i="5"/>
  <c r="AU311" i="5"/>
  <c r="AU312" i="5"/>
  <c r="AU313" i="5"/>
  <c r="AU314" i="5"/>
  <c r="AU315" i="5"/>
  <c r="AU316" i="5"/>
  <c r="AU317" i="5"/>
  <c r="AU318" i="5"/>
  <c r="AU319" i="5"/>
  <c r="AU321" i="5"/>
  <c r="AU322" i="5"/>
  <c r="AU323" i="5"/>
  <c r="AU324" i="5"/>
  <c r="AU325" i="5"/>
  <c r="AU327" i="5"/>
  <c r="AU328" i="5"/>
  <c r="AU329" i="5"/>
  <c r="AU330" i="5"/>
  <c r="AU331" i="5"/>
  <c r="AU332" i="5"/>
  <c r="AU333" i="5"/>
  <c r="AU334" i="5"/>
  <c r="AU335" i="5"/>
  <c r="AU336" i="5"/>
  <c r="AU337" i="5"/>
  <c r="AU338" i="5"/>
  <c r="AU339" i="5"/>
  <c r="AU340" i="5"/>
  <c r="AU341" i="5"/>
  <c r="AU342" i="5"/>
  <c r="AU343" i="5"/>
  <c r="AU344" i="5"/>
  <c r="AU345" i="5"/>
  <c r="AU346" i="5"/>
  <c r="AU347" i="5"/>
  <c r="AU348" i="5"/>
  <c r="AU349" i="5"/>
  <c r="AU350" i="5"/>
  <c r="AU351" i="5"/>
  <c r="AU174" i="5"/>
  <c r="AU399" i="5"/>
  <c r="AU354" i="5"/>
  <c r="AU355" i="5"/>
  <c r="AU356" i="5"/>
  <c r="AU357" i="5"/>
  <c r="AU358" i="5"/>
  <c r="AU359" i="5"/>
  <c r="AU360" i="5"/>
  <c r="AU361" i="5"/>
  <c r="AU362" i="5"/>
  <c r="AU363" i="5"/>
  <c r="AU175" i="5"/>
  <c r="AU365" i="5"/>
  <c r="AU408" i="5"/>
  <c r="AU367" i="5"/>
  <c r="AU173" i="5"/>
  <c r="AU398" i="5"/>
  <c r="AU370" i="5"/>
  <c r="AU371" i="5"/>
  <c r="AU372" i="5"/>
  <c r="AU373" i="5"/>
  <c r="AU374" i="5"/>
  <c r="AU375" i="5"/>
  <c r="AU376" i="5"/>
  <c r="AU377" i="5"/>
  <c r="AU378" i="5"/>
  <c r="AU379" i="5"/>
  <c r="AU380" i="5"/>
  <c r="AU381" i="5"/>
  <c r="AU382" i="5"/>
  <c r="AU383" i="5"/>
  <c r="AU384" i="5"/>
  <c r="AU385" i="5"/>
  <c r="AU386" i="5"/>
  <c r="AU387" i="5"/>
  <c r="AU388" i="5"/>
  <c r="AU389" i="5"/>
  <c r="AU390" i="5"/>
  <c r="AU391" i="5"/>
  <c r="AU392" i="5"/>
  <c r="AU393" i="5"/>
  <c r="AU394" i="5"/>
  <c r="AU395" i="5"/>
  <c r="AU396" i="5"/>
  <c r="AU397" i="5"/>
  <c r="AU166" i="5"/>
  <c r="AU187" i="5"/>
  <c r="AU400" i="5"/>
  <c r="AU401" i="5"/>
  <c r="AU403" i="5"/>
  <c r="AU404" i="5"/>
  <c r="AU405" i="5"/>
  <c r="AU164" i="5"/>
  <c r="AU185" i="5"/>
  <c r="AU410" i="5"/>
  <c r="AU411" i="5"/>
  <c r="AU412" i="5"/>
  <c r="AU413" i="5"/>
  <c r="AU414" i="5"/>
  <c r="AU415" i="5"/>
  <c r="AU416" i="5"/>
  <c r="AU417" i="5"/>
  <c r="AU418" i="5"/>
  <c r="AU419" i="5"/>
  <c r="AU420" i="5"/>
  <c r="AU421" i="5"/>
  <c r="AU422" i="5"/>
  <c r="AU423" i="5"/>
  <c r="AU424" i="5"/>
  <c r="AU425" i="5"/>
  <c r="AU426" i="5"/>
  <c r="AU427" i="5"/>
  <c r="AU428" i="5"/>
  <c r="AU429" i="5"/>
  <c r="AU430" i="5"/>
  <c r="AU431" i="5"/>
  <c r="AU432" i="5"/>
  <c r="AU433" i="5"/>
  <c r="AU434" i="5"/>
  <c r="AU435" i="5"/>
  <c r="AU436" i="5"/>
  <c r="AU437" i="5"/>
  <c r="AU438" i="5"/>
  <c r="AU439" i="5"/>
  <c r="AU440" i="5"/>
  <c r="AU441" i="5"/>
  <c r="AU442" i="5"/>
  <c r="AU443" i="5"/>
  <c r="AU444" i="5"/>
  <c r="AU445" i="5"/>
  <c r="AU446" i="5"/>
  <c r="AU447" i="5"/>
  <c r="AU448" i="5"/>
  <c r="AU449" i="5"/>
  <c r="AU450" i="5"/>
  <c r="AU451" i="5"/>
  <c r="AU452" i="5"/>
  <c r="AU453" i="5"/>
  <c r="AU454" i="5"/>
  <c r="AU455" i="5"/>
  <c r="AU456" i="5"/>
  <c r="AU457" i="5"/>
  <c r="AU458" i="5"/>
  <c r="AU459" i="5"/>
  <c r="AU460" i="5"/>
  <c r="AU461" i="5"/>
  <c r="AU462" i="5"/>
  <c r="AU463" i="5"/>
  <c r="AU464" i="5"/>
  <c r="AU465" i="5"/>
  <c r="AU466" i="5"/>
  <c r="AU467" i="5"/>
  <c r="AU468" i="5"/>
  <c r="AU469" i="5"/>
  <c r="AU470" i="5"/>
  <c r="AU471" i="5"/>
  <c r="AU472" i="5"/>
  <c r="AU473" i="5"/>
  <c r="AU474" i="5"/>
  <c r="AU475" i="5"/>
  <c r="AU476" i="5"/>
  <c r="AU477" i="5"/>
  <c r="AU478" i="5"/>
  <c r="AU479" i="5"/>
  <c r="AU480" i="5"/>
  <c r="AU481" i="5"/>
  <c r="AU482" i="5"/>
  <c r="AU483" i="5"/>
  <c r="AU484" i="5"/>
  <c r="AU485" i="5"/>
  <c r="AU486" i="5"/>
  <c r="AU487" i="5"/>
  <c r="AU488" i="5"/>
  <c r="AU489" i="5"/>
  <c r="AU490" i="5"/>
  <c r="AU491" i="5"/>
  <c r="AU492" i="5"/>
  <c r="AU493" i="5"/>
  <c r="AU494" i="5"/>
  <c r="AU495" i="5"/>
  <c r="AU496" i="5"/>
  <c r="AU497" i="5"/>
  <c r="AU498" i="5"/>
  <c r="AU499" i="5"/>
  <c r="AU500" i="5"/>
  <c r="AU501" i="5"/>
  <c r="AU502" i="5"/>
  <c r="AU503" i="5"/>
  <c r="AU504" i="5"/>
  <c r="AU505" i="5"/>
  <c r="AU506" i="5"/>
  <c r="AU507" i="5"/>
  <c r="AU508" i="5"/>
  <c r="AU509" i="5"/>
  <c r="AU510" i="5"/>
  <c r="AU511" i="5"/>
  <c r="AU512" i="5"/>
  <c r="AU513" i="5"/>
  <c r="AU514" i="5"/>
  <c r="AU515" i="5"/>
  <c r="AU516" i="5"/>
  <c r="AU517" i="5"/>
  <c r="AU518" i="5"/>
  <c r="AU519" i="5"/>
  <c r="AU520" i="5"/>
  <c r="AU521" i="5"/>
  <c r="AU522" i="5"/>
  <c r="AU523" i="5"/>
  <c r="AU524" i="5"/>
  <c r="AU525" i="5"/>
  <c r="AU526" i="5"/>
  <c r="AU527" i="5"/>
  <c r="AU528" i="5"/>
  <c r="AU529" i="5"/>
  <c r="AU530" i="5"/>
  <c r="AU531" i="5"/>
  <c r="AU533" i="5"/>
  <c r="AU536" i="5"/>
  <c r="AU537" i="5"/>
  <c r="AU538" i="5"/>
  <c r="AU539" i="5"/>
  <c r="AU540" i="5"/>
  <c r="AU541" i="5"/>
  <c r="AU542" i="5"/>
  <c r="AU543" i="5"/>
  <c r="AU544" i="5"/>
  <c r="AT7" i="5"/>
  <c r="AT8" i="5"/>
  <c r="AT9" i="5"/>
  <c r="AT13" i="5"/>
  <c r="AT14" i="5"/>
  <c r="AT15" i="5"/>
  <c r="AT16" i="5"/>
  <c r="AT17" i="5"/>
  <c r="AT22" i="5"/>
  <c r="AT26" i="5"/>
  <c r="AT30" i="5"/>
  <c r="AT34" i="5"/>
  <c r="AT35" i="5"/>
  <c r="AT36" i="5"/>
  <c r="AT37" i="5"/>
  <c r="AT38" i="5"/>
  <c r="AT39" i="5"/>
  <c r="AT40" i="5"/>
  <c r="AT46" i="5"/>
  <c r="AT47" i="5"/>
  <c r="AT48" i="5"/>
  <c r="AT49" i="5"/>
  <c r="AT50" i="5"/>
  <c r="AT56" i="5"/>
  <c r="AT60" i="5"/>
  <c r="AT63" i="5"/>
  <c r="AT64" i="5"/>
  <c r="AT65" i="5"/>
  <c r="AT67" i="5"/>
  <c r="AT68" i="5"/>
  <c r="AT72" i="5"/>
  <c r="AT75" i="5"/>
  <c r="AT76" i="5"/>
  <c r="AT77" i="5"/>
  <c r="AT78" i="5"/>
  <c r="AT81" i="5"/>
  <c r="AT83" i="5"/>
  <c r="AT84" i="5"/>
  <c r="AT85" i="5"/>
  <c r="AT86" i="5"/>
  <c r="AT87" i="5"/>
  <c r="AT88" i="5"/>
  <c r="AT89" i="5"/>
  <c r="AT90" i="5"/>
  <c r="AT91" i="5"/>
  <c r="AT92" i="5"/>
  <c r="AT93" i="5"/>
  <c r="AT94" i="5"/>
  <c r="AT95" i="5"/>
  <c r="AT96" i="5"/>
  <c r="AT97" i="5"/>
  <c r="AT98" i="5"/>
  <c r="AT100" i="5"/>
  <c r="AT101" i="5"/>
  <c r="AT102" i="5"/>
  <c r="AT103" i="5"/>
  <c r="AT104" i="5"/>
  <c r="AT105" i="5"/>
  <c r="AT112" i="5"/>
  <c r="AT113" i="5"/>
  <c r="AT114" i="5"/>
  <c r="AT115" i="5"/>
  <c r="AT116" i="5"/>
  <c r="AT117" i="5"/>
  <c r="AT118" i="5"/>
  <c r="AT119" i="5"/>
  <c r="AT120" i="5"/>
  <c r="AT121" i="5"/>
  <c r="AT122" i="5"/>
  <c r="AT123" i="5"/>
  <c r="AT124" i="5"/>
  <c r="AT125" i="5"/>
  <c r="AT126" i="5"/>
  <c r="AT127" i="5"/>
  <c r="AT128" i="5"/>
  <c r="AT129" i="5"/>
  <c r="AT130" i="5"/>
  <c r="AT133" i="5"/>
  <c r="AT135" i="5"/>
  <c r="AT136" i="5"/>
  <c r="AT138" i="5"/>
  <c r="AT140" i="5"/>
  <c r="AT141" i="5"/>
  <c r="AT143" i="5"/>
  <c r="AT144" i="5"/>
  <c r="AT145" i="5"/>
  <c r="AT146" i="5"/>
  <c r="AT147" i="5"/>
  <c r="AT148" i="5"/>
  <c r="AT152" i="5"/>
  <c r="AT158" i="5"/>
  <c r="AT159" i="5"/>
  <c r="AT160" i="5"/>
  <c r="AT181" i="5"/>
  <c r="AT155" i="5"/>
  <c r="AT178" i="5"/>
  <c r="AT170" i="5"/>
  <c r="AT366" i="5"/>
  <c r="AT171" i="5"/>
  <c r="AT368" i="5"/>
  <c r="AT157" i="5"/>
  <c r="AT180" i="5"/>
  <c r="AT163" i="5"/>
  <c r="AT184" i="5"/>
  <c r="AT169" i="5"/>
  <c r="AT364" i="5"/>
  <c r="AT156" i="5"/>
  <c r="AT179" i="5"/>
  <c r="AT168" i="5"/>
  <c r="AT353" i="5"/>
  <c r="AT161" i="5"/>
  <c r="AT182" i="5"/>
  <c r="AT162" i="5"/>
  <c r="AT183" i="5"/>
  <c r="AT165" i="5"/>
  <c r="AT186" i="5"/>
  <c r="AT167" i="5"/>
  <c r="AT352" i="5"/>
  <c r="AT172" i="5"/>
  <c r="AT369" i="5"/>
  <c r="AT188" i="5"/>
  <c r="AT189" i="5"/>
  <c r="AT191" i="5"/>
  <c r="AT192" i="5"/>
  <c r="AT193" i="5"/>
  <c r="AT194" i="5"/>
  <c r="AT195" i="5"/>
  <c r="AT196" i="5"/>
  <c r="AT197" i="5"/>
  <c r="AT198" i="5"/>
  <c r="AT199" i="5"/>
  <c r="AT200" i="5"/>
  <c r="AT201" i="5"/>
  <c r="AT202" i="5"/>
  <c r="AT203" i="5"/>
  <c r="AT204" i="5"/>
  <c r="AT205" i="5"/>
  <c r="AT206" i="5"/>
  <c r="AT207" i="5"/>
  <c r="AT208" i="5"/>
  <c r="AT209" i="5"/>
  <c r="AT210" i="5"/>
  <c r="AT211" i="5"/>
  <c r="AT212" i="5"/>
  <c r="AT214" i="5"/>
  <c r="AT215" i="5"/>
  <c r="AT216" i="5"/>
  <c r="AT217" i="5"/>
  <c r="AT218" i="5"/>
  <c r="AT219" i="5"/>
  <c r="AT220" i="5"/>
  <c r="AT221" i="5"/>
  <c r="AT222" i="5"/>
  <c r="AT223" i="5"/>
  <c r="AT224" i="5"/>
  <c r="AT225" i="5"/>
  <c r="AT227" i="5"/>
  <c r="AT229" i="5"/>
  <c r="AT231" i="5"/>
  <c r="AT232" i="5"/>
  <c r="AT233" i="5"/>
  <c r="AT236" i="5"/>
  <c r="AT237" i="5"/>
  <c r="AT238" i="5"/>
  <c r="AT240" i="5"/>
  <c r="AT241" i="5"/>
  <c r="AT242" i="5"/>
  <c r="AT243" i="5"/>
  <c r="AT244" i="5"/>
  <c r="AT245" i="5"/>
  <c r="AT246" i="5"/>
  <c r="AT247" i="5"/>
  <c r="AT248" i="5"/>
  <c r="AT249" i="5"/>
  <c r="AT250" i="5"/>
  <c r="AT251" i="5"/>
  <c r="AT252" i="5"/>
  <c r="AT253" i="5"/>
  <c r="AT254" i="5"/>
  <c r="AT255" i="5"/>
  <c r="AT256" i="5"/>
  <c r="AT257" i="5"/>
  <c r="AT258" i="5"/>
  <c r="AT259" i="5"/>
  <c r="AT260" i="5"/>
  <c r="AT261" i="5"/>
  <c r="AT262" i="5"/>
  <c r="AT263" i="5"/>
  <c r="AT264" i="5"/>
  <c r="AT265" i="5"/>
  <c r="AT266" i="5"/>
  <c r="AT267" i="5"/>
  <c r="AT268" i="5"/>
  <c r="AT269" i="5"/>
  <c r="AT270" i="5"/>
  <c r="AT271" i="5"/>
  <c r="AT272" i="5"/>
  <c r="AT273" i="5"/>
  <c r="AT274" i="5"/>
  <c r="AT275" i="5"/>
  <c r="AT276" i="5"/>
  <c r="AT277" i="5"/>
  <c r="AT278" i="5"/>
  <c r="AT279" i="5"/>
  <c r="AT280" i="5"/>
  <c r="AT281" i="5"/>
  <c r="AT282" i="5"/>
  <c r="AT283" i="5"/>
  <c r="AT284" i="5"/>
  <c r="AT285" i="5"/>
  <c r="AT286" i="5"/>
  <c r="AT287" i="5"/>
  <c r="AT288" i="5"/>
  <c r="AT289" i="5"/>
  <c r="AT290" i="5"/>
  <c r="AT291" i="5"/>
  <c r="AT292" i="5"/>
  <c r="AT294" i="5"/>
  <c r="AT299" i="5"/>
  <c r="AT300" i="5"/>
  <c r="AT301" i="5"/>
  <c r="AT302" i="5"/>
  <c r="AT303" i="5"/>
  <c r="AT304" i="5"/>
  <c r="AT305" i="5"/>
  <c r="AT306" i="5"/>
  <c r="AT307" i="5"/>
  <c r="AT308" i="5"/>
  <c r="AT309" i="5"/>
  <c r="AT310" i="5"/>
  <c r="AT311" i="5"/>
  <c r="AT312" i="5"/>
  <c r="AT313" i="5"/>
  <c r="AT314" i="5"/>
  <c r="AT315" i="5"/>
  <c r="AT316" i="5"/>
  <c r="AT317" i="5"/>
  <c r="AT318" i="5"/>
  <c r="AT319" i="5"/>
  <c r="AT321" i="5"/>
  <c r="AT322" i="5"/>
  <c r="AT323" i="5"/>
  <c r="AT324" i="5"/>
  <c r="AT325" i="5"/>
  <c r="AT327" i="5"/>
  <c r="AT328" i="5"/>
  <c r="AT329" i="5"/>
  <c r="AT330" i="5"/>
  <c r="AT331" i="5"/>
  <c r="AT332" i="5"/>
  <c r="AT333" i="5"/>
  <c r="AT334" i="5"/>
  <c r="AT335" i="5"/>
  <c r="AT336" i="5"/>
  <c r="AT337" i="5"/>
  <c r="AT338" i="5"/>
  <c r="AT339" i="5"/>
  <c r="AT340" i="5"/>
  <c r="AT341" i="5"/>
  <c r="AT342" i="5"/>
  <c r="AT343" i="5"/>
  <c r="AT344" i="5"/>
  <c r="AT345" i="5"/>
  <c r="AT346" i="5"/>
  <c r="AT347" i="5"/>
  <c r="AT348" i="5"/>
  <c r="AT349" i="5"/>
  <c r="AT350" i="5"/>
  <c r="AT351" i="5"/>
  <c r="AT174" i="5"/>
  <c r="AT399" i="5"/>
  <c r="AT354" i="5"/>
  <c r="AT355" i="5"/>
  <c r="AT356" i="5"/>
  <c r="AT357" i="5"/>
  <c r="AT358" i="5"/>
  <c r="AT359" i="5"/>
  <c r="AT360" i="5"/>
  <c r="AT361" i="5"/>
  <c r="AT362" i="5"/>
  <c r="AT363" i="5"/>
  <c r="AT175" i="5"/>
  <c r="AT365" i="5"/>
  <c r="AT408" i="5"/>
  <c r="AT367" i="5"/>
  <c r="AT173" i="5"/>
  <c r="AT398" i="5"/>
  <c r="AT370" i="5"/>
  <c r="AT371" i="5"/>
  <c r="AT372" i="5"/>
  <c r="AT373" i="5"/>
  <c r="AT374" i="5"/>
  <c r="AT375" i="5"/>
  <c r="AT376" i="5"/>
  <c r="AT377" i="5"/>
  <c r="AT378" i="5"/>
  <c r="AT379" i="5"/>
  <c r="AT380" i="5"/>
  <c r="AT381" i="5"/>
  <c r="AT382" i="5"/>
  <c r="AT383" i="5"/>
  <c r="AT384" i="5"/>
  <c r="AT385" i="5"/>
  <c r="AT386" i="5"/>
  <c r="AT387" i="5"/>
  <c r="AT388" i="5"/>
  <c r="AT389" i="5"/>
  <c r="AT390" i="5"/>
  <c r="AT391" i="5"/>
  <c r="AT392" i="5"/>
  <c r="AT393" i="5"/>
  <c r="AT394" i="5"/>
  <c r="AT395" i="5"/>
  <c r="AT396" i="5"/>
  <c r="AT397" i="5"/>
  <c r="AT166" i="5"/>
  <c r="AT187" i="5"/>
  <c r="AT400" i="5"/>
  <c r="AT401" i="5"/>
  <c r="AT403" i="5"/>
  <c r="AT404" i="5"/>
  <c r="AT405" i="5"/>
  <c r="AT164" i="5"/>
  <c r="AT185" i="5"/>
  <c r="AT410" i="5"/>
  <c r="AT411" i="5"/>
  <c r="AT412" i="5"/>
  <c r="AT413" i="5"/>
  <c r="AT414" i="5"/>
  <c r="AT415" i="5"/>
  <c r="AT416" i="5"/>
  <c r="AT417" i="5"/>
  <c r="AT418" i="5"/>
  <c r="AT419" i="5"/>
  <c r="AT420" i="5"/>
  <c r="AT421" i="5"/>
  <c r="AT422" i="5"/>
  <c r="AT423" i="5"/>
  <c r="AT424" i="5"/>
  <c r="AT425" i="5"/>
  <c r="AT426" i="5"/>
  <c r="AT427" i="5"/>
  <c r="AT428" i="5"/>
  <c r="AT429" i="5"/>
  <c r="AT430" i="5"/>
  <c r="AT431" i="5"/>
  <c r="AT432" i="5"/>
  <c r="AT433" i="5"/>
  <c r="AT434" i="5"/>
  <c r="AT435" i="5"/>
  <c r="AT436" i="5"/>
  <c r="AT437" i="5"/>
  <c r="AT438" i="5"/>
  <c r="AT439" i="5"/>
  <c r="AT440" i="5"/>
  <c r="AT441" i="5"/>
  <c r="AT442" i="5"/>
  <c r="AT443" i="5"/>
  <c r="AT444" i="5"/>
  <c r="AT445" i="5"/>
  <c r="AT446" i="5"/>
  <c r="AT447" i="5"/>
  <c r="AT448" i="5"/>
  <c r="AT449" i="5"/>
  <c r="AT450" i="5"/>
  <c r="AT451" i="5"/>
  <c r="AT452" i="5"/>
  <c r="AT453" i="5"/>
  <c r="AT454" i="5"/>
  <c r="AT455" i="5"/>
  <c r="AT456" i="5"/>
  <c r="AT457" i="5"/>
  <c r="AT458" i="5"/>
  <c r="AT459" i="5"/>
  <c r="AT460" i="5"/>
  <c r="AT461" i="5"/>
  <c r="AT462" i="5"/>
  <c r="AT463" i="5"/>
  <c r="AT464" i="5"/>
  <c r="AT465" i="5"/>
  <c r="AT466" i="5"/>
  <c r="AT467" i="5"/>
  <c r="AT468" i="5"/>
  <c r="AT469" i="5"/>
  <c r="AT470" i="5"/>
  <c r="AT471" i="5"/>
  <c r="AT472" i="5"/>
  <c r="AT473" i="5"/>
  <c r="AT474" i="5"/>
  <c r="AT475" i="5"/>
  <c r="AT476" i="5"/>
  <c r="AT477" i="5"/>
  <c r="AT478" i="5"/>
  <c r="AT479" i="5"/>
  <c r="AT480" i="5"/>
  <c r="AT481" i="5"/>
  <c r="AT482" i="5"/>
  <c r="AT483" i="5"/>
  <c r="AT484" i="5"/>
  <c r="AT485" i="5"/>
  <c r="AT486" i="5"/>
  <c r="AT487" i="5"/>
  <c r="AT488" i="5"/>
  <c r="AT489" i="5"/>
  <c r="AT490" i="5"/>
  <c r="AT491" i="5"/>
  <c r="AT492" i="5"/>
  <c r="AT493" i="5"/>
  <c r="AT494" i="5"/>
  <c r="AT495" i="5"/>
  <c r="AT496" i="5"/>
  <c r="AT497" i="5"/>
  <c r="AT498" i="5"/>
  <c r="AT499" i="5"/>
  <c r="AT500" i="5"/>
  <c r="AT501" i="5"/>
  <c r="AT502" i="5"/>
  <c r="AT503" i="5"/>
  <c r="AT504" i="5"/>
  <c r="AT505" i="5"/>
  <c r="AT506" i="5"/>
  <c r="AT507" i="5"/>
  <c r="AT508" i="5"/>
  <c r="AT509" i="5"/>
  <c r="AT510" i="5"/>
  <c r="AT511" i="5"/>
  <c r="AT512" i="5"/>
  <c r="AT513" i="5"/>
  <c r="AT514" i="5"/>
  <c r="AT515" i="5"/>
  <c r="AT516" i="5"/>
  <c r="AT517" i="5"/>
  <c r="AT518" i="5"/>
  <c r="AT519" i="5"/>
  <c r="AT520" i="5"/>
  <c r="AT521" i="5"/>
  <c r="AT522" i="5"/>
  <c r="AT523" i="5"/>
  <c r="AT524" i="5"/>
  <c r="AT525" i="5"/>
  <c r="AT526" i="5"/>
  <c r="AT527" i="5"/>
  <c r="AT528" i="5"/>
  <c r="AT529" i="5"/>
  <c r="AT530" i="5"/>
  <c r="AT531" i="5"/>
  <c r="AT533" i="5"/>
  <c r="AT536" i="5"/>
  <c r="AT537" i="5"/>
  <c r="AT538" i="5"/>
  <c r="AT539" i="5"/>
  <c r="AT540" i="5"/>
  <c r="AT541" i="5"/>
  <c r="AT542" i="5"/>
  <c r="AT543" i="5"/>
  <c r="AT544" i="5"/>
  <c r="AR7" i="5"/>
  <c r="AR8" i="5"/>
  <c r="AR9" i="5"/>
  <c r="AR13" i="5"/>
  <c r="AR14" i="5"/>
  <c r="AR15" i="5"/>
  <c r="AR16" i="5"/>
  <c r="AR17" i="5"/>
  <c r="AR22" i="5"/>
  <c r="AR26" i="5"/>
  <c r="AR30" i="5"/>
  <c r="AR34" i="5"/>
  <c r="AR35" i="5"/>
  <c r="AR36" i="5"/>
  <c r="AR37" i="5"/>
  <c r="AR38" i="5"/>
  <c r="AR39" i="5"/>
  <c r="AR46" i="5"/>
  <c r="AR47" i="5"/>
  <c r="AR48" i="5"/>
  <c r="AR50" i="5"/>
  <c r="AR56" i="5"/>
  <c r="AR60" i="5"/>
  <c r="AR63" i="5"/>
  <c r="AR64" i="5"/>
  <c r="AR65" i="5"/>
  <c r="AR67" i="5"/>
  <c r="AR68" i="5"/>
  <c r="AR72" i="5"/>
  <c r="AR75" i="5"/>
  <c r="AR76" i="5"/>
  <c r="AR77" i="5"/>
  <c r="AR78" i="5"/>
  <c r="AR81" i="5"/>
  <c r="AR83" i="5"/>
  <c r="AR84" i="5"/>
  <c r="AR85" i="5"/>
  <c r="AR86" i="5"/>
  <c r="AR87" i="5"/>
  <c r="AR88" i="5"/>
  <c r="AR89" i="5"/>
  <c r="AR90" i="5"/>
  <c r="AR91" i="5"/>
  <c r="AR92" i="5"/>
  <c r="AR93" i="5"/>
  <c r="AR94" i="5"/>
  <c r="AR95" i="5"/>
  <c r="AR96" i="5"/>
  <c r="AR97" i="5"/>
  <c r="AR98" i="5"/>
  <c r="AR100" i="5"/>
  <c r="AR101" i="5"/>
  <c r="AR102" i="5"/>
  <c r="AR103" i="5"/>
  <c r="AR104" i="5"/>
  <c r="AR105" i="5"/>
  <c r="AR112" i="5"/>
  <c r="AR113" i="5"/>
  <c r="AR114" i="5"/>
  <c r="AR115" i="5"/>
  <c r="AR116" i="5"/>
  <c r="AR117" i="5"/>
  <c r="AR118" i="5"/>
  <c r="AR119" i="5"/>
  <c r="AR120" i="5"/>
  <c r="AR121" i="5"/>
  <c r="AR122" i="5"/>
  <c r="AR123" i="5"/>
  <c r="AR124" i="5"/>
  <c r="AR125" i="5"/>
  <c r="AR126" i="5"/>
  <c r="AR127" i="5"/>
  <c r="AR128" i="5"/>
  <c r="AR158" i="5"/>
  <c r="AR159" i="5"/>
  <c r="AR160" i="5"/>
  <c r="AR181" i="5"/>
  <c r="AR155" i="5"/>
  <c r="AR178" i="5"/>
  <c r="AR170" i="5"/>
  <c r="AR366" i="5"/>
  <c r="AR171" i="5"/>
  <c r="AR368" i="5"/>
  <c r="AR157" i="5"/>
  <c r="AR180" i="5"/>
  <c r="AR163" i="5"/>
  <c r="AR184" i="5"/>
  <c r="AR169" i="5"/>
  <c r="AR364" i="5"/>
  <c r="AR156" i="5"/>
  <c r="AR179" i="5"/>
  <c r="AR168" i="5"/>
  <c r="AR353" i="5"/>
  <c r="AR161" i="5"/>
  <c r="AR182" i="5"/>
  <c r="AR162" i="5"/>
  <c r="AR183" i="5"/>
  <c r="AR165" i="5"/>
  <c r="AR186" i="5"/>
  <c r="AR167" i="5"/>
  <c r="AR352" i="5"/>
  <c r="AR172" i="5"/>
  <c r="AR369" i="5"/>
  <c r="AR188" i="5"/>
  <c r="AR189" i="5"/>
  <c r="AR191" i="5"/>
  <c r="AR192" i="5"/>
  <c r="AR193" i="5"/>
  <c r="AR194" i="5"/>
  <c r="AR195" i="5"/>
  <c r="AR196" i="5"/>
  <c r="AR197" i="5"/>
  <c r="AR199" i="5"/>
  <c r="AR200" i="5"/>
  <c r="AR201" i="5"/>
  <c r="AR202" i="5"/>
  <c r="AR203" i="5"/>
  <c r="AR204" i="5"/>
  <c r="AR205" i="5"/>
  <c r="AR206" i="5"/>
  <c r="AR207" i="5"/>
  <c r="AR208" i="5"/>
  <c r="AR209" i="5"/>
  <c r="AR210" i="5"/>
  <c r="AR211" i="5"/>
  <c r="AR212" i="5"/>
  <c r="AR214" i="5"/>
  <c r="AR215" i="5"/>
  <c r="AR216" i="5"/>
  <c r="AR217" i="5"/>
  <c r="AR218" i="5"/>
  <c r="AR219" i="5"/>
  <c r="AR220" i="5"/>
  <c r="AR221" i="5"/>
  <c r="AR222" i="5"/>
  <c r="AR223" i="5"/>
  <c r="AR224" i="5"/>
  <c r="AR225" i="5"/>
  <c r="AR227" i="5"/>
  <c r="AR229" i="5"/>
  <c r="AR231" i="5"/>
  <c r="AR232" i="5"/>
  <c r="AR233" i="5"/>
  <c r="AR236" i="5"/>
  <c r="AR237" i="5"/>
  <c r="AR238" i="5"/>
  <c r="AR240" i="5"/>
  <c r="AR241" i="5"/>
  <c r="AR242" i="5"/>
  <c r="AR243" i="5"/>
  <c r="AR244" i="5"/>
  <c r="AR245" i="5"/>
  <c r="AR246" i="5"/>
  <c r="AR247" i="5"/>
  <c r="AR248" i="5"/>
  <c r="AR249" i="5"/>
  <c r="AR250" i="5"/>
  <c r="AR251" i="5"/>
  <c r="AR252" i="5"/>
  <c r="AR253" i="5"/>
  <c r="AR254" i="5"/>
  <c r="AR255" i="5"/>
  <c r="AR256" i="5"/>
  <c r="AR257" i="5"/>
  <c r="AR258" i="5"/>
  <c r="AR259" i="5"/>
  <c r="AR260" i="5"/>
  <c r="AR261" i="5"/>
  <c r="AR262" i="5"/>
  <c r="AR263" i="5"/>
  <c r="AR264" i="5"/>
  <c r="AR265" i="5"/>
  <c r="AR266" i="5"/>
  <c r="AR267" i="5"/>
  <c r="AR268" i="5"/>
  <c r="AR269" i="5"/>
  <c r="AR270" i="5"/>
  <c r="AR271" i="5"/>
  <c r="AR272" i="5"/>
  <c r="AR273" i="5"/>
  <c r="AR274" i="5"/>
  <c r="AR275" i="5"/>
  <c r="AR276" i="5"/>
  <c r="AR277" i="5"/>
  <c r="AR278" i="5"/>
  <c r="AR279" i="5"/>
  <c r="AR280" i="5"/>
  <c r="AR281" i="5"/>
  <c r="AR282" i="5"/>
  <c r="AR283" i="5"/>
  <c r="AR284" i="5"/>
  <c r="AR285" i="5"/>
  <c r="AR287" i="5"/>
  <c r="AR289" i="5"/>
  <c r="AR290" i="5"/>
  <c r="AR291" i="5"/>
  <c r="AR292" i="5"/>
  <c r="AR294" i="5"/>
  <c r="AR299" i="5"/>
  <c r="AR300" i="5"/>
  <c r="AR301" i="5"/>
  <c r="AR302" i="5"/>
  <c r="AR303" i="5"/>
  <c r="AR304" i="5"/>
  <c r="AR305" i="5"/>
  <c r="AR306" i="5"/>
  <c r="AR307" i="5"/>
  <c r="AR308" i="5"/>
  <c r="AR309" i="5"/>
  <c r="AR310" i="5"/>
  <c r="AR311" i="5"/>
  <c r="AR312" i="5"/>
  <c r="AR313" i="5"/>
  <c r="AR314" i="5"/>
  <c r="AR315" i="5"/>
  <c r="AR322" i="5"/>
  <c r="AR323" i="5"/>
  <c r="AR324" i="5"/>
  <c r="AR325" i="5"/>
  <c r="AR327" i="5"/>
  <c r="AR328" i="5"/>
  <c r="AR329" i="5"/>
  <c r="AR330" i="5"/>
  <c r="AR331" i="5"/>
  <c r="AR332" i="5"/>
  <c r="AR333" i="5"/>
  <c r="AR334" i="5"/>
  <c r="AR335" i="5"/>
  <c r="AR336" i="5"/>
  <c r="AR337" i="5"/>
  <c r="AR338" i="5"/>
  <c r="AR339" i="5"/>
  <c r="AR340" i="5"/>
  <c r="AR341" i="5"/>
  <c r="AR342" i="5"/>
  <c r="AR343" i="5"/>
  <c r="AR344" i="5"/>
  <c r="AR345" i="5"/>
  <c r="AR346" i="5"/>
  <c r="AR347" i="5"/>
  <c r="AR348" i="5"/>
  <c r="AR349" i="5"/>
  <c r="AR350" i="5"/>
  <c r="AR351" i="5"/>
  <c r="AR174" i="5"/>
  <c r="AR399" i="5"/>
  <c r="AR354" i="5"/>
  <c r="AR355" i="5"/>
  <c r="AR356" i="5"/>
  <c r="AR357" i="5"/>
  <c r="AR358" i="5"/>
  <c r="AR359" i="5"/>
  <c r="AR360" i="5"/>
  <c r="AR361" i="5"/>
  <c r="AR362" i="5"/>
  <c r="AR363" i="5"/>
  <c r="AR175" i="5"/>
  <c r="AR365" i="5"/>
  <c r="AR408" i="5"/>
  <c r="AR367" i="5"/>
  <c r="AR173" i="5"/>
  <c r="AR398" i="5"/>
  <c r="AR370" i="5"/>
  <c r="AR371" i="5"/>
  <c r="AR372" i="5"/>
  <c r="AR373" i="5"/>
  <c r="AR374" i="5"/>
  <c r="AR375" i="5"/>
  <c r="AR376" i="5"/>
  <c r="AR392" i="5"/>
  <c r="AR393" i="5"/>
  <c r="AR394" i="5"/>
  <c r="AR395" i="5"/>
  <c r="AR396" i="5"/>
  <c r="AR397" i="5"/>
  <c r="AR166" i="5"/>
  <c r="AR187" i="5"/>
  <c r="AR400" i="5"/>
  <c r="AR401" i="5"/>
  <c r="AR403" i="5"/>
  <c r="AR404" i="5"/>
  <c r="AR164" i="5"/>
  <c r="AR185" i="5"/>
  <c r="AR410" i="5"/>
  <c r="AR411" i="5"/>
  <c r="AR412" i="5"/>
  <c r="AR413" i="5"/>
  <c r="AR414" i="5"/>
  <c r="AR415" i="5"/>
  <c r="AR416" i="5"/>
  <c r="AR417" i="5"/>
  <c r="AR418" i="5"/>
  <c r="AR419" i="5"/>
  <c r="AR420" i="5"/>
  <c r="AR421" i="5"/>
  <c r="AR422" i="5"/>
  <c r="AR423" i="5"/>
  <c r="AR424" i="5"/>
  <c r="AR425" i="5"/>
  <c r="AR426" i="5"/>
  <c r="AR427" i="5"/>
  <c r="AR428" i="5"/>
  <c r="AR429" i="5"/>
  <c r="AR430" i="5"/>
  <c r="AR431" i="5"/>
  <c r="AR432" i="5"/>
  <c r="AR433" i="5"/>
  <c r="AR434" i="5"/>
  <c r="AR435" i="5"/>
  <c r="AR436" i="5"/>
  <c r="AR437" i="5"/>
  <c r="AR438" i="5"/>
  <c r="AR439" i="5"/>
  <c r="AR440" i="5"/>
  <c r="AR441" i="5"/>
  <c r="AR442" i="5"/>
  <c r="AR443" i="5"/>
  <c r="AR444" i="5"/>
  <c r="AR445" i="5"/>
  <c r="AR446" i="5"/>
  <c r="AR447" i="5"/>
  <c r="AR448" i="5"/>
  <c r="AR486" i="5"/>
  <c r="AR487" i="5"/>
  <c r="AR488" i="5"/>
  <c r="AR489" i="5"/>
  <c r="AR490" i="5"/>
  <c r="AR491" i="5"/>
  <c r="AR492" i="5"/>
  <c r="AR493" i="5"/>
  <c r="AR494" i="5"/>
  <c r="AR495" i="5"/>
  <c r="AR496" i="5"/>
  <c r="AR497" i="5"/>
  <c r="AR498" i="5"/>
  <c r="AR499" i="5"/>
  <c r="AR500" i="5"/>
  <c r="AR501" i="5"/>
  <c r="AR502" i="5"/>
  <c r="AR503" i="5"/>
  <c r="AR504" i="5"/>
  <c r="AR505" i="5"/>
  <c r="AR506" i="5"/>
  <c r="AR507" i="5"/>
  <c r="AR508" i="5"/>
  <c r="AR509" i="5"/>
  <c r="AR510" i="5"/>
  <c r="AR511" i="5"/>
  <c r="AR512" i="5"/>
  <c r="AR513" i="5"/>
  <c r="AR514" i="5"/>
  <c r="AR515" i="5"/>
  <c r="AR516" i="5"/>
  <c r="AR517" i="5"/>
  <c r="AR518" i="5"/>
  <c r="AR519" i="5"/>
  <c r="AR520" i="5"/>
  <c r="AR521" i="5"/>
  <c r="AR522" i="5"/>
  <c r="AR523" i="5"/>
  <c r="AR524" i="5"/>
  <c r="AR525" i="5"/>
  <c r="AR526" i="5"/>
  <c r="AR527" i="5"/>
  <c r="AR528" i="5"/>
  <c r="AR529" i="5"/>
  <c r="AR530" i="5"/>
  <c r="AR531" i="5"/>
  <c r="AR533" i="5"/>
  <c r="AR537" i="5"/>
  <c r="AQ551" i="5" l="1"/>
  <c r="W33" i="35"/>
  <c r="F6" i="35"/>
  <c r="F5" i="35"/>
  <c r="F44" i="35"/>
  <c r="H4" i="37"/>
  <c r="H5" i="37"/>
  <c r="H6" i="37"/>
  <c r="H7" i="37"/>
  <c r="H8" i="37"/>
  <c r="H9" i="37"/>
  <c r="H10" i="37"/>
  <c r="H11" i="37"/>
  <c r="H12" i="37"/>
  <c r="H13" i="37"/>
  <c r="H14" i="37"/>
  <c r="H15" i="37"/>
  <c r="H16" i="37"/>
  <c r="H17" i="37"/>
  <c r="H18" i="37"/>
  <c r="H19" i="37"/>
  <c r="H20" i="37"/>
  <c r="H21" i="37"/>
  <c r="H22" i="37"/>
  <c r="H23" i="37"/>
  <c r="H24" i="37"/>
  <c r="H25" i="37"/>
  <c r="H26" i="37"/>
  <c r="H27" i="37"/>
  <c r="H28" i="37"/>
  <c r="H29" i="37"/>
  <c r="H30" i="37"/>
  <c r="H31" i="37"/>
  <c r="H32" i="37"/>
  <c r="H33" i="37"/>
  <c r="H34" i="37"/>
  <c r="H35" i="37"/>
  <c r="H36" i="37"/>
  <c r="H37" i="37"/>
  <c r="H38" i="37"/>
  <c r="H39" i="37"/>
  <c r="H40" i="37"/>
  <c r="H41" i="37"/>
  <c r="H42" i="37"/>
  <c r="H43" i="37"/>
  <c r="H44" i="37"/>
  <c r="H45" i="37"/>
  <c r="H46" i="37"/>
  <c r="H47" i="37"/>
  <c r="H48" i="37"/>
  <c r="H49" i="37"/>
  <c r="H50" i="37"/>
  <c r="H51" i="37"/>
  <c r="H52" i="37"/>
  <c r="H53" i="37"/>
  <c r="H54" i="37"/>
  <c r="H55" i="37"/>
  <c r="H56" i="37"/>
  <c r="H57" i="37"/>
  <c r="H58" i="37"/>
  <c r="H59" i="37"/>
  <c r="H60" i="37"/>
  <c r="H61" i="37"/>
  <c r="H62" i="37"/>
  <c r="H63" i="37"/>
  <c r="H64" i="37"/>
  <c r="H65" i="37"/>
  <c r="G4" i="37"/>
  <c r="G5" i="37"/>
  <c r="G6" i="37"/>
  <c r="G7" i="37"/>
  <c r="G8" i="37"/>
  <c r="G9" i="37"/>
  <c r="G10" i="37"/>
  <c r="G11" i="37"/>
  <c r="G12" i="37"/>
  <c r="G13" i="37"/>
  <c r="G14" i="37"/>
  <c r="G15" i="37"/>
  <c r="G16" i="37"/>
  <c r="G17" i="37"/>
  <c r="G18" i="37"/>
  <c r="G19" i="37"/>
  <c r="G20" i="37"/>
  <c r="G21" i="37"/>
  <c r="G22" i="37"/>
  <c r="G23" i="37"/>
  <c r="G24" i="37"/>
  <c r="G25" i="37"/>
  <c r="G26" i="37"/>
  <c r="G27" i="37"/>
  <c r="G28" i="37"/>
  <c r="G29" i="37"/>
  <c r="G30" i="37"/>
  <c r="G31" i="37"/>
  <c r="G32" i="37"/>
  <c r="G33" i="37"/>
  <c r="G34" i="37"/>
  <c r="G35" i="37"/>
  <c r="G36" i="37"/>
  <c r="G37" i="37"/>
  <c r="G38" i="37"/>
  <c r="G39" i="37"/>
  <c r="G40" i="37"/>
  <c r="G41" i="37"/>
  <c r="G42" i="37"/>
  <c r="G43" i="37"/>
  <c r="G44" i="37"/>
  <c r="G45" i="37"/>
  <c r="G46" i="37"/>
  <c r="G47" i="37"/>
  <c r="G48" i="37"/>
  <c r="G49" i="37"/>
  <c r="G50" i="37"/>
  <c r="G51" i="37"/>
  <c r="G52" i="37"/>
  <c r="G53" i="37"/>
  <c r="G54" i="37"/>
  <c r="G55" i="37"/>
  <c r="G56" i="37"/>
  <c r="G57" i="37"/>
  <c r="G58" i="37"/>
  <c r="G59" i="37"/>
  <c r="G60" i="37"/>
  <c r="G61" i="37"/>
  <c r="G62" i="37"/>
  <c r="G63" i="37"/>
  <c r="G64" i="37"/>
  <c r="G65" i="37"/>
  <c r="Q66" i="37"/>
  <c r="P66" i="37"/>
  <c r="O66" i="37"/>
  <c r="N66" i="37"/>
  <c r="M66" i="37"/>
  <c r="J66" i="37"/>
  <c r="I66" i="37"/>
  <c r="F66" i="37"/>
  <c r="C66" i="37"/>
  <c r="S65" i="37"/>
  <c r="R65" i="37"/>
  <c r="K65" i="37"/>
  <c r="L65" i="37" s="1"/>
  <c r="K64" i="37"/>
  <c r="S63" i="37"/>
  <c r="R63" i="37"/>
  <c r="K63" i="37"/>
  <c r="L63" i="37" s="1"/>
  <c r="S62" i="37"/>
  <c r="R62" i="37"/>
  <c r="K62" i="37"/>
  <c r="L62" i="37" s="1"/>
  <c r="S61" i="37"/>
  <c r="R61" i="37"/>
  <c r="L61" i="37"/>
  <c r="K60" i="37"/>
  <c r="S59" i="37"/>
  <c r="R59" i="37"/>
  <c r="L59" i="37"/>
  <c r="S58" i="37"/>
  <c r="R58" i="37"/>
  <c r="L58" i="37"/>
  <c r="S57" i="37"/>
  <c r="R57" i="37"/>
  <c r="L57" i="37"/>
  <c r="S56" i="37"/>
  <c r="R56" i="37"/>
  <c r="K56" i="37"/>
  <c r="L56" i="37" s="1"/>
  <c r="S55" i="37"/>
  <c r="R55" i="37"/>
  <c r="K55" i="37"/>
  <c r="L55" i="37" s="1"/>
  <c r="S54" i="37"/>
  <c r="R54" i="37"/>
  <c r="K54" i="37"/>
  <c r="L54" i="37" s="1"/>
  <c r="K53" i="37"/>
  <c r="S52" i="37"/>
  <c r="R52" i="37"/>
  <c r="K52" i="37"/>
  <c r="L52" i="37" s="1"/>
  <c r="S51" i="37"/>
  <c r="R51" i="37"/>
  <c r="L51" i="37"/>
  <c r="K50" i="37"/>
  <c r="S49" i="37"/>
  <c r="R49" i="37"/>
  <c r="K49" i="37"/>
  <c r="L49" i="37" s="1"/>
  <c r="S48" i="37"/>
  <c r="R48" i="37"/>
  <c r="L48" i="37"/>
  <c r="S47" i="37"/>
  <c r="R47" i="37"/>
  <c r="L47" i="37"/>
  <c r="S46" i="37"/>
  <c r="R46" i="37"/>
  <c r="L46" i="37"/>
  <c r="S45" i="37"/>
  <c r="R45" i="37"/>
  <c r="K45" i="37"/>
  <c r="L45" i="37" s="1"/>
  <c r="S44" i="37"/>
  <c r="R44" i="37"/>
  <c r="L44" i="37"/>
  <c r="S43" i="37"/>
  <c r="R43" i="37"/>
  <c r="L43" i="37"/>
  <c r="S42" i="37"/>
  <c r="R42" i="37"/>
  <c r="K42" i="37"/>
  <c r="L42" i="37" s="1"/>
  <c r="K41" i="37"/>
  <c r="S40" i="37"/>
  <c r="R40" i="37"/>
  <c r="L40" i="37"/>
  <c r="S39" i="37"/>
  <c r="R39" i="37"/>
  <c r="K39" i="37"/>
  <c r="L39" i="37" s="1"/>
  <c r="S38" i="37"/>
  <c r="R38" i="37"/>
  <c r="K38" i="37"/>
  <c r="L38" i="37" s="1"/>
  <c r="S37" i="37"/>
  <c r="R37" i="37"/>
  <c r="K37" i="37"/>
  <c r="L37" i="37" s="1"/>
  <c r="S36" i="37"/>
  <c r="R36" i="37"/>
  <c r="L36" i="37"/>
  <c r="S35" i="37"/>
  <c r="R35" i="37"/>
  <c r="L35" i="37"/>
  <c r="K34" i="37"/>
  <c r="S33" i="37"/>
  <c r="R33" i="37"/>
  <c r="K33" i="37"/>
  <c r="L33" i="37" s="1"/>
  <c r="S32" i="37"/>
  <c r="R32" i="37"/>
  <c r="K32" i="37"/>
  <c r="L32" i="37" s="1"/>
  <c r="S31" i="37"/>
  <c r="R31" i="37"/>
  <c r="K31" i="37"/>
  <c r="L31" i="37" s="1"/>
  <c r="S30" i="37"/>
  <c r="R30" i="37"/>
  <c r="K30" i="37"/>
  <c r="L30" i="37" s="1"/>
  <c r="S29" i="37"/>
  <c r="R29" i="37"/>
  <c r="K29" i="37"/>
  <c r="L29" i="37" s="1"/>
  <c r="S28" i="37"/>
  <c r="R28" i="37"/>
  <c r="K28" i="37"/>
  <c r="L28" i="37" s="1"/>
  <c r="S27" i="37"/>
  <c r="R27" i="37"/>
  <c r="K27" i="37"/>
  <c r="L27" i="37" s="1"/>
  <c r="S26" i="37"/>
  <c r="R26" i="37"/>
  <c r="K26" i="37"/>
  <c r="L26" i="37" s="1"/>
  <c r="S25" i="37"/>
  <c r="R25" i="37"/>
  <c r="K25" i="37"/>
  <c r="L25" i="37" s="1"/>
  <c r="K24" i="37"/>
  <c r="S23" i="37"/>
  <c r="R23" i="37"/>
  <c r="K23" i="37"/>
  <c r="L23" i="37" s="1"/>
  <c r="S22" i="37"/>
  <c r="R22" i="37"/>
  <c r="K22" i="37"/>
  <c r="L22" i="37" s="1"/>
  <c r="S21" i="37"/>
  <c r="R21" i="37"/>
  <c r="K21" i="37"/>
  <c r="L21" i="37" s="1"/>
  <c r="S20" i="37"/>
  <c r="R20" i="37"/>
  <c r="K20" i="37"/>
  <c r="L20" i="37" s="1"/>
  <c r="S19" i="37"/>
  <c r="R19" i="37"/>
  <c r="K19" i="37"/>
  <c r="L19" i="37" s="1"/>
  <c r="K18" i="37"/>
  <c r="S17" i="37"/>
  <c r="R17" i="37"/>
  <c r="K17" i="37"/>
  <c r="L17" i="37" s="1"/>
  <c r="S16" i="37"/>
  <c r="R16" i="37"/>
  <c r="L16" i="37"/>
  <c r="S15" i="37"/>
  <c r="R15" i="37"/>
  <c r="K15" i="37"/>
  <c r="L15" i="37" s="1"/>
  <c r="S14" i="37"/>
  <c r="R14" i="37"/>
  <c r="K14" i="37"/>
  <c r="L14" i="37" s="1"/>
  <c r="S13" i="37"/>
  <c r="R13" i="37"/>
  <c r="L13" i="37"/>
  <c r="S12" i="37"/>
  <c r="R12" i="37"/>
  <c r="K12" i="37"/>
  <c r="L12" i="37" s="1"/>
  <c r="S11" i="37"/>
  <c r="R11" i="37"/>
  <c r="L11" i="37"/>
  <c r="S10" i="37"/>
  <c r="R10" i="37"/>
  <c r="K10" i="37"/>
  <c r="L10" i="37" s="1"/>
  <c r="K9" i="37"/>
  <c r="S8" i="37"/>
  <c r="R8" i="37"/>
  <c r="K8" i="37"/>
  <c r="L8" i="37" s="1"/>
  <c r="S7" i="37"/>
  <c r="R7" i="37"/>
  <c r="K7" i="37"/>
  <c r="L7" i="37" s="1"/>
  <c r="S6" i="37"/>
  <c r="R6" i="37"/>
  <c r="K6" i="37"/>
  <c r="L6" i="37" s="1"/>
  <c r="S5" i="37"/>
  <c r="R5" i="37"/>
  <c r="K5" i="37"/>
  <c r="L5" i="37" s="1"/>
  <c r="K4" i="37"/>
  <c r="G66" i="37" l="1"/>
  <c r="H66" i="37"/>
  <c r="F29" i="35"/>
  <c r="F24" i="35"/>
  <c r="F32" i="35"/>
  <c r="F30" i="35"/>
  <c r="F41" i="35"/>
  <c r="F52" i="35"/>
  <c r="F20" i="35"/>
  <c r="F37" i="35"/>
  <c r="F16" i="35"/>
  <c r="F33" i="35"/>
  <c r="F53" i="35"/>
  <c r="F36" i="35"/>
  <c r="F12" i="35"/>
  <c r="F15" i="35"/>
  <c r="F25" i="35"/>
  <c r="F42" i="35"/>
  <c r="F13" i="35"/>
  <c r="F27" i="35"/>
  <c r="F48" i="35"/>
  <c r="F19" i="35"/>
  <c r="F58" i="35"/>
  <c r="F45" i="35"/>
  <c r="W25" i="35"/>
  <c r="F40" i="35"/>
  <c r="F51" i="35"/>
  <c r="F10" i="35"/>
  <c r="F14" i="35"/>
  <c r="F46" i="35"/>
  <c r="W43" i="35"/>
  <c r="F49" i="35"/>
  <c r="F35" i="35"/>
  <c r="F18" i="35"/>
  <c r="F21" i="35"/>
  <c r="F60" i="35"/>
  <c r="W16" i="35"/>
  <c r="F54" i="35"/>
  <c r="F8" i="35"/>
  <c r="F34" i="35"/>
  <c r="F28" i="35"/>
  <c r="F56" i="35"/>
  <c r="W8" i="35"/>
  <c r="F11" i="35"/>
  <c r="F7" i="35"/>
  <c r="F26" i="35"/>
  <c r="F43" i="35"/>
  <c r="F22" i="35"/>
  <c r="F39" i="35"/>
  <c r="W36" i="35"/>
  <c r="R66" i="37"/>
  <c r="R67" i="37" s="1"/>
  <c r="F67" i="37"/>
  <c r="W26" i="35"/>
  <c r="W45" i="35"/>
  <c r="W14" i="35"/>
  <c r="W12" i="35"/>
  <c r="W22" i="35"/>
  <c r="W15" i="35"/>
  <c r="W35" i="35"/>
  <c r="W55" i="35"/>
  <c r="W11" i="35"/>
  <c r="W21" i="35"/>
  <c r="W32" i="35"/>
  <c r="W44" i="35"/>
  <c r="W10" i="35"/>
  <c r="W20" i="35"/>
  <c r="W30" i="35"/>
  <c r="W41" i="35"/>
  <c r="W34" i="35"/>
  <c r="W54" i="35"/>
  <c r="W19" i="35"/>
  <c r="W29" i="35"/>
  <c r="W40" i="35"/>
  <c r="W51" i="35"/>
  <c r="W28" i="35"/>
  <c r="W39" i="35"/>
  <c r="W49" i="35"/>
  <c r="W5" i="35"/>
  <c r="F55" i="35"/>
  <c r="W53" i="35"/>
  <c r="W18" i="35"/>
  <c r="W37" i="35"/>
  <c r="W48" i="35"/>
  <c r="W60" i="35"/>
  <c r="W52" i="35"/>
  <c r="W7" i="35"/>
  <c r="W27" i="35"/>
  <c r="W46" i="35"/>
  <c r="W58" i="35"/>
  <c r="W24" i="35"/>
  <c r="W6" i="35"/>
  <c r="W56" i="35"/>
  <c r="W42" i="35"/>
  <c r="W13" i="35"/>
  <c r="I67" i="37"/>
  <c r="S66" i="37"/>
  <c r="S67" i="37" s="1"/>
  <c r="L66" i="37"/>
  <c r="L67" i="37" s="1"/>
  <c r="K66" i="37"/>
  <c r="AN321" i="5"/>
  <c r="AG321" i="5"/>
  <c r="X321" i="5"/>
  <c r="AR321" i="5"/>
  <c r="W62" i="35" l="1"/>
  <c r="U66" i="37"/>
  <c r="Q62" i="35"/>
  <c r="P62" i="35"/>
  <c r="O62" i="35"/>
  <c r="N62" i="35"/>
  <c r="M62" i="35"/>
  <c r="J62" i="35"/>
  <c r="F62" i="35"/>
  <c r="S60" i="35"/>
  <c r="S58" i="35"/>
  <c r="S56" i="35"/>
  <c r="S55" i="35"/>
  <c r="S54" i="35"/>
  <c r="S53" i="35"/>
  <c r="S52" i="35"/>
  <c r="S51" i="35"/>
  <c r="S49" i="35"/>
  <c r="S48" i="35"/>
  <c r="S46" i="35"/>
  <c r="S45" i="35"/>
  <c r="S44" i="35"/>
  <c r="S43" i="35"/>
  <c r="S42" i="35"/>
  <c r="S41" i="35"/>
  <c r="S40" i="35"/>
  <c r="S39" i="35"/>
  <c r="S37" i="35"/>
  <c r="S36" i="35"/>
  <c r="S35" i="35"/>
  <c r="S34" i="35"/>
  <c r="S33" i="35"/>
  <c r="S32" i="35"/>
  <c r="S30" i="35"/>
  <c r="S29" i="35"/>
  <c r="S28" i="35"/>
  <c r="S27" i="35"/>
  <c r="S26" i="35"/>
  <c r="S25" i="35"/>
  <c r="S24" i="35"/>
  <c r="S22" i="35"/>
  <c r="S21" i="35"/>
  <c r="S20" i="35"/>
  <c r="S19" i="35"/>
  <c r="S18" i="35"/>
  <c r="S16" i="35"/>
  <c r="S15" i="35"/>
  <c r="S14" i="35"/>
  <c r="S13" i="35"/>
  <c r="S12" i="35"/>
  <c r="S11" i="35"/>
  <c r="S10" i="35"/>
  <c r="S6" i="35"/>
  <c r="S7" i="35"/>
  <c r="S8" i="35"/>
  <c r="S5" i="35"/>
  <c r="R60" i="35"/>
  <c r="R58" i="35"/>
  <c r="R56" i="35"/>
  <c r="R55" i="35"/>
  <c r="R54" i="35"/>
  <c r="R53" i="35"/>
  <c r="R52" i="35"/>
  <c r="R51" i="35"/>
  <c r="R49" i="35"/>
  <c r="R48" i="35"/>
  <c r="R46" i="35"/>
  <c r="R45" i="35"/>
  <c r="R44" i="35"/>
  <c r="R43" i="35"/>
  <c r="R42" i="35"/>
  <c r="R41" i="35"/>
  <c r="R40" i="35"/>
  <c r="R39" i="35"/>
  <c r="R37" i="35"/>
  <c r="R36" i="35"/>
  <c r="R35" i="35"/>
  <c r="R34" i="35"/>
  <c r="R33" i="35"/>
  <c r="R32" i="35"/>
  <c r="R30" i="35"/>
  <c r="R29" i="35"/>
  <c r="R28" i="35"/>
  <c r="R27" i="35"/>
  <c r="R26" i="35"/>
  <c r="R25" i="35"/>
  <c r="R24" i="35"/>
  <c r="R22" i="35"/>
  <c r="R21" i="35"/>
  <c r="R20" i="35"/>
  <c r="R19" i="35"/>
  <c r="R18" i="35"/>
  <c r="R16" i="35"/>
  <c r="R15" i="35"/>
  <c r="R14" i="35"/>
  <c r="R13" i="35"/>
  <c r="R12" i="35"/>
  <c r="R11" i="35"/>
  <c r="R10" i="35"/>
  <c r="R8" i="35"/>
  <c r="R7" i="35"/>
  <c r="R6" i="35"/>
  <c r="R5" i="35"/>
  <c r="F86" i="9"/>
  <c r="F87" i="9"/>
  <c r="F88" i="9"/>
  <c r="G63" i="35"/>
  <c r="L41" i="35"/>
  <c r="L32" i="35"/>
  <c r="L16" i="35"/>
  <c r="L13" i="35"/>
  <c r="L11" i="35"/>
  <c r="S62" i="35" l="1"/>
  <c r="R62" i="35"/>
  <c r="F63" i="35"/>
  <c r="H63" i="35"/>
  <c r="M151" i="5"/>
  <c r="M150" i="5"/>
  <c r="M149" i="5"/>
  <c r="AV150" i="5" l="1"/>
  <c r="AU150" i="5"/>
  <c r="AT150" i="5"/>
  <c r="AV149" i="5"/>
  <c r="AU149" i="5"/>
  <c r="AT149" i="5"/>
  <c r="AV151" i="5"/>
  <c r="AU151" i="5"/>
  <c r="AT151" i="5"/>
  <c r="E73" i="3"/>
  <c r="L43" i="35"/>
  <c r="K4" i="35"/>
  <c r="K5" i="35"/>
  <c r="K6" i="35"/>
  <c r="L6" i="35" s="1"/>
  <c r="K7" i="35"/>
  <c r="L7" i="35" s="1"/>
  <c r="K8" i="35"/>
  <c r="L8" i="35" s="1"/>
  <c r="K9" i="35"/>
  <c r="K10" i="35"/>
  <c r="L10" i="35" s="1"/>
  <c r="K12" i="35"/>
  <c r="L12" i="35" s="1"/>
  <c r="K14" i="35"/>
  <c r="L14" i="35" s="1"/>
  <c r="K15" i="35"/>
  <c r="L15" i="35" s="1"/>
  <c r="K17" i="35"/>
  <c r="K18" i="35"/>
  <c r="L18" i="35" s="1"/>
  <c r="K19" i="35"/>
  <c r="L19" i="35" s="1"/>
  <c r="K20" i="35"/>
  <c r="L20" i="35" s="1"/>
  <c r="K21" i="35"/>
  <c r="L21" i="35" s="1"/>
  <c r="K22" i="35"/>
  <c r="L22" i="35" s="1"/>
  <c r="K23" i="35"/>
  <c r="K24" i="35"/>
  <c r="L24" i="35" s="1"/>
  <c r="K25" i="35"/>
  <c r="L25" i="35" s="1"/>
  <c r="K26" i="35"/>
  <c r="L26" i="35" s="1"/>
  <c r="K27" i="35"/>
  <c r="L27" i="35" s="1"/>
  <c r="K28" i="35"/>
  <c r="L28" i="35" s="1"/>
  <c r="K29" i="35"/>
  <c r="L29" i="35" s="1"/>
  <c r="K30" i="35"/>
  <c r="L30" i="35" s="1"/>
  <c r="K31" i="35"/>
  <c r="L33" i="35"/>
  <c r="K34" i="35"/>
  <c r="L34" i="35" s="1"/>
  <c r="K35" i="35"/>
  <c r="L35" i="35" s="1"/>
  <c r="K36" i="35"/>
  <c r="L36" i="35" s="1"/>
  <c r="K38" i="35"/>
  <c r="K39" i="35"/>
  <c r="L39" i="35" s="1"/>
  <c r="L40" i="35"/>
  <c r="K42" i="35"/>
  <c r="L42" i="35" s="1"/>
  <c r="L44" i="35"/>
  <c r="L45" i="35"/>
  <c r="K46" i="35"/>
  <c r="L46" i="35" s="1"/>
  <c r="K47" i="35"/>
  <c r="K49" i="35"/>
  <c r="L49" i="35" s="1"/>
  <c r="K50" i="35"/>
  <c r="K51" i="35"/>
  <c r="L51" i="35" s="1"/>
  <c r="K53" i="35"/>
  <c r="L53" i="35" s="1"/>
  <c r="K57" i="35"/>
  <c r="K59" i="35"/>
  <c r="K60" i="35"/>
  <c r="L60" i="35" s="1"/>
  <c r="L37" i="35"/>
  <c r="L48" i="35"/>
  <c r="K52" i="35"/>
  <c r="L52" i="35" s="1"/>
  <c r="L54" i="35"/>
  <c r="L55" i="35"/>
  <c r="L56" i="35"/>
  <c r="L58" i="35"/>
  <c r="AN332" i="5"/>
  <c r="AG332" i="5"/>
  <c r="X332" i="5"/>
  <c r="B17" i="2"/>
  <c r="B22" i="33"/>
  <c r="L7" i="33"/>
  <c r="B24" i="33"/>
  <c r="R15" i="33"/>
  <c r="P15" i="33"/>
  <c r="S5" i="33"/>
  <c r="S4" i="33"/>
  <c r="S3" i="33"/>
  <c r="Q3" i="33"/>
  <c r="AN231" i="5"/>
  <c r="AG231" i="5"/>
  <c r="X231" i="5"/>
  <c r="AN212" i="5"/>
  <c r="AG212" i="5"/>
  <c r="X212" i="5"/>
  <c r="AN216" i="5"/>
  <c r="AG216" i="5"/>
  <c r="X216" i="5"/>
  <c r="I20" i="7"/>
  <c r="B20" i="7"/>
  <c r="B484" i="7"/>
  <c r="I539" i="7"/>
  <c r="C69" i="3"/>
  <c r="C68" i="3"/>
  <c r="C65" i="3"/>
  <c r="C60" i="3"/>
  <c r="C59" i="3"/>
  <c r="C54" i="3"/>
  <c r="C41" i="3"/>
  <c r="C32" i="3"/>
  <c r="E7" i="3"/>
  <c r="E8" i="3"/>
  <c r="E9" i="3"/>
  <c r="E10" i="3"/>
  <c r="J10" i="3" s="1"/>
  <c r="E11" i="3"/>
  <c r="J11" i="3" s="1"/>
  <c r="E12" i="3"/>
  <c r="E13" i="3"/>
  <c r="E14" i="3"/>
  <c r="J14" i="3" s="1"/>
  <c r="E15" i="3"/>
  <c r="E16" i="3"/>
  <c r="E17" i="3"/>
  <c r="E18" i="3"/>
  <c r="J18" i="3" s="1"/>
  <c r="E19" i="3"/>
  <c r="E20" i="3"/>
  <c r="J20" i="3" s="1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70" i="3"/>
  <c r="E71" i="3"/>
  <c r="E72" i="3"/>
  <c r="E69" i="3"/>
  <c r="B71" i="3"/>
  <c r="B72" i="3"/>
  <c r="C71" i="3"/>
  <c r="C72" i="3"/>
  <c r="D71" i="3"/>
  <c r="D72" i="3"/>
  <c r="B70" i="3"/>
  <c r="C70" i="3"/>
  <c r="D70" i="3"/>
  <c r="B73" i="3"/>
  <c r="C73" i="3"/>
  <c r="D73" i="3"/>
  <c r="B69" i="3"/>
  <c r="D69" i="3"/>
  <c r="F3" i="9"/>
  <c r="A1" i="28"/>
  <c r="E73" i="27"/>
  <c r="D73" i="27"/>
  <c r="C73" i="27"/>
  <c r="B73" i="27"/>
  <c r="E72" i="27"/>
  <c r="D72" i="27"/>
  <c r="C72" i="27"/>
  <c r="B72" i="27"/>
  <c r="E71" i="27"/>
  <c r="D71" i="27"/>
  <c r="C71" i="27"/>
  <c r="B71" i="27"/>
  <c r="E70" i="27"/>
  <c r="D70" i="27"/>
  <c r="C70" i="27"/>
  <c r="B70" i="27"/>
  <c r="E69" i="27"/>
  <c r="D69" i="27"/>
  <c r="C69" i="27"/>
  <c r="B69" i="27"/>
  <c r="E68" i="27"/>
  <c r="D68" i="27"/>
  <c r="C68" i="27"/>
  <c r="B68" i="27"/>
  <c r="E67" i="27"/>
  <c r="D67" i="27"/>
  <c r="C67" i="27"/>
  <c r="B67" i="27"/>
  <c r="E66" i="27"/>
  <c r="D66" i="27"/>
  <c r="C66" i="27"/>
  <c r="B66" i="27"/>
  <c r="E65" i="27"/>
  <c r="D65" i="27"/>
  <c r="C65" i="27"/>
  <c r="B65" i="27"/>
  <c r="E64" i="27"/>
  <c r="D64" i="27"/>
  <c r="C64" i="27"/>
  <c r="B64" i="27"/>
  <c r="E63" i="27"/>
  <c r="D63" i="27"/>
  <c r="C63" i="27"/>
  <c r="B63" i="27"/>
  <c r="E62" i="27"/>
  <c r="D62" i="27"/>
  <c r="C62" i="27"/>
  <c r="B62" i="27"/>
  <c r="E61" i="27"/>
  <c r="D61" i="27"/>
  <c r="C61" i="27"/>
  <c r="B61" i="27"/>
  <c r="E60" i="27"/>
  <c r="D60" i="27"/>
  <c r="C60" i="27"/>
  <c r="B60" i="27"/>
  <c r="E56" i="27"/>
  <c r="D56" i="27"/>
  <c r="C56" i="27"/>
  <c r="B56" i="27"/>
  <c r="E55" i="27"/>
  <c r="D55" i="27"/>
  <c r="C55" i="27"/>
  <c r="B55" i="27"/>
  <c r="E54" i="27"/>
  <c r="D54" i="27"/>
  <c r="C54" i="27"/>
  <c r="B54" i="27"/>
  <c r="E53" i="27"/>
  <c r="D53" i="27"/>
  <c r="C53" i="27"/>
  <c r="B53" i="27"/>
  <c r="E52" i="27"/>
  <c r="D52" i="27"/>
  <c r="C52" i="27"/>
  <c r="B52" i="27"/>
  <c r="E51" i="27"/>
  <c r="D51" i="27"/>
  <c r="C51" i="27"/>
  <c r="B51" i="27"/>
  <c r="E50" i="27"/>
  <c r="D50" i="27"/>
  <c r="C50" i="27"/>
  <c r="B50" i="27"/>
  <c r="E49" i="27"/>
  <c r="D49" i="27"/>
  <c r="C49" i="27"/>
  <c r="B49" i="27"/>
  <c r="E48" i="27"/>
  <c r="D48" i="27"/>
  <c r="C48" i="27"/>
  <c r="B48" i="27"/>
  <c r="E47" i="27"/>
  <c r="D47" i="27"/>
  <c r="C47" i="27"/>
  <c r="B47" i="27"/>
  <c r="D42" i="27"/>
  <c r="C42" i="27"/>
  <c r="G42" i="27" s="1"/>
  <c r="B42" i="27"/>
  <c r="D41" i="27"/>
  <c r="C41" i="27"/>
  <c r="G41" i="27" s="1"/>
  <c r="B41" i="27"/>
  <c r="D40" i="27"/>
  <c r="C40" i="27"/>
  <c r="G40" i="27" s="1"/>
  <c r="B40" i="27"/>
  <c r="D39" i="27"/>
  <c r="C39" i="27"/>
  <c r="G39" i="27" s="1"/>
  <c r="B39" i="27"/>
  <c r="D38" i="27"/>
  <c r="C38" i="27"/>
  <c r="G38" i="27" s="1"/>
  <c r="B38" i="27"/>
  <c r="D37" i="27"/>
  <c r="C37" i="27"/>
  <c r="G37" i="27" s="1"/>
  <c r="B37" i="27"/>
  <c r="D36" i="27"/>
  <c r="C36" i="27"/>
  <c r="G36" i="27" s="1"/>
  <c r="B36" i="27"/>
  <c r="D35" i="27"/>
  <c r="C35" i="27"/>
  <c r="G35" i="27" s="1"/>
  <c r="B35" i="27"/>
  <c r="D34" i="27"/>
  <c r="C34" i="27"/>
  <c r="G34" i="27" s="1"/>
  <c r="B34" i="27"/>
  <c r="D33" i="27"/>
  <c r="C33" i="27"/>
  <c r="G33" i="27" s="1"/>
  <c r="B33" i="27"/>
  <c r="D32" i="27"/>
  <c r="C32" i="27"/>
  <c r="G32" i="27" s="1"/>
  <c r="B32" i="27"/>
  <c r="D31" i="27"/>
  <c r="C31" i="27"/>
  <c r="G31" i="27" s="1"/>
  <c r="B31" i="27"/>
  <c r="D30" i="27"/>
  <c r="C30" i="27"/>
  <c r="G30" i="27" s="1"/>
  <c r="B30" i="27"/>
  <c r="D29" i="27"/>
  <c r="C29" i="27"/>
  <c r="G29" i="27" s="1"/>
  <c r="B29" i="27"/>
  <c r="D28" i="27"/>
  <c r="C28" i="27"/>
  <c r="G28" i="27" s="1"/>
  <c r="B28" i="27"/>
  <c r="D27" i="27"/>
  <c r="C27" i="27"/>
  <c r="G27" i="27" s="1"/>
  <c r="B27" i="27"/>
  <c r="D26" i="27"/>
  <c r="C26" i="27"/>
  <c r="G26" i="27" s="1"/>
  <c r="B26" i="27"/>
  <c r="D25" i="27"/>
  <c r="C25" i="27"/>
  <c r="G25" i="27" s="1"/>
  <c r="B25" i="27"/>
  <c r="D24" i="27"/>
  <c r="C24" i="27"/>
  <c r="G24" i="27" s="1"/>
  <c r="B24" i="27"/>
  <c r="D23" i="27"/>
  <c r="C23" i="27"/>
  <c r="G23" i="27" s="1"/>
  <c r="B23" i="27"/>
  <c r="D22" i="27"/>
  <c r="C22" i="27"/>
  <c r="G22" i="27" s="1"/>
  <c r="B22" i="27"/>
  <c r="G21" i="27"/>
  <c r="D21" i="27"/>
  <c r="B21" i="27"/>
  <c r="G20" i="27"/>
  <c r="D20" i="27"/>
  <c r="B20" i="27"/>
  <c r="G19" i="27"/>
  <c r="D19" i="27"/>
  <c r="B19" i="27"/>
  <c r="G18" i="27"/>
  <c r="D18" i="27"/>
  <c r="B18" i="27"/>
  <c r="G17" i="27"/>
  <c r="D17" i="27"/>
  <c r="B17" i="27"/>
  <c r="G16" i="27"/>
  <c r="D16" i="27"/>
  <c r="B16" i="27"/>
  <c r="G15" i="27"/>
  <c r="D15" i="27"/>
  <c r="B15" i="27"/>
  <c r="G14" i="27"/>
  <c r="D14" i="27"/>
  <c r="B14" i="27"/>
  <c r="G13" i="27"/>
  <c r="D13" i="27"/>
  <c r="B13" i="27"/>
  <c r="G12" i="27"/>
  <c r="D12" i="27"/>
  <c r="B12" i="27"/>
  <c r="G11" i="27"/>
  <c r="D11" i="27"/>
  <c r="B11" i="27"/>
  <c r="G10" i="27"/>
  <c r="D10" i="27"/>
  <c r="B10" i="27"/>
  <c r="G9" i="27"/>
  <c r="D9" i="27"/>
  <c r="B9" i="27"/>
  <c r="G8" i="27"/>
  <c r="D8" i="27"/>
  <c r="B8" i="27"/>
  <c r="G7" i="27"/>
  <c r="D7" i="27"/>
  <c r="B7" i="27"/>
  <c r="G6" i="27"/>
  <c r="D6" i="27"/>
  <c r="B6" i="27"/>
  <c r="G5" i="27"/>
  <c r="D5" i="27"/>
  <c r="B5" i="27"/>
  <c r="G4" i="27"/>
  <c r="D4" i="27"/>
  <c r="B4" i="27"/>
  <c r="G3" i="27"/>
  <c r="D3" i="27"/>
  <c r="B3" i="27"/>
  <c r="G2" i="27"/>
  <c r="D2" i="27"/>
  <c r="B2" i="27"/>
  <c r="D333" i="23"/>
  <c r="D332" i="23"/>
  <c r="D331" i="23"/>
  <c r="D330" i="23"/>
  <c r="D329" i="23"/>
  <c r="D328" i="23"/>
  <c r="D327" i="23"/>
  <c r="D326" i="23"/>
  <c r="D325" i="23"/>
  <c r="D324" i="23"/>
  <c r="D323" i="23"/>
  <c r="D322" i="23"/>
  <c r="D321" i="23"/>
  <c r="D320" i="23"/>
  <c r="D319" i="23"/>
  <c r="D318" i="23"/>
  <c r="D317" i="23"/>
  <c r="D316" i="23"/>
  <c r="D315" i="23"/>
  <c r="D314" i="23"/>
  <c r="D313" i="23"/>
  <c r="D312" i="23"/>
  <c r="D311" i="23"/>
  <c r="D310" i="23"/>
  <c r="D309" i="23"/>
  <c r="D308" i="23"/>
  <c r="D307" i="23"/>
  <c r="D306" i="23"/>
  <c r="D305" i="23"/>
  <c r="D304" i="23"/>
  <c r="D303" i="23"/>
  <c r="D302" i="23"/>
  <c r="D301" i="23"/>
  <c r="D300" i="23"/>
  <c r="D299" i="23"/>
  <c r="D298" i="23"/>
  <c r="D297" i="23"/>
  <c r="D296" i="23"/>
  <c r="D295" i="23"/>
  <c r="D294" i="23"/>
  <c r="D293" i="23"/>
  <c r="D292" i="23"/>
  <c r="D291" i="23"/>
  <c r="D290" i="23"/>
  <c r="D289" i="23"/>
  <c r="D288" i="23"/>
  <c r="D287" i="23"/>
  <c r="D286" i="23"/>
  <c r="D285" i="23"/>
  <c r="D284" i="23"/>
  <c r="D283" i="23"/>
  <c r="D282" i="23"/>
  <c r="D281" i="23"/>
  <c r="D280" i="23"/>
  <c r="D279" i="23"/>
  <c r="D278" i="23"/>
  <c r="D277" i="23"/>
  <c r="D276" i="23"/>
  <c r="D275" i="23"/>
  <c r="D274" i="23"/>
  <c r="D273" i="23"/>
  <c r="D272" i="23"/>
  <c r="D271" i="23"/>
  <c r="D270" i="23"/>
  <c r="D269" i="23"/>
  <c r="D268" i="23"/>
  <c r="D267" i="23"/>
  <c r="D266" i="23"/>
  <c r="D265" i="23"/>
  <c r="D264" i="23"/>
  <c r="D263" i="23"/>
  <c r="D262" i="23"/>
  <c r="D261" i="23"/>
  <c r="D260" i="23"/>
  <c r="D259" i="23"/>
  <c r="D258" i="23"/>
  <c r="D257" i="23"/>
  <c r="D256" i="23"/>
  <c r="D255" i="23"/>
  <c r="D254" i="23"/>
  <c r="D253" i="23"/>
  <c r="D252" i="23"/>
  <c r="D251" i="23"/>
  <c r="D250" i="23"/>
  <c r="D249" i="23"/>
  <c r="D248" i="23"/>
  <c r="D247" i="23"/>
  <c r="D246" i="23"/>
  <c r="D245" i="23"/>
  <c r="D244" i="23"/>
  <c r="D243" i="23"/>
  <c r="D242" i="23"/>
  <c r="D241" i="23"/>
  <c r="D240" i="23"/>
  <c r="D239" i="23"/>
  <c r="D238" i="23"/>
  <c r="D237" i="23"/>
  <c r="D236" i="23"/>
  <c r="D235" i="23"/>
  <c r="D234" i="23"/>
  <c r="D233" i="23"/>
  <c r="D232" i="23"/>
  <c r="D231" i="23"/>
  <c r="D230" i="23"/>
  <c r="D229" i="23"/>
  <c r="D228" i="23"/>
  <c r="D227" i="23"/>
  <c r="D226" i="23"/>
  <c r="D225" i="23"/>
  <c r="D224" i="23"/>
  <c r="D223" i="23"/>
  <c r="D222" i="23"/>
  <c r="D221" i="23"/>
  <c r="D220" i="23"/>
  <c r="D219" i="23"/>
  <c r="D218" i="23"/>
  <c r="D217" i="23"/>
  <c r="D216" i="23"/>
  <c r="D215" i="23"/>
  <c r="D214" i="23"/>
  <c r="D213" i="23"/>
  <c r="D212" i="23"/>
  <c r="D211" i="23"/>
  <c r="D210" i="23"/>
  <c r="D209" i="23"/>
  <c r="D208" i="23"/>
  <c r="D207" i="23"/>
  <c r="D206" i="23"/>
  <c r="D205" i="23"/>
  <c r="D204" i="23"/>
  <c r="D203" i="23"/>
  <c r="D202" i="23"/>
  <c r="D201" i="23"/>
  <c r="D200" i="23"/>
  <c r="D199" i="23"/>
  <c r="D198" i="23"/>
  <c r="D197" i="23"/>
  <c r="D196" i="23"/>
  <c r="D195" i="23"/>
  <c r="D194" i="23"/>
  <c r="D193" i="23"/>
  <c r="D192" i="23"/>
  <c r="D191" i="23"/>
  <c r="D190" i="23"/>
  <c r="D189" i="23"/>
  <c r="D188" i="23"/>
  <c r="D187" i="23"/>
  <c r="D186" i="23"/>
  <c r="D185" i="23"/>
  <c r="D184" i="23"/>
  <c r="D183" i="23"/>
  <c r="D182" i="23"/>
  <c r="D181" i="23"/>
  <c r="D180" i="23"/>
  <c r="D179" i="23"/>
  <c r="D178" i="23"/>
  <c r="D177" i="23"/>
  <c r="D176" i="23"/>
  <c r="D175" i="23"/>
  <c r="D174" i="23"/>
  <c r="D173" i="23"/>
  <c r="D172" i="23"/>
  <c r="D171" i="23"/>
  <c r="D170" i="23"/>
  <c r="D169" i="23"/>
  <c r="D168" i="23"/>
  <c r="D167" i="23"/>
  <c r="D166" i="23"/>
  <c r="D165" i="23"/>
  <c r="D164" i="23"/>
  <c r="D163" i="23"/>
  <c r="D162" i="23"/>
  <c r="D161" i="23"/>
  <c r="D160" i="23"/>
  <c r="D159" i="23"/>
  <c r="D158" i="23"/>
  <c r="D157" i="23"/>
  <c r="D156" i="23"/>
  <c r="D155" i="23"/>
  <c r="D154" i="23"/>
  <c r="D153" i="23"/>
  <c r="D152" i="23"/>
  <c r="D151" i="23"/>
  <c r="D150" i="23"/>
  <c r="D149" i="23"/>
  <c r="D148" i="23"/>
  <c r="D147" i="23"/>
  <c r="D146" i="23"/>
  <c r="D145" i="23"/>
  <c r="D144" i="23"/>
  <c r="D143" i="23"/>
  <c r="D142" i="23"/>
  <c r="D141" i="23"/>
  <c r="D140" i="23"/>
  <c r="D139" i="23"/>
  <c r="D138" i="23"/>
  <c r="D137" i="23"/>
  <c r="D136" i="23"/>
  <c r="D135" i="23"/>
  <c r="D134" i="23"/>
  <c r="D133" i="23"/>
  <c r="D132" i="23"/>
  <c r="D131" i="23"/>
  <c r="D130" i="23"/>
  <c r="D129" i="23"/>
  <c r="D128" i="23"/>
  <c r="D127" i="23"/>
  <c r="D126" i="23"/>
  <c r="D125" i="23"/>
  <c r="D124" i="23"/>
  <c r="D123" i="23"/>
  <c r="D122" i="23"/>
  <c r="D121" i="23"/>
  <c r="D120" i="23"/>
  <c r="D119" i="23"/>
  <c r="D118" i="23"/>
  <c r="D117" i="23"/>
  <c r="D116" i="23"/>
  <c r="D115" i="23"/>
  <c r="D114" i="23"/>
  <c r="D113" i="23"/>
  <c r="D112" i="23"/>
  <c r="D111" i="23"/>
  <c r="D110" i="23"/>
  <c r="D109" i="23"/>
  <c r="D108" i="23"/>
  <c r="D107" i="23"/>
  <c r="D106" i="23"/>
  <c r="D105" i="23"/>
  <c r="D104" i="23"/>
  <c r="D103" i="23"/>
  <c r="D102" i="23"/>
  <c r="D101" i="23"/>
  <c r="D100" i="23"/>
  <c r="D99" i="23"/>
  <c r="D98" i="23"/>
  <c r="D97" i="23"/>
  <c r="D96" i="23"/>
  <c r="D95" i="23"/>
  <c r="D94" i="23"/>
  <c r="D93" i="23"/>
  <c r="D92" i="23"/>
  <c r="D91" i="23"/>
  <c r="D90" i="23"/>
  <c r="D89" i="23"/>
  <c r="D88" i="23"/>
  <c r="D87" i="23"/>
  <c r="D86" i="23"/>
  <c r="D85" i="23"/>
  <c r="D84" i="23"/>
  <c r="D83" i="23"/>
  <c r="D82" i="23"/>
  <c r="D81" i="23"/>
  <c r="D80" i="23"/>
  <c r="D79" i="23"/>
  <c r="D78" i="23"/>
  <c r="D77" i="23"/>
  <c r="D76" i="23"/>
  <c r="D75" i="23"/>
  <c r="D74" i="23"/>
  <c r="D73" i="23"/>
  <c r="D72" i="23"/>
  <c r="D71" i="23"/>
  <c r="D70" i="23"/>
  <c r="D69" i="23"/>
  <c r="D68" i="23"/>
  <c r="D67" i="23"/>
  <c r="D66" i="23"/>
  <c r="D65" i="23"/>
  <c r="D64" i="23"/>
  <c r="D63" i="23"/>
  <c r="D62" i="23"/>
  <c r="D61" i="23"/>
  <c r="D60" i="23"/>
  <c r="D59" i="23"/>
  <c r="D58" i="23"/>
  <c r="D57" i="23"/>
  <c r="D56" i="23"/>
  <c r="D55" i="23"/>
  <c r="D54" i="23"/>
  <c r="D53" i="23"/>
  <c r="D52" i="23"/>
  <c r="D51" i="23"/>
  <c r="D50" i="23"/>
  <c r="D49" i="23"/>
  <c r="D48" i="23"/>
  <c r="D47" i="23"/>
  <c r="D46" i="23"/>
  <c r="D45" i="23"/>
  <c r="D44" i="23"/>
  <c r="D43" i="23"/>
  <c r="D42" i="23"/>
  <c r="D41" i="23"/>
  <c r="D40" i="23"/>
  <c r="D39" i="23"/>
  <c r="D38" i="23"/>
  <c r="D37" i="23"/>
  <c r="D36" i="23"/>
  <c r="D35" i="23"/>
  <c r="D34" i="23"/>
  <c r="D33" i="23"/>
  <c r="D32" i="23"/>
  <c r="D31" i="23"/>
  <c r="D30" i="23"/>
  <c r="D29" i="23"/>
  <c r="D28" i="23"/>
  <c r="D27" i="23"/>
  <c r="D26" i="23"/>
  <c r="D25" i="23"/>
  <c r="D24" i="23"/>
  <c r="D23" i="23"/>
  <c r="D22" i="23"/>
  <c r="D21" i="23"/>
  <c r="D20" i="23"/>
  <c r="D19" i="23"/>
  <c r="D18" i="23"/>
  <c r="D17" i="23"/>
  <c r="D16" i="23"/>
  <c r="D15" i="23"/>
  <c r="D14" i="23"/>
  <c r="D13" i="23"/>
  <c r="D12" i="23"/>
  <c r="D11" i="23"/>
  <c r="D10" i="23"/>
  <c r="D9" i="23"/>
  <c r="D8" i="23"/>
  <c r="D7" i="23"/>
  <c r="D6" i="23"/>
  <c r="D5" i="23"/>
  <c r="D4" i="23"/>
  <c r="D3" i="23"/>
  <c r="D2" i="23"/>
  <c r="X17" i="22"/>
  <c r="X16" i="22"/>
  <c r="X15" i="22"/>
  <c r="X14" i="22"/>
  <c r="X13" i="22"/>
  <c r="X12" i="22"/>
  <c r="C12" i="22"/>
  <c r="B12" i="22"/>
  <c r="X11" i="22"/>
  <c r="C11" i="22"/>
  <c r="B11" i="22"/>
  <c r="X10" i="22"/>
  <c r="C10" i="22"/>
  <c r="B10" i="22"/>
  <c r="X9" i="22"/>
  <c r="C9" i="22"/>
  <c r="B9" i="22"/>
  <c r="X8" i="22"/>
  <c r="C8" i="22"/>
  <c r="B8" i="22"/>
  <c r="X7" i="22"/>
  <c r="C7" i="22"/>
  <c r="B7" i="22"/>
  <c r="X6" i="22"/>
  <c r="C6" i="22"/>
  <c r="B6" i="22"/>
  <c r="X5" i="22"/>
  <c r="C5" i="22"/>
  <c r="B5" i="22"/>
  <c r="W4" i="22"/>
  <c r="W3" i="22"/>
  <c r="B1" i="20"/>
  <c r="D27" i="18"/>
  <c r="C27" i="18"/>
  <c r="B27" i="18"/>
  <c r="D26" i="18"/>
  <c r="C26" i="18"/>
  <c r="B26" i="18"/>
  <c r="D25" i="18"/>
  <c r="C25" i="18"/>
  <c r="B25" i="18"/>
  <c r="D24" i="18"/>
  <c r="C24" i="18"/>
  <c r="B24" i="18"/>
  <c r="D23" i="18"/>
  <c r="C23" i="18"/>
  <c r="B23" i="18"/>
  <c r="D22" i="18"/>
  <c r="C22" i="18"/>
  <c r="B22" i="18"/>
  <c r="D21" i="18"/>
  <c r="C21" i="18"/>
  <c r="B21" i="18"/>
  <c r="D20" i="18"/>
  <c r="C20" i="18"/>
  <c r="B20" i="18"/>
  <c r="D19" i="18"/>
  <c r="C19" i="18"/>
  <c r="B19" i="18"/>
  <c r="BI12" i="18"/>
  <c r="BH12" i="18"/>
  <c r="BG12" i="18"/>
  <c r="BF12" i="18"/>
  <c r="BE12" i="18"/>
  <c r="BD12" i="18"/>
  <c r="BC12" i="18"/>
  <c r="BB12" i="18"/>
  <c r="BA12" i="18"/>
  <c r="AZ12" i="18"/>
  <c r="AY12" i="18"/>
  <c r="AX12" i="18"/>
  <c r="AW12" i="18"/>
  <c r="AV12" i="18"/>
  <c r="AU12" i="18"/>
  <c r="AT12" i="18"/>
  <c r="AS12" i="18"/>
  <c r="AR12" i="18"/>
  <c r="AQ12" i="18"/>
  <c r="AP12" i="18"/>
  <c r="AO12" i="18"/>
  <c r="AN12" i="18"/>
  <c r="AM12" i="18"/>
  <c r="AL12" i="18"/>
  <c r="AK12" i="18"/>
  <c r="AJ12" i="18"/>
  <c r="AI12" i="18"/>
  <c r="AH12" i="18"/>
  <c r="AG12" i="18"/>
  <c r="AF12" i="18"/>
  <c r="AE12" i="18"/>
  <c r="AD12" i="18"/>
  <c r="AC12" i="18"/>
  <c r="AB12" i="18"/>
  <c r="AA12" i="18"/>
  <c r="Z12" i="18"/>
  <c r="Y12" i="18"/>
  <c r="X12" i="18"/>
  <c r="W12" i="18"/>
  <c r="V12" i="18"/>
  <c r="U12" i="18"/>
  <c r="T12" i="18"/>
  <c r="S12" i="18"/>
  <c r="R12" i="18"/>
  <c r="Q12" i="18"/>
  <c r="P12" i="18"/>
  <c r="O12" i="18"/>
  <c r="N12" i="18"/>
  <c r="M12" i="18"/>
  <c r="L12" i="18"/>
  <c r="K12" i="18"/>
  <c r="J12" i="18"/>
  <c r="I12" i="18"/>
  <c r="H12" i="18"/>
  <c r="G12" i="18"/>
  <c r="F12" i="18"/>
  <c r="B12" i="18"/>
  <c r="A12" i="18"/>
  <c r="BI11" i="18"/>
  <c r="BH11" i="18"/>
  <c r="BG11" i="18"/>
  <c r="BF11" i="18"/>
  <c r="BE11" i="18"/>
  <c r="BD11" i="18"/>
  <c r="BC11" i="18"/>
  <c r="BB11" i="18"/>
  <c r="BA11" i="18"/>
  <c r="AZ11" i="18"/>
  <c r="AY11" i="18"/>
  <c r="AX11" i="18"/>
  <c r="AW11" i="18"/>
  <c r="AV11" i="18"/>
  <c r="AU11" i="18"/>
  <c r="AT11" i="18"/>
  <c r="AS11" i="18"/>
  <c r="AR11" i="18"/>
  <c r="AQ11" i="18"/>
  <c r="AP11" i="18"/>
  <c r="AO11" i="18"/>
  <c r="AN11" i="18"/>
  <c r="AM11" i="18"/>
  <c r="AL11" i="18"/>
  <c r="AK11" i="18"/>
  <c r="AJ11" i="18"/>
  <c r="AI11" i="18"/>
  <c r="AH11" i="18"/>
  <c r="AG11" i="18"/>
  <c r="AF11" i="18"/>
  <c r="AE11" i="18"/>
  <c r="AD11" i="18"/>
  <c r="AC11" i="18"/>
  <c r="AB11" i="18"/>
  <c r="AA11" i="18"/>
  <c r="Z11" i="18"/>
  <c r="Y11" i="18"/>
  <c r="X11" i="18"/>
  <c r="W11" i="18"/>
  <c r="V11" i="18"/>
  <c r="U11" i="18"/>
  <c r="T11" i="18"/>
  <c r="S11" i="18"/>
  <c r="R11" i="18"/>
  <c r="Q11" i="18"/>
  <c r="P11" i="18"/>
  <c r="O11" i="18"/>
  <c r="N11" i="18"/>
  <c r="M11" i="18"/>
  <c r="L11" i="18"/>
  <c r="K11" i="18"/>
  <c r="J11" i="18"/>
  <c r="I11" i="18"/>
  <c r="H11" i="18"/>
  <c r="G11" i="18"/>
  <c r="F11" i="18"/>
  <c r="B11" i="18"/>
  <c r="A11" i="18"/>
  <c r="BI10" i="18"/>
  <c r="BH10" i="18"/>
  <c r="BG10" i="18"/>
  <c r="BF10" i="18"/>
  <c r="BE10" i="18"/>
  <c r="BD10" i="18"/>
  <c r="BC10" i="18"/>
  <c r="BB10" i="18"/>
  <c r="BA10" i="18"/>
  <c r="AZ10" i="18"/>
  <c r="AY10" i="18"/>
  <c r="AX10" i="18"/>
  <c r="AW10" i="18"/>
  <c r="AV10" i="18"/>
  <c r="AU10" i="18"/>
  <c r="AT10" i="18"/>
  <c r="AS10" i="18"/>
  <c r="AR10" i="18"/>
  <c r="AQ10" i="18"/>
  <c r="AP10" i="18"/>
  <c r="AO10" i="18"/>
  <c r="AN10" i="18"/>
  <c r="AM10" i="18"/>
  <c r="AL10" i="18"/>
  <c r="AK10" i="18"/>
  <c r="AJ10" i="18"/>
  <c r="AI10" i="18"/>
  <c r="AH10" i="18"/>
  <c r="AG10" i="18"/>
  <c r="AF10" i="18"/>
  <c r="AE10" i="18"/>
  <c r="AD10" i="18"/>
  <c r="AC10" i="18"/>
  <c r="AB10" i="18"/>
  <c r="AA10" i="18"/>
  <c r="Z10" i="18"/>
  <c r="Y10" i="18"/>
  <c r="X10" i="18"/>
  <c r="W10" i="18"/>
  <c r="V10" i="18"/>
  <c r="U10" i="18"/>
  <c r="T10" i="18"/>
  <c r="S10" i="18"/>
  <c r="R10" i="18"/>
  <c r="Q10" i="18"/>
  <c r="P10" i="18"/>
  <c r="O10" i="18"/>
  <c r="N10" i="18"/>
  <c r="M10" i="18"/>
  <c r="L10" i="18"/>
  <c r="K10" i="18"/>
  <c r="J10" i="18"/>
  <c r="I10" i="18"/>
  <c r="H10" i="18"/>
  <c r="G10" i="18"/>
  <c r="F10" i="18"/>
  <c r="B10" i="18"/>
  <c r="A10" i="18"/>
  <c r="BI9" i="18"/>
  <c r="BH9" i="18"/>
  <c r="BG9" i="18"/>
  <c r="BF9" i="18"/>
  <c r="BE9" i="18"/>
  <c r="BD9" i="18"/>
  <c r="BC9" i="18"/>
  <c r="BB9" i="18"/>
  <c r="BA9" i="18"/>
  <c r="AZ9" i="18"/>
  <c r="AY9" i="18"/>
  <c r="AX9" i="18"/>
  <c r="AW9" i="18"/>
  <c r="AV9" i="18"/>
  <c r="AU9" i="18"/>
  <c r="AT9" i="18"/>
  <c r="AS9" i="18"/>
  <c r="AR9" i="18"/>
  <c r="AQ9" i="18"/>
  <c r="AP9" i="18"/>
  <c r="AO9" i="18"/>
  <c r="AN9" i="18"/>
  <c r="AM9" i="18"/>
  <c r="AL9" i="18"/>
  <c r="AK9" i="18"/>
  <c r="AJ9" i="18"/>
  <c r="AI9" i="18"/>
  <c r="AH9" i="18"/>
  <c r="AG9" i="18"/>
  <c r="AF9" i="18"/>
  <c r="AE9" i="18"/>
  <c r="AD9" i="18"/>
  <c r="AC9" i="18"/>
  <c r="AB9" i="18"/>
  <c r="AA9" i="18"/>
  <c r="Z9" i="18"/>
  <c r="Y9" i="18"/>
  <c r="X9" i="18"/>
  <c r="W9" i="18"/>
  <c r="V9" i="18"/>
  <c r="U9" i="18"/>
  <c r="T9" i="18"/>
  <c r="S9" i="18"/>
  <c r="R9" i="18"/>
  <c r="Q9" i="18"/>
  <c r="P9" i="18"/>
  <c r="O9" i="18"/>
  <c r="N9" i="18"/>
  <c r="M9" i="18"/>
  <c r="L9" i="18"/>
  <c r="K9" i="18"/>
  <c r="J9" i="18"/>
  <c r="I9" i="18"/>
  <c r="H9" i="18"/>
  <c r="G9" i="18"/>
  <c r="F9" i="18"/>
  <c r="B9" i="18"/>
  <c r="A9" i="18"/>
  <c r="BI8" i="18"/>
  <c r="BH8" i="18"/>
  <c r="BG8" i="18"/>
  <c r="BF8" i="18"/>
  <c r="BE8" i="18"/>
  <c r="BD8" i="18"/>
  <c r="BC8" i="18"/>
  <c r="BB8" i="18"/>
  <c r="BA8" i="18"/>
  <c r="AZ8" i="18"/>
  <c r="AY8" i="18"/>
  <c r="AX8" i="18"/>
  <c r="AW8" i="18"/>
  <c r="AV8" i="18"/>
  <c r="AU8" i="18"/>
  <c r="AT8" i="18"/>
  <c r="AS8" i="18"/>
  <c r="AR8" i="18"/>
  <c r="AQ8" i="18"/>
  <c r="AP8" i="18"/>
  <c r="AO8" i="18"/>
  <c r="AN8" i="18"/>
  <c r="AM8" i="18"/>
  <c r="AL8" i="18"/>
  <c r="AK8" i="18"/>
  <c r="AJ8" i="18"/>
  <c r="AI8" i="18"/>
  <c r="AH8" i="18"/>
  <c r="AG8" i="18"/>
  <c r="AF8" i="18"/>
  <c r="AE8" i="18"/>
  <c r="AD8" i="18"/>
  <c r="AC8" i="18"/>
  <c r="AB8" i="18"/>
  <c r="AA8" i="18"/>
  <c r="Z8" i="18"/>
  <c r="Y8" i="18"/>
  <c r="X8" i="18"/>
  <c r="W8" i="18"/>
  <c r="V8" i="18"/>
  <c r="U8" i="18"/>
  <c r="T8" i="18"/>
  <c r="S8" i="18"/>
  <c r="R8" i="18"/>
  <c r="Q8" i="18"/>
  <c r="P8" i="18"/>
  <c r="O8" i="18"/>
  <c r="N8" i="18"/>
  <c r="M8" i="18"/>
  <c r="L8" i="18"/>
  <c r="K8" i="18"/>
  <c r="J8" i="18"/>
  <c r="I8" i="18"/>
  <c r="H8" i="18"/>
  <c r="G8" i="18"/>
  <c r="F8" i="18"/>
  <c r="B8" i="18"/>
  <c r="A8" i="18"/>
  <c r="BI7" i="18"/>
  <c r="BH7" i="18"/>
  <c r="BG7" i="18"/>
  <c r="BF7" i="18"/>
  <c r="BE7" i="18"/>
  <c r="BD7" i="18"/>
  <c r="BC7" i="18"/>
  <c r="BB7" i="18"/>
  <c r="BA7" i="18"/>
  <c r="AZ7" i="18"/>
  <c r="AY7" i="18"/>
  <c r="AX7" i="18"/>
  <c r="AW7" i="18"/>
  <c r="AV7" i="18"/>
  <c r="AU7" i="18"/>
  <c r="AT7" i="18"/>
  <c r="AS7" i="18"/>
  <c r="AR7" i="18"/>
  <c r="AQ7" i="18"/>
  <c r="AP7" i="18"/>
  <c r="AO7" i="18"/>
  <c r="AN7" i="18"/>
  <c r="AM7" i="18"/>
  <c r="AL7" i="18"/>
  <c r="AK7" i="18"/>
  <c r="AJ7" i="18"/>
  <c r="AI7" i="18"/>
  <c r="AH7" i="18"/>
  <c r="AG7" i="18"/>
  <c r="AF7" i="18"/>
  <c r="AE7" i="18"/>
  <c r="AD7" i="18"/>
  <c r="AC7" i="18"/>
  <c r="AB7" i="18"/>
  <c r="AA7" i="18"/>
  <c r="Z7" i="18"/>
  <c r="Y7" i="18"/>
  <c r="X7" i="18"/>
  <c r="W7" i="18"/>
  <c r="V7" i="18"/>
  <c r="U7" i="18"/>
  <c r="T7" i="18"/>
  <c r="S7" i="18"/>
  <c r="R7" i="18"/>
  <c r="Q7" i="18"/>
  <c r="P7" i="18"/>
  <c r="O7" i="18"/>
  <c r="N7" i="18"/>
  <c r="M7" i="18"/>
  <c r="L7" i="18"/>
  <c r="K7" i="18"/>
  <c r="J7" i="18"/>
  <c r="I7" i="18"/>
  <c r="H7" i="18"/>
  <c r="G7" i="18"/>
  <c r="F7" i="18"/>
  <c r="B7" i="18"/>
  <c r="A7" i="18"/>
  <c r="BI6" i="18"/>
  <c r="BH6" i="18"/>
  <c r="BG6" i="18"/>
  <c r="BF6" i="18"/>
  <c r="BE6" i="18"/>
  <c r="BD6" i="18"/>
  <c r="BC6" i="18"/>
  <c r="BB6" i="18"/>
  <c r="BA6" i="18"/>
  <c r="AZ6" i="18"/>
  <c r="AY6" i="18"/>
  <c r="AX6" i="18"/>
  <c r="AW6" i="18"/>
  <c r="AV6" i="18"/>
  <c r="AU6" i="18"/>
  <c r="AT6" i="18"/>
  <c r="AS6" i="18"/>
  <c r="AR6" i="18"/>
  <c r="AQ6" i="18"/>
  <c r="AP6" i="18"/>
  <c r="AO6" i="18"/>
  <c r="AN6" i="18"/>
  <c r="AM6" i="18"/>
  <c r="AL6" i="18"/>
  <c r="AK6" i="18"/>
  <c r="AJ6" i="18"/>
  <c r="AI6" i="18"/>
  <c r="AH6" i="18"/>
  <c r="AG6" i="18"/>
  <c r="AF6" i="18"/>
  <c r="AE6" i="18"/>
  <c r="AD6" i="18"/>
  <c r="AC6" i="18"/>
  <c r="AB6" i="18"/>
  <c r="AA6" i="18"/>
  <c r="Z6" i="18"/>
  <c r="Y6" i="18"/>
  <c r="X6" i="18"/>
  <c r="W6" i="18"/>
  <c r="V6" i="18"/>
  <c r="U6" i="18"/>
  <c r="T6" i="18"/>
  <c r="S6" i="18"/>
  <c r="R6" i="18"/>
  <c r="Q6" i="18"/>
  <c r="P6" i="18"/>
  <c r="O6" i="18"/>
  <c r="N6" i="18"/>
  <c r="M6" i="18"/>
  <c r="L6" i="18"/>
  <c r="K6" i="18"/>
  <c r="J6" i="18"/>
  <c r="I6" i="18"/>
  <c r="H6" i="18"/>
  <c r="G6" i="18"/>
  <c r="F6" i="18"/>
  <c r="B6" i="18"/>
  <c r="A6" i="18"/>
  <c r="BI5" i="18"/>
  <c r="BH5" i="18"/>
  <c r="BG5" i="18"/>
  <c r="BF5" i="18"/>
  <c r="BE5" i="18"/>
  <c r="BD5" i="18"/>
  <c r="BC5" i="18"/>
  <c r="BB5" i="18"/>
  <c r="BA5" i="18"/>
  <c r="AZ5" i="18"/>
  <c r="AY5" i="18"/>
  <c r="AX5" i="18"/>
  <c r="AW5" i="18"/>
  <c r="AV5" i="18"/>
  <c r="AU5" i="18"/>
  <c r="AT5" i="18"/>
  <c r="AS5" i="18"/>
  <c r="AR5" i="18"/>
  <c r="AQ5" i="18"/>
  <c r="AP5" i="18"/>
  <c r="AO5" i="18"/>
  <c r="AN5" i="18"/>
  <c r="AM5" i="18"/>
  <c r="AL5" i="18"/>
  <c r="AK5" i="18"/>
  <c r="AJ5" i="18"/>
  <c r="AI5" i="18"/>
  <c r="AH5" i="18"/>
  <c r="AG5" i="18"/>
  <c r="AF5" i="18"/>
  <c r="AE5" i="18"/>
  <c r="AD5" i="18"/>
  <c r="AC5" i="18"/>
  <c r="AB5" i="18"/>
  <c r="AA5" i="18"/>
  <c r="Z5" i="18"/>
  <c r="Y5" i="18"/>
  <c r="X5" i="18"/>
  <c r="W5" i="18"/>
  <c r="V5" i="18"/>
  <c r="U5" i="18"/>
  <c r="T5" i="18"/>
  <c r="S5" i="18"/>
  <c r="R5" i="18"/>
  <c r="Q5" i="18"/>
  <c r="P5" i="18"/>
  <c r="O5" i="18"/>
  <c r="N5" i="18"/>
  <c r="M5" i="18"/>
  <c r="L5" i="18"/>
  <c r="K5" i="18"/>
  <c r="J5" i="18"/>
  <c r="I5" i="18"/>
  <c r="H5" i="18"/>
  <c r="G5" i="18"/>
  <c r="F5" i="18"/>
  <c r="B5" i="18"/>
  <c r="A5" i="18"/>
  <c r="BI4" i="18"/>
  <c r="BH4" i="18"/>
  <c r="BG4" i="18"/>
  <c r="BF4" i="18"/>
  <c r="BE4" i="18"/>
  <c r="BD4" i="18"/>
  <c r="BC4" i="18"/>
  <c r="BB4" i="18"/>
  <c r="BA4" i="18"/>
  <c r="AZ4" i="18"/>
  <c r="AY4" i="18"/>
  <c r="AX4" i="18"/>
  <c r="AW4" i="18"/>
  <c r="AV4" i="18"/>
  <c r="AU4" i="18"/>
  <c r="AT4" i="18"/>
  <c r="AS4" i="18"/>
  <c r="AR4" i="18"/>
  <c r="AQ4" i="18"/>
  <c r="AP4" i="18"/>
  <c r="AO4" i="18"/>
  <c r="AN4" i="18"/>
  <c r="AM4" i="18"/>
  <c r="AL4" i="18"/>
  <c r="AK4" i="18"/>
  <c r="AJ4" i="18"/>
  <c r="AI4" i="18"/>
  <c r="AH4" i="18"/>
  <c r="AG4" i="18"/>
  <c r="AF4" i="18"/>
  <c r="AE4" i="18"/>
  <c r="AD4" i="18"/>
  <c r="AC4" i="18"/>
  <c r="AB4" i="18"/>
  <c r="AA4" i="18"/>
  <c r="Z4" i="18"/>
  <c r="Y4" i="18"/>
  <c r="X4" i="18"/>
  <c r="W4" i="18"/>
  <c r="V4" i="18"/>
  <c r="U4" i="18"/>
  <c r="T4" i="18"/>
  <c r="S4" i="18"/>
  <c r="R4" i="18"/>
  <c r="Q4" i="18"/>
  <c r="P4" i="18"/>
  <c r="O4" i="18"/>
  <c r="N4" i="18"/>
  <c r="M4" i="18"/>
  <c r="L4" i="18"/>
  <c r="K4" i="18"/>
  <c r="J4" i="18"/>
  <c r="I4" i="18"/>
  <c r="H4" i="18"/>
  <c r="G4" i="18"/>
  <c r="F4" i="18"/>
  <c r="B4" i="18"/>
  <c r="A4" i="18"/>
  <c r="BI3" i="18"/>
  <c r="BH3" i="18"/>
  <c r="BG3" i="18"/>
  <c r="BF3" i="18"/>
  <c r="BE3" i="18"/>
  <c r="BD3" i="18"/>
  <c r="BC3" i="18"/>
  <c r="BB3" i="18"/>
  <c r="BA3" i="18"/>
  <c r="AZ3" i="18"/>
  <c r="AY3" i="18"/>
  <c r="AX3" i="18"/>
  <c r="AW3" i="18"/>
  <c r="AV3" i="18"/>
  <c r="AU3" i="18"/>
  <c r="AT3" i="18"/>
  <c r="AS3" i="18"/>
  <c r="AR3" i="18"/>
  <c r="AQ3" i="18"/>
  <c r="AP3" i="18"/>
  <c r="AO3" i="18"/>
  <c r="AN3" i="18"/>
  <c r="AM3" i="18"/>
  <c r="AL3" i="18"/>
  <c r="AK3" i="18"/>
  <c r="AJ3" i="18"/>
  <c r="AI3" i="18"/>
  <c r="AH3" i="18"/>
  <c r="AG3" i="18"/>
  <c r="AF3" i="18"/>
  <c r="AE3" i="18"/>
  <c r="AD3" i="18"/>
  <c r="AC3" i="18"/>
  <c r="AB3" i="18"/>
  <c r="AA3" i="18"/>
  <c r="Z3" i="18"/>
  <c r="Y3" i="18"/>
  <c r="X3" i="18"/>
  <c r="W3" i="18"/>
  <c r="V3" i="18"/>
  <c r="U3" i="18"/>
  <c r="T3" i="18"/>
  <c r="S3" i="18"/>
  <c r="R3" i="18"/>
  <c r="Q3" i="18"/>
  <c r="P3" i="18"/>
  <c r="O3" i="18"/>
  <c r="N3" i="18"/>
  <c r="M3" i="18"/>
  <c r="L3" i="18"/>
  <c r="K3" i="18"/>
  <c r="J3" i="18"/>
  <c r="I3" i="18"/>
  <c r="H3" i="18"/>
  <c r="G3" i="18"/>
  <c r="F3" i="18"/>
  <c r="A3" i="18"/>
  <c r="BH2" i="18"/>
  <c r="BF2" i="18"/>
  <c r="BD2" i="18"/>
  <c r="BB2" i="18"/>
  <c r="AZ2" i="18"/>
  <c r="AX2" i="18"/>
  <c r="AV2" i="18"/>
  <c r="AT2" i="18"/>
  <c r="AR2" i="18"/>
  <c r="AP2" i="18"/>
  <c r="AN2" i="18"/>
  <c r="AL2" i="18"/>
  <c r="AJ2" i="18"/>
  <c r="AH2" i="18"/>
  <c r="AF2" i="18"/>
  <c r="AD2" i="18"/>
  <c r="AB2" i="18"/>
  <c r="Z2" i="18"/>
  <c r="X2" i="18"/>
  <c r="V2" i="18"/>
  <c r="T2" i="18"/>
  <c r="R2" i="18"/>
  <c r="P2" i="18"/>
  <c r="N2" i="18"/>
  <c r="L2" i="18"/>
  <c r="J2" i="18"/>
  <c r="H2" i="18"/>
  <c r="F1" i="18"/>
  <c r="C2" i="14"/>
  <c r="C114" i="9"/>
  <c r="B114" i="9"/>
  <c r="C113" i="9"/>
  <c r="B113" i="9"/>
  <c r="C112" i="9"/>
  <c r="B112" i="9"/>
  <c r="C111" i="9"/>
  <c r="B111" i="9"/>
  <c r="C110" i="9"/>
  <c r="B110" i="9"/>
  <c r="C109" i="9"/>
  <c r="B109" i="9"/>
  <c r="C108" i="9"/>
  <c r="B108" i="9"/>
  <c r="C107" i="9"/>
  <c r="B107" i="9"/>
  <c r="C106" i="9"/>
  <c r="B106" i="9"/>
  <c r="C105" i="9"/>
  <c r="B105" i="9"/>
  <c r="C104" i="9"/>
  <c r="B104" i="9"/>
  <c r="C103" i="9"/>
  <c r="B103" i="9"/>
  <c r="C102" i="9"/>
  <c r="B102" i="9"/>
  <c r="C101" i="9"/>
  <c r="B101" i="9"/>
  <c r="C100" i="9"/>
  <c r="B100" i="9"/>
  <c r="C99" i="9"/>
  <c r="B99" i="9"/>
  <c r="C98" i="9"/>
  <c r="B98" i="9"/>
  <c r="C97" i="9"/>
  <c r="B97" i="9"/>
  <c r="C96" i="9"/>
  <c r="B96" i="9"/>
  <c r="C95" i="9"/>
  <c r="B95" i="9"/>
  <c r="C94" i="9"/>
  <c r="B94" i="9"/>
  <c r="C93" i="9"/>
  <c r="B93" i="9"/>
  <c r="C92" i="9"/>
  <c r="B92" i="9"/>
  <c r="C91" i="9"/>
  <c r="B91" i="9"/>
  <c r="C90" i="9"/>
  <c r="B90" i="9"/>
  <c r="C89" i="9"/>
  <c r="B89" i="9"/>
  <c r="C88" i="9"/>
  <c r="B88" i="9"/>
  <c r="C87" i="9"/>
  <c r="B87" i="9"/>
  <c r="C86" i="9"/>
  <c r="B86" i="9"/>
  <c r="F85" i="9"/>
  <c r="C85" i="9"/>
  <c r="B85" i="9"/>
  <c r="F84" i="9"/>
  <c r="C84" i="9"/>
  <c r="B84" i="9"/>
  <c r="F83" i="9"/>
  <c r="C83" i="9"/>
  <c r="B83" i="9"/>
  <c r="F82" i="9"/>
  <c r="C82" i="9"/>
  <c r="B82" i="9"/>
  <c r="F81" i="9"/>
  <c r="C81" i="9"/>
  <c r="B81" i="9"/>
  <c r="F80" i="9"/>
  <c r="C80" i="9"/>
  <c r="B80" i="9"/>
  <c r="F79" i="9"/>
  <c r="C79" i="9"/>
  <c r="B79" i="9"/>
  <c r="F78" i="9"/>
  <c r="C78" i="9"/>
  <c r="B78" i="9"/>
  <c r="F77" i="9"/>
  <c r="C77" i="9"/>
  <c r="B77" i="9"/>
  <c r="F76" i="9"/>
  <c r="C76" i="9"/>
  <c r="B76" i="9"/>
  <c r="F75" i="9"/>
  <c r="C75" i="9"/>
  <c r="B75" i="9"/>
  <c r="F74" i="9"/>
  <c r="C74" i="9"/>
  <c r="B74" i="9"/>
  <c r="F73" i="9"/>
  <c r="C73" i="9"/>
  <c r="B73" i="9"/>
  <c r="F72" i="9"/>
  <c r="C72" i="9"/>
  <c r="B72" i="9"/>
  <c r="F71" i="9"/>
  <c r="C71" i="9"/>
  <c r="B71" i="9"/>
  <c r="F70" i="9"/>
  <c r="C70" i="9"/>
  <c r="B70" i="9"/>
  <c r="F69" i="9"/>
  <c r="C69" i="9"/>
  <c r="B69" i="9"/>
  <c r="F68" i="9"/>
  <c r="C68" i="9"/>
  <c r="B68" i="9"/>
  <c r="F67" i="9"/>
  <c r="C67" i="9"/>
  <c r="B67" i="9"/>
  <c r="F66" i="9"/>
  <c r="C66" i="9"/>
  <c r="B66" i="9"/>
  <c r="F65" i="9"/>
  <c r="C65" i="9"/>
  <c r="B65" i="9"/>
  <c r="F64" i="9"/>
  <c r="C64" i="9"/>
  <c r="B64" i="9"/>
  <c r="F63" i="9"/>
  <c r="C63" i="9"/>
  <c r="B63" i="9"/>
  <c r="F62" i="9"/>
  <c r="C62" i="9"/>
  <c r="B62" i="9"/>
  <c r="F61" i="9"/>
  <c r="C61" i="9"/>
  <c r="B61" i="9"/>
  <c r="F60" i="9"/>
  <c r="C60" i="9"/>
  <c r="B60" i="9"/>
  <c r="F59" i="9"/>
  <c r="C59" i="9"/>
  <c r="B59" i="9"/>
  <c r="F58" i="9"/>
  <c r="C58" i="9"/>
  <c r="B58" i="9"/>
  <c r="F57" i="9"/>
  <c r="C57" i="9"/>
  <c r="B57" i="9"/>
  <c r="F56" i="9"/>
  <c r="C56" i="9"/>
  <c r="B56" i="9"/>
  <c r="F55" i="9"/>
  <c r="C55" i="9"/>
  <c r="B55" i="9"/>
  <c r="F54" i="9"/>
  <c r="C54" i="9"/>
  <c r="B54" i="9"/>
  <c r="F53" i="9"/>
  <c r="C53" i="9"/>
  <c r="B53" i="9"/>
  <c r="F52" i="9"/>
  <c r="C52" i="9"/>
  <c r="B52" i="9"/>
  <c r="F51" i="9"/>
  <c r="C51" i="9"/>
  <c r="B51" i="9"/>
  <c r="F50" i="9"/>
  <c r="C50" i="9"/>
  <c r="B50" i="9"/>
  <c r="F49" i="9"/>
  <c r="C49" i="9"/>
  <c r="B49" i="9"/>
  <c r="F48" i="9"/>
  <c r="C48" i="9"/>
  <c r="B48" i="9"/>
  <c r="F47" i="9"/>
  <c r="C47" i="9"/>
  <c r="B47" i="9"/>
  <c r="F46" i="9"/>
  <c r="C46" i="9"/>
  <c r="B46" i="9"/>
  <c r="F45" i="9"/>
  <c r="C45" i="9"/>
  <c r="B45" i="9"/>
  <c r="F44" i="9"/>
  <c r="C44" i="9"/>
  <c r="B44" i="9"/>
  <c r="F43" i="9"/>
  <c r="C43" i="9"/>
  <c r="B43" i="9"/>
  <c r="F42" i="9"/>
  <c r="C42" i="9"/>
  <c r="B42" i="9"/>
  <c r="F41" i="9"/>
  <c r="C41" i="9"/>
  <c r="B41" i="9"/>
  <c r="F40" i="9"/>
  <c r="C40" i="9"/>
  <c r="B40" i="9"/>
  <c r="F39" i="9"/>
  <c r="C39" i="9"/>
  <c r="B39" i="9"/>
  <c r="F38" i="9"/>
  <c r="C38" i="9"/>
  <c r="B38" i="9"/>
  <c r="F37" i="9"/>
  <c r="C37" i="9"/>
  <c r="B37" i="9"/>
  <c r="F36" i="9"/>
  <c r="C36" i="9"/>
  <c r="B36" i="9"/>
  <c r="F35" i="9"/>
  <c r="C35" i="9"/>
  <c r="B35" i="9"/>
  <c r="F34" i="9"/>
  <c r="C34" i="9"/>
  <c r="B34" i="9"/>
  <c r="F33" i="9"/>
  <c r="C33" i="9"/>
  <c r="B33" i="9"/>
  <c r="F32" i="9"/>
  <c r="C32" i="9"/>
  <c r="B32" i="9"/>
  <c r="F31" i="9"/>
  <c r="C31" i="9"/>
  <c r="B31" i="9"/>
  <c r="F30" i="9"/>
  <c r="C30" i="9"/>
  <c r="B30" i="9"/>
  <c r="F29" i="9"/>
  <c r="C29" i="9"/>
  <c r="B29" i="9"/>
  <c r="F28" i="9"/>
  <c r="C28" i="9"/>
  <c r="B28" i="9"/>
  <c r="F27" i="9"/>
  <c r="C27" i="9"/>
  <c r="B27" i="9"/>
  <c r="F26" i="9"/>
  <c r="C26" i="9"/>
  <c r="B26" i="9"/>
  <c r="F25" i="9"/>
  <c r="C25" i="9"/>
  <c r="B25" i="9"/>
  <c r="F24" i="9"/>
  <c r="C24" i="9"/>
  <c r="B24" i="9"/>
  <c r="F23" i="9"/>
  <c r="C23" i="9"/>
  <c r="B23" i="9"/>
  <c r="F22" i="9"/>
  <c r="C22" i="9"/>
  <c r="B22" i="9"/>
  <c r="F21" i="9"/>
  <c r="C21" i="9"/>
  <c r="B21" i="9"/>
  <c r="F20" i="9"/>
  <c r="C20" i="9"/>
  <c r="B20" i="9"/>
  <c r="F19" i="9"/>
  <c r="C19" i="9"/>
  <c r="B19" i="9"/>
  <c r="F18" i="9"/>
  <c r="C18" i="9"/>
  <c r="B18" i="9"/>
  <c r="F17" i="9"/>
  <c r="C17" i="9"/>
  <c r="B17" i="9"/>
  <c r="F16" i="9"/>
  <c r="C16" i="9"/>
  <c r="B16" i="9"/>
  <c r="F15" i="9"/>
  <c r="C15" i="9"/>
  <c r="B15" i="9"/>
  <c r="F14" i="9"/>
  <c r="C14" i="9"/>
  <c r="B14" i="9"/>
  <c r="F13" i="9"/>
  <c r="C13" i="9"/>
  <c r="B13" i="9"/>
  <c r="F12" i="9"/>
  <c r="C12" i="9"/>
  <c r="B12" i="9"/>
  <c r="F11" i="9"/>
  <c r="C11" i="9"/>
  <c r="B11" i="9"/>
  <c r="F10" i="9"/>
  <c r="C10" i="9"/>
  <c r="B10" i="9"/>
  <c r="F9" i="9"/>
  <c r="C9" i="9"/>
  <c r="B9" i="9"/>
  <c r="F8" i="9"/>
  <c r="C8" i="9"/>
  <c r="B8" i="9"/>
  <c r="F7" i="9"/>
  <c r="C7" i="9"/>
  <c r="B7" i="9"/>
  <c r="F6" i="9"/>
  <c r="C6" i="9"/>
  <c r="B6" i="9"/>
  <c r="F5" i="9"/>
  <c r="C5" i="9"/>
  <c r="B5" i="9"/>
  <c r="F4" i="9"/>
  <c r="C4" i="9"/>
  <c r="B4" i="9"/>
  <c r="C3" i="9"/>
  <c r="B3" i="9"/>
  <c r="I562" i="7"/>
  <c r="B562" i="7"/>
  <c r="I561" i="7"/>
  <c r="B561" i="7"/>
  <c r="I559" i="7"/>
  <c r="B559" i="7"/>
  <c r="I558" i="7"/>
  <c r="B558" i="7"/>
  <c r="I557" i="7"/>
  <c r="B557" i="7"/>
  <c r="I556" i="7"/>
  <c r="B556" i="7"/>
  <c r="I555" i="7"/>
  <c r="B555" i="7"/>
  <c r="I554" i="7"/>
  <c r="B554" i="7"/>
  <c r="I553" i="7"/>
  <c r="B553" i="7"/>
  <c r="I552" i="7"/>
  <c r="B552" i="7"/>
  <c r="I551" i="7"/>
  <c r="B551" i="7"/>
  <c r="I550" i="7"/>
  <c r="B550" i="7"/>
  <c r="I549" i="7"/>
  <c r="B549" i="7"/>
  <c r="I548" i="7"/>
  <c r="B548" i="7"/>
  <c r="I547" i="7"/>
  <c r="B547" i="7"/>
  <c r="I546" i="7"/>
  <c r="B546" i="7"/>
  <c r="I545" i="7"/>
  <c r="B545" i="7"/>
  <c r="I544" i="7"/>
  <c r="B544" i="7"/>
  <c r="I543" i="7"/>
  <c r="B543" i="7"/>
  <c r="I542" i="7"/>
  <c r="B542" i="7"/>
  <c r="I541" i="7"/>
  <c r="B541" i="7"/>
  <c r="I540" i="7"/>
  <c r="B540" i="7"/>
  <c r="B539" i="7"/>
  <c r="I538" i="7"/>
  <c r="B538" i="7"/>
  <c r="I537" i="7"/>
  <c r="B537" i="7"/>
  <c r="I536" i="7"/>
  <c r="B536" i="7"/>
  <c r="I535" i="7"/>
  <c r="B535" i="7"/>
  <c r="I534" i="7"/>
  <c r="B534" i="7"/>
  <c r="I533" i="7"/>
  <c r="B533" i="7"/>
  <c r="I532" i="7"/>
  <c r="B532" i="7"/>
  <c r="I531" i="7"/>
  <c r="B531" i="7"/>
  <c r="I530" i="7"/>
  <c r="B530" i="7"/>
  <c r="I529" i="7"/>
  <c r="B529" i="7"/>
  <c r="I528" i="7"/>
  <c r="B528" i="7"/>
  <c r="I527" i="7"/>
  <c r="B527" i="7"/>
  <c r="I526" i="7"/>
  <c r="B526" i="7"/>
  <c r="I525" i="7"/>
  <c r="B525" i="7"/>
  <c r="I524" i="7"/>
  <c r="B524" i="7"/>
  <c r="I523" i="7"/>
  <c r="B523" i="7"/>
  <c r="I522" i="7"/>
  <c r="B522" i="7"/>
  <c r="I521" i="7"/>
  <c r="B521" i="7"/>
  <c r="B520" i="7"/>
  <c r="B519" i="7"/>
  <c r="B518" i="7"/>
  <c r="B517" i="7"/>
  <c r="B516" i="7"/>
  <c r="B515" i="7"/>
  <c r="I514" i="7"/>
  <c r="B514" i="7"/>
  <c r="I513" i="7"/>
  <c r="B513" i="7"/>
  <c r="I512" i="7"/>
  <c r="B512" i="7"/>
  <c r="I511" i="7"/>
  <c r="B511" i="7"/>
  <c r="I510" i="7"/>
  <c r="B510" i="7"/>
  <c r="I509" i="7"/>
  <c r="B509" i="7"/>
  <c r="I508" i="7"/>
  <c r="B508" i="7"/>
  <c r="I507" i="7"/>
  <c r="B507" i="7"/>
  <c r="I506" i="7"/>
  <c r="B506" i="7"/>
  <c r="I505" i="7"/>
  <c r="B505" i="7"/>
  <c r="I504" i="7"/>
  <c r="B504" i="7"/>
  <c r="I503" i="7"/>
  <c r="B503" i="7"/>
  <c r="I502" i="7"/>
  <c r="B502" i="7"/>
  <c r="I501" i="7"/>
  <c r="B501" i="7"/>
  <c r="I500" i="7"/>
  <c r="B500" i="7"/>
  <c r="I499" i="7"/>
  <c r="B499" i="7"/>
  <c r="I498" i="7"/>
  <c r="B498" i="7"/>
  <c r="I497" i="7"/>
  <c r="B497" i="7"/>
  <c r="I496" i="7"/>
  <c r="B496" i="7"/>
  <c r="I495" i="7"/>
  <c r="B495" i="7"/>
  <c r="I494" i="7"/>
  <c r="B494" i="7"/>
  <c r="I493" i="7"/>
  <c r="B493" i="7"/>
  <c r="I492" i="7"/>
  <c r="B492" i="7"/>
  <c r="I491" i="7"/>
  <c r="B491" i="7"/>
  <c r="I490" i="7"/>
  <c r="B490" i="7"/>
  <c r="I489" i="7"/>
  <c r="B489" i="7"/>
  <c r="I488" i="7"/>
  <c r="B488" i="7"/>
  <c r="I487" i="7"/>
  <c r="B487" i="7"/>
  <c r="I486" i="7"/>
  <c r="B486" i="7"/>
  <c r="I485" i="7"/>
  <c r="B485" i="7"/>
  <c r="I484" i="7"/>
  <c r="I483" i="7"/>
  <c r="B483" i="7"/>
  <c r="I482" i="7"/>
  <c r="B482" i="7"/>
  <c r="I481" i="7"/>
  <c r="B481" i="7"/>
  <c r="I480" i="7"/>
  <c r="B480" i="7"/>
  <c r="I479" i="7"/>
  <c r="B479" i="7"/>
  <c r="I478" i="7"/>
  <c r="B478" i="7"/>
  <c r="I477" i="7"/>
  <c r="B477" i="7"/>
  <c r="I476" i="7"/>
  <c r="B476" i="7"/>
  <c r="I475" i="7"/>
  <c r="B475" i="7"/>
  <c r="I474" i="7"/>
  <c r="B474" i="7"/>
  <c r="I473" i="7"/>
  <c r="B473" i="7"/>
  <c r="I472" i="7"/>
  <c r="B472" i="7"/>
  <c r="I471" i="7"/>
  <c r="B471" i="7"/>
  <c r="I470" i="7"/>
  <c r="B470" i="7"/>
  <c r="B469" i="7"/>
  <c r="I468" i="7"/>
  <c r="B468" i="7"/>
  <c r="I467" i="7"/>
  <c r="B467" i="7"/>
  <c r="I466" i="7"/>
  <c r="B466" i="7"/>
  <c r="I465" i="7"/>
  <c r="B465" i="7"/>
  <c r="I464" i="7"/>
  <c r="B464" i="7"/>
  <c r="I463" i="7"/>
  <c r="B463" i="7"/>
  <c r="I462" i="7"/>
  <c r="B462" i="7"/>
  <c r="I461" i="7"/>
  <c r="B461" i="7"/>
  <c r="B459" i="7"/>
  <c r="B458" i="7"/>
  <c r="B457" i="7"/>
  <c r="B456" i="7"/>
  <c r="B455" i="7"/>
  <c r="B454" i="7"/>
  <c r="B453" i="7"/>
  <c r="B452" i="7"/>
  <c r="B451" i="7"/>
  <c r="B450" i="7"/>
  <c r="I449" i="7"/>
  <c r="B449" i="7"/>
  <c r="I448" i="7"/>
  <c r="B448" i="7"/>
  <c r="I447" i="7"/>
  <c r="B447" i="7"/>
  <c r="I446" i="7"/>
  <c r="B446" i="7"/>
  <c r="I445" i="7"/>
  <c r="B445" i="7"/>
  <c r="I444" i="7"/>
  <c r="B444" i="7"/>
  <c r="I442" i="7"/>
  <c r="B442" i="7"/>
  <c r="I441" i="7"/>
  <c r="B441" i="7"/>
  <c r="I440" i="7"/>
  <c r="B440" i="7"/>
  <c r="I439" i="7"/>
  <c r="B439" i="7"/>
  <c r="B435" i="7"/>
  <c r="B434" i="7"/>
  <c r="B433" i="7"/>
  <c r="B432" i="7"/>
  <c r="B431" i="7"/>
  <c r="I428" i="7"/>
  <c r="B428" i="7"/>
  <c r="I426" i="7"/>
  <c r="B423" i="7"/>
  <c r="B422" i="7"/>
  <c r="B421" i="7"/>
  <c r="B420" i="7"/>
  <c r="B419" i="7"/>
  <c r="B418" i="7"/>
  <c r="I417" i="7"/>
  <c r="B417" i="7"/>
  <c r="B416" i="7"/>
  <c r="B415" i="7"/>
  <c r="B414" i="7"/>
  <c r="B413" i="7"/>
  <c r="I407" i="7"/>
  <c r="B407" i="7"/>
  <c r="I406" i="7"/>
  <c r="B406" i="7"/>
  <c r="I405" i="7"/>
  <c r="B405" i="7"/>
  <c r="I404" i="7"/>
  <c r="B404" i="7"/>
  <c r="I403" i="7"/>
  <c r="B403" i="7"/>
  <c r="I402" i="7"/>
  <c r="B402" i="7"/>
  <c r="I401" i="7"/>
  <c r="B401" i="7"/>
  <c r="I400" i="7"/>
  <c r="B400" i="7"/>
  <c r="I399" i="7"/>
  <c r="B399" i="7"/>
  <c r="I398" i="7"/>
  <c r="B398" i="7"/>
  <c r="I397" i="7"/>
  <c r="B397" i="7"/>
  <c r="I396" i="7"/>
  <c r="B396" i="7"/>
  <c r="I395" i="7"/>
  <c r="B395" i="7"/>
  <c r="B390" i="7"/>
  <c r="B389" i="7"/>
  <c r="B388" i="7"/>
  <c r="B387" i="7"/>
  <c r="B386" i="7"/>
  <c r="B385" i="7"/>
  <c r="B384" i="7"/>
  <c r="B383" i="7"/>
  <c r="B382" i="7"/>
  <c r="B381" i="7"/>
  <c r="B380" i="7"/>
  <c r="B379" i="7"/>
  <c r="I378" i="7"/>
  <c r="B378" i="7"/>
  <c r="I377" i="7"/>
  <c r="B377" i="7"/>
  <c r="I376" i="7"/>
  <c r="B376" i="7"/>
  <c r="I375" i="7"/>
  <c r="B375" i="7"/>
  <c r="I374" i="7"/>
  <c r="B374" i="7"/>
  <c r="I373" i="7"/>
  <c r="B373" i="7"/>
  <c r="I372" i="7"/>
  <c r="B372" i="7"/>
  <c r="B371" i="7"/>
  <c r="I368" i="7"/>
  <c r="B368" i="7"/>
  <c r="B367" i="7"/>
  <c r="B366" i="7"/>
  <c r="B365" i="7"/>
  <c r="B364" i="7"/>
  <c r="B363" i="7"/>
  <c r="B362" i="7"/>
  <c r="B361" i="7"/>
  <c r="B360" i="7"/>
  <c r="B359" i="7"/>
  <c r="I358" i="7"/>
  <c r="B358" i="7"/>
  <c r="I357" i="7"/>
  <c r="B357" i="7"/>
  <c r="I356" i="7"/>
  <c r="B356" i="7"/>
  <c r="I355" i="7"/>
  <c r="B355" i="7"/>
  <c r="I354" i="7"/>
  <c r="B354" i="7"/>
  <c r="I353" i="7"/>
  <c r="B353" i="7"/>
  <c r="I352" i="7"/>
  <c r="B352" i="7"/>
  <c r="I351" i="7"/>
  <c r="B351" i="7"/>
  <c r="I350" i="7"/>
  <c r="B350" i="7"/>
  <c r="I349" i="7"/>
  <c r="B349" i="7"/>
  <c r="I348" i="7"/>
  <c r="B348" i="7"/>
  <c r="I347" i="7"/>
  <c r="B347" i="7"/>
  <c r="I346" i="7"/>
  <c r="B346" i="7"/>
  <c r="I345" i="7"/>
  <c r="B345" i="7"/>
  <c r="I344" i="7"/>
  <c r="B344" i="7"/>
  <c r="I343" i="7"/>
  <c r="B343" i="7"/>
  <c r="I342" i="7"/>
  <c r="B342" i="7"/>
  <c r="I341" i="7"/>
  <c r="B341" i="7"/>
  <c r="I340" i="7"/>
  <c r="B340" i="7"/>
  <c r="I339" i="7"/>
  <c r="B339" i="7"/>
  <c r="I338" i="7"/>
  <c r="B338" i="7"/>
  <c r="I337" i="7"/>
  <c r="B337" i="7"/>
  <c r="I336" i="7"/>
  <c r="B336" i="7"/>
  <c r="I335" i="7"/>
  <c r="B335" i="7"/>
  <c r="I334" i="7"/>
  <c r="B334" i="7"/>
  <c r="I333" i="7"/>
  <c r="B333" i="7"/>
  <c r="I332" i="7"/>
  <c r="B332" i="7"/>
  <c r="I331" i="7"/>
  <c r="B331" i="7"/>
  <c r="I330" i="7"/>
  <c r="B330" i="7"/>
  <c r="I329" i="7"/>
  <c r="B329" i="7"/>
  <c r="I328" i="7"/>
  <c r="B328" i="7"/>
  <c r="I327" i="7"/>
  <c r="B327" i="7"/>
  <c r="I326" i="7"/>
  <c r="B326" i="7"/>
  <c r="I325" i="7"/>
  <c r="B325" i="7"/>
  <c r="I324" i="7"/>
  <c r="B324" i="7"/>
  <c r="I323" i="7"/>
  <c r="B323" i="7"/>
  <c r="I322" i="7"/>
  <c r="B322" i="7"/>
  <c r="I321" i="7"/>
  <c r="B321" i="7"/>
  <c r="I320" i="7"/>
  <c r="B320" i="7"/>
  <c r="I319" i="7"/>
  <c r="B319" i="7"/>
  <c r="B314" i="7"/>
  <c r="B313" i="7"/>
  <c r="B312" i="7"/>
  <c r="B311" i="7"/>
  <c r="B310" i="7"/>
  <c r="B309" i="7"/>
  <c r="B308" i="7"/>
  <c r="B307" i="7"/>
  <c r="B306" i="7"/>
  <c r="B305" i="7"/>
  <c r="B304" i="7"/>
  <c r="B303" i="7"/>
  <c r="B302" i="7"/>
  <c r="B301" i="7"/>
  <c r="B298" i="7"/>
  <c r="B297" i="7"/>
  <c r="B296" i="7"/>
  <c r="B295" i="7"/>
  <c r="B294" i="7"/>
  <c r="B293" i="7"/>
  <c r="B292" i="7"/>
  <c r="B291" i="7"/>
  <c r="I290" i="7"/>
  <c r="B290" i="7"/>
  <c r="I289" i="7"/>
  <c r="B289" i="7"/>
  <c r="I288" i="7"/>
  <c r="B288" i="7"/>
  <c r="I287" i="7"/>
  <c r="B287" i="7"/>
  <c r="I286" i="7"/>
  <c r="B286" i="7"/>
  <c r="I285" i="7"/>
  <c r="B285" i="7"/>
  <c r="I284" i="7"/>
  <c r="B284" i="7"/>
  <c r="I283" i="7"/>
  <c r="B283" i="7"/>
  <c r="I282" i="7"/>
  <c r="B282" i="7"/>
  <c r="I281" i="7"/>
  <c r="B281" i="7"/>
  <c r="I280" i="7"/>
  <c r="B280" i="7"/>
  <c r="I279" i="7"/>
  <c r="B279" i="7"/>
  <c r="I278" i="7"/>
  <c r="B278" i="7"/>
  <c r="I277" i="7"/>
  <c r="B277" i="7"/>
  <c r="I276" i="7"/>
  <c r="B276" i="7"/>
  <c r="I275" i="7"/>
  <c r="B275" i="7"/>
  <c r="I274" i="7"/>
  <c r="B274" i="7"/>
  <c r="I273" i="7"/>
  <c r="B273" i="7"/>
  <c r="I272" i="7"/>
  <c r="B272" i="7"/>
  <c r="I271" i="7"/>
  <c r="B271" i="7"/>
  <c r="I270" i="7"/>
  <c r="B270" i="7"/>
  <c r="I269" i="7"/>
  <c r="B269" i="7"/>
  <c r="I267" i="7"/>
  <c r="B267" i="7"/>
  <c r="I266" i="7"/>
  <c r="B266" i="7"/>
  <c r="I265" i="7"/>
  <c r="B265" i="7"/>
  <c r="I264" i="7"/>
  <c r="B264" i="7"/>
  <c r="I263" i="7"/>
  <c r="B263" i="7"/>
  <c r="I262" i="7"/>
  <c r="B262" i="7"/>
  <c r="I261" i="7"/>
  <c r="B261" i="7"/>
  <c r="I260" i="7"/>
  <c r="B260" i="7"/>
  <c r="I259" i="7"/>
  <c r="I258" i="7"/>
  <c r="I257" i="7"/>
  <c r="I256" i="7"/>
  <c r="I255" i="7"/>
  <c r="I254" i="7"/>
  <c r="B254" i="7"/>
  <c r="I253" i="7"/>
  <c r="B253" i="7"/>
  <c r="I252" i="7"/>
  <c r="B252" i="7"/>
  <c r="I251" i="7"/>
  <c r="B251" i="7"/>
  <c r="I250" i="7"/>
  <c r="B250" i="7"/>
  <c r="I249" i="7"/>
  <c r="B249" i="7"/>
  <c r="B248" i="7"/>
  <c r="B247" i="7"/>
  <c r="B246" i="7"/>
  <c r="B245" i="7"/>
  <c r="B244" i="7"/>
  <c r="B243" i="7"/>
  <c r="B242" i="7"/>
  <c r="B241" i="7"/>
  <c r="B240" i="7"/>
  <c r="B239" i="7"/>
  <c r="B238" i="7"/>
  <c r="B237" i="7"/>
  <c r="B236" i="7"/>
  <c r="B235" i="7"/>
  <c r="B234" i="7"/>
  <c r="B233" i="7"/>
  <c r="B232" i="7"/>
  <c r="B231" i="7"/>
  <c r="B230" i="7"/>
  <c r="B229" i="7"/>
  <c r="B228" i="7"/>
  <c r="B227" i="7"/>
  <c r="B226" i="7"/>
  <c r="B225" i="7"/>
  <c r="B224" i="7"/>
  <c r="B223" i="7"/>
  <c r="B222" i="7"/>
  <c r="B221" i="7"/>
  <c r="B220" i="7"/>
  <c r="B219" i="7"/>
  <c r="B218" i="7"/>
  <c r="B217" i="7"/>
  <c r="B216" i="7"/>
  <c r="B215" i="7"/>
  <c r="B214" i="7"/>
  <c r="B213" i="7"/>
  <c r="B212" i="7"/>
  <c r="B211" i="7"/>
  <c r="B210" i="7"/>
  <c r="B209" i="7"/>
  <c r="B208" i="7"/>
  <c r="B207" i="7"/>
  <c r="B206" i="7"/>
  <c r="B205" i="7"/>
  <c r="B203" i="7"/>
  <c r="B202" i="7"/>
  <c r="B201" i="7"/>
  <c r="B200" i="7"/>
  <c r="B199" i="7"/>
  <c r="B198" i="7"/>
  <c r="B197" i="7"/>
  <c r="B196" i="7"/>
  <c r="B195" i="7"/>
  <c r="B194" i="7"/>
  <c r="B193" i="7"/>
  <c r="B192" i="7"/>
  <c r="B191" i="7"/>
  <c r="B190" i="7"/>
  <c r="B189" i="7"/>
  <c r="B188" i="7"/>
  <c r="B187" i="7"/>
  <c r="B186" i="7"/>
  <c r="B185" i="7"/>
  <c r="B184" i="7"/>
  <c r="B183" i="7"/>
  <c r="B182" i="7"/>
  <c r="B176" i="7"/>
  <c r="B175" i="7"/>
  <c r="B174" i="7"/>
  <c r="B173" i="7"/>
  <c r="I172" i="7"/>
  <c r="B172" i="7"/>
  <c r="I171" i="7"/>
  <c r="B171" i="7"/>
  <c r="I170" i="7"/>
  <c r="B170" i="7"/>
  <c r="B169" i="7"/>
  <c r="B168" i="7"/>
  <c r="I167" i="7"/>
  <c r="B167" i="7"/>
  <c r="I166" i="7"/>
  <c r="B166" i="7"/>
  <c r="I165" i="7"/>
  <c r="B165" i="7"/>
  <c r="I164" i="7"/>
  <c r="B164" i="7"/>
  <c r="I163" i="7"/>
  <c r="B163" i="7"/>
  <c r="I162" i="7"/>
  <c r="B162" i="7"/>
  <c r="B161" i="7"/>
  <c r="I160" i="7"/>
  <c r="B160" i="7"/>
  <c r="I159" i="7"/>
  <c r="B159" i="7"/>
  <c r="I158" i="7"/>
  <c r="B158" i="7"/>
  <c r="I157" i="7"/>
  <c r="B157" i="7"/>
  <c r="I156" i="7"/>
  <c r="B156" i="7"/>
  <c r="I155" i="7"/>
  <c r="B155" i="7"/>
  <c r="I154" i="7"/>
  <c r="B154" i="7"/>
  <c r="I153" i="7"/>
  <c r="B153" i="7"/>
  <c r="B151" i="7"/>
  <c r="I150" i="7"/>
  <c r="B150" i="7"/>
  <c r="B149" i="7"/>
  <c r="I148" i="7"/>
  <c r="B148" i="7"/>
  <c r="I147" i="7"/>
  <c r="B147" i="7"/>
  <c r="I146" i="7"/>
  <c r="B146" i="7"/>
  <c r="I145" i="7"/>
  <c r="B145" i="7"/>
  <c r="I144" i="7"/>
  <c r="B144" i="7"/>
  <c r="I143" i="7"/>
  <c r="B143" i="7"/>
  <c r="I142" i="7"/>
  <c r="B142" i="7"/>
  <c r="I141" i="7"/>
  <c r="B141" i="7"/>
  <c r="I140" i="7"/>
  <c r="B140" i="7"/>
  <c r="I139" i="7"/>
  <c r="B139" i="7"/>
  <c r="I138" i="7"/>
  <c r="B138" i="7"/>
  <c r="I137" i="7"/>
  <c r="B137" i="7"/>
  <c r="I136" i="7"/>
  <c r="B136" i="7"/>
  <c r="I135" i="7"/>
  <c r="B135" i="7"/>
  <c r="I134" i="7"/>
  <c r="B134" i="7"/>
  <c r="I133" i="7"/>
  <c r="B133" i="7"/>
  <c r="I132" i="7"/>
  <c r="B132" i="7"/>
  <c r="I131" i="7"/>
  <c r="B131" i="7"/>
  <c r="I130" i="7"/>
  <c r="B130" i="7"/>
  <c r="I129" i="7"/>
  <c r="B129" i="7"/>
  <c r="I128" i="7"/>
  <c r="B128" i="7"/>
  <c r="I127" i="7"/>
  <c r="B127" i="7"/>
  <c r="I126" i="7"/>
  <c r="B126" i="7"/>
  <c r="I125" i="7"/>
  <c r="B125" i="7"/>
  <c r="I124" i="7"/>
  <c r="B124" i="7"/>
  <c r="I123" i="7"/>
  <c r="B123" i="7"/>
  <c r="I122" i="7"/>
  <c r="B122" i="7"/>
  <c r="I121" i="7"/>
  <c r="B121" i="7"/>
  <c r="I120" i="7"/>
  <c r="B120" i="7"/>
  <c r="I119" i="7"/>
  <c r="B119" i="7"/>
  <c r="I118" i="7"/>
  <c r="B118" i="7"/>
  <c r="I117" i="7"/>
  <c r="B117" i="7"/>
  <c r="I116" i="7"/>
  <c r="B116" i="7"/>
  <c r="I115" i="7"/>
  <c r="B115" i="7"/>
  <c r="I114" i="7"/>
  <c r="B114" i="7"/>
  <c r="I113" i="7"/>
  <c r="B113" i="7"/>
  <c r="I107" i="7"/>
  <c r="B107" i="7"/>
  <c r="I106" i="7"/>
  <c r="B106" i="7"/>
  <c r="I105" i="7"/>
  <c r="B105" i="7"/>
  <c r="B104" i="7"/>
  <c r="B103" i="7"/>
  <c r="B102" i="7"/>
  <c r="B101" i="7"/>
  <c r="B100" i="7"/>
  <c r="B99" i="7"/>
  <c r="B98" i="7"/>
  <c r="B97" i="7"/>
  <c r="B96" i="7"/>
  <c r="B95" i="7"/>
  <c r="B94" i="7"/>
  <c r="B93" i="7"/>
  <c r="B92" i="7"/>
  <c r="B91" i="7"/>
  <c r="B90" i="7"/>
  <c r="B89" i="7"/>
  <c r="B88" i="7"/>
  <c r="B87" i="7"/>
  <c r="B86" i="7"/>
  <c r="B85" i="7"/>
  <c r="B84" i="7"/>
  <c r="B83" i="7"/>
  <c r="I82" i="7"/>
  <c r="B82" i="7"/>
  <c r="I81" i="7"/>
  <c r="B81" i="7"/>
  <c r="I80" i="7"/>
  <c r="B80" i="7"/>
  <c r="I79" i="7"/>
  <c r="B79" i="7"/>
  <c r="I78" i="7"/>
  <c r="B78" i="7"/>
  <c r="I77" i="7"/>
  <c r="B77" i="7"/>
  <c r="B76" i="7"/>
  <c r="I75" i="7"/>
  <c r="B75" i="7"/>
  <c r="I74" i="7"/>
  <c r="B74" i="7"/>
  <c r="B73" i="7"/>
  <c r="B72" i="7"/>
  <c r="B71" i="7"/>
  <c r="B70" i="7"/>
  <c r="B69" i="7"/>
  <c r="B68" i="7"/>
  <c r="B67" i="7"/>
  <c r="B66" i="7"/>
  <c r="B65" i="7"/>
  <c r="B64" i="7"/>
  <c r="B63" i="7"/>
  <c r="B62" i="7"/>
  <c r="B61" i="7"/>
  <c r="B60" i="7"/>
  <c r="B59" i="7"/>
  <c r="B58" i="7"/>
  <c r="B57" i="7"/>
  <c r="B56" i="7"/>
  <c r="B55" i="7"/>
  <c r="B54" i="7"/>
  <c r="B53" i="7"/>
  <c r="B52" i="7"/>
  <c r="B51" i="7"/>
  <c r="I50" i="7"/>
  <c r="B50" i="7"/>
  <c r="B47" i="7"/>
  <c r="B46" i="7"/>
  <c r="B45" i="7"/>
  <c r="B44" i="7"/>
  <c r="I43" i="7"/>
  <c r="B43" i="7"/>
  <c r="I42" i="7"/>
  <c r="B42" i="7"/>
  <c r="I41" i="7"/>
  <c r="B41" i="7"/>
  <c r="I40" i="7"/>
  <c r="B40" i="7"/>
  <c r="I39" i="7"/>
  <c r="B39" i="7"/>
  <c r="I38" i="7"/>
  <c r="B38" i="7"/>
  <c r="I37" i="7"/>
  <c r="B37" i="7"/>
  <c r="I36" i="7"/>
  <c r="B36" i="7"/>
  <c r="B35" i="7"/>
  <c r="B34" i="7"/>
  <c r="I33" i="7"/>
  <c r="B33" i="7"/>
  <c r="I32" i="7"/>
  <c r="B32" i="7"/>
  <c r="I31" i="7"/>
  <c r="B31" i="7"/>
  <c r="I30" i="7"/>
  <c r="B30" i="7"/>
  <c r="I29" i="7"/>
  <c r="B29" i="7"/>
  <c r="I28" i="7"/>
  <c r="B28" i="7"/>
  <c r="I27" i="7"/>
  <c r="B27" i="7"/>
  <c r="I26" i="7"/>
  <c r="B26" i="7"/>
  <c r="I25" i="7"/>
  <c r="B25" i="7"/>
  <c r="I24" i="7"/>
  <c r="B24" i="7"/>
  <c r="I23" i="7"/>
  <c r="B23" i="7"/>
  <c r="I22" i="7"/>
  <c r="B22" i="7"/>
  <c r="I21" i="7"/>
  <c r="B21" i="7"/>
  <c r="I19" i="7"/>
  <c r="B19" i="7"/>
  <c r="I18" i="7"/>
  <c r="B18" i="7"/>
  <c r="I17" i="7"/>
  <c r="B17" i="7"/>
  <c r="B16" i="7"/>
  <c r="I15" i="7"/>
  <c r="B15" i="7"/>
  <c r="I14" i="7"/>
  <c r="B14" i="7"/>
  <c r="I13" i="7"/>
  <c r="B13" i="7"/>
  <c r="I12" i="7"/>
  <c r="B12" i="7"/>
  <c r="I11" i="7"/>
  <c r="B11" i="7"/>
  <c r="I10" i="7"/>
  <c r="B10" i="7"/>
  <c r="B9" i="7"/>
  <c r="I8" i="7"/>
  <c r="B8" i="7"/>
  <c r="I7" i="7"/>
  <c r="B7" i="7"/>
  <c r="I6" i="7"/>
  <c r="B6" i="7"/>
  <c r="I5" i="7"/>
  <c r="B5" i="7"/>
  <c r="I4" i="7"/>
  <c r="B4" i="7"/>
  <c r="AH22" i="6"/>
  <c r="Z22" i="6"/>
  <c r="Y22" i="6"/>
  <c r="C22" i="6"/>
  <c r="AH21" i="6"/>
  <c r="Z21" i="6"/>
  <c r="Y21" i="6"/>
  <c r="C21" i="6"/>
  <c r="AH20" i="6"/>
  <c r="Z20" i="6"/>
  <c r="Y20" i="6"/>
  <c r="C20" i="6"/>
  <c r="AO17" i="6"/>
  <c r="AH17" i="6"/>
  <c r="AB17" i="6"/>
  <c r="Z17" i="6"/>
  <c r="Y17" i="6"/>
  <c r="C17" i="6"/>
  <c r="AO16" i="6"/>
  <c r="AH16" i="6"/>
  <c r="AB16" i="6"/>
  <c r="Z16" i="6"/>
  <c r="Y16" i="6"/>
  <c r="C16" i="6"/>
  <c r="AO15" i="6"/>
  <c r="AH15" i="6"/>
  <c r="AB15" i="6"/>
  <c r="Z15" i="6"/>
  <c r="Y15" i="6"/>
  <c r="C15" i="6"/>
  <c r="AQ14" i="6"/>
  <c r="AP14" i="6"/>
  <c r="AO14" i="6"/>
  <c r="AH14" i="6"/>
  <c r="AB14" i="6"/>
  <c r="Z14" i="6"/>
  <c r="Y14" i="6"/>
  <c r="C14" i="6"/>
  <c r="AP13" i="6"/>
  <c r="AO13" i="6"/>
  <c r="AH13" i="6"/>
  <c r="AB13" i="6"/>
  <c r="Z13" i="6"/>
  <c r="Y13" i="6"/>
  <c r="C13" i="6"/>
  <c r="BB12" i="6"/>
  <c r="AX12" i="6"/>
  <c r="AP12" i="6"/>
  <c r="AO12" i="6"/>
  <c r="AH12" i="6"/>
  <c r="AB12" i="6"/>
  <c r="Z12" i="6"/>
  <c r="Y12" i="6"/>
  <c r="C12" i="6"/>
  <c r="AO11" i="6"/>
  <c r="AH11" i="6"/>
  <c r="Z11" i="6"/>
  <c r="Y11" i="6"/>
  <c r="C11" i="6"/>
  <c r="AO10" i="6"/>
  <c r="AH10" i="6"/>
  <c r="Z10" i="6"/>
  <c r="Y10" i="6"/>
  <c r="C10" i="6"/>
  <c r="AO9" i="6"/>
  <c r="AH9" i="6"/>
  <c r="Z9" i="6"/>
  <c r="Y9" i="6"/>
  <c r="C9" i="6"/>
  <c r="AO8" i="6"/>
  <c r="AH8" i="6"/>
  <c r="Z8" i="6"/>
  <c r="Y8" i="6"/>
  <c r="C8" i="6"/>
  <c r="AO7" i="6"/>
  <c r="AH7" i="6"/>
  <c r="Z7" i="6"/>
  <c r="Y7" i="6"/>
  <c r="C7" i="6"/>
  <c r="AO6" i="6"/>
  <c r="AH6" i="6"/>
  <c r="Z6" i="6"/>
  <c r="Y6" i="6"/>
  <c r="C6" i="6"/>
  <c r="AK4" i="6"/>
  <c r="AI4" i="6"/>
  <c r="AG4" i="6"/>
  <c r="AB4" i="6"/>
  <c r="Z4" i="6"/>
  <c r="Y4" i="6"/>
  <c r="C4" i="6"/>
  <c r="AH3" i="6"/>
  <c r="AC3" i="6"/>
  <c r="AA3" i="6"/>
  <c r="Z3" i="6"/>
  <c r="O3" i="6"/>
  <c r="C3" i="6"/>
  <c r="AH2" i="6"/>
  <c r="AF2" i="6"/>
  <c r="AF3" i="6" s="1"/>
  <c r="AC2" i="6"/>
  <c r="AA2" i="6"/>
  <c r="Z2" i="6"/>
  <c r="O2" i="6"/>
  <c r="C2" i="6"/>
  <c r="AN545" i="5"/>
  <c r="AG545" i="5"/>
  <c r="X545" i="5"/>
  <c r="AN544" i="5"/>
  <c r="AG544" i="5"/>
  <c r="X544" i="5"/>
  <c r="AR544" i="5"/>
  <c r="AN543" i="5"/>
  <c r="AG543" i="5"/>
  <c r="X543" i="5"/>
  <c r="AR543" i="5"/>
  <c r="AN542" i="5"/>
  <c r="AG542" i="5"/>
  <c r="X542" i="5"/>
  <c r="AR542" i="5"/>
  <c r="AN541" i="5"/>
  <c r="AG541" i="5"/>
  <c r="X541" i="5"/>
  <c r="AR541" i="5"/>
  <c r="AN540" i="5"/>
  <c r="AG540" i="5"/>
  <c r="X540" i="5"/>
  <c r="AR540" i="5"/>
  <c r="AN539" i="5"/>
  <c r="AG539" i="5"/>
  <c r="X539" i="5"/>
  <c r="AR539" i="5"/>
  <c r="AN538" i="5"/>
  <c r="AG538" i="5"/>
  <c r="X538" i="5"/>
  <c r="AR538" i="5"/>
  <c r="AN537" i="5"/>
  <c r="AG537" i="5"/>
  <c r="X537" i="5"/>
  <c r="AN536" i="5"/>
  <c r="O536" i="5"/>
  <c r="N536" i="5"/>
  <c r="AR536" i="5"/>
  <c r="AN535" i="5"/>
  <c r="O535" i="5"/>
  <c r="N535" i="5"/>
  <c r="M535" i="5"/>
  <c r="AN534" i="5"/>
  <c r="O534" i="5"/>
  <c r="N534" i="5"/>
  <c r="M534" i="5"/>
  <c r="AN533" i="5"/>
  <c r="O533" i="5"/>
  <c r="N533" i="5"/>
  <c r="AN532" i="5"/>
  <c r="O532" i="5"/>
  <c r="N532" i="5"/>
  <c r="M532" i="5"/>
  <c r="AN531" i="5"/>
  <c r="O531" i="5"/>
  <c r="N531" i="5"/>
  <c r="AN530" i="5"/>
  <c r="O530" i="5"/>
  <c r="N530" i="5"/>
  <c r="AN529" i="5"/>
  <c r="O529" i="5"/>
  <c r="N529" i="5"/>
  <c r="AN528" i="5"/>
  <c r="O528" i="5"/>
  <c r="N528" i="5"/>
  <c r="AN527" i="5"/>
  <c r="AG527" i="5"/>
  <c r="X527" i="5"/>
  <c r="N527" i="5"/>
  <c r="AN526" i="5"/>
  <c r="AG526" i="5"/>
  <c r="X526" i="5"/>
  <c r="N526" i="5"/>
  <c r="AN525" i="5"/>
  <c r="AG525" i="5"/>
  <c r="X525" i="5"/>
  <c r="AN524" i="5"/>
  <c r="AG524" i="5"/>
  <c r="X524" i="5"/>
  <c r="N524" i="5"/>
  <c r="AN523" i="5"/>
  <c r="AG523" i="5"/>
  <c r="X523" i="5"/>
  <c r="N523" i="5"/>
  <c r="AN522" i="5"/>
  <c r="AG522" i="5"/>
  <c r="X522" i="5"/>
  <c r="AN521" i="5"/>
  <c r="AG521" i="5"/>
  <c r="X521" i="5"/>
  <c r="AN520" i="5"/>
  <c r="AG520" i="5"/>
  <c r="X520" i="5"/>
  <c r="AN519" i="5"/>
  <c r="AG519" i="5"/>
  <c r="X519" i="5"/>
  <c r="AN518" i="5"/>
  <c r="AG518" i="5"/>
  <c r="X518" i="5"/>
  <c r="AN517" i="5"/>
  <c r="AG517" i="5"/>
  <c r="X517" i="5"/>
  <c r="AN516" i="5"/>
  <c r="AG516" i="5"/>
  <c r="X516" i="5"/>
  <c r="AN515" i="5"/>
  <c r="AG515" i="5"/>
  <c r="X515" i="5"/>
  <c r="AN514" i="5"/>
  <c r="AG514" i="5"/>
  <c r="X514" i="5"/>
  <c r="AN513" i="5"/>
  <c r="AG513" i="5"/>
  <c r="X513" i="5"/>
  <c r="AN512" i="5"/>
  <c r="AG512" i="5"/>
  <c r="X512" i="5"/>
  <c r="AN511" i="5"/>
  <c r="AG511" i="5"/>
  <c r="X511" i="5"/>
  <c r="AN510" i="5"/>
  <c r="AG510" i="5"/>
  <c r="X510" i="5"/>
  <c r="AN509" i="5"/>
  <c r="AG509" i="5"/>
  <c r="X509" i="5"/>
  <c r="AN508" i="5"/>
  <c r="AG508" i="5"/>
  <c r="X508" i="5"/>
  <c r="AN507" i="5"/>
  <c r="AG507" i="5"/>
  <c r="X507" i="5"/>
  <c r="AN506" i="5"/>
  <c r="AG506" i="5"/>
  <c r="X506" i="5"/>
  <c r="AN505" i="5"/>
  <c r="AG505" i="5"/>
  <c r="X505" i="5"/>
  <c r="AN504" i="5"/>
  <c r="AG504" i="5"/>
  <c r="X504" i="5"/>
  <c r="AN503" i="5"/>
  <c r="AG503" i="5"/>
  <c r="X503" i="5"/>
  <c r="AN502" i="5"/>
  <c r="AG502" i="5"/>
  <c r="X502" i="5"/>
  <c r="AN501" i="5"/>
  <c r="AG501" i="5"/>
  <c r="X501" i="5"/>
  <c r="AN500" i="5"/>
  <c r="AG500" i="5"/>
  <c r="X500" i="5"/>
  <c r="AN499" i="5"/>
  <c r="AG499" i="5"/>
  <c r="X499" i="5"/>
  <c r="AN498" i="5"/>
  <c r="AG498" i="5"/>
  <c r="X498" i="5"/>
  <c r="AN497" i="5"/>
  <c r="AG497" i="5"/>
  <c r="X497" i="5"/>
  <c r="AN496" i="5"/>
  <c r="AG496" i="5"/>
  <c r="X496" i="5"/>
  <c r="AN495" i="5"/>
  <c r="AG495" i="5"/>
  <c r="X495" i="5"/>
  <c r="AN494" i="5"/>
  <c r="AG494" i="5"/>
  <c r="X494" i="5"/>
  <c r="AN493" i="5"/>
  <c r="AG493" i="5"/>
  <c r="X493" i="5"/>
  <c r="AN492" i="5"/>
  <c r="AG492" i="5"/>
  <c r="X492" i="5"/>
  <c r="AN491" i="5"/>
  <c r="AG491" i="5"/>
  <c r="X491" i="5"/>
  <c r="AN490" i="5"/>
  <c r="AG490" i="5"/>
  <c r="X490" i="5"/>
  <c r="AN489" i="5"/>
  <c r="AG489" i="5"/>
  <c r="X489" i="5"/>
  <c r="AN488" i="5"/>
  <c r="AG488" i="5"/>
  <c r="X488" i="5"/>
  <c r="AN487" i="5"/>
  <c r="AG487" i="5"/>
  <c r="X487" i="5"/>
  <c r="AN486" i="5"/>
  <c r="AG486" i="5"/>
  <c r="X486" i="5"/>
  <c r="AN485" i="5"/>
  <c r="AG485" i="5"/>
  <c r="X485" i="5"/>
  <c r="AR485" i="5"/>
  <c r="AN484" i="5"/>
  <c r="AG484" i="5"/>
  <c r="X484" i="5"/>
  <c r="AR484" i="5"/>
  <c r="AN483" i="5"/>
  <c r="AG483" i="5"/>
  <c r="X483" i="5"/>
  <c r="AR483" i="5"/>
  <c r="AN482" i="5"/>
  <c r="AG482" i="5"/>
  <c r="X482" i="5"/>
  <c r="AR482" i="5"/>
  <c r="AN481" i="5"/>
  <c r="AG481" i="5"/>
  <c r="X481" i="5"/>
  <c r="AR481" i="5"/>
  <c r="AN480" i="5"/>
  <c r="AG480" i="5"/>
  <c r="X480" i="5"/>
  <c r="AR480" i="5"/>
  <c r="AN479" i="5"/>
  <c r="AG479" i="5"/>
  <c r="X479" i="5"/>
  <c r="AR479" i="5"/>
  <c r="AN478" i="5"/>
  <c r="AG478" i="5"/>
  <c r="X478" i="5"/>
  <c r="AR478" i="5"/>
  <c r="AN477" i="5"/>
  <c r="AG477" i="5"/>
  <c r="X477" i="5"/>
  <c r="AR477" i="5"/>
  <c r="AN476" i="5"/>
  <c r="AG476" i="5"/>
  <c r="X476" i="5"/>
  <c r="AR476" i="5"/>
  <c r="AN475" i="5"/>
  <c r="AG475" i="5"/>
  <c r="X475" i="5"/>
  <c r="AR475" i="5"/>
  <c r="AN474" i="5"/>
  <c r="AG474" i="5"/>
  <c r="X474" i="5"/>
  <c r="AR474" i="5"/>
  <c r="AN473" i="5"/>
  <c r="AG473" i="5"/>
  <c r="X473" i="5"/>
  <c r="AR473" i="5"/>
  <c r="AN472" i="5"/>
  <c r="AG472" i="5"/>
  <c r="X472" i="5"/>
  <c r="AR472" i="5"/>
  <c r="AN471" i="5"/>
  <c r="AG471" i="5"/>
  <c r="X471" i="5"/>
  <c r="AR471" i="5"/>
  <c r="AN470" i="5"/>
  <c r="AG470" i="5"/>
  <c r="X470" i="5"/>
  <c r="AR470" i="5"/>
  <c r="AN469" i="5"/>
  <c r="AG469" i="5"/>
  <c r="X469" i="5"/>
  <c r="AR469" i="5"/>
  <c r="AN468" i="5"/>
  <c r="AG468" i="5"/>
  <c r="X468" i="5"/>
  <c r="AR468" i="5"/>
  <c r="AN467" i="5"/>
  <c r="AG467" i="5"/>
  <c r="X467" i="5"/>
  <c r="AR467" i="5"/>
  <c r="AN466" i="5"/>
  <c r="AG466" i="5"/>
  <c r="X466" i="5"/>
  <c r="AR466" i="5"/>
  <c r="AN465" i="5"/>
  <c r="AG465" i="5"/>
  <c r="X465" i="5"/>
  <c r="AR465" i="5"/>
  <c r="AN464" i="5"/>
  <c r="AG464" i="5"/>
  <c r="X464" i="5"/>
  <c r="AR464" i="5"/>
  <c r="AN463" i="5"/>
  <c r="AG463" i="5"/>
  <c r="X463" i="5"/>
  <c r="AR463" i="5"/>
  <c r="AN462" i="5"/>
  <c r="AG462" i="5"/>
  <c r="X462" i="5"/>
  <c r="AR462" i="5"/>
  <c r="AN461" i="5"/>
  <c r="AG461" i="5"/>
  <c r="X461" i="5"/>
  <c r="AR461" i="5"/>
  <c r="AN460" i="5"/>
  <c r="AG460" i="5"/>
  <c r="X460" i="5"/>
  <c r="AR460" i="5"/>
  <c r="AN459" i="5"/>
  <c r="AG459" i="5"/>
  <c r="X459" i="5"/>
  <c r="AR459" i="5"/>
  <c r="AN458" i="5"/>
  <c r="AG458" i="5"/>
  <c r="X458" i="5"/>
  <c r="AR458" i="5"/>
  <c r="AN457" i="5"/>
  <c r="AG457" i="5"/>
  <c r="X457" i="5"/>
  <c r="AR457" i="5"/>
  <c r="AN456" i="5"/>
  <c r="AG456" i="5"/>
  <c r="X456" i="5"/>
  <c r="AR456" i="5"/>
  <c r="AN455" i="5"/>
  <c r="AG455" i="5"/>
  <c r="X455" i="5"/>
  <c r="AR455" i="5"/>
  <c r="AN454" i="5"/>
  <c r="AG454" i="5"/>
  <c r="X454" i="5"/>
  <c r="AR454" i="5"/>
  <c r="AN453" i="5"/>
  <c r="AG453" i="5"/>
  <c r="X453" i="5"/>
  <c r="AR453" i="5"/>
  <c r="AN452" i="5"/>
  <c r="AG452" i="5"/>
  <c r="X452" i="5"/>
  <c r="AR452" i="5"/>
  <c r="AN451" i="5"/>
  <c r="AG451" i="5"/>
  <c r="X451" i="5"/>
  <c r="AR451" i="5"/>
  <c r="AN450" i="5"/>
  <c r="AG450" i="5"/>
  <c r="X450" i="5"/>
  <c r="AR450" i="5"/>
  <c r="AN449" i="5"/>
  <c r="AG449" i="5"/>
  <c r="X449" i="5"/>
  <c r="AR449" i="5"/>
  <c r="AN448" i="5"/>
  <c r="AG448" i="5"/>
  <c r="X448" i="5"/>
  <c r="AN447" i="5"/>
  <c r="AG447" i="5"/>
  <c r="X447" i="5"/>
  <c r="AN446" i="5"/>
  <c r="AG446" i="5"/>
  <c r="X446" i="5"/>
  <c r="AN445" i="5"/>
  <c r="AG445" i="5"/>
  <c r="X445" i="5"/>
  <c r="AN444" i="5"/>
  <c r="AG444" i="5"/>
  <c r="X444" i="5"/>
  <c r="AN443" i="5"/>
  <c r="AG443" i="5"/>
  <c r="X443" i="5"/>
  <c r="AN442" i="5"/>
  <c r="AG442" i="5"/>
  <c r="X442" i="5"/>
  <c r="AN441" i="5"/>
  <c r="AG441" i="5"/>
  <c r="X441" i="5"/>
  <c r="AN440" i="5"/>
  <c r="AG440" i="5"/>
  <c r="X440" i="5"/>
  <c r="AN439" i="5"/>
  <c r="AG439" i="5"/>
  <c r="X439" i="5"/>
  <c r="AN438" i="5"/>
  <c r="AG438" i="5"/>
  <c r="X438" i="5"/>
  <c r="AN437" i="5"/>
  <c r="AG437" i="5"/>
  <c r="X437" i="5"/>
  <c r="AN436" i="5"/>
  <c r="AG436" i="5"/>
  <c r="X436" i="5"/>
  <c r="AN435" i="5"/>
  <c r="AG435" i="5"/>
  <c r="X435" i="5"/>
  <c r="AN434" i="5"/>
  <c r="AG434" i="5"/>
  <c r="X434" i="5"/>
  <c r="AN433" i="5"/>
  <c r="AG433" i="5"/>
  <c r="X433" i="5"/>
  <c r="AN432" i="5"/>
  <c r="AG432" i="5"/>
  <c r="X432" i="5"/>
  <c r="AN431" i="5"/>
  <c r="AG431" i="5"/>
  <c r="X431" i="5"/>
  <c r="AN430" i="5"/>
  <c r="AG430" i="5"/>
  <c r="X430" i="5"/>
  <c r="AN429" i="5"/>
  <c r="AG429" i="5"/>
  <c r="X429" i="5"/>
  <c r="AN428" i="5"/>
  <c r="AG428" i="5"/>
  <c r="X428" i="5"/>
  <c r="AN427" i="5"/>
  <c r="AG427" i="5"/>
  <c r="X427" i="5"/>
  <c r="AN426" i="5"/>
  <c r="AG426" i="5"/>
  <c r="X426" i="5"/>
  <c r="AN425" i="5"/>
  <c r="AG425" i="5"/>
  <c r="X425" i="5"/>
  <c r="AN424" i="5"/>
  <c r="AG424" i="5"/>
  <c r="X424" i="5"/>
  <c r="AN423" i="5"/>
  <c r="AG423" i="5"/>
  <c r="X423" i="5"/>
  <c r="AN422" i="5"/>
  <c r="AG422" i="5"/>
  <c r="X422" i="5"/>
  <c r="AN421" i="5"/>
  <c r="AG421" i="5"/>
  <c r="X421" i="5"/>
  <c r="AN420" i="5"/>
  <c r="AG420" i="5"/>
  <c r="X420" i="5"/>
  <c r="AN419" i="5"/>
  <c r="AG419" i="5"/>
  <c r="X419" i="5"/>
  <c r="AN418" i="5"/>
  <c r="AG418" i="5"/>
  <c r="X418" i="5"/>
  <c r="AN417" i="5"/>
  <c r="AG417" i="5"/>
  <c r="X417" i="5"/>
  <c r="AN416" i="5"/>
  <c r="AG416" i="5"/>
  <c r="X416" i="5"/>
  <c r="AN415" i="5"/>
  <c r="AG415" i="5"/>
  <c r="X415" i="5"/>
  <c r="AN414" i="5"/>
  <c r="AG414" i="5"/>
  <c r="X414" i="5"/>
  <c r="AN413" i="5"/>
  <c r="AG413" i="5"/>
  <c r="X413" i="5"/>
  <c r="AN412" i="5"/>
  <c r="AG412" i="5"/>
  <c r="X412" i="5"/>
  <c r="AN411" i="5"/>
  <c r="AG411" i="5"/>
  <c r="X411" i="5"/>
  <c r="AN405" i="5"/>
  <c r="AG405" i="5"/>
  <c r="X405" i="5"/>
  <c r="AR405" i="5"/>
  <c r="AN404" i="5"/>
  <c r="AG404" i="5"/>
  <c r="X404" i="5"/>
  <c r="AN403" i="5"/>
  <c r="AG403" i="5"/>
  <c r="X403" i="5"/>
  <c r="AN401" i="5"/>
  <c r="AG401" i="5"/>
  <c r="X401" i="5"/>
  <c r="AN400" i="5"/>
  <c r="AG400" i="5"/>
  <c r="X400" i="5"/>
  <c r="AN187" i="5"/>
  <c r="AG187" i="5"/>
  <c r="X187" i="5"/>
  <c r="AN166" i="5"/>
  <c r="AG166" i="5"/>
  <c r="X166" i="5"/>
  <c r="AN410" i="5"/>
  <c r="AG410" i="5"/>
  <c r="X410" i="5"/>
  <c r="AN397" i="5"/>
  <c r="AG397" i="5"/>
  <c r="X397" i="5"/>
  <c r="AN396" i="5"/>
  <c r="AG396" i="5"/>
  <c r="X396" i="5"/>
  <c r="AN185" i="5"/>
  <c r="AG185" i="5"/>
  <c r="X185" i="5"/>
  <c r="AN164" i="5"/>
  <c r="AG164" i="5"/>
  <c r="X164" i="5"/>
  <c r="AN395" i="5"/>
  <c r="AG395" i="5"/>
  <c r="X395" i="5"/>
  <c r="AN394" i="5"/>
  <c r="AG394" i="5"/>
  <c r="X394" i="5"/>
  <c r="AN393" i="5"/>
  <c r="AG393" i="5"/>
  <c r="X393" i="5"/>
  <c r="AN392" i="5"/>
  <c r="AG392" i="5"/>
  <c r="X392" i="5"/>
  <c r="AN391" i="5"/>
  <c r="AG391" i="5"/>
  <c r="X391" i="5"/>
  <c r="AR391" i="5"/>
  <c r="AN390" i="5"/>
  <c r="AG390" i="5"/>
  <c r="X390" i="5"/>
  <c r="AR390" i="5"/>
  <c r="AN389" i="5"/>
  <c r="AG389" i="5"/>
  <c r="X389" i="5"/>
  <c r="AR389" i="5"/>
  <c r="AN388" i="5"/>
  <c r="AG388" i="5"/>
  <c r="X388" i="5"/>
  <c r="AR388" i="5"/>
  <c r="AN387" i="5"/>
  <c r="AG387" i="5"/>
  <c r="X387" i="5"/>
  <c r="AR387" i="5"/>
  <c r="AN386" i="5"/>
  <c r="AG386" i="5"/>
  <c r="X386" i="5"/>
  <c r="AR386" i="5"/>
  <c r="AN385" i="5"/>
  <c r="AG385" i="5"/>
  <c r="X385" i="5"/>
  <c r="AR385" i="5"/>
  <c r="AN384" i="5"/>
  <c r="AG384" i="5"/>
  <c r="X384" i="5"/>
  <c r="AR384" i="5"/>
  <c r="AN383" i="5"/>
  <c r="AG383" i="5"/>
  <c r="X383" i="5"/>
  <c r="AR383" i="5"/>
  <c r="AN382" i="5"/>
  <c r="AG382" i="5"/>
  <c r="X382" i="5"/>
  <c r="AR382" i="5"/>
  <c r="AN381" i="5"/>
  <c r="AG381" i="5"/>
  <c r="X381" i="5"/>
  <c r="AR381" i="5"/>
  <c r="AN380" i="5"/>
  <c r="AG380" i="5"/>
  <c r="X380" i="5"/>
  <c r="AR380" i="5"/>
  <c r="AN379" i="5"/>
  <c r="AG379" i="5"/>
  <c r="X379" i="5"/>
  <c r="AR379" i="5"/>
  <c r="AN378" i="5"/>
  <c r="AG378" i="5"/>
  <c r="X378" i="5"/>
  <c r="AR378" i="5"/>
  <c r="AN377" i="5"/>
  <c r="AG377" i="5"/>
  <c r="X377" i="5"/>
  <c r="AR377" i="5"/>
  <c r="AN376" i="5"/>
  <c r="AG376" i="5"/>
  <c r="X376" i="5"/>
  <c r="AN375" i="5"/>
  <c r="AG375" i="5"/>
  <c r="X375" i="5"/>
  <c r="AN374" i="5"/>
  <c r="AG374" i="5"/>
  <c r="X374" i="5"/>
  <c r="AN373" i="5"/>
  <c r="AG373" i="5"/>
  <c r="X373" i="5"/>
  <c r="AN372" i="5"/>
  <c r="AG372" i="5"/>
  <c r="X372" i="5"/>
  <c r="AN371" i="5"/>
  <c r="AG371" i="5"/>
  <c r="X371" i="5"/>
  <c r="AN370" i="5"/>
  <c r="AG370" i="5"/>
  <c r="X370" i="5"/>
  <c r="AN398" i="5"/>
  <c r="AG398" i="5"/>
  <c r="X398" i="5"/>
  <c r="AN173" i="5"/>
  <c r="AG173" i="5"/>
  <c r="X173" i="5"/>
  <c r="AN367" i="5"/>
  <c r="AG367" i="5"/>
  <c r="X367" i="5"/>
  <c r="AN408" i="5"/>
  <c r="AG408" i="5"/>
  <c r="X408" i="5"/>
  <c r="AN365" i="5"/>
  <c r="AG365" i="5"/>
  <c r="X365" i="5"/>
  <c r="AN175" i="5"/>
  <c r="AG175" i="5"/>
  <c r="X175" i="5"/>
  <c r="AN363" i="5"/>
  <c r="AG363" i="5"/>
  <c r="X363" i="5"/>
  <c r="AN362" i="5"/>
  <c r="AG362" i="5"/>
  <c r="X362" i="5"/>
  <c r="AN361" i="5"/>
  <c r="AG361" i="5"/>
  <c r="X361" i="5"/>
  <c r="AN360" i="5"/>
  <c r="AG360" i="5"/>
  <c r="X360" i="5"/>
  <c r="AN359" i="5"/>
  <c r="AG359" i="5"/>
  <c r="X359" i="5"/>
  <c r="AN358" i="5"/>
  <c r="AG358" i="5"/>
  <c r="X358" i="5"/>
  <c r="AN357" i="5"/>
  <c r="AG357" i="5"/>
  <c r="X357" i="5"/>
  <c r="AN356" i="5"/>
  <c r="AG356" i="5"/>
  <c r="X356" i="5"/>
  <c r="AN355" i="5"/>
  <c r="AG355" i="5"/>
  <c r="X355" i="5"/>
  <c r="AN354" i="5"/>
  <c r="AG354" i="5"/>
  <c r="X354" i="5"/>
  <c r="AN399" i="5"/>
  <c r="AG399" i="5"/>
  <c r="X399" i="5"/>
  <c r="AN174" i="5"/>
  <c r="AG174" i="5"/>
  <c r="X174" i="5"/>
  <c r="AN351" i="5"/>
  <c r="AN350" i="5"/>
  <c r="AN349" i="5"/>
  <c r="AG349" i="5"/>
  <c r="X349" i="5"/>
  <c r="AN348" i="5"/>
  <c r="AG348" i="5"/>
  <c r="X348" i="5"/>
  <c r="AN347" i="5"/>
  <c r="AG347" i="5"/>
  <c r="X347" i="5"/>
  <c r="AN346" i="5"/>
  <c r="AG346" i="5"/>
  <c r="X346" i="5"/>
  <c r="AN345" i="5"/>
  <c r="AG345" i="5"/>
  <c r="X345" i="5"/>
  <c r="AN344" i="5"/>
  <c r="AG344" i="5"/>
  <c r="X344" i="5"/>
  <c r="AN343" i="5"/>
  <c r="AG343" i="5"/>
  <c r="X343" i="5"/>
  <c r="AN342" i="5"/>
  <c r="AG342" i="5"/>
  <c r="X342" i="5"/>
  <c r="AN341" i="5"/>
  <c r="AG341" i="5"/>
  <c r="X341" i="5"/>
  <c r="AN340" i="5"/>
  <c r="AG340" i="5"/>
  <c r="X340" i="5"/>
  <c r="AN339" i="5"/>
  <c r="AG339" i="5"/>
  <c r="X339" i="5"/>
  <c r="AN338" i="5"/>
  <c r="AG338" i="5"/>
  <c r="X338" i="5"/>
  <c r="AN337" i="5"/>
  <c r="AG337" i="5"/>
  <c r="X337" i="5"/>
  <c r="AN336" i="5"/>
  <c r="AG336" i="5"/>
  <c r="X336" i="5"/>
  <c r="AN335" i="5"/>
  <c r="AG335" i="5"/>
  <c r="X335" i="5"/>
  <c r="AN334" i="5"/>
  <c r="AG334" i="5"/>
  <c r="X334" i="5"/>
  <c r="AN333" i="5"/>
  <c r="AG333" i="5"/>
  <c r="X333" i="5"/>
  <c r="AN331" i="5"/>
  <c r="AG331" i="5"/>
  <c r="X331" i="5"/>
  <c r="AN330" i="5"/>
  <c r="AG330" i="5"/>
  <c r="X330" i="5"/>
  <c r="AN329" i="5"/>
  <c r="AG329" i="5"/>
  <c r="X329" i="5"/>
  <c r="AN328" i="5"/>
  <c r="AG328" i="5"/>
  <c r="X328" i="5"/>
  <c r="AN327" i="5"/>
  <c r="AG327" i="5"/>
  <c r="X327" i="5"/>
  <c r="AN325" i="5"/>
  <c r="AG325" i="5"/>
  <c r="X325" i="5"/>
  <c r="AN324" i="5"/>
  <c r="AG324" i="5"/>
  <c r="X324" i="5"/>
  <c r="AN323" i="5"/>
  <c r="AG323" i="5"/>
  <c r="X323" i="5"/>
  <c r="AN322" i="5"/>
  <c r="AG322" i="5"/>
  <c r="X322" i="5"/>
  <c r="AN319" i="5"/>
  <c r="AG319" i="5"/>
  <c r="X319" i="5"/>
  <c r="AR319" i="5"/>
  <c r="AN318" i="5"/>
  <c r="AG318" i="5"/>
  <c r="X318" i="5"/>
  <c r="AR318" i="5"/>
  <c r="AN317" i="5"/>
  <c r="AG317" i="5"/>
  <c r="X317" i="5"/>
  <c r="AR317" i="5"/>
  <c r="AN316" i="5"/>
  <c r="AG316" i="5"/>
  <c r="X316" i="5"/>
  <c r="AR316" i="5"/>
  <c r="AN315" i="5"/>
  <c r="AG315" i="5"/>
  <c r="X315" i="5"/>
  <c r="AN314" i="5"/>
  <c r="AG314" i="5"/>
  <c r="X314" i="5"/>
  <c r="AN313" i="5"/>
  <c r="AG313" i="5"/>
  <c r="X313" i="5"/>
  <c r="AN312" i="5"/>
  <c r="AG312" i="5"/>
  <c r="X312" i="5"/>
  <c r="AN311" i="5"/>
  <c r="AG311" i="5"/>
  <c r="X311" i="5"/>
  <c r="AN310" i="5"/>
  <c r="AG310" i="5"/>
  <c r="X310" i="5"/>
  <c r="AN309" i="5"/>
  <c r="AG309" i="5"/>
  <c r="X309" i="5"/>
  <c r="AN308" i="5"/>
  <c r="AG308" i="5"/>
  <c r="X308" i="5"/>
  <c r="AN307" i="5"/>
  <c r="AG307" i="5"/>
  <c r="X307" i="5"/>
  <c r="AN306" i="5"/>
  <c r="AG306" i="5"/>
  <c r="X306" i="5"/>
  <c r="AN305" i="5"/>
  <c r="AG305" i="5"/>
  <c r="X305" i="5"/>
  <c r="AN304" i="5"/>
  <c r="AG304" i="5"/>
  <c r="X304" i="5"/>
  <c r="AN303" i="5"/>
  <c r="AG303" i="5"/>
  <c r="X303" i="5"/>
  <c r="AN302" i="5"/>
  <c r="AG302" i="5"/>
  <c r="X302" i="5"/>
  <c r="AN301" i="5"/>
  <c r="AG301" i="5"/>
  <c r="X301" i="5"/>
  <c r="AN300" i="5"/>
  <c r="AG300" i="5"/>
  <c r="X300" i="5"/>
  <c r="AN299" i="5"/>
  <c r="AG299" i="5"/>
  <c r="X299" i="5"/>
  <c r="AN298" i="5"/>
  <c r="AG298" i="5"/>
  <c r="X298" i="5"/>
  <c r="M298" i="5"/>
  <c r="AN296" i="5"/>
  <c r="AG296" i="5"/>
  <c r="X296" i="5"/>
  <c r="M296" i="5"/>
  <c r="AN295" i="5"/>
  <c r="AG295" i="5"/>
  <c r="X295" i="5"/>
  <c r="M295" i="5"/>
  <c r="AN294" i="5"/>
  <c r="AG294" i="5"/>
  <c r="X294" i="5"/>
  <c r="AN293" i="5"/>
  <c r="AG293" i="5"/>
  <c r="X293" i="5"/>
  <c r="M293" i="5"/>
  <c r="AN292" i="5"/>
  <c r="AG292" i="5"/>
  <c r="X292" i="5"/>
  <c r="AN291" i="5"/>
  <c r="AG291" i="5"/>
  <c r="X291" i="5"/>
  <c r="AN290" i="5"/>
  <c r="AG290" i="5"/>
  <c r="X290" i="5"/>
  <c r="AN289" i="5"/>
  <c r="AG289" i="5"/>
  <c r="X289" i="5"/>
  <c r="AN288" i="5"/>
  <c r="AG288" i="5"/>
  <c r="AB288" i="5"/>
  <c r="AA288" i="5"/>
  <c r="X288" i="5"/>
  <c r="AN287" i="5"/>
  <c r="AG287" i="5"/>
  <c r="X287" i="5"/>
  <c r="AN286" i="5"/>
  <c r="AG286" i="5"/>
  <c r="AB286" i="5"/>
  <c r="AA286" i="5"/>
  <c r="X286" i="5"/>
  <c r="AN285" i="5"/>
  <c r="AG285" i="5"/>
  <c r="AN284" i="5"/>
  <c r="AG284" i="5"/>
  <c r="X284" i="5"/>
  <c r="AN283" i="5"/>
  <c r="AG283" i="5"/>
  <c r="X283" i="5"/>
  <c r="AN282" i="5"/>
  <c r="AG282" i="5"/>
  <c r="X282" i="5"/>
  <c r="AN281" i="5"/>
  <c r="AG281" i="5"/>
  <c r="X281" i="5"/>
  <c r="AN280" i="5"/>
  <c r="AG280" i="5"/>
  <c r="X280" i="5"/>
  <c r="AN279" i="5"/>
  <c r="AG279" i="5"/>
  <c r="X279" i="5"/>
  <c r="AN278" i="5"/>
  <c r="AG278" i="5"/>
  <c r="X278" i="5"/>
  <c r="AN277" i="5"/>
  <c r="AG277" i="5"/>
  <c r="X277" i="5"/>
  <c r="AN276" i="5"/>
  <c r="AG276" i="5"/>
  <c r="X276" i="5"/>
  <c r="AN275" i="5"/>
  <c r="AG275" i="5"/>
  <c r="X275" i="5"/>
  <c r="AN274" i="5"/>
  <c r="AG274" i="5"/>
  <c r="X274" i="5"/>
  <c r="AN273" i="5"/>
  <c r="AG273" i="5"/>
  <c r="X273" i="5"/>
  <c r="AN272" i="5"/>
  <c r="AG272" i="5"/>
  <c r="X272" i="5"/>
  <c r="AN271" i="5"/>
  <c r="AG271" i="5"/>
  <c r="X271" i="5"/>
  <c r="AN270" i="5"/>
  <c r="AG270" i="5"/>
  <c r="X270" i="5"/>
  <c r="AN269" i="5"/>
  <c r="AG269" i="5"/>
  <c r="X269" i="5"/>
  <c r="AN268" i="5"/>
  <c r="AG268" i="5"/>
  <c r="X268" i="5"/>
  <c r="AN267" i="5"/>
  <c r="AG267" i="5"/>
  <c r="X267" i="5"/>
  <c r="AN266" i="5"/>
  <c r="AG266" i="5"/>
  <c r="X266" i="5"/>
  <c r="AN265" i="5"/>
  <c r="AG265" i="5"/>
  <c r="X265" i="5"/>
  <c r="AN264" i="5"/>
  <c r="AG264" i="5"/>
  <c r="X264" i="5"/>
  <c r="AN263" i="5"/>
  <c r="AG263" i="5"/>
  <c r="X263" i="5"/>
  <c r="AN262" i="5"/>
  <c r="AG262" i="5"/>
  <c r="X262" i="5"/>
  <c r="AN261" i="5"/>
  <c r="AG261" i="5"/>
  <c r="X261" i="5"/>
  <c r="AN260" i="5"/>
  <c r="AG260" i="5"/>
  <c r="X260" i="5"/>
  <c r="AN259" i="5"/>
  <c r="AG259" i="5"/>
  <c r="X259" i="5"/>
  <c r="AN258" i="5"/>
  <c r="AG258" i="5"/>
  <c r="X258" i="5"/>
  <c r="AN257" i="5"/>
  <c r="AG257" i="5"/>
  <c r="X257" i="5"/>
  <c r="AN256" i="5"/>
  <c r="AG256" i="5"/>
  <c r="X256" i="5"/>
  <c r="AN255" i="5"/>
  <c r="AG255" i="5"/>
  <c r="X255" i="5"/>
  <c r="AN254" i="5"/>
  <c r="AG254" i="5"/>
  <c r="X254" i="5"/>
  <c r="AN253" i="5"/>
  <c r="AG253" i="5"/>
  <c r="X253" i="5"/>
  <c r="AN252" i="5"/>
  <c r="AG252" i="5"/>
  <c r="X252" i="5"/>
  <c r="AN251" i="5"/>
  <c r="AG251" i="5"/>
  <c r="X251" i="5"/>
  <c r="AN250" i="5"/>
  <c r="AG250" i="5"/>
  <c r="X250" i="5"/>
  <c r="AN249" i="5"/>
  <c r="AG249" i="5"/>
  <c r="X249" i="5"/>
  <c r="AN248" i="5"/>
  <c r="AG248" i="5"/>
  <c r="X248" i="5"/>
  <c r="AN247" i="5"/>
  <c r="AG247" i="5"/>
  <c r="X247" i="5"/>
  <c r="AN246" i="5"/>
  <c r="AG246" i="5"/>
  <c r="X246" i="5"/>
  <c r="AN245" i="5"/>
  <c r="AG245" i="5"/>
  <c r="X245" i="5"/>
  <c r="AN244" i="5"/>
  <c r="AG244" i="5"/>
  <c r="X244" i="5"/>
  <c r="AN243" i="5"/>
  <c r="AG243" i="5"/>
  <c r="X243" i="5"/>
  <c r="AN242" i="5"/>
  <c r="AG242" i="5"/>
  <c r="X242" i="5"/>
  <c r="AN241" i="5"/>
  <c r="AG241" i="5"/>
  <c r="X241" i="5"/>
  <c r="AN240" i="5"/>
  <c r="AG240" i="5"/>
  <c r="X240" i="5"/>
  <c r="AN239" i="5"/>
  <c r="AG239" i="5"/>
  <c r="X239" i="5"/>
  <c r="M239" i="5"/>
  <c r="AN238" i="5"/>
  <c r="AG238" i="5"/>
  <c r="X238" i="5"/>
  <c r="AN237" i="5"/>
  <c r="AG237" i="5"/>
  <c r="X237" i="5"/>
  <c r="AN236" i="5"/>
  <c r="AG236" i="5"/>
  <c r="X236" i="5"/>
  <c r="AN234" i="5"/>
  <c r="AG234" i="5"/>
  <c r="X234" i="5"/>
  <c r="M234" i="5"/>
  <c r="AN233" i="5"/>
  <c r="AG233" i="5"/>
  <c r="X233" i="5"/>
  <c r="AN232" i="5"/>
  <c r="AG232" i="5"/>
  <c r="X232" i="5"/>
  <c r="AN230" i="5"/>
  <c r="AG230" i="5"/>
  <c r="X230" i="5"/>
  <c r="M230" i="5"/>
  <c r="AN229" i="5"/>
  <c r="AG229" i="5"/>
  <c r="X229" i="5"/>
  <c r="AN228" i="5"/>
  <c r="AG228" i="5"/>
  <c r="X228" i="5"/>
  <c r="M228" i="5"/>
  <c r="AN227" i="5"/>
  <c r="AG227" i="5"/>
  <c r="X227" i="5"/>
  <c r="AN226" i="5"/>
  <c r="AG226" i="5"/>
  <c r="X226" i="5"/>
  <c r="M226" i="5"/>
  <c r="AN225" i="5"/>
  <c r="AG225" i="5"/>
  <c r="X225" i="5"/>
  <c r="AN224" i="5"/>
  <c r="AG224" i="5"/>
  <c r="X224" i="5"/>
  <c r="AN223" i="5"/>
  <c r="AG223" i="5"/>
  <c r="X223" i="5"/>
  <c r="AN222" i="5"/>
  <c r="AG222" i="5"/>
  <c r="X222" i="5"/>
  <c r="AN221" i="5"/>
  <c r="AG221" i="5"/>
  <c r="X221" i="5"/>
  <c r="AN220" i="5"/>
  <c r="AG220" i="5"/>
  <c r="X220" i="5"/>
  <c r="AN219" i="5"/>
  <c r="AG219" i="5"/>
  <c r="X219" i="5"/>
  <c r="AN218" i="5"/>
  <c r="AG218" i="5"/>
  <c r="X218" i="5"/>
  <c r="AN217" i="5"/>
  <c r="AG217" i="5"/>
  <c r="X217" i="5"/>
  <c r="AN215" i="5"/>
  <c r="AG215" i="5"/>
  <c r="X215" i="5"/>
  <c r="AN214" i="5"/>
  <c r="AG214" i="5"/>
  <c r="X214" i="5"/>
  <c r="AN213" i="5"/>
  <c r="AG213" i="5"/>
  <c r="X213" i="5"/>
  <c r="M213" i="5"/>
  <c r="AN211" i="5"/>
  <c r="AG211" i="5"/>
  <c r="X211" i="5"/>
  <c r="AN210" i="5"/>
  <c r="AG210" i="5"/>
  <c r="X210" i="5"/>
  <c r="AN209" i="5"/>
  <c r="AG209" i="5"/>
  <c r="X209" i="5"/>
  <c r="AN208" i="5"/>
  <c r="AG208" i="5"/>
  <c r="X208" i="5"/>
  <c r="AN207" i="5"/>
  <c r="AG207" i="5"/>
  <c r="X207" i="5"/>
  <c r="AN206" i="5"/>
  <c r="AG206" i="5"/>
  <c r="X206" i="5"/>
  <c r="AN205" i="5"/>
  <c r="AG205" i="5"/>
  <c r="X205" i="5"/>
  <c r="AN204" i="5"/>
  <c r="AG204" i="5"/>
  <c r="X204" i="5"/>
  <c r="AN203" i="5"/>
  <c r="AG203" i="5"/>
  <c r="X203" i="5"/>
  <c r="AN202" i="5"/>
  <c r="AG202" i="5"/>
  <c r="X202" i="5"/>
  <c r="AN201" i="5"/>
  <c r="AG201" i="5"/>
  <c r="X201" i="5"/>
  <c r="AN200" i="5"/>
  <c r="AG200" i="5"/>
  <c r="X200" i="5"/>
  <c r="AN199" i="5"/>
  <c r="AG199" i="5"/>
  <c r="X199" i="5"/>
  <c r="AN198" i="5"/>
  <c r="AG198" i="5"/>
  <c r="X198" i="5"/>
  <c r="AR198" i="5"/>
  <c r="AN197" i="5"/>
  <c r="AG197" i="5"/>
  <c r="X197" i="5"/>
  <c r="AN196" i="5"/>
  <c r="AG196" i="5"/>
  <c r="X196" i="5"/>
  <c r="AN195" i="5"/>
  <c r="AG195" i="5"/>
  <c r="X195" i="5"/>
  <c r="AN194" i="5"/>
  <c r="AG194" i="5"/>
  <c r="X194" i="5"/>
  <c r="AN193" i="5"/>
  <c r="AG193" i="5"/>
  <c r="X193" i="5"/>
  <c r="AN192" i="5"/>
  <c r="AG192" i="5"/>
  <c r="X192" i="5"/>
  <c r="AN191" i="5"/>
  <c r="AG191" i="5"/>
  <c r="X191" i="5"/>
  <c r="AN189" i="5"/>
  <c r="AG189" i="5"/>
  <c r="X189" i="5"/>
  <c r="AN188" i="5"/>
  <c r="AG188" i="5"/>
  <c r="X188" i="5"/>
  <c r="AN369" i="5"/>
  <c r="AG369" i="5"/>
  <c r="X369" i="5"/>
  <c r="AN172" i="5"/>
  <c r="AG172" i="5"/>
  <c r="X172" i="5"/>
  <c r="AN352" i="5"/>
  <c r="AG352" i="5"/>
  <c r="X352" i="5"/>
  <c r="AN167" i="5"/>
  <c r="AG167" i="5"/>
  <c r="X167" i="5"/>
  <c r="AN186" i="5"/>
  <c r="AG186" i="5"/>
  <c r="X186" i="5"/>
  <c r="AN165" i="5"/>
  <c r="AG165" i="5"/>
  <c r="X165" i="5"/>
  <c r="AN183" i="5"/>
  <c r="AG183" i="5"/>
  <c r="X183" i="5"/>
  <c r="AN162" i="5"/>
  <c r="AG162" i="5"/>
  <c r="X162" i="5"/>
  <c r="AN182" i="5"/>
  <c r="AG182" i="5"/>
  <c r="X182" i="5"/>
  <c r="AN161" i="5"/>
  <c r="AG161" i="5"/>
  <c r="X161" i="5"/>
  <c r="AN353" i="5"/>
  <c r="AG353" i="5"/>
  <c r="X353" i="5"/>
  <c r="AN168" i="5"/>
  <c r="AG168" i="5"/>
  <c r="X168" i="5"/>
  <c r="AN179" i="5"/>
  <c r="AG179" i="5"/>
  <c r="X179" i="5"/>
  <c r="AN156" i="5"/>
  <c r="AG156" i="5"/>
  <c r="X156" i="5"/>
  <c r="AN364" i="5"/>
  <c r="AG364" i="5"/>
  <c r="X364" i="5"/>
  <c r="AN169" i="5"/>
  <c r="AG169" i="5"/>
  <c r="X169" i="5"/>
  <c r="AN184" i="5"/>
  <c r="AG184" i="5"/>
  <c r="X184" i="5"/>
  <c r="AN163" i="5"/>
  <c r="AG163" i="5"/>
  <c r="X163" i="5"/>
  <c r="AN180" i="5"/>
  <c r="AG180" i="5"/>
  <c r="X180" i="5"/>
  <c r="AN157" i="5"/>
  <c r="AG157" i="5"/>
  <c r="X157" i="5"/>
  <c r="AN368" i="5"/>
  <c r="AG368" i="5"/>
  <c r="X368" i="5"/>
  <c r="AN171" i="5"/>
  <c r="AG171" i="5"/>
  <c r="X171" i="5"/>
  <c r="AN366" i="5"/>
  <c r="AG366" i="5"/>
  <c r="X366" i="5"/>
  <c r="AN170" i="5"/>
  <c r="AG170" i="5"/>
  <c r="X170" i="5"/>
  <c r="AN178" i="5"/>
  <c r="AG178" i="5"/>
  <c r="X178" i="5"/>
  <c r="AN155" i="5"/>
  <c r="AG155" i="5"/>
  <c r="X155" i="5"/>
  <c r="AN181" i="5"/>
  <c r="AG181" i="5"/>
  <c r="X181" i="5"/>
  <c r="AN160" i="5"/>
  <c r="AG160" i="5"/>
  <c r="X160" i="5"/>
  <c r="AN159" i="5"/>
  <c r="AG159" i="5"/>
  <c r="X159" i="5"/>
  <c r="AN158" i="5"/>
  <c r="AG158" i="5"/>
  <c r="X158" i="5"/>
  <c r="AN177" i="5"/>
  <c r="AG177" i="5"/>
  <c r="X177" i="5"/>
  <c r="M177" i="5"/>
  <c r="AN409" i="5"/>
  <c r="AG409" i="5"/>
  <c r="X409" i="5"/>
  <c r="M409" i="5"/>
  <c r="AN176" i="5"/>
  <c r="AG176" i="5"/>
  <c r="X176" i="5"/>
  <c r="M176" i="5"/>
  <c r="AN154" i="5"/>
  <c r="AG154" i="5"/>
  <c r="AB154" i="5"/>
  <c r="AA154" i="5"/>
  <c r="X154" i="5"/>
  <c r="M154" i="5"/>
  <c r="AN153" i="5"/>
  <c r="AG153" i="5"/>
  <c r="AB153" i="5"/>
  <c r="AA153" i="5"/>
  <c r="X153" i="5"/>
  <c r="M153" i="5"/>
  <c r="AN152" i="5"/>
  <c r="AG152" i="5"/>
  <c r="AB152" i="5"/>
  <c r="AA152" i="5"/>
  <c r="X152" i="5"/>
  <c r="AN151" i="5"/>
  <c r="AG151" i="5"/>
  <c r="AB151" i="5"/>
  <c r="AR151" i="5" s="1"/>
  <c r="AA151" i="5"/>
  <c r="X151" i="5"/>
  <c r="AN150" i="5"/>
  <c r="AG150" i="5"/>
  <c r="AB150" i="5"/>
  <c r="AR150" i="5" s="1"/>
  <c r="AA150" i="5"/>
  <c r="X150" i="5"/>
  <c r="AN149" i="5"/>
  <c r="AG149" i="5"/>
  <c r="AB149" i="5"/>
  <c r="AR149" i="5" s="1"/>
  <c r="AA149" i="5"/>
  <c r="X149" i="5"/>
  <c r="AN148" i="5"/>
  <c r="AG148" i="5"/>
  <c r="AB148" i="5"/>
  <c r="AA148" i="5"/>
  <c r="X148" i="5"/>
  <c r="AN147" i="5"/>
  <c r="AG147" i="5"/>
  <c r="AB147" i="5"/>
  <c r="AA147" i="5"/>
  <c r="X147" i="5"/>
  <c r="AN146" i="5"/>
  <c r="AG146" i="5"/>
  <c r="AB146" i="5"/>
  <c r="AA146" i="5"/>
  <c r="X146" i="5"/>
  <c r="AN145" i="5"/>
  <c r="AG145" i="5"/>
  <c r="AB145" i="5"/>
  <c r="AA145" i="5"/>
  <c r="X145" i="5"/>
  <c r="AN144" i="5"/>
  <c r="AG144" i="5"/>
  <c r="AB144" i="5"/>
  <c r="AA144" i="5"/>
  <c r="X144" i="5"/>
  <c r="AN143" i="5"/>
  <c r="AG143" i="5"/>
  <c r="AB143" i="5"/>
  <c r="AA143" i="5"/>
  <c r="X143" i="5"/>
  <c r="AN142" i="5"/>
  <c r="AG142" i="5"/>
  <c r="AB142" i="5"/>
  <c r="AA142" i="5"/>
  <c r="X142" i="5"/>
  <c r="M142" i="5"/>
  <c r="AN141" i="5"/>
  <c r="AG141" i="5"/>
  <c r="AB141" i="5"/>
  <c r="AA141" i="5"/>
  <c r="X141" i="5"/>
  <c r="AN140" i="5"/>
  <c r="AG140" i="5"/>
  <c r="AB140" i="5"/>
  <c r="AA140" i="5"/>
  <c r="X140" i="5"/>
  <c r="AN139" i="5"/>
  <c r="AG139" i="5"/>
  <c r="AB139" i="5"/>
  <c r="AA139" i="5"/>
  <c r="X139" i="5"/>
  <c r="M139" i="5"/>
  <c r="AN138" i="5"/>
  <c r="AG138" i="5"/>
  <c r="AB138" i="5"/>
  <c r="AA138" i="5"/>
  <c r="X138" i="5"/>
  <c r="AN137" i="5"/>
  <c r="AG137" i="5"/>
  <c r="AB137" i="5"/>
  <c r="AA137" i="5"/>
  <c r="X137" i="5"/>
  <c r="M137" i="5"/>
  <c r="AN136" i="5"/>
  <c r="AG136" i="5"/>
  <c r="AB136" i="5"/>
  <c r="AA136" i="5"/>
  <c r="X136" i="5"/>
  <c r="AN135" i="5"/>
  <c r="AG135" i="5"/>
  <c r="AB135" i="5"/>
  <c r="AA135" i="5"/>
  <c r="X135" i="5"/>
  <c r="AN134" i="5"/>
  <c r="AG134" i="5"/>
  <c r="AB134" i="5"/>
  <c r="AA134" i="5"/>
  <c r="X134" i="5"/>
  <c r="M134" i="5"/>
  <c r="AN133" i="5"/>
  <c r="AG133" i="5"/>
  <c r="AB133" i="5"/>
  <c r="AA133" i="5"/>
  <c r="X133" i="5"/>
  <c r="AN132" i="5"/>
  <c r="AG132" i="5"/>
  <c r="AB132" i="5"/>
  <c r="AA132" i="5"/>
  <c r="X132" i="5"/>
  <c r="M132" i="5"/>
  <c r="AN131" i="5"/>
  <c r="AG131" i="5"/>
  <c r="AB131" i="5"/>
  <c r="AA131" i="5"/>
  <c r="X131" i="5"/>
  <c r="M131" i="5"/>
  <c r="AN130" i="5"/>
  <c r="AG130" i="5"/>
  <c r="AB130" i="5"/>
  <c r="AA130" i="5"/>
  <c r="X130" i="5"/>
  <c r="AN129" i="5"/>
  <c r="AG129" i="5"/>
  <c r="AB129" i="5"/>
  <c r="AA129" i="5"/>
  <c r="X129" i="5"/>
  <c r="AN128" i="5"/>
  <c r="AG128" i="5"/>
  <c r="X128" i="5"/>
  <c r="AN127" i="5"/>
  <c r="AG127" i="5"/>
  <c r="X127" i="5"/>
  <c r="AN126" i="5"/>
  <c r="AG126" i="5"/>
  <c r="X126" i="5"/>
  <c r="AN125" i="5"/>
  <c r="AG125" i="5"/>
  <c r="X125" i="5"/>
  <c r="AN124" i="5"/>
  <c r="AG124" i="5"/>
  <c r="X124" i="5"/>
  <c r="AN123" i="5"/>
  <c r="AG123" i="5"/>
  <c r="X123" i="5"/>
  <c r="AN122" i="5"/>
  <c r="AG122" i="5"/>
  <c r="X122" i="5"/>
  <c r="AN121" i="5"/>
  <c r="AG121" i="5"/>
  <c r="X121" i="5"/>
  <c r="AN120" i="5"/>
  <c r="AG120" i="5"/>
  <c r="X120" i="5"/>
  <c r="AN119" i="5"/>
  <c r="AG119" i="5"/>
  <c r="X119" i="5"/>
  <c r="AN118" i="5"/>
  <c r="AG118" i="5"/>
  <c r="X118" i="5"/>
  <c r="AN117" i="5"/>
  <c r="AG117" i="5"/>
  <c r="X117" i="5"/>
  <c r="AN116" i="5"/>
  <c r="AK116" i="5"/>
  <c r="AG116" i="5"/>
  <c r="X116" i="5"/>
  <c r="AN115" i="5"/>
  <c r="AG115" i="5"/>
  <c r="X115" i="5"/>
  <c r="AN114" i="5"/>
  <c r="AG114" i="5"/>
  <c r="X114" i="5"/>
  <c r="AN113" i="5"/>
  <c r="AK113" i="5"/>
  <c r="AG113" i="5"/>
  <c r="X113" i="5"/>
  <c r="AN112" i="5"/>
  <c r="AG112" i="5"/>
  <c r="X112" i="5"/>
  <c r="AN111" i="5"/>
  <c r="AG111" i="5"/>
  <c r="AB111" i="5"/>
  <c r="AA111" i="5"/>
  <c r="X111" i="5"/>
  <c r="M111" i="5"/>
  <c r="AN110" i="5"/>
  <c r="AG110" i="5"/>
  <c r="AB110" i="5"/>
  <c r="AA110" i="5"/>
  <c r="X110" i="5"/>
  <c r="M110" i="5"/>
  <c r="AN109" i="5"/>
  <c r="AG109" i="5"/>
  <c r="AB109" i="5"/>
  <c r="AA109" i="5"/>
  <c r="X109" i="5"/>
  <c r="M109" i="5"/>
  <c r="AN108" i="5"/>
  <c r="AG108" i="5"/>
  <c r="X108" i="5"/>
  <c r="M108" i="5"/>
  <c r="AN107" i="5"/>
  <c r="AG107" i="5"/>
  <c r="X107" i="5"/>
  <c r="M107" i="5"/>
  <c r="AN106" i="5"/>
  <c r="AG106" i="5"/>
  <c r="X106" i="5"/>
  <c r="M106" i="5"/>
  <c r="AN105" i="5"/>
  <c r="AG105" i="5"/>
  <c r="X105" i="5"/>
  <c r="AN104" i="5"/>
  <c r="AG104" i="5"/>
  <c r="X104" i="5"/>
  <c r="AN103" i="5"/>
  <c r="AG103" i="5"/>
  <c r="X103" i="5"/>
  <c r="AN102" i="5"/>
  <c r="AG102" i="5"/>
  <c r="X102" i="5"/>
  <c r="AN101" i="5"/>
  <c r="AG101" i="5"/>
  <c r="X101" i="5"/>
  <c r="AN100" i="5"/>
  <c r="AG100" i="5"/>
  <c r="X100" i="5"/>
  <c r="AN99" i="5"/>
  <c r="AG99" i="5"/>
  <c r="X99" i="5"/>
  <c r="M99" i="5"/>
  <c r="AN98" i="5"/>
  <c r="AG98" i="5"/>
  <c r="X98" i="5"/>
  <c r="AN97" i="5"/>
  <c r="AG97" i="5"/>
  <c r="X97" i="5"/>
  <c r="AN96" i="5"/>
  <c r="AG96" i="5"/>
  <c r="X96" i="5"/>
  <c r="AN95" i="5"/>
  <c r="AG95" i="5"/>
  <c r="X95" i="5"/>
  <c r="AN94" i="5"/>
  <c r="AG94" i="5"/>
  <c r="X94" i="5"/>
  <c r="AN93" i="5"/>
  <c r="AG93" i="5"/>
  <c r="X93" i="5"/>
  <c r="AN92" i="5"/>
  <c r="AG92" i="5"/>
  <c r="X92" i="5"/>
  <c r="AN91" i="5"/>
  <c r="AG91" i="5"/>
  <c r="X91" i="5"/>
  <c r="AN90" i="5"/>
  <c r="AG90" i="5"/>
  <c r="X90" i="5"/>
  <c r="AN89" i="5"/>
  <c r="AG89" i="5"/>
  <c r="X89" i="5"/>
  <c r="AN88" i="5"/>
  <c r="AG88" i="5"/>
  <c r="X88" i="5"/>
  <c r="AN87" i="5"/>
  <c r="AG87" i="5"/>
  <c r="X87" i="5"/>
  <c r="AN86" i="5"/>
  <c r="AG86" i="5"/>
  <c r="X86" i="5"/>
  <c r="AN85" i="5"/>
  <c r="AG85" i="5"/>
  <c r="X85" i="5"/>
  <c r="AN84" i="5"/>
  <c r="AG84" i="5"/>
  <c r="X84" i="5"/>
  <c r="AN83" i="5"/>
  <c r="AG83" i="5"/>
  <c r="X83" i="5"/>
  <c r="AN82" i="5"/>
  <c r="AG82" i="5"/>
  <c r="X82" i="5"/>
  <c r="M82" i="5"/>
  <c r="AN81" i="5"/>
  <c r="AG81" i="5"/>
  <c r="X81" i="5"/>
  <c r="AN80" i="5"/>
  <c r="AG80" i="5"/>
  <c r="X80" i="5"/>
  <c r="M80" i="5"/>
  <c r="AN79" i="5"/>
  <c r="AG79" i="5"/>
  <c r="X79" i="5"/>
  <c r="M79" i="5"/>
  <c r="AN78" i="5"/>
  <c r="AG78" i="5"/>
  <c r="X78" i="5"/>
  <c r="AN77" i="5"/>
  <c r="AG77" i="5"/>
  <c r="X77" i="5"/>
  <c r="AN76" i="5"/>
  <c r="AG76" i="5"/>
  <c r="X76" i="5"/>
  <c r="AN75" i="5"/>
  <c r="AG75" i="5"/>
  <c r="X75" i="5"/>
  <c r="AN74" i="5"/>
  <c r="AG74" i="5"/>
  <c r="AB74" i="5"/>
  <c r="AA74" i="5"/>
  <c r="X74" i="5"/>
  <c r="M74" i="5"/>
  <c r="AN73" i="5"/>
  <c r="AG73" i="5"/>
  <c r="AB73" i="5"/>
  <c r="AA73" i="5"/>
  <c r="X73" i="5"/>
  <c r="M73" i="5"/>
  <c r="AN72" i="5"/>
  <c r="AG72" i="5"/>
  <c r="X72" i="5"/>
  <c r="AN71" i="5"/>
  <c r="AG71" i="5"/>
  <c r="X71" i="5"/>
  <c r="M71" i="5"/>
  <c r="AN70" i="5"/>
  <c r="AG70" i="5"/>
  <c r="X70" i="5"/>
  <c r="M70" i="5"/>
  <c r="AN69" i="5"/>
  <c r="AG69" i="5"/>
  <c r="X69" i="5"/>
  <c r="M69" i="5"/>
  <c r="AN68" i="5"/>
  <c r="AG68" i="5"/>
  <c r="X68" i="5"/>
  <c r="AN67" i="5"/>
  <c r="AG67" i="5"/>
  <c r="X67" i="5"/>
  <c r="AN66" i="5"/>
  <c r="AG66" i="5"/>
  <c r="X66" i="5"/>
  <c r="M66" i="5"/>
  <c r="AN65" i="5"/>
  <c r="AG65" i="5"/>
  <c r="X65" i="5"/>
  <c r="AN64" i="5"/>
  <c r="AG64" i="5"/>
  <c r="X64" i="5"/>
  <c r="AN63" i="5"/>
  <c r="AG63" i="5"/>
  <c r="X63" i="5"/>
  <c r="AN62" i="5"/>
  <c r="AG62" i="5"/>
  <c r="AB62" i="5"/>
  <c r="AA62" i="5"/>
  <c r="X62" i="5"/>
  <c r="M62" i="5"/>
  <c r="AN61" i="5"/>
  <c r="AG61" i="5"/>
  <c r="AB61" i="5"/>
  <c r="AA61" i="5"/>
  <c r="X61" i="5"/>
  <c r="M61" i="5"/>
  <c r="AN60" i="5"/>
  <c r="AG60" i="5"/>
  <c r="X60" i="5"/>
  <c r="AN59" i="5"/>
  <c r="AG59" i="5"/>
  <c r="X59" i="5"/>
  <c r="M59" i="5"/>
  <c r="AN58" i="5"/>
  <c r="AG58" i="5"/>
  <c r="X58" i="5"/>
  <c r="M58" i="5"/>
  <c r="AN57" i="5"/>
  <c r="AG57" i="5"/>
  <c r="X57" i="5"/>
  <c r="M57" i="5"/>
  <c r="AN56" i="5"/>
  <c r="AG56" i="5"/>
  <c r="X56" i="5"/>
  <c r="AN55" i="5"/>
  <c r="AG55" i="5"/>
  <c r="X55" i="5"/>
  <c r="M55" i="5"/>
  <c r="AN50" i="5"/>
  <c r="AG50" i="5"/>
  <c r="X50" i="5"/>
  <c r="AN49" i="5"/>
  <c r="AG49" i="5"/>
  <c r="AB49" i="5"/>
  <c r="AA49" i="5"/>
  <c r="X49" i="5"/>
  <c r="AN48" i="5"/>
  <c r="AG48" i="5"/>
  <c r="X48" i="5"/>
  <c r="AN47" i="5"/>
  <c r="AG47" i="5"/>
  <c r="X47" i="5"/>
  <c r="AN46" i="5"/>
  <c r="AG46" i="5"/>
  <c r="X46" i="5"/>
  <c r="AN45" i="5"/>
  <c r="AG45" i="5"/>
  <c r="X45" i="5"/>
  <c r="M45" i="5"/>
  <c r="AN44" i="5"/>
  <c r="AG44" i="5"/>
  <c r="X44" i="5"/>
  <c r="M44" i="5"/>
  <c r="AN43" i="5"/>
  <c r="AG43" i="5"/>
  <c r="X43" i="5"/>
  <c r="M43" i="5"/>
  <c r="AN42" i="5"/>
  <c r="AG42" i="5"/>
  <c r="X42" i="5"/>
  <c r="M42" i="5"/>
  <c r="AN41" i="5"/>
  <c r="AG41" i="5"/>
  <c r="AB41" i="5"/>
  <c r="AA41" i="5"/>
  <c r="X41" i="5"/>
  <c r="M41" i="5"/>
  <c r="AN40" i="5"/>
  <c r="AG40" i="5"/>
  <c r="AB40" i="5"/>
  <c r="AA40" i="5"/>
  <c r="X40" i="5"/>
  <c r="AN39" i="5"/>
  <c r="AG39" i="5"/>
  <c r="X39" i="5"/>
  <c r="AN38" i="5"/>
  <c r="AG38" i="5"/>
  <c r="X38" i="5"/>
  <c r="AN37" i="5"/>
  <c r="AG37" i="5"/>
  <c r="X37" i="5"/>
  <c r="AN36" i="5"/>
  <c r="AG36" i="5"/>
  <c r="X36" i="5"/>
  <c r="AN35" i="5"/>
  <c r="AG35" i="5"/>
  <c r="X35" i="5"/>
  <c r="AN34" i="5"/>
  <c r="AG34" i="5"/>
  <c r="X34" i="5"/>
  <c r="AN33" i="5"/>
  <c r="AG33" i="5"/>
  <c r="AB33" i="5"/>
  <c r="AA33" i="5"/>
  <c r="X33" i="5"/>
  <c r="M33" i="5"/>
  <c r="AN32" i="5"/>
  <c r="AG32" i="5"/>
  <c r="AB32" i="5"/>
  <c r="AA32" i="5"/>
  <c r="X32" i="5"/>
  <c r="M32" i="5"/>
  <c r="AN31" i="5"/>
  <c r="AG31" i="5"/>
  <c r="X31" i="5"/>
  <c r="M31" i="5"/>
  <c r="AN30" i="5"/>
  <c r="AG30" i="5"/>
  <c r="X30" i="5"/>
  <c r="AN29" i="5"/>
  <c r="AG29" i="5"/>
  <c r="AB29" i="5"/>
  <c r="AA29" i="5"/>
  <c r="X29" i="5"/>
  <c r="M29" i="5"/>
  <c r="AN28" i="5"/>
  <c r="AG28" i="5"/>
  <c r="AB28" i="5"/>
  <c r="AA28" i="5"/>
  <c r="X28" i="5"/>
  <c r="M28" i="5"/>
  <c r="AN27" i="5"/>
  <c r="AG27" i="5"/>
  <c r="AB27" i="5"/>
  <c r="AA27" i="5"/>
  <c r="X27" i="5"/>
  <c r="M27" i="5"/>
  <c r="AN26" i="5"/>
  <c r="AG26" i="5"/>
  <c r="X26" i="5"/>
  <c r="AN25" i="5"/>
  <c r="AG25" i="5"/>
  <c r="AB25" i="5"/>
  <c r="AA25" i="5"/>
  <c r="X25" i="5"/>
  <c r="M25" i="5"/>
  <c r="AN24" i="5"/>
  <c r="AG24" i="5"/>
  <c r="X24" i="5"/>
  <c r="M24" i="5"/>
  <c r="AN23" i="5"/>
  <c r="AG23" i="5"/>
  <c r="X23" i="5"/>
  <c r="M23" i="5"/>
  <c r="AN22" i="5"/>
  <c r="AG22" i="5"/>
  <c r="X22" i="5"/>
  <c r="AN21" i="5"/>
  <c r="AG21" i="5"/>
  <c r="AB21" i="5"/>
  <c r="AA21" i="5"/>
  <c r="X21" i="5"/>
  <c r="M21" i="5"/>
  <c r="AN20" i="5"/>
  <c r="AG20" i="5"/>
  <c r="AB20" i="5"/>
  <c r="AA20" i="5"/>
  <c r="X20" i="5"/>
  <c r="M20" i="5"/>
  <c r="AN19" i="5"/>
  <c r="AG19" i="5"/>
  <c r="X19" i="5"/>
  <c r="M19" i="5"/>
  <c r="AN18" i="5"/>
  <c r="AG18" i="5"/>
  <c r="AB18" i="5"/>
  <c r="AA18" i="5"/>
  <c r="X18" i="5"/>
  <c r="M18" i="5"/>
  <c r="AN17" i="5"/>
  <c r="AG17" i="5"/>
  <c r="X17" i="5"/>
  <c r="AN16" i="5"/>
  <c r="AG16" i="5"/>
  <c r="X16" i="5"/>
  <c r="AN15" i="5"/>
  <c r="AG15" i="5"/>
  <c r="X15" i="5"/>
  <c r="AN14" i="5"/>
  <c r="AG14" i="5"/>
  <c r="X14" i="5"/>
  <c r="AN13" i="5"/>
  <c r="AG13" i="5"/>
  <c r="X13" i="5"/>
  <c r="AN12" i="5"/>
  <c r="AG12" i="5"/>
  <c r="X12" i="5"/>
  <c r="M12" i="5"/>
  <c r="AN11" i="5"/>
  <c r="AG11" i="5"/>
  <c r="X11" i="5"/>
  <c r="M11" i="5"/>
  <c r="AN10" i="5"/>
  <c r="AG10" i="5"/>
  <c r="X10" i="5"/>
  <c r="M10" i="5"/>
  <c r="AN9" i="5"/>
  <c r="AG9" i="5"/>
  <c r="X9" i="5"/>
  <c r="AN8" i="5"/>
  <c r="AG8" i="5"/>
  <c r="X8" i="5"/>
  <c r="AN7" i="5"/>
  <c r="AG7" i="5"/>
  <c r="X7" i="5"/>
  <c r="AN6" i="5"/>
  <c r="AG6" i="5"/>
  <c r="X6" i="5"/>
  <c r="M6" i="5"/>
  <c r="AN5" i="5"/>
  <c r="AG5" i="5"/>
  <c r="X5" i="5"/>
  <c r="M5" i="5"/>
  <c r="AN4" i="5"/>
  <c r="AG4" i="5"/>
  <c r="X4" i="5"/>
  <c r="M4" i="5"/>
  <c r="AN3" i="5"/>
  <c r="AG3" i="5"/>
  <c r="X3" i="5"/>
  <c r="M3" i="5"/>
  <c r="AN2" i="5"/>
  <c r="AG2" i="5"/>
  <c r="X2" i="5"/>
  <c r="M2" i="5"/>
  <c r="D68" i="3"/>
  <c r="B68" i="3"/>
  <c r="D67" i="3"/>
  <c r="C67" i="3"/>
  <c r="B67" i="3"/>
  <c r="D66" i="3"/>
  <c r="C66" i="3"/>
  <c r="B66" i="3"/>
  <c r="D65" i="3"/>
  <c r="B65" i="3"/>
  <c r="D64" i="3"/>
  <c r="C64" i="3"/>
  <c r="B64" i="3"/>
  <c r="D63" i="3"/>
  <c r="C63" i="3"/>
  <c r="B63" i="3"/>
  <c r="D62" i="3"/>
  <c r="C62" i="3"/>
  <c r="B62" i="3"/>
  <c r="J61" i="3"/>
  <c r="D61" i="3"/>
  <c r="I61" i="3" s="1"/>
  <c r="B61" i="3"/>
  <c r="D60" i="3"/>
  <c r="B60" i="3"/>
  <c r="D59" i="3"/>
  <c r="B59" i="3"/>
  <c r="D58" i="3"/>
  <c r="C58" i="3"/>
  <c r="B58" i="3"/>
  <c r="D57" i="3"/>
  <c r="C57" i="3"/>
  <c r="B57" i="3"/>
  <c r="D56" i="3"/>
  <c r="C56" i="3"/>
  <c r="B56" i="3"/>
  <c r="D55" i="3"/>
  <c r="C55" i="3"/>
  <c r="B55" i="3"/>
  <c r="D54" i="3"/>
  <c r="B54" i="3"/>
  <c r="D53" i="3"/>
  <c r="C53" i="3"/>
  <c r="B53" i="3"/>
  <c r="D52" i="3"/>
  <c r="C52" i="3"/>
  <c r="B52" i="3"/>
  <c r="D51" i="3"/>
  <c r="C51" i="3"/>
  <c r="B51" i="3"/>
  <c r="D50" i="3"/>
  <c r="C50" i="3"/>
  <c r="B50" i="3"/>
  <c r="D49" i="3"/>
  <c r="C49" i="3"/>
  <c r="B49" i="3"/>
  <c r="H48" i="3"/>
  <c r="D48" i="3"/>
  <c r="C48" i="3"/>
  <c r="B48" i="3"/>
  <c r="H47" i="3"/>
  <c r="D47" i="3"/>
  <c r="C47" i="3"/>
  <c r="B47" i="3"/>
  <c r="H46" i="3"/>
  <c r="D46" i="3"/>
  <c r="C46" i="3"/>
  <c r="B46" i="3"/>
  <c r="D45" i="3"/>
  <c r="C45" i="3"/>
  <c r="B45" i="3"/>
  <c r="H44" i="3"/>
  <c r="D44" i="3"/>
  <c r="C44" i="3"/>
  <c r="B44" i="3"/>
  <c r="D43" i="3"/>
  <c r="C43" i="3"/>
  <c r="B43" i="3"/>
  <c r="D42" i="3"/>
  <c r="C42" i="3"/>
  <c r="B42" i="3"/>
  <c r="D41" i="3"/>
  <c r="B41" i="3"/>
  <c r="D40" i="3"/>
  <c r="C40" i="3"/>
  <c r="B40" i="3"/>
  <c r="D39" i="3"/>
  <c r="C39" i="3"/>
  <c r="B39" i="3"/>
  <c r="D38" i="3"/>
  <c r="C38" i="3"/>
  <c r="B38" i="3"/>
  <c r="D37" i="3"/>
  <c r="C37" i="3"/>
  <c r="B37" i="3"/>
  <c r="D36" i="3"/>
  <c r="C36" i="3"/>
  <c r="B36" i="3"/>
  <c r="D35" i="3"/>
  <c r="C35" i="3"/>
  <c r="B35" i="3"/>
  <c r="D34" i="3"/>
  <c r="C34" i="3"/>
  <c r="B34" i="3"/>
  <c r="D33" i="3"/>
  <c r="C33" i="3"/>
  <c r="B33" i="3"/>
  <c r="D32" i="3"/>
  <c r="B32" i="3"/>
  <c r="D31" i="3"/>
  <c r="C31" i="3"/>
  <c r="B31" i="3"/>
  <c r="D30" i="3"/>
  <c r="C30" i="3"/>
  <c r="B30" i="3"/>
  <c r="D29" i="3"/>
  <c r="C29" i="3"/>
  <c r="B29" i="3"/>
  <c r="D28" i="3"/>
  <c r="C28" i="3"/>
  <c r="B28" i="3"/>
  <c r="D27" i="3"/>
  <c r="C27" i="3"/>
  <c r="B27" i="3"/>
  <c r="D26" i="3"/>
  <c r="C26" i="3"/>
  <c r="B26" i="3"/>
  <c r="D25" i="3"/>
  <c r="C25" i="3"/>
  <c r="B25" i="3"/>
  <c r="D24" i="3"/>
  <c r="C24" i="3"/>
  <c r="B24" i="3"/>
  <c r="D23" i="3"/>
  <c r="C23" i="3"/>
  <c r="B23" i="3"/>
  <c r="D22" i="3"/>
  <c r="I22" i="3" s="1"/>
  <c r="B22" i="3"/>
  <c r="J21" i="3"/>
  <c r="D21" i="3"/>
  <c r="I21" i="3" s="1"/>
  <c r="B21" i="3"/>
  <c r="D20" i="3"/>
  <c r="I20" i="3" s="1"/>
  <c r="B20" i="3"/>
  <c r="J19" i="3"/>
  <c r="D19" i="3"/>
  <c r="I19" i="3" s="1"/>
  <c r="B19" i="3"/>
  <c r="D18" i="3"/>
  <c r="I18" i="3" s="1"/>
  <c r="B18" i="3"/>
  <c r="J17" i="3"/>
  <c r="D17" i="3"/>
  <c r="B17" i="3"/>
  <c r="J16" i="3"/>
  <c r="D16" i="3"/>
  <c r="I16" i="3" s="1"/>
  <c r="B16" i="3"/>
  <c r="J15" i="3"/>
  <c r="D15" i="3"/>
  <c r="I15" i="3" s="1"/>
  <c r="B15" i="3"/>
  <c r="D14" i="3"/>
  <c r="I14" i="3" s="1"/>
  <c r="B14" i="3"/>
  <c r="J13" i="3"/>
  <c r="D13" i="3"/>
  <c r="B13" i="3"/>
  <c r="D12" i="3"/>
  <c r="I12" i="3" s="1"/>
  <c r="B12" i="3"/>
  <c r="D11" i="3"/>
  <c r="I11" i="3" s="1"/>
  <c r="B11" i="3"/>
  <c r="D10" i="3"/>
  <c r="I10" i="3" s="1"/>
  <c r="B10" i="3"/>
  <c r="J9" i="3"/>
  <c r="D9" i="3"/>
  <c r="I9" i="3" s="1"/>
  <c r="B9" i="3"/>
  <c r="J8" i="3"/>
  <c r="D8" i="3"/>
  <c r="I8" i="3" s="1"/>
  <c r="B8" i="3"/>
  <c r="D7" i="3"/>
  <c r="I7" i="3" s="1"/>
  <c r="B7" i="3"/>
  <c r="D6" i="3"/>
  <c r="I6" i="3" s="1"/>
  <c r="B6" i="3"/>
  <c r="D5" i="3"/>
  <c r="I5" i="3" s="1"/>
  <c r="B5" i="3"/>
  <c r="D4" i="3"/>
  <c r="I4" i="3" s="1"/>
  <c r="B4" i="3"/>
  <c r="D3" i="3"/>
  <c r="I3" i="3" s="1"/>
  <c r="B3" i="3"/>
  <c r="B24" i="2"/>
  <c r="B23" i="2"/>
  <c r="B22" i="2"/>
  <c r="B21" i="2"/>
  <c r="B3" i="33"/>
  <c r="G3" i="33"/>
  <c r="I3" i="33"/>
  <c r="C3" i="33"/>
  <c r="X528" i="5" l="1"/>
  <c r="X533" i="5"/>
  <c r="X535" i="5"/>
  <c r="X531" i="5"/>
  <c r="X529" i="5"/>
  <c r="X534" i="5"/>
  <c r="X536" i="5"/>
  <c r="X532" i="5"/>
  <c r="X530" i="5"/>
  <c r="N24" i="6"/>
  <c r="AX24" i="6" s="1"/>
  <c r="F70" i="3"/>
  <c r="I15" i="33"/>
  <c r="AO23" i="6"/>
  <c r="B15" i="33"/>
  <c r="L15" i="33" s="1"/>
  <c r="AS111" i="5"/>
  <c r="AS19" i="5"/>
  <c r="AS29" i="5"/>
  <c r="AS41" i="5"/>
  <c r="AS70" i="5"/>
  <c r="AS106" i="5"/>
  <c r="AS10" i="5"/>
  <c r="AS11" i="5"/>
  <c r="AS23" i="5"/>
  <c r="AS132" i="5"/>
  <c r="AS239" i="5"/>
  <c r="AS69" i="5"/>
  <c r="AS230" i="5"/>
  <c r="AS296" i="5"/>
  <c r="AS534" i="5"/>
  <c r="AS295" i="5"/>
  <c r="AS31" i="5"/>
  <c r="AS74" i="5"/>
  <c r="AS139" i="5"/>
  <c r="AS142" i="5"/>
  <c r="AS153" i="5"/>
  <c r="AS409" i="5"/>
  <c r="AS213" i="5"/>
  <c r="AS293" i="5"/>
  <c r="AS3" i="5"/>
  <c r="AS5" i="5"/>
  <c r="AS18" i="5"/>
  <c r="AS21" i="5"/>
  <c r="AS28" i="5"/>
  <c r="AS43" i="5"/>
  <c r="AS45" i="5"/>
  <c r="AS58" i="5"/>
  <c r="AS66" i="5"/>
  <c r="AS99" i="5"/>
  <c r="AS110" i="5"/>
  <c r="AS62" i="5"/>
  <c r="AS73" i="5"/>
  <c r="AS79" i="5"/>
  <c r="AS107" i="5"/>
  <c r="AS532" i="5"/>
  <c r="AS298" i="5"/>
  <c r="AS108" i="5"/>
  <c r="AS71" i="5"/>
  <c r="AS176" i="5"/>
  <c r="AS177" i="5"/>
  <c r="AS228" i="5"/>
  <c r="AS4" i="5"/>
  <c r="AS6" i="5"/>
  <c r="AS42" i="5"/>
  <c r="AS44" i="5"/>
  <c r="AS57" i="5"/>
  <c r="AS59" i="5"/>
  <c r="AS82" i="5"/>
  <c r="AS226" i="5"/>
  <c r="AS234" i="5"/>
  <c r="AS12" i="5"/>
  <c r="AS24" i="5"/>
  <c r="AS55" i="5"/>
  <c r="AS80" i="5"/>
  <c r="AS545" i="5"/>
  <c r="AS535" i="5"/>
  <c r="AR146" i="5"/>
  <c r="AS146" i="5"/>
  <c r="AR140" i="5"/>
  <c r="AS140" i="5"/>
  <c r="AR49" i="5"/>
  <c r="AS49" i="5"/>
  <c r="AR148" i="5"/>
  <c r="AS148" i="5"/>
  <c r="AR286" i="5"/>
  <c r="AS286" i="5"/>
  <c r="AR288" i="5"/>
  <c r="AS288" i="5"/>
  <c r="AR136" i="5"/>
  <c r="AS136" i="5"/>
  <c r="AR130" i="5"/>
  <c r="AS130" i="5"/>
  <c r="AS25" i="5"/>
  <c r="AS33" i="5"/>
  <c r="AS109" i="5"/>
  <c r="AR133" i="5"/>
  <c r="AS133" i="5"/>
  <c r="AR145" i="5"/>
  <c r="AS145" i="5"/>
  <c r="AS20" i="5"/>
  <c r="AS131" i="5"/>
  <c r="AR147" i="5"/>
  <c r="AS147" i="5"/>
  <c r="AS27" i="5"/>
  <c r="AS61" i="5"/>
  <c r="AR129" i="5"/>
  <c r="AS129" i="5"/>
  <c r="AS32" i="5"/>
  <c r="AR40" i="5"/>
  <c r="AS40" i="5"/>
  <c r="AS134" i="5"/>
  <c r="AR135" i="5"/>
  <c r="AS135" i="5"/>
  <c r="AS137" i="5"/>
  <c r="AR138" i="5"/>
  <c r="AS138" i="5"/>
  <c r="AR141" i="5"/>
  <c r="AS141" i="5"/>
  <c r="AR144" i="5"/>
  <c r="AS144" i="5"/>
  <c r="AR152" i="5"/>
  <c r="AS152" i="5"/>
  <c r="AR143" i="5"/>
  <c r="AS143" i="5"/>
  <c r="AS2" i="5"/>
  <c r="AT2" i="5"/>
  <c r="AS154" i="5"/>
  <c r="AS151" i="5"/>
  <c r="AS150" i="5"/>
  <c r="AS149" i="5"/>
  <c r="AR12" i="5"/>
  <c r="AV12" i="5"/>
  <c r="AU12" i="5"/>
  <c r="AT12" i="5"/>
  <c r="AR108" i="5"/>
  <c r="AV108" i="5"/>
  <c r="AU108" i="5"/>
  <c r="AT108" i="5"/>
  <c r="AR74" i="5"/>
  <c r="AV74" i="5"/>
  <c r="AU74" i="5"/>
  <c r="AT74" i="5"/>
  <c r="AR142" i="5"/>
  <c r="AV142" i="5"/>
  <c r="AU142" i="5"/>
  <c r="AT142" i="5"/>
  <c r="AR293" i="5"/>
  <c r="AU293" i="5"/>
  <c r="AT293" i="5"/>
  <c r="AV293" i="5"/>
  <c r="AR111" i="5"/>
  <c r="AV111" i="5"/>
  <c r="AU111" i="5"/>
  <c r="AT111" i="5"/>
  <c r="AR19" i="5"/>
  <c r="AV19" i="5"/>
  <c r="AU19" i="5"/>
  <c r="AT19" i="5"/>
  <c r="AR41" i="5"/>
  <c r="AT41" i="5"/>
  <c r="AU41" i="5"/>
  <c r="AV41" i="5"/>
  <c r="AR409" i="5"/>
  <c r="AV409" i="5"/>
  <c r="AU409" i="5"/>
  <c r="AT409" i="5"/>
  <c r="AR58" i="5"/>
  <c r="AV58" i="5"/>
  <c r="AU58" i="5"/>
  <c r="AT58" i="5"/>
  <c r="AR99" i="5"/>
  <c r="AV99" i="5"/>
  <c r="AT99" i="5"/>
  <c r="AU99" i="5"/>
  <c r="AR70" i="5"/>
  <c r="AV70" i="5"/>
  <c r="AU70" i="5"/>
  <c r="AT70" i="5"/>
  <c r="AR3" i="5"/>
  <c r="AV3" i="5"/>
  <c r="AU3" i="5"/>
  <c r="AT3" i="5"/>
  <c r="AR18" i="5"/>
  <c r="AV18" i="5"/>
  <c r="AU18" i="5"/>
  <c r="AT18" i="5"/>
  <c r="AR28" i="5"/>
  <c r="AV28" i="5"/>
  <c r="AU28" i="5"/>
  <c r="AT28" i="5"/>
  <c r="AR45" i="5"/>
  <c r="AV45" i="5"/>
  <c r="AU45" i="5"/>
  <c r="AT45" i="5"/>
  <c r="AR73" i="5"/>
  <c r="AV73" i="5"/>
  <c r="AU73" i="5"/>
  <c r="AT73" i="5"/>
  <c r="AR132" i="5"/>
  <c r="AV132" i="5"/>
  <c r="AU132" i="5"/>
  <c r="AT132" i="5"/>
  <c r="AR239" i="5"/>
  <c r="AV239" i="5"/>
  <c r="AU239" i="5"/>
  <c r="AT239" i="5"/>
  <c r="AT25" i="5"/>
  <c r="AV25" i="5"/>
  <c r="AU25" i="5"/>
  <c r="AV109" i="5"/>
  <c r="AU109" i="5"/>
  <c r="AT109" i="5"/>
  <c r="AR230" i="5"/>
  <c r="AV230" i="5"/>
  <c r="AU230" i="5"/>
  <c r="AT230" i="5"/>
  <c r="AR296" i="5"/>
  <c r="AV296" i="5"/>
  <c r="AU296" i="5"/>
  <c r="AT296" i="5"/>
  <c r="AR534" i="5"/>
  <c r="AV534" i="5"/>
  <c r="AU534" i="5"/>
  <c r="AT534" i="5"/>
  <c r="AR139" i="5"/>
  <c r="AV139" i="5"/>
  <c r="AT139" i="5"/>
  <c r="AU139" i="5"/>
  <c r="AR31" i="5"/>
  <c r="AV31" i="5"/>
  <c r="AU31" i="5"/>
  <c r="AT31" i="5"/>
  <c r="AR66" i="5"/>
  <c r="AV66" i="5"/>
  <c r="AU66" i="5"/>
  <c r="AT66" i="5"/>
  <c r="AR110" i="5"/>
  <c r="AV110" i="5"/>
  <c r="AU110" i="5"/>
  <c r="AT110" i="5"/>
  <c r="AR5" i="5"/>
  <c r="AV5" i="5"/>
  <c r="AU5" i="5"/>
  <c r="AT5" i="5"/>
  <c r="AR21" i="5"/>
  <c r="AV21" i="5"/>
  <c r="AU21" i="5"/>
  <c r="AT21" i="5"/>
  <c r="AR43" i="5"/>
  <c r="AV43" i="5"/>
  <c r="AU43" i="5"/>
  <c r="AT43" i="5"/>
  <c r="AR10" i="5"/>
  <c r="AV10" i="5"/>
  <c r="AU10" i="5"/>
  <c r="AT10" i="5"/>
  <c r="AR23" i="5"/>
  <c r="AV23" i="5"/>
  <c r="AU23" i="5"/>
  <c r="AT23" i="5"/>
  <c r="AR107" i="5"/>
  <c r="AU107" i="5"/>
  <c r="AT107" i="5"/>
  <c r="AV107" i="5"/>
  <c r="AV20" i="5"/>
  <c r="AU20" i="5"/>
  <c r="AT20" i="5"/>
  <c r="AV27" i="5"/>
  <c r="AU27" i="5"/>
  <c r="AT27" i="5"/>
  <c r="AV61" i="5"/>
  <c r="AU61" i="5"/>
  <c r="AT61" i="5"/>
  <c r="AU131" i="5"/>
  <c r="AT131" i="5"/>
  <c r="AV131" i="5"/>
  <c r="AR176" i="5"/>
  <c r="AV176" i="5"/>
  <c r="AT176" i="5"/>
  <c r="AU176" i="5"/>
  <c r="AR177" i="5"/>
  <c r="AV177" i="5"/>
  <c r="AU177" i="5"/>
  <c r="AT177" i="5"/>
  <c r="AR228" i="5"/>
  <c r="AV228" i="5"/>
  <c r="AT228" i="5"/>
  <c r="AU228" i="5"/>
  <c r="AR532" i="5"/>
  <c r="AV532" i="5"/>
  <c r="AU532" i="5"/>
  <c r="AT532" i="5"/>
  <c r="AR106" i="5"/>
  <c r="AV106" i="5"/>
  <c r="AU106" i="5"/>
  <c r="AT106" i="5"/>
  <c r="AR153" i="5"/>
  <c r="AV153" i="5"/>
  <c r="AU153" i="5"/>
  <c r="AT153" i="5"/>
  <c r="AR213" i="5"/>
  <c r="AV213" i="5"/>
  <c r="AU213" i="5"/>
  <c r="AT213" i="5"/>
  <c r="AR62" i="5"/>
  <c r="AV62" i="5"/>
  <c r="AU62" i="5"/>
  <c r="AT62" i="5"/>
  <c r="AR79" i="5"/>
  <c r="AV79" i="5"/>
  <c r="AU79" i="5"/>
  <c r="AT79" i="5"/>
  <c r="AR71" i="5"/>
  <c r="AV71" i="5"/>
  <c r="AU71" i="5"/>
  <c r="AT71" i="5"/>
  <c r="AR59" i="5"/>
  <c r="AV59" i="5"/>
  <c r="AT59" i="5"/>
  <c r="AU59" i="5"/>
  <c r="AR82" i="5"/>
  <c r="AV82" i="5"/>
  <c r="AU82" i="5"/>
  <c r="AT82" i="5"/>
  <c r="AV134" i="5"/>
  <c r="AU134" i="5"/>
  <c r="AT134" i="5"/>
  <c r="AV137" i="5"/>
  <c r="AU137" i="5"/>
  <c r="AT137" i="5"/>
  <c r="AR226" i="5"/>
  <c r="AV226" i="5"/>
  <c r="AU226" i="5"/>
  <c r="AT226" i="5"/>
  <c r="AR234" i="5"/>
  <c r="AV234" i="5"/>
  <c r="AU234" i="5"/>
  <c r="AT234" i="5"/>
  <c r="AR29" i="5"/>
  <c r="AV29" i="5"/>
  <c r="AU29" i="5"/>
  <c r="AT29" i="5"/>
  <c r="AR11" i="5"/>
  <c r="AV11" i="5"/>
  <c r="AU11" i="5"/>
  <c r="AT11" i="5"/>
  <c r="AU33" i="5"/>
  <c r="AV33" i="5"/>
  <c r="AT33" i="5"/>
  <c r="AR69" i="5"/>
  <c r="AV69" i="5"/>
  <c r="AU69" i="5"/>
  <c r="AT69" i="5"/>
  <c r="AV32" i="5"/>
  <c r="AU32" i="5"/>
  <c r="AT32" i="5"/>
  <c r="AR57" i="5"/>
  <c r="AV57" i="5"/>
  <c r="AU57" i="5"/>
  <c r="AT57" i="5"/>
  <c r="AR2" i="5"/>
  <c r="AV2" i="5"/>
  <c r="AU2" i="5"/>
  <c r="AR4" i="5"/>
  <c r="AV4" i="5"/>
  <c r="AU4" i="5"/>
  <c r="AT4" i="5"/>
  <c r="AR6" i="5"/>
  <c r="AV6" i="5"/>
  <c r="AU6" i="5"/>
  <c r="AT6" i="5"/>
  <c r="AR42" i="5"/>
  <c r="AV42" i="5"/>
  <c r="AU42" i="5"/>
  <c r="AT42" i="5"/>
  <c r="AR44" i="5"/>
  <c r="AV44" i="5"/>
  <c r="AU44" i="5"/>
  <c r="AT44" i="5"/>
  <c r="AR55" i="5"/>
  <c r="AV55" i="5"/>
  <c r="AU55" i="5"/>
  <c r="AT55" i="5"/>
  <c r="AR80" i="5"/>
  <c r="AV80" i="5"/>
  <c r="AU80" i="5"/>
  <c r="AT80" i="5"/>
  <c r="AV154" i="5"/>
  <c r="AU154" i="5"/>
  <c r="AT154" i="5"/>
  <c r="AR545" i="5"/>
  <c r="AV545" i="5"/>
  <c r="AU545" i="5"/>
  <c r="AT545" i="5"/>
  <c r="AR24" i="5"/>
  <c r="AV24" i="5"/>
  <c r="AU24" i="5"/>
  <c r="AT24" i="5"/>
  <c r="AR295" i="5"/>
  <c r="AV295" i="5"/>
  <c r="AU295" i="5"/>
  <c r="AT295" i="5"/>
  <c r="AR298" i="5"/>
  <c r="AV298" i="5"/>
  <c r="AU298" i="5"/>
  <c r="AT298" i="5"/>
  <c r="AR535" i="5"/>
  <c r="AV535" i="5"/>
  <c r="AU535" i="5"/>
  <c r="AT535" i="5"/>
  <c r="AR25" i="5"/>
  <c r="AR33" i="5"/>
  <c r="AR109" i="5"/>
  <c r="AR20" i="5"/>
  <c r="AR131" i="5"/>
  <c r="AR27" i="5"/>
  <c r="AR61" i="5"/>
  <c r="AR32" i="5"/>
  <c r="AR134" i="5"/>
  <c r="AR137" i="5"/>
  <c r="AR154" i="5"/>
  <c r="L5" i="35"/>
  <c r="L62" i="35" s="1"/>
  <c r="K62" i="35"/>
  <c r="D14" i="22"/>
  <c r="G73" i="3"/>
  <c r="E15" i="33"/>
  <c r="C15" i="33"/>
  <c r="H11" i="33"/>
  <c r="J13" i="33"/>
  <c r="J11" i="33"/>
  <c r="J14" i="33"/>
  <c r="H8" i="33"/>
  <c r="F8" i="33"/>
  <c r="J8" i="33"/>
  <c r="D8" i="33"/>
  <c r="J12" i="33"/>
  <c r="H13" i="33"/>
  <c r="F13" i="33"/>
  <c r="F12" i="33"/>
  <c r="D21" i="22"/>
  <c r="D18" i="22"/>
  <c r="D22" i="22"/>
  <c r="H14" i="33"/>
  <c r="J10" i="33"/>
  <c r="D5" i="22"/>
  <c r="D13" i="22"/>
  <c r="F14" i="33"/>
  <c r="D9" i="33"/>
  <c r="H12" i="33"/>
  <c r="D14" i="33"/>
  <c r="H9" i="33"/>
  <c r="F10" i="33"/>
  <c r="D12" i="33"/>
  <c r="H10" i="33"/>
  <c r="F11" i="33"/>
  <c r="D13" i="33"/>
  <c r="D8" i="22"/>
  <c r="D6" i="22"/>
  <c r="H7" i="33"/>
  <c r="D10" i="33"/>
  <c r="D24" i="22"/>
  <c r="F7" i="33"/>
  <c r="E25" i="18"/>
  <c r="F3" i="33"/>
  <c r="H3" i="33"/>
  <c r="J6" i="33"/>
  <c r="J9" i="33"/>
  <c r="F9" i="33"/>
  <c r="G15" i="33"/>
  <c r="L3" i="33"/>
  <c r="J3" i="33"/>
  <c r="D3" i="33"/>
  <c r="B21" i="33"/>
  <c r="B23" i="33"/>
  <c r="D7" i="33"/>
  <c r="J7" i="33"/>
  <c r="AG528" i="5"/>
  <c r="AG536" i="5"/>
  <c r="G55" i="27"/>
  <c r="H56" i="27"/>
  <c r="H63" i="27"/>
  <c r="G56" i="27"/>
  <c r="G63" i="27"/>
  <c r="G65" i="27"/>
  <c r="G67" i="27"/>
  <c r="G71" i="27"/>
  <c r="G73" i="27"/>
  <c r="E19" i="18"/>
  <c r="E27" i="18"/>
  <c r="D16" i="22"/>
  <c r="E22" i="18"/>
  <c r="D7" i="22"/>
  <c r="D12" i="22"/>
  <c r="E26" i="18"/>
  <c r="D10" i="22"/>
  <c r="D15" i="22"/>
  <c r="E21" i="18"/>
  <c r="D23" i="22"/>
  <c r="G52" i="27"/>
  <c r="G54" i="27"/>
  <c r="AO22" i="6"/>
  <c r="E24" i="18"/>
  <c r="D17" i="22"/>
  <c r="D20" i="22"/>
  <c r="H48" i="27"/>
  <c r="H52" i="27"/>
  <c r="D11" i="22"/>
  <c r="E20" i="18"/>
  <c r="D9" i="22"/>
  <c r="E23" i="18"/>
  <c r="D19" i="22"/>
  <c r="H60" i="27"/>
  <c r="H66" i="27"/>
  <c r="C4" i="18"/>
  <c r="C9" i="18"/>
  <c r="D4" i="18"/>
  <c r="E4" i="18" s="1"/>
  <c r="H67" i="27"/>
  <c r="G51" i="27"/>
  <c r="H47" i="27"/>
  <c r="H55" i="27"/>
  <c r="G60" i="27"/>
  <c r="G66" i="27"/>
  <c r="G72" i="27"/>
  <c r="G71" i="3"/>
  <c r="G70" i="3"/>
  <c r="G69" i="3"/>
  <c r="G72" i="3"/>
  <c r="C5" i="18"/>
  <c r="C6" i="18"/>
  <c r="D11" i="18"/>
  <c r="E11" i="18" s="1"/>
  <c r="C8" i="18"/>
  <c r="D8" i="18"/>
  <c r="E8" i="18" s="1"/>
  <c r="D12" i="18"/>
  <c r="E12" i="18" s="1"/>
  <c r="G47" i="27"/>
  <c r="G70" i="27"/>
  <c r="G50" i="27"/>
  <c r="H71" i="27"/>
  <c r="G61" i="27"/>
  <c r="G68" i="27"/>
  <c r="H68" i="27"/>
  <c r="H70" i="27"/>
  <c r="G49" i="27"/>
  <c r="H49" i="27"/>
  <c r="H51" i="27"/>
  <c r="G53" i="27"/>
  <c r="G69" i="27"/>
  <c r="G62" i="27"/>
  <c r="G48" i="27"/>
  <c r="H62" i="27"/>
  <c r="G64" i="27"/>
  <c r="D6" i="18"/>
  <c r="E6" i="18" s="1"/>
  <c r="D9" i="18"/>
  <c r="E9" i="18" s="1"/>
  <c r="C12" i="18"/>
  <c r="C10" i="18"/>
  <c r="C11" i="18"/>
  <c r="D7" i="18"/>
  <c r="E7" i="18" s="1"/>
  <c r="C7" i="18"/>
  <c r="D5" i="18"/>
  <c r="E5" i="18" s="1"/>
  <c r="D10" i="18"/>
  <c r="E10" i="18" s="1"/>
  <c r="H54" i="27"/>
  <c r="H65" i="27"/>
  <c r="H73" i="27"/>
  <c r="H53" i="27"/>
  <c r="H64" i="27"/>
  <c r="H72" i="27"/>
  <c r="H50" i="27"/>
  <c r="H61" i="27"/>
  <c r="H69" i="27"/>
  <c r="I70" i="3"/>
  <c r="I69" i="3"/>
  <c r="J69" i="3"/>
  <c r="F73" i="3"/>
  <c r="F69" i="3"/>
  <c r="J70" i="3"/>
  <c r="F72" i="3"/>
  <c r="F71" i="3"/>
  <c r="I72" i="3"/>
  <c r="E6" i="3"/>
  <c r="J6" i="3" s="1"/>
  <c r="E5" i="3"/>
  <c r="J5" i="3" s="1"/>
  <c r="E4" i="3"/>
  <c r="J4" i="3" s="1"/>
  <c r="J72" i="3"/>
  <c r="E3" i="3"/>
  <c r="J3" i="3" s="1"/>
  <c r="J71" i="3"/>
  <c r="J7" i="3"/>
  <c r="J12" i="3"/>
  <c r="I71" i="3"/>
  <c r="J73" i="3"/>
  <c r="I73" i="3"/>
  <c r="AO20" i="6"/>
  <c r="AO21" i="6"/>
  <c r="I44" i="3"/>
  <c r="G23" i="3"/>
  <c r="G31" i="3"/>
  <c r="G37" i="3"/>
  <c r="G38" i="3"/>
  <c r="I68" i="3"/>
  <c r="J59" i="3"/>
  <c r="F38" i="3"/>
  <c r="F40" i="3"/>
  <c r="J68" i="3"/>
  <c r="AG529" i="5"/>
  <c r="J66" i="3"/>
  <c r="J23" i="3"/>
  <c r="G21" i="3"/>
  <c r="J33" i="3"/>
  <c r="J43" i="3"/>
  <c r="J52" i="3"/>
  <c r="J58" i="3"/>
  <c r="I36" i="3"/>
  <c r="I65" i="3"/>
  <c r="F17" i="3"/>
  <c r="J36" i="3"/>
  <c r="G20" i="3"/>
  <c r="I55" i="3"/>
  <c r="G36" i="3"/>
  <c r="J44" i="3"/>
  <c r="G45" i="3"/>
  <c r="J53" i="3"/>
  <c r="J55" i="3"/>
  <c r="J57" i="3"/>
  <c r="G60" i="3"/>
  <c r="J25" i="3"/>
  <c r="J27" i="3"/>
  <c r="J31" i="3"/>
  <c r="J37" i="3"/>
  <c r="J54" i="3"/>
  <c r="AG532" i="5"/>
  <c r="I52" i="3"/>
  <c r="F10" i="3"/>
  <c r="I26" i="3"/>
  <c r="J35" i="3"/>
  <c r="I43" i="3"/>
  <c r="F60" i="3"/>
  <c r="J34" i="3"/>
  <c r="G40" i="3"/>
  <c r="J41" i="3"/>
  <c r="G49" i="3"/>
  <c r="J49" i="3"/>
  <c r="J51" i="3"/>
  <c r="I53" i="3"/>
  <c r="F56" i="3"/>
  <c r="AG531" i="5"/>
  <c r="G28" i="3"/>
  <c r="G56" i="3"/>
  <c r="AG530" i="5"/>
  <c r="G7" i="3"/>
  <c r="G32" i="3"/>
  <c r="I31" i="3"/>
  <c r="AG535" i="5"/>
  <c r="N17" i="6"/>
  <c r="J45" i="3"/>
  <c r="J50" i="3"/>
  <c r="I54" i="3"/>
  <c r="J29" i="3"/>
  <c r="I33" i="3"/>
  <c r="I35" i="3"/>
  <c r="G59" i="3"/>
  <c r="J56" i="3"/>
  <c r="G67" i="3"/>
  <c r="H67" i="3" s="1"/>
  <c r="AG534" i="5"/>
  <c r="AG533" i="5"/>
  <c r="F9" i="3"/>
  <c r="F18" i="3"/>
  <c r="J26" i="3"/>
  <c r="I58" i="3"/>
  <c r="G55" i="3"/>
  <c r="F57" i="3"/>
  <c r="G24" i="3"/>
  <c r="G39" i="3"/>
  <c r="J46" i="3"/>
  <c r="F49" i="3"/>
  <c r="G58" i="3"/>
  <c r="I23" i="3"/>
  <c r="I51" i="3"/>
  <c r="G54" i="3"/>
  <c r="I57" i="3"/>
  <c r="I67" i="3"/>
  <c r="N15" i="6"/>
  <c r="I29" i="3"/>
  <c r="G30" i="3"/>
  <c r="I42" i="3"/>
  <c r="I45" i="3"/>
  <c r="J48" i="3"/>
  <c r="I59" i="3"/>
  <c r="J62" i="3"/>
  <c r="J64" i="3"/>
  <c r="I66" i="3"/>
  <c r="J67" i="3"/>
  <c r="I37" i="3"/>
  <c r="I48" i="3"/>
  <c r="I56" i="3"/>
  <c r="I62" i="3"/>
  <c r="F3" i="3"/>
  <c r="F7" i="3"/>
  <c r="F22" i="3"/>
  <c r="G25" i="3"/>
  <c r="G43" i="3"/>
  <c r="J47" i="3"/>
  <c r="F16" i="3"/>
  <c r="F58" i="3"/>
  <c r="F59" i="3"/>
  <c r="F54" i="3"/>
  <c r="F55" i="3"/>
  <c r="F15" i="3"/>
  <c r="F6" i="3"/>
  <c r="F37" i="3"/>
  <c r="F39" i="3"/>
  <c r="I60" i="3"/>
  <c r="F20" i="3"/>
  <c r="I38" i="3"/>
  <c r="I13" i="3"/>
  <c r="F21" i="3"/>
  <c r="F30" i="3"/>
  <c r="F12" i="3"/>
  <c r="F5" i="3"/>
  <c r="F11" i="3"/>
  <c r="F14" i="3"/>
  <c r="I17" i="3"/>
  <c r="I24" i="3"/>
  <c r="I30" i="3"/>
  <c r="F13" i="3"/>
  <c r="F8" i="3"/>
  <c r="F19" i="3"/>
  <c r="F26" i="3"/>
  <c r="F31" i="3"/>
  <c r="F4" i="3"/>
  <c r="F32" i="3"/>
  <c r="I28" i="3"/>
  <c r="F43" i="3"/>
  <c r="I34" i="3"/>
  <c r="F24" i="3"/>
  <c r="F62" i="3"/>
  <c r="G16" i="3"/>
  <c r="G27" i="3"/>
  <c r="J22" i="3"/>
  <c r="J24" i="3"/>
  <c r="F25" i="3"/>
  <c r="I27" i="3"/>
  <c r="G33" i="3"/>
  <c r="F34" i="3"/>
  <c r="F35" i="3"/>
  <c r="I39" i="3"/>
  <c r="J40" i="3"/>
  <c r="G41" i="3"/>
  <c r="I49" i="3"/>
  <c r="F45" i="3"/>
  <c r="J63" i="3"/>
  <c r="H23" i="27"/>
  <c r="I23" i="27" s="1"/>
  <c r="H25" i="27"/>
  <c r="I25" i="27" s="1"/>
  <c r="H27" i="27"/>
  <c r="I27" i="27" s="1"/>
  <c r="H29" i="27"/>
  <c r="I29" i="27" s="1"/>
  <c r="H31" i="27"/>
  <c r="I31" i="27" s="1"/>
  <c r="H33" i="27"/>
  <c r="I33" i="27" s="1"/>
  <c r="H35" i="27"/>
  <c r="I35" i="27" s="1"/>
  <c r="H37" i="27"/>
  <c r="I37" i="27" s="1"/>
  <c r="H39" i="27"/>
  <c r="I39" i="27" s="1"/>
  <c r="H41" i="27"/>
  <c r="I41" i="27" s="1"/>
  <c r="G66" i="3"/>
  <c r="G52" i="3"/>
  <c r="G51" i="3"/>
  <c r="G50" i="3"/>
  <c r="H50" i="3" s="1"/>
  <c r="G15" i="3"/>
  <c r="F23" i="3"/>
  <c r="J28" i="3"/>
  <c r="I32" i="3"/>
  <c r="G34" i="3"/>
  <c r="J38" i="3"/>
  <c r="G35" i="3"/>
  <c r="J39" i="3"/>
  <c r="I46" i="3"/>
  <c r="F65" i="3"/>
  <c r="F63" i="3"/>
  <c r="G68" i="3"/>
  <c r="G19" i="3"/>
  <c r="F28" i="3"/>
  <c r="I41" i="3"/>
  <c r="F42" i="3"/>
  <c r="I64" i="3"/>
  <c r="G14" i="3"/>
  <c r="G22" i="3"/>
  <c r="G53" i="3"/>
  <c r="G65" i="3"/>
  <c r="G64" i="3"/>
  <c r="J60" i="3"/>
  <c r="F61" i="3"/>
  <c r="G63" i="3"/>
  <c r="G11" i="3"/>
  <c r="I47" i="3"/>
  <c r="G57" i="3"/>
  <c r="G61" i="3"/>
  <c r="G62" i="3"/>
  <c r="F68" i="3"/>
  <c r="F53" i="3"/>
  <c r="F66" i="3"/>
  <c r="F52" i="3"/>
  <c r="F51" i="3"/>
  <c r="H22" i="27"/>
  <c r="I22" i="27" s="1"/>
  <c r="H24" i="27"/>
  <c r="I24" i="27" s="1"/>
  <c r="H26" i="27"/>
  <c r="I26" i="27" s="1"/>
  <c r="H28" i="27"/>
  <c r="I28" i="27" s="1"/>
  <c r="H30" i="27"/>
  <c r="I30" i="27" s="1"/>
  <c r="H32" i="27"/>
  <c r="I32" i="27" s="1"/>
  <c r="H34" i="27"/>
  <c r="I34" i="27" s="1"/>
  <c r="H36" i="27"/>
  <c r="I36" i="27" s="1"/>
  <c r="H38" i="27"/>
  <c r="I38" i="27" s="1"/>
  <c r="H40" i="27"/>
  <c r="I40" i="27" s="1"/>
  <c r="H42" i="27"/>
  <c r="I42" i="27" s="1"/>
  <c r="G18" i="3"/>
  <c r="I25" i="3"/>
  <c r="F27" i="3"/>
  <c r="F29" i="3"/>
  <c r="J30" i="3"/>
  <c r="J32" i="3"/>
  <c r="F33" i="3"/>
  <c r="G42" i="3"/>
  <c r="J42" i="3"/>
  <c r="I50" i="3"/>
  <c r="J65" i="3"/>
  <c r="H19" i="27"/>
  <c r="I19" i="27" s="1"/>
  <c r="G10" i="3"/>
  <c r="G9" i="3"/>
  <c r="G26" i="3"/>
  <c r="G29" i="3"/>
  <c r="F36" i="3"/>
  <c r="I40" i="3"/>
  <c r="F41" i="3"/>
  <c r="I63" i="3"/>
  <c r="F64" i="3"/>
  <c r="N4" i="6"/>
  <c r="N6" i="6"/>
  <c r="N10" i="6"/>
  <c r="N22" i="6"/>
  <c r="H2" i="27"/>
  <c r="I2" i="27" s="1"/>
  <c r="E7" i="27"/>
  <c r="F7" i="27" s="1"/>
  <c r="H10" i="27"/>
  <c r="I10" i="27" s="1"/>
  <c r="E15" i="27"/>
  <c r="F15" i="27" s="1"/>
  <c r="H18" i="27"/>
  <c r="I18" i="27" s="1"/>
  <c r="E6" i="27"/>
  <c r="F6" i="27" s="1"/>
  <c r="H9" i="27"/>
  <c r="I9" i="27" s="1"/>
  <c r="E14" i="27"/>
  <c r="F14" i="27" s="1"/>
  <c r="H17" i="27"/>
  <c r="I17" i="27" s="1"/>
  <c r="N9" i="6"/>
  <c r="N21" i="6"/>
  <c r="E5" i="27"/>
  <c r="F5" i="27" s="1"/>
  <c r="H8" i="27"/>
  <c r="I8" i="27" s="1"/>
  <c r="E13" i="27"/>
  <c r="F13" i="27" s="1"/>
  <c r="H16" i="27"/>
  <c r="I16" i="27" s="1"/>
  <c r="E21" i="27"/>
  <c r="F21" i="27" s="1"/>
  <c r="E22" i="27"/>
  <c r="F22" i="27" s="1"/>
  <c r="E23" i="27"/>
  <c r="F23" i="27" s="1"/>
  <c r="E24" i="27"/>
  <c r="F24" i="27" s="1"/>
  <c r="E25" i="27"/>
  <c r="F25" i="27" s="1"/>
  <c r="E26" i="27"/>
  <c r="F26" i="27" s="1"/>
  <c r="E27" i="27"/>
  <c r="F27" i="27" s="1"/>
  <c r="E28" i="27"/>
  <c r="F28" i="27" s="1"/>
  <c r="E29" i="27"/>
  <c r="F29" i="27" s="1"/>
  <c r="E30" i="27"/>
  <c r="F30" i="27" s="1"/>
  <c r="E31" i="27"/>
  <c r="F31" i="27" s="1"/>
  <c r="E32" i="27"/>
  <c r="F32" i="27" s="1"/>
  <c r="E33" i="27"/>
  <c r="F33" i="27" s="1"/>
  <c r="E34" i="27"/>
  <c r="F34" i="27" s="1"/>
  <c r="E35" i="27"/>
  <c r="F35" i="27" s="1"/>
  <c r="E36" i="27"/>
  <c r="F36" i="27" s="1"/>
  <c r="E37" i="27"/>
  <c r="F37" i="27" s="1"/>
  <c r="E38" i="27"/>
  <c r="F38" i="27" s="1"/>
  <c r="E39" i="27"/>
  <c r="F39" i="27" s="1"/>
  <c r="E40" i="27"/>
  <c r="F40" i="27" s="1"/>
  <c r="E41" i="27"/>
  <c r="F41" i="27" s="1"/>
  <c r="E42" i="27"/>
  <c r="F42" i="27" s="1"/>
  <c r="E4" i="27"/>
  <c r="F4" i="27" s="1"/>
  <c r="H7" i="27"/>
  <c r="I7" i="27" s="1"/>
  <c r="E12" i="27"/>
  <c r="F12" i="27" s="1"/>
  <c r="H15" i="27"/>
  <c r="I15" i="27" s="1"/>
  <c r="E20" i="27"/>
  <c r="F20" i="27" s="1"/>
  <c r="F47" i="27"/>
  <c r="F48" i="27"/>
  <c r="F49" i="27"/>
  <c r="F50" i="27"/>
  <c r="F51" i="27"/>
  <c r="F52" i="27"/>
  <c r="F53" i="27"/>
  <c r="F54" i="27"/>
  <c r="F55" i="27"/>
  <c r="F56" i="27"/>
  <c r="F60" i="27"/>
  <c r="F61" i="27"/>
  <c r="F62" i="27"/>
  <c r="F63" i="27"/>
  <c r="F64" i="27"/>
  <c r="F65" i="27"/>
  <c r="F66" i="27"/>
  <c r="F67" i="27"/>
  <c r="F68" i="27"/>
  <c r="F69" i="27"/>
  <c r="F70" i="27"/>
  <c r="F71" i="27"/>
  <c r="F72" i="27"/>
  <c r="F73" i="27"/>
  <c r="N8" i="6"/>
  <c r="N12" i="6"/>
  <c r="N20" i="6"/>
  <c r="E3" i="27"/>
  <c r="F3" i="27" s="1"/>
  <c r="H6" i="27"/>
  <c r="I6" i="27" s="1"/>
  <c r="E11" i="27"/>
  <c r="F11" i="27" s="1"/>
  <c r="H14" i="27"/>
  <c r="I14" i="27" s="1"/>
  <c r="E19" i="27"/>
  <c r="F19" i="27" s="1"/>
  <c r="E2" i="27"/>
  <c r="F2" i="27" s="1"/>
  <c r="H5" i="27"/>
  <c r="I5" i="27" s="1"/>
  <c r="E10" i="27"/>
  <c r="F10" i="27" s="1"/>
  <c r="H13" i="27"/>
  <c r="I13" i="27" s="1"/>
  <c r="E18" i="27"/>
  <c r="F18" i="27" s="1"/>
  <c r="H21" i="27"/>
  <c r="I21" i="27" s="1"/>
  <c r="N7" i="6"/>
  <c r="N11" i="6"/>
  <c r="N13" i="6"/>
  <c r="N14" i="6"/>
  <c r="N16" i="6"/>
  <c r="H4" i="27"/>
  <c r="I4" i="27" s="1"/>
  <c r="E9" i="27"/>
  <c r="F9" i="27" s="1"/>
  <c r="H12" i="27"/>
  <c r="I12" i="27" s="1"/>
  <c r="E17" i="27"/>
  <c r="F17" i="27" s="1"/>
  <c r="H20" i="27"/>
  <c r="I20" i="27" s="1"/>
  <c r="H3" i="27"/>
  <c r="I3" i="27" s="1"/>
  <c r="E8" i="27"/>
  <c r="F8" i="27" s="1"/>
  <c r="H11" i="27"/>
  <c r="I11" i="27" s="1"/>
  <c r="E16" i="27"/>
  <c r="F16" i="27" s="1"/>
  <c r="AS24" i="6" l="1"/>
  <c r="AV24" i="6"/>
  <c r="AT24" i="6"/>
  <c r="AU24" i="6"/>
  <c r="AW24" i="6"/>
  <c r="AS551" i="5"/>
  <c r="Y44" i="35" s="1"/>
  <c r="AV551" i="5"/>
  <c r="AB20" i="35" s="1"/>
  <c r="AT551" i="5"/>
  <c r="Z41" i="35" s="1"/>
  <c r="AR551" i="5"/>
  <c r="AU551" i="5"/>
  <c r="AA12" i="35" s="1"/>
  <c r="I73" i="27"/>
  <c r="L63" i="35"/>
  <c r="I56" i="27"/>
  <c r="I71" i="27"/>
  <c r="H15" i="33"/>
  <c r="F15" i="33"/>
  <c r="D15" i="33"/>
  <c r="J15" i="33"/>
  <c r="I63" i="27"/>
  <c r="I53" i="27"/>
  <c r="I52" i="27"/>
  <c r="I55" i="27"/>
  <c r="I65" i="27"/>
  <c r="I54" i="27"/>
  <c r="I72" i="27"/>
  <c r="I67" i="27"/>
  <c r="I66" i="27"/>
  <c r="I50" i="27"/>
  <c r="I48" i="27"/>
  <c r="I70" i="27"/>
  <c r="I51" i="27"/>
  <c r="I61" i="27"/>
  <c r="I60" i="27"/>
  <c r="I47" i="27"/>
  <c r="I49" i="27"/>
  <c r="I69" i="27"/>
  <c r="I64" i="27"/>
  <c r="I62" i="27"/>
  <c r="I68" i="27"/>
  <c r="G6" i="3"/>
  <c r="H6" i="3" s="1"/>
  <c r="H10" i="3"/>
  <c r="H28" i="3"/>
  <c r="G5" i="3"/>
  <c r="H5" i="3" s="1"/>
  <c r="G4" i="3"/>
  <c r="H4" i="3" s="1"/>
  <c r="H32" i="3"/>
  <c r="G13" i="3"/>
  <c r="H13" i="3" s="1"/>
  <c r="G8" i="3"/>
  <c r="H8" i="3" s="1"/>
  <c r="G12" i="3"/>
  <c r="H12" i="3" s="1"/>
  <c r="G17" i="3"/>
  <c r="H17" i="3" s="1"/>
  <c r="G3" i="3"/>
  <c r="H3" i="3" s="1"/>
  <c r="H73" i="3"/>
  <c r="H49" i="3"/>
  <c r="H37" i="3"/>
  <c r="H31" i="3"/>
  <c r="H20" i="3"/>
  <c r="H24" i="3"/>
  <c r="H62" i="3"/>
  <c r="H18" i="3"/>
  <c r="H26" i="3"/>
  <c r="H11" i="3"/>
  <c r="H14" i="3"/>
  <c r="H60" i="3"/>
  <c r="H23" i="3"/>
  <c r="H22" i="3"/>
  <c r="H30" i="3"/>
  <c r="H21" i="3"/>
  <c r="H9" i="3"/>
  <c r="H38" i="3"/>
  <c r="H7" i="3"/>
  <c r="H59" i="3"/>
  <c r="H45" i="3"/>
  <c r="H39" i="3"/>
  <c r="H36" i="3"/>
  <c r="H40" i="3"/>
  <c r="H42" i="3"/>
  <c r="H19" i="3"/>
  <c r="H25" i="3"/>
  <c r="H43" i="3"/>
  <c r="H27" i="3"/>
  <c r="H15" i="3"/>
  <c r="H16" i="3"/>
  <c r="H65" i="3"/>
  <c r="H52" i="3"/>
  <c r="H34" i="3"/>
  <c r="H29" i="3"/>
  <c r="H63" i="3"/>
  <c r="H61" i="3"/>
  <c r="H35" i="3"/>
  <c r="H51" i="3"/>
  <c r="H66" i="3"/>
  <c r="H64" i="3"/>
  <c r="H68" i="3"/>
  <c r="H33" i="3"/>
  <c r="H53" i="3"/>
  <c r="H41" i="3"/>
  <c r="Y14" i="35" l="1"/>
  <c r="Y52" i="35"/>
  <c r="Y42" i="35"/>
  <c r="Y33" i="35"/>
  <c r="Y12" i="35"/>
  <c r="AB10" i="35"/>
  <c r="Y24" i="35"/>
  <c r="Y40" i="35"/>
  <c r="AB14" i="35"/>
  <c r="Y5" i="35"/>
  <c r="Y58" i="35"/>
  <c r="AB18" i="35"/>
  <c r="Y51" i="35"/>
  <c r="Y48" i="35"/>
  <c r="AB8" i="35"/>
  <c r="Y32" i="35"/>
  <c r="Y20" i="35"/>
  <c r="AB16" i="35"/>
  <c r="Y22" i="35"/>
  <c r="AB13" i="35"/>
  <c r="AB7" i="35"/>
  <c r="Y13" i="35"/>
  <c r="AB12" i="35"/>
  <c r="AB15" i="35"/>
  <c r="Y43" i="35"/>
  <c r="AB11" i="35"/>
  <c r="AB6" i="35"/>
  <c r="Y56" i="35"/>
  <c r="Y36" i="35"/>
  <c r="Y35" i="35"/>
  <c r="Z48" i="35"/>
  <c r="Z28" i="35"/>
  <c r="Z18" i="35"/>
  <c r="Z40" i="35"/>
  <c r="Z42" i="35"/>
  <c r="Z32" i="35"/>
  <c r="AB45" i="35"/>
  <c r="AB35" i="35"/>
  <c r="AB51" i="35"/>
  <c r="AB30" i="35"/>
  <c r="AA55" i="35"/>
  <c r="AA44" i="35"/>
  <c r="AA34" i="35"/>
  <c r="AA24" i="35"/>
  <c r="AA13" i="35"/>
  <c r="Y60" i="35"/>
  <c r="Y39" i="35"/>
  <c r="Y46" i="35"/>
  <c r="Y27" i="35"/>
  <c r="Y26" i="35"/>
  <c r="Z39" i="35"/>
  <c r="Z19" i="35"/>
  <c r="Z8" i="35"/>
  <c r="Z53" i="35"/>
  <c r="Z33" i="35"/>
  <c r="Z22" i="35"/>
  <c r="AB36" i="35"/>
  <c r="AB26" i="35"/>
  <c r="AB41" i="35"/>
  <c r="AB21" i="35"/>
  <c r="AA29" i="35"/>
  <c r="AA45" i="35"/>
  <c r="AA35" i="35"/>
  <c r="AA25" i="35"/>
  <c r="AA14" i="35"/>
  <c r="AA58" i="35"/>
  <c r="Y49" i="35"/>
  <c r="Y29" i="35"/>
  <c r="Y37" i="35"/>
  <c r="Y18" i="35"/>
  <c r="Y16" i="35"/>
  <c r="Z29" i="35"/>
  <c r="Z10" i="35"/>
  <c r="Z54" i="35"/>
  <c r="Z43" i="35"/>
  <c r="Z24" i="35"/>
  <c r="Z13" i="35"/>
  <c r="AB46" i="35"/>
  <c r="AB27" i="35"/>
  <c r="AB52" i="35"/>
  <c r="AB32" i="35"/>
  <c r="AA56" i="35"/>
  <c r="AA36" i="35"/>
  <c r="AA26" i="35"/>
  <c r="AA15" i="35"/>
  <c r="AA48" i="35"/>
  <c r="AA60" i="35"/>
  <c r="Y28" i="35"/>
  <c r="Y8" i="35"/>
  <c r="Y7" i="35"/>
  <c r="Z20" i="35"/>
  <c r="Z30" i="35"/>
  <c r="Z44" i="35"/>
  <c r="Z34" i="35"/>
  <c r="Z14" i="35"/>
  <c r="AB37" i="35"/>
  <c r="AB42" i="35"/>
  <c r="AB22" i="35"/>
  <c r="AB58" i="35"/>
  <c r="AA46" i="35"/>
  <c r="AA27" i="35"/>
  <c r="AA16" i="35"/>
  <c r="AA6" i="35"/>
  <c r="AA5" i="35"/>
  <c r="AA49" i="35"/>
  <c r="Y41" i="35"/>
  <c r="Y30" i="35"/>
  <c r="Y11" i="35"/>
  <c r="Y19" i="35"/>
  <c r="Y34" i="35"/>
  <c r="Z60" i="35"/>
  <c r="Z11" i="35"/>
  <c r="Z55" i="35"/>
  <c r="Z35" i="35"/>
  <c r="Z25" i="35"/>
  <c r="Z49" i="35"/>
  <c r="AB28" i="35"/>
  <c r="AB53" i="35"/>
  <c r="AB33" i="35"/>
  <c r="AB48" i="35"/>
  <c r="AA37" i="35"/>
  <c r="AA18" i="35"/>
  <c r="AA7" i="35"/>
  <c r="AA39" i="35"/>
  <c r="AA51" i="35"/>
  <c r="AA40" i="35"/>
  <c r="Y21" i="35"/>
  <c r="Y53" i="35"/>
  <c r="Y10" i="35"/>
  <c r="Y15" i="35"/>
  <c r="Z21" i="35"/>
  <c r="Z56" i="35"/>
  <c r="Z45" i="35"/>
  <c r="Z26" i="35"/>
  <c r="Z15" i="35"/>
  <c r="Z5" i="35"/>
  <c r="AB19" i="35"/>
  <c r="AB56" i="35"/>
  <c r="AB43" i="35"/>
  <c r="AB24" i="35"/>
  <c r="AB60" i="35"/>
  <c r="AB39" i="35"/>
  <c r="AA28" i="35"/>
  <c r="AA8" i="35"/>
  <c r="AA11" i="35"/>
  <c r="AA52" i="35"/>
  <c r="AA41" i="35"/>
  <c r="AA30" i="35"/>
  <c r="Y25" i="35"/>
  <c r="Y55" i="35"/>
  <c r="Y54" i="35"/>
  <c r="Z12" i="35"/>
  <c r="Z46" i="35"/>
  <c r="Z36" i="35"/>
  <c r="Z16" i="35"/>
  <c r="Z6" i="35"/>
  <c r="Z51" i="35"/>
  <c r="AB54" i="35"/>
  <c r="AB34" i="35"/>
  <c r="AB49" i="35"/>
  <c r="AB29" i="35"/>
  <c r="AA19" i="35"/>
  <c r="AA20" i="35"/>
  <c r="AA53" i="35"/>
  <c r="AA42" i="35"/>
  <c r="AA32" i="35"/>
  <c r="AA21" i="35"/>
  <c r="Y6" i="35"/>
  <c r="Y45" i="35"/>
  <c r="Z58" i="35"/>
  <c r="Z37" i="35"/>
  <c r="Z27" i="35"/>
  <c r="Z7" i="35"/>
  <c r="Z52" i="35"/>
  <c r="AB55" i="35"/>
  <c r="AB44" i="35"/>
  <c r="AB25" i="35"/>
  <c r="AB5" i="35"/>
  <c r="AB40" i="35"/>
  <c r="AA10" i="35"/>
  <c r="AA54" i="35"/>
  <c r="AA43" i="35"/>
  <c r="AA33" i="35"/>
  <c r="AA22" i="35"/>
  <c r="R63" i="35"/>
  <c r="AE12" i="35" l="1"/>
  <c r="AE45" i="35"/>
  <c r="AE15" i="35"/>
  <c r="AE6" i="35"/>
  <c r="AE54" i="35"/>
  <c r="AE55" i="35"/>
  <c r="AE14" i="35"/>
  <c r="AE52" i="35"/>
  <c r="AE44" i="35"/>
  <c r="AE33" i="35"/>
  <c r="AE42" i="35"/>
  <c r="AE25" i="35"/>
  <c r="AE29" i="35"/>
  <c r="AE26" i="35"/>
  <c r="AE40" i="35"/>
  <c r="AE49" i="35"/>
  <c r="AE27" i="35"/>
  <c r="AE48" i="35"/>
  <c r="AE58" i="35"/>
  <c r="AE24" i="35"/>
  <c r="AE10" i="35"/>
  <c r="AE46" i="35"/>
  <c r="AE35" i="35"/>
  <c r="AE51" i="35"/>
  <c r="AE5" i="35"/>
  <c r="AE34" i="35"/>
  <c r="AE39" i="35"/>
  <c r="AE36" i="35"/>
  <c r="AE53" i="35"/>
  <c r="AE21" i="35"/>
  <c r="AE19" i="35"/>
  <c r="AE60" i="35"/>
  <c r="AE56" i="35"/>
  <c r="AE11" i="35"/>
  <c r="AE7" i="35"/>
  <c r="AE16" i="35"/>
  <c r="AE20" i="35"/>
  <c r="AE30" i="35"/>
  <c r="AE8" i="35"/>
  <c r="AE18" i="35"/>
  <c r="AE13" i="35"/>
  <c r="AE22" i="35"/>
  <c r="AE32" i="35"/>
  <c r="AE41" i="35"/>
  <c r="AE28" i="35"/>
  <c r="AE37" i="35"/>
  <c r="AE43" i="35"/>
  <c r="Y62" i="35"/>
  <c r="Z62" i="35"/>
  <c r="AA62" i="35"/>
  <c r="AB62" i="35"/>
  <c r="S63" i="35"/>
  <c r="I5" i="35"/>
  <c r="X41" i="35"/>
  <c r="AD41" i="35" s="1"/>
  <c r="X33" i="35"/>
  <c r="AD33" i="35" s="1"/>
  <c r="X26" i="35"/>
  <c r="AC26" i="35" s="1"/>
  <c r="X8" i="35"/>
  <c r="AC8" i="35" s="1"/>
  <c r="X25" i="35"/>
  <c r="AC25" i="35" s="1"/>
  <c r="X16" i="35"/>
  <c r="AC16" i="35" s="1"/>
  <c r="X12" i="35"/>
  <c r="AC12" i="35" s="1"/>
  <c r="X39" i="35"/>
  <c r="AD39" i="35" s="1"/>
  <c r="X40" i="35"/>
  <c r="AC40" i="35" s="1"/>
  <c r="X46" i="35"/>
  <c r="AD46" i="35" s="1"/>
  <c r="X10" i="35"/>
  <c r="AC10" i="35" s="1"/>
  <c r="X32" i="35"/>
  <c r="AD32" i="35" s="1"/>
  <c r="X44" i="35"/>
  <c r="AD44" i="35" s="1"/>
  <c r="X43" i="35"/>
  <c r="AC43" i="35" s="1"/>
  <c r="X55" i="35"/>
  <c r="AC55" i="35" s="1"/>
  <c r="X56" i="35"/>
  <c r="AC56" i="35" s="1"/>
  <c r="X24" i="35"/>
  <c r="AD24" i="35" s="1"/>
  <c r="X37" i="35"/>
  <c r="AD37" i="35" s="1"/>
  <c r="X15" i="35"/>
  <c r="AD15" i="35" s="1"/>
  <c r="X18" i="35"/>
  <c r="AC18" i="35" s="1"/>
  <c r="X45" i="35"/>
  <c r="AD45" i="35" s="1"/>
  <c r="X7" i="35"/>
  <c r="AC7" i="35" s="1"/>
  <c r="X20" i="35"/>
  <c r="AD20" i="35" s="1"/>
  <c r="X48" i="35"/>
  <c r="AD48" i="35" s="1"/>
  <c r="X21" i="35"/>
  <c r="AD21" i="35" s="1"/>
  <c r="X35" i="35"/>
  <c r="AD35" i="35" s="1"/>
  <c r="X14" i="35"/>
  <c r="AD14" i="35" s="1"/>
  <c r="X6" i="35"/>
  <c r="AC6" i="35" s="1"/>
  <c r="X29" i="35"/>
  <c r="AC29" i="35" s="1"/>
  <c r="X49" i="35"/>
  <c r="AC49" i="35" s="1"/>
  <c r="X51" i="35"/>
  <c r="AD51" i="35" s="1"/>
  <c r="X22" i="35"/>
  <c r="AC22" i="35" s="1"/>
  <c r="X27" i="35"/>
  <c r="AC27" i="35" s="1"/>
  <c r="X19" i="35"/>
  <c r="AC19" i="35" s="1"/>
  <c r="X11" i="35"/>
  <c r="AC11" i="35" s="1"/>
  <c r="X34" i="35"/>
  <c r="AC34" i="35" s="1"/>
  <c r="X58" i="35"/>
  <c r="AC58" i="35" s="1"/>
  <c r="X36" i="35"/>
  <c r="AD36" i="35" s="1"/>
  <c r="X13" i="35"/>
  <c r="AD13" i="35" s="1"/>
  <c r="X28" i="35"/>
  <c r="AD28" i="35" s="1"/>
  <c r="X52" i="35"/>
  <c r="AD52" i="35" s="1"/>
  <c r="AD12" i="33"/>
  <c r="X42" i="35"/>
  <c r="AD42" i="35" s="1"/>
  <c r="X5" i="35"/>
  <c r="X54" i="35"/>
  <c r="AC54" i="35" s="1"/>
  <c r="X60" i="35"/>
  <c r="AD60" i="35" s="1"/>
  <c r="X30" i="35"/>
  <c r="AD30" i="35" s="1"/>
  <c r="X53" i="35"/>
  <c r="AC53" i="35" s="1"/>
  <c r="I55" i="35"/>
  <c r="I51" i="35"/>
  <c r="I60" i="35"/>
  <c r="I46" i="35"/>
  <c r="I44" i="35"/>
  <c r="I16" i="35"/>
  <c r="I52" i="35"/>
  <c r="I34" i="35"/>
  <c r="I54" i="35"/>
  <c r="I35" i="35"/>
  <c r="I36" i="35"/>
  <c r="I56" i="35"/>
  <c r="I14" i="35"/>
  <c r="I33" i="35"/>
  <c r="I42" i="35"/>
  <c r="I28" i="35"/>
  <c r="I32" i="35"/>
  <c r="I53" i="35"/>
  <c r="I48" i="35"/>
  <c r="I12" i="35"/>
  <c r="I11" i="35"/>
  <c r="I8" i="35"/>
  <c r="I7" i="35"/>
  <c r="I49" i="35"/>
  <c r="I26" i="35"/>
  <c r="I25" i="35"/>
  <c r="I30" i="35"/>
  <c r="I27" i="35"/>
  <c r="I40" i="35"/>
  <c r="I37" i="35"/>
  <c r="I39" i="35"/>
  <c r="I43" i="35"/>
  <c r="I29" i="35"/>
  <c r="I41" i="35"/>
  <c r="I20" i="35"/>
  <c r="I18" i="35"/>
  <c r="I24" i="35"/>
  <c r="I6" i="35"/>
  <c r="I21" i="35"/>
  <c r="I58" i="35"/>
  <c r="I13" i="35"/>
  <c r="I22" i="35"/>
  <c r="I15" i="35"/>
  <c r="I19" i="35"/>
  <c r="I10" i="35"/>
  <c r="I45" i="35"/>
  <c r="AD7" i="35" l="1"/>
  <c r="AC36" i="35"/>
  <c r="AD43" i="35"/>
  <c r="AC32" i="35"/>
  <c r="AD22" i="35"/>
  <c r="AC44" i="35"/>
  <c r="AC60" i="35"/>
  <c r="AD58" i="35"/>
  <c r="AD56" i="35"/>
  <c r="AC28" i="35"/>
  <c r="AD49" i="35"/>
  <c r="AC39" i="35"/>
  <c r="AD8" i="35"/>
  <c r="AD53" i="35"/>
  <c r="X62" i="35"/>
  <c r="AC62" i="35" s="1"/>
  <c r="AD34" i="35"/>
  <c r="AC45" i="35"/>
  <c r="AC48" i="35"/>
  <c r="AD16" i="35"/>
  <c r="AC42" i="35"/>
  <c r="AD18" i="35"/>
  <c r="AD29" i="35"/>
  <c r="AC46" i="35"/>
  <c r="I62" i="35"/>
  <c r="I63" i="35" s="1"/>
  <c r="AC30" i="35"/>
  <c r="AD8" i="33"/>
  <c r="AD9" i="33"/>
  <c r="AD6" i="35"/>
  <c r="AD25" i="35"/>
  <c r="AC52" i="35"/>
  <c r="AC13" i="35"/>
  <c r="AD27" i="35"/>
  <c r="AC51" i="35"/>
  <c r="AC21" i="35"/>
  <c r="AC20" i="35"/>
  <c r="AC24" i="35"/>
  <c r="AD55" i="35"/>
  <c r="AD40" i="35"/>
  <c r="AD12" i="35"/>
  <c r="AC41" i="35"/>
  <c r="AD54" i="35"/>
  <c r="AD10" i="33"/>
  <c r="AD11" i="35"/>
  <c r="AC14" i="35"/>
  <c r="AC15" i="35"/>
  <c r="AD10" i="35"/>
  <c r="AD26" i="35"/>
  <c r="AD7" i="33"/>
  <c r="AD5" i="35"/>
  <c r="AD11" i="33"/>
  <c r="AC5" i="35"/>
  <c r="AD19" i="35"/>
  <c r="AC35" i="35"/>
  <c r="AC37" i="35"/>
  <c r="AC33" i="35"/>
  <c r="X63" i="35" l="1"/>
  <c r="W63" i="35"/>
  <c r="U62" i="35"/>
  <c r="AB63" i="35"/>
  <c r="Z63" i="35"/>
  <c r="Y63" i="35"/>
  <c r="AB64" i="35"/>
  <c r="AA63" i="35"/>
  <c r="AD62" i="35"/>
  <c r="AD63" i="35" s="1"/>
  <c r="AD13" i="33"/>
  <c r="AC63" i="3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Susan Ho</author>
  </authors>
  <commentList>
    <comment ref="Y1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Susan Ho: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紅：待補</t>
        </r>
      </text>
    </comment>
  </commentList>
</comments>
</file>

<file path=xl/sharedStrings.xml><?xml version="1.0" encoding="utf-8"?>
<sst xmlns="http://schemas.openxmlformats.org/spreadsheetml/2006/main" count="16612" uniqueCount="3321">
  <si>
    <t>會議紀錄日期</t>
  </si>
  <si>
    <t>2021/9/13上</t>
  </si>
  <si>
    <t>2021/9/13下</t>
  </si>
  <si>
    <t>尚未回覆</t>
  </si>
  <si>
    <t>柯文齡經理</t>
  </si>
  <si>
    <t>葛展宇經理</t>
  </si>
  <si>
    <t>更新日期：2021/9/24</t>
  </si>
  <si>
    <t>林清河</t>
  </si>
  <si>
    <t>李珮琪</t>
  </si>
  <si>
    <t>陳政皓經理</t>
  </si>
  <si>
    <t>吳承憲</t>
  </si>
  <si>
    <t>蔡珮瑜</t>
  </si>
  <si>
    <t>涂宇欣</t>
  </si>
  <si>
    <t>李珮君</t>
  </si>
  <si>
    <t>張舜雯</t>
  </si>
  <si>
    <t>陳俞辛</t>
  </si>
  <si>
    <t>蔡進健-缺席</t>
  </si>
  <si>
    <t>李秋燕-缺席</t>
  </si>
  <si>
    <t>尹少玄</t>
  </si>
  <si>
    <t>陳俞辛-缺席</t>
  </si>
  <si>
    <t>蔡進健</t>
  </si>
  <si>
    <t>程慧娟</t>
  </si>
  <si>
    <t>許慧玉</t>
  </si>
  <si>
    <t>宋郁宏</t>
  </si>
  <si>
    <t>邵淑微</t>
  </si>
  <si>
    <t>邱怡婷</t>
  </si>
  <si>
    <t>李秋燕</t>
  </si>
  <si>
    <t>李穎</t>
  </si>
  <si>
    <t>施美娟</t>
  </si>
  <si>
    <t>URS審查意見回覆進度</t>
  </si>
  <si>
    <t>業務大類</t>
  </si>
  <si>
    <t>會議審閱</t>
  </si>
  <si>
    <t>會議
審閱II</t>
  </si>
  <si>
    <t>交付簽核
審查</t>
  </si>
  <si>
    <t>意見截止</t>
  </si>
  <si>
    <t>最後意見
收到日</t>
  </si>
  <si>
    <t>收到審查意見(交易)</t>
  </si>
  <si>
    <t>預計
最遲回覆</t>
  </si>
  <si>
    <t>意見回覆</t>
  </si>
  <si>
    <t>意見回覆進度</t>
  </si>
  <si>
    <t>意見再審</t>
  </si>
  <si>
    <t>意見再審數</t>
  </si>
  <si>
    <t>最新回覆日</t>
  </si>
  <si>
    <t>送出簽核截止</t>
  </si>
  <si>
    <t>送出SKL認可簽核</t>
  </si>
  <si>
    <t>L1</t>
  </si>
  <si>
    <t>2021/10/1
2021/10/8異動</t>
  </si>
  <si>
    <t>IT</t>
  </si>
  <si>
    <t>User</t>
  </si>
  <si>
    <t>L2</t>
  </si>
  <si>
    <t>L3</t>
  </si>
  <si>
    <t>L4</t>
  </si>
  <si>
    <t>L5</t>
  </si>
  <si>
    <t>債協帳務2021/10/20</t>
  </si>
  <si>
    <t>L6</t>
  </si>
  <si>
    <t>L7</t>
  </si>
  <si>
    <t>L8</t>
  </si>
  <si>
    <t>L9</t>
  </si>
  <si>
    <t>總計</t>
  </si>
  <si>
    <t>未完成</t>
  </si>
  <si>
    <t>應已完成</t>
  </si>
  <si>
    <t>可完成URS、程式</t>
  </si>
  <si>
    <t>11/11</t>
  </si>
  <si>
    <t>11/30</t>
  </si>
  <si>
    <t>日期</t>
  </si>
  <si>
    <t>週</t>
  </si>
  <si>
    <t>合計數</t>
  </si>
  <si>
    <t>累計預估</t>
  </si>
  <si>
    <t>累計完成</t>
  </si>
  <si>
    <t>本周預計</t>
  </si>
  <si>
    <t>本周完成</t>
  </si>
  <si>
    <t>進度</t>
  </si>
  <si>
    <t>累計預估達成率</t>
  </si>
  <si>
    <t>累計實際達成率</t>
  </si>
  <si>
    <t>欄1</t>
  </si>
  <si>
    <t>新增1</t>
  </si>
  <si>
    <t>新增交易6</t>
  </si>
  <si>
    <t>新增交易112債JCIC報送</t>
  </si>
  <si>
    <t>新增8</t>
  </si>
  <si>
    <t>新增2</t>
  </si>
  <si>
    <t>如期</t>
  </si>
  <si>
    <t>延遲</t>
  </si>
  <si>
    <t>欄標籤</t>
  </si>
  <si>
    <t>計數 - 預計展示 的加總</t>
  </si>
  <si>
    <t>計數 - 實際展示 的加總</t>
  </si>
  <si>
    <t>計數 - 二審實際 的加總</t>
  </si>
  <si>
    <t>列標籤</t>
  </si>
  <si>
    <t>計數 - 預計展示</t>
  </si>
  <si>
    <t>計數 - 實際展示</t>
  </si>
  <si>
    <t>計數 - 二審實際</t>
  </si>
  <si>
    <t>1.顧客管理作業</t>
  </si>
  <si>
    <t>2.業務作業</t>
  </si>
  <si>
    <t>3.帳務作業</t>
  </si>
  <si>
    <t>4.批次作業</t>
  </si>
  <si>
    <t xml:space="preserve">5.管理性作業 </t>
  </si>
  <si>
    <t>6.共同作業</t>
  </si>
  <si>
    <t>7.介接外部系統</t>
  </si>
  <si>
    <t>8.遵循法令作業</t>
  </si>
  <si>
    <t xml:space="preserve">9.報表作業 </t>
  </si>
  <si>
    <t>(空白)</t>
  </si>
  <si>
    <t>業務流程</t>
  </si>
  <si>
    <t>流程</t>
  </si>
  <si>
    <t>功能代號</t>
  </si>
  <si>
    <t>功能名稱/說明</t>
  </si>
  <si>
    <t>刪除整併說明</t>
  </si>
  <si>
    <t>SA</t>
  </si>
  <si>
    <t>展示協助</t>
  </si>
  <si>
    <t>URS版本</t>
  </si>
  <si>
    <t>預計展示</t>
  </si>
  <si>
    <t>實際展示</t>
  </si>
  <si>
    <t>URS調整</t>
  </si>
  <si>
    <t>User2</t>
  </si>
  <si>
    <t>段式</t>
  </si>
  <si>
    <t>經辦等級</t>
  </si>
  <si>
    <t>授權</t>
  </si>
  <si>
    <t>訂正</t>
  </si>
  <si>
    <t>修正</t>
  </si>
  <si>
    <t>帳務</t>
  </si>
  <si>
    <t>額度</t>
  </si>
  <si>
    <t>執行單位</t>
  </si>
  <si>
    <t>URS交二審</t>
  </si>
  <si>
    <t>二審預排</t>
  </si>
  <si>
    <t>正式
交付審查</t>
  </si>
  <si>
    <t>IT審核人</t>
  </si>
  <si>
    <t>收到IT
審查意見</t>
  </si>
  <si>
    <t>回覆IT
審查意見</t>
  </si>
  <si>
    <t>User審閱人</t>
  </si>
  <si>
    <t>收到User
審查意見</t>
  </si>
  <si>
    <t>回覆User審查意見</t>
  </si>
  <si>
    <t>送出簽核檢核日</t>
  </si>
  <si>
    <t>覆測日</t>
  </si>
  <si>
    <t>AS400入口</t>
  </si>
  <si>
    <t>AS400名稱</t>
  </si>
  <si>
    <t>需二審</t>
  </si>
  <si>
    <t>L1001</t>
  </si>
  <si>
    <t>顧客明細資料查詢</t>
  </si>
  <si>
    <t>張金龍</t>
  </si>
  <si>
    <t>張嘉榮</t>
  </si>
  <si>
    <t>PJ201800012_URS_1顧客管理作業_V1.42.docx</t>
  </si>
  <si>
    <t>顧客管理作業</t>
  </si>
  <si>
    <t>L1101</t>
  </si>
  <si>
    <t>顧客基本資料維護-自然人</t>
  </si>
  <si>
    <t>1-1</t>
  </si>
  <si>
    <t>顧客基本資料維護(新增)</t>
  </si>
  <si>
    <t>L1102</t>
  </si>
  <si>
    <t>顧客基本資料維護-法人</t>
  </si>
  <si>
    <t>2021/10/13 09:24:00 AM 涂宇欣
2021/10/14  01:34:00 PM 林清河</t>
  </si>
  <si>
    <t>L1103</t>
  </si>
  <si>
    <t>顧客基本資料修改-自然人</t>
  </si>
  <si>
    <t>1-2</t>
  </si>
  <si>
    <t>顧客基本資料維護(修改)</t>
  </si>
  <si>
    <t>L1104</t>
  </si>
  <si>
    <t>顧客基本資料修改-法人</t>
  </si>
  <si>
    <t>L1110</t>
  </si>
  <si>
    <t>顧客基本資料維護-開放查詢變更</t>
  </si>
  <si>
    <t>CUSP01 CU190</t>
  </si>
  <si>
    <t>開放查詢變更</t>
  </si>
  <si>
    <t>L1111</t>
  </si>
  <si>
    <t>顧客基本資料維護-身份證號／統一編號變更</t>
  </si>
  <si>
    <t>1-E</t>
  </si>
  <si>
    <t>顧客基本資料維護(編號變更)</t>
  </si>
  <si>
    <t>L1905</t>
  </si>
  <si>
    <t>顧客聯絡電話查詢</t>
  </si>
  <si>
    <t>1-1欄位拆出新交易</t>
  </si>
  <si>
    <t>L1105</t>
  </si>
  <si>
    <t>顧客聯絡電話維護</t>
  </si>
  <si>
    <t>L190A</t>
  </si>
  <si>
    <t>員工資料檔查詢</t>
  </si>
  <si>
    <t>4-3-2</t>
  </si>
  <si>
    <t>在職員工明細檔查詢</t>
  </si>
  <si>
    <t>L1908</t>
  </si>
  <si>
    <t>申請不列印書面通知書查詢</t>
  </si>
  <si>
    <t>陳政皓</t>
  </si>
  <si>
    <t>5-22-04</t>
  </si>
  <si>
    <t>申請不列印書面通知書控管報表</t>
  </si>
  <si>
    <t>L1108</t>
  </si>
  <si>
    <t>申請不列印書面通知書維護</t>
  </si>
  <si>
    <t>L1109</t>
  </si>
  <si>
    <t>客戶交互運用維護</t>
  </si>
  <si>
    <t>L1907</t>
  </si>
  <si>
    <t>公司戶財務報表查詢</t>
  </si>
  <si>
    <t>2021/10/18,22</t>
  </si>
  <si>
    <t>2-5</t>
  </si>
  <si>
    <t>公司戶財務狀況明細資料查詢</t>
  </si>
  <si>
    <t>L1107</t>
  </si>
  <si>
    <t>公司戶財務報表維護</t>
  </si>
  <si>
    <t>公司戶財務狀況管理</t>
  </si>
  <si>
    <t>L1909</t>
  </si>
  <si>
    <t>疑似準利害關係人明細查詢</t>
  </si>
  <si>
    <t>新增 2021/11/2</t>
  </si>
  <si>
    <t>新交易</t>
  </si>
  <si>
    <t>L2001</t>
  </si>
  <si>
    <t xml:space="preserve">商品參數明細資料查詢                    </t>
  </si>
  <si>
    <t>賴文育</t>
  </si>
  <si>
    <t>余家興</t>
  </si>
  <si>
    <t>無調整</t>
  </si>
  <si>
    <t>預計2021/11/12</t>
  </si>
  <si>
    <t>Eloan</t>
  </si>
  <si>
    <t>商品參數明細資料查詢</t>
  </si>
  <si>
    <t>L2101</t>
  </si>
  <si>
    <t>商品參數維護</t>
  </si>
  <si>
    <t>L2010</t>
  </si>
  <si>
    <t xml:space="preserve">申請案件明細資料查詢                    </t>
  </si>
  <si>
    <t>陳昱衡</t>
  </si>
  <si>
    <t>申請案件明細資料查詢</t>
  </si>
  <si>
    <t>L2111</t>
  </si>
  <si>
    <t>案件申請登錄</t>
  </si>
  <si>
    <t>L2153</t>
  </si>
  <si>
    <t>核准額度登錄</t>
  </si>
  <si>
    <t>L2151</t>
  </si>
  <si>
    <t>額度登錄准駁查詢</t>
  </si>
  <si>
    <t>駁回額度登錄</t>
  </si>
  <si>
    <t>L2112</t>
  </si>
  <si>
    <t xml:space="preserve">團體戶申請登錄                          </t>
  </si>
  <si>
    <t>團體戶申請登錄</t>
  </si>
  <si>
    <t>L2015</t>
  </si>
  <si>
    <t xml:space="preserve">額度明細資料查詢                        </t>
  </si>
  <si>
    <t>額度明細資料查詢</t>
  </si>
  <si>
    <t>L2154</t>
  </si>
  <si>
    <t xml:space="preserve">額度資料維護                            </t>
  </si>
  <si>
    <t>額度資料維護</t>
  </si>
  <si>
    <t>L2016</t>
  </si>
  <si>
    <t xml:space="preserve">核准號碼明細資料查詢                    </t>
  </si>
  <si>
    <t>核准號碼明細資料查詢</t>
  </si>
  <si>
    <t>L2020</t>
  </si>
  <si>
    <t xml:space="preserve">保證人明細資料查詢                      </t>
  </si>
  <si>
    <t>企金</t>
  </si>
  <si>
    <t>保證人明細資料查詢</t>
  </si>
  <si>
    <t>L2250</t>
  </si>
  <si>
    <t>保證人資料登錄</t>
  </si>
  <si>
    <t>L2902</t>
  </si>
  <si>
    <t xml:space="preserve">保證人保證資料查詢                      </t>
  </si>
  <si>
    <t>保證人保證資料查詢</t>
  </si>
  <si>
    <t>L6070</t>
  </si>
  <si>
    <t xml:space="preserve">未齊件代碼查詢                          </t>
  </si>
  <si>
    <t>徐名弘</t>
  </si>
  <si>
    <t>L6700</t>
  </si>
  <si>
    <t>未齊件代碼維護</t>
  </si>
  <si>
    <t>L2921</t>
  </si>
  <si>
    <t xml:space="preserve">未齊件資料查詢                          </t>
  </si>
  <si>
    <t>未齊件資料查詢</t>
  </si>
  <si>
    <t>L2801</t>
  </si>
  <si>
    <t xml:space="preserve">未齊案件管理             </t>
  </si>
  <si>
    <t>未齊案件管理</t>
  </si>
  <si>
    <t>L2018</t>
  </si>
  <si>
    <t>共同借款人資料查詢</t>
  </si>
  <si>
    <t>L2118</t>
  </si>
  <si>
    <t>共同借款人資料登錄</t>
  </si>
  <si>
    <t>L291A</t>
  </si>
  <si>
    <t>共同借款人額度查詢</t>
  </si>
  <si>
    <t>L2019</t>
  </si>
  <si>
    <t>合併額度控管資料查詢</t>
  </si>
  <si>
    <t>L2119</t>
  </si>
  <si>
    <t>合併額度控管登錄</t>
  </si>
  <si>
    <t>L291B</t>
  </si>
  <si>
    <t>合併額度控管額度查詢</t>
  </si>
  <si>
    <t>L2021</t>
  </si>
  <si>
    <t>交易關係人查詢</t>
  </si>
  <si>
    <t>L2221</t>
  </si>
  <si>
    <t>交易關係人維護</t>
  </si>
  <si>
    <t>擔保品2</t>
  </si>
  <si>
    <t>L2038</t>
  </si>
  <si>
    <t xml:space="preserve">擔保品明細資料查詢                      </t>
  </si>
  <si>
    <t>L2411</t>
  </si>
  <si>
    <t>不動產擔保品資料登錄</t>
  </si>
  <si>
    <t>企金、(可分配金額+張舜雯)</t>
  </si>
  <si>
    <t>208-1</t>
  </si>
  <si>
    <t>押品資料管理-不動產押品資料登錄</t>
  </si>
  <si>
    <t>L2911</t>
  </si>
  <si>
    <t xml:space="preserve">不動產擔保品資料查詢                    </t>
  </si>
  <si>
    <t>押品資料管理-不動產押品土地資料登錄</t>
  </si>
  <si>
    <t>L2415</t>
  </si>
  <si>
    <t>不動產建物擔保品資料登錄</t>
  </si>
  <si>
    <t>L2416</t>
  </si>
  <si>
    <t>不動產土地擔保品資料登錄</t>
  </si>
  <si>
    <t>L2915</t>
  </si>
  <si>
    <t xml:space="preserve">不動產建物資料查詢                      </t>
  </si>
  <si>
    <t>押品資料管理-不動產押品房屋資料查詢</t>
  </si>
  <si>
    <t>L2916</t>
  </si>
  <si>
    <t xml:space="preserve">不動產土地資料查詢                      </t>
  </si>
  <si>
    <t>L2918</t>
  </si>
  <si>
    <t>擔保品他項權利查詢</t>
  </si>
  <si>
    <t>L2418</t>
  </si>
  <si>
    <t>擔保品他項權利登錄</t>
  </si>
  <si>
    <t>L2017</t>
  </si>
  <si>
    <t xml:space="preserve">額度與擔保品關聯查詢 </t>
  </si>
  <si>
    <t>L2417</t>
  </si>
  <si>
    <t>額度與擔保品關聯登錄</t>
  </si>
  <si>
    <t>L2412</t>
  </si>
  <si>
    <t>動產擔保品資料登錄</t>
  </si>
  <si>
    <t>L2912</t>
  </si>
  <si>
    <t xml:space="preserve">動產擔保品資料查詢                      </t>
  </si>
  <si>
    <t>L2413</t>
  </si>
  <si>
    <t>股票擔保品資料登錄</t>
  </si>
  <si>
    <t>押品資料管理-火險、地震險資料登錄</t>
  </si>
  <si>
    <t>L2913</t>
  </si>
  <si>
    <t xml:space="preserve">股票擔保品資料查詢                      </t>
  </si>
  <si>
    <t>L2414</t>
  </si>
  <si>
    <t>其他擔保品資料登錄</t>
  </si>
  <si>
    <t>L2914</t>
  </si>
  <si>
    <t xml:space="preserve">其他擔保品資料查詢                      </t>
  </si>
  <si>
    <t>L2702</t>
  </si>
  <si>
    <t xml:space="preserve">顧客控管警訊資料維護                    </t>
  </si>
  <si>
    <t>張舜雯、程慧娟、邱怡婷、李秋燕</t>
  </si>
  <si>
    <t>放款專員業績統計作業－統計業績資料</t>
  </si>
  <si>
    <t>L2072</t>
  </si>
  <si>
    <t xml:space="preserve">顧客控管警訊明細資料查詢                </t>
  </si>
  <si>
    <t>顧客控管警訊明細資料查詢</t>
  </si>
  <si>
    <t>L3901</t>
  </si>
  <si>
    <t xml:space="preserve">貸款試算                 </t>
  </si>
  <si>
    <t>PJ201800012_URS_3帳務作業_V1.81</t>
  </si>
  <si>
    <t>客戶洽詢查詢</t>
  </si>
  <si>
    <t>L9110</t>
  </si>
  <si>
    <t>首次撥款審核資料表</t>
  </si>
  <si>
    <t>楊智誠</t>
  </si>
  <si>
    <t>徐名弘、陳俞辛</t>
  </si>
  <si>
    <t>5-9-18</t>
  </si>
  <si>
    <t xml:space="preserve">首次撥款審核資料表         </t>
  </si>
  <si>
    <t>L3003</t>
  </si>
  <si>
    <t xml:space="preserve">預約撥款明細資料查詢     </t>
  </si>
  <si>
    <t>L3110</t>
  </si>
  <si>
    <t xml:space="preserve">預約撥款                 </t>
  </si>
  <si>
    <t>L3120</t>
  </si>
  <si>
    <t xml:space="preserve">預約撥款刪除             </t>
  </si>
  <si>
    <t>L6984</t>
  </si>
  <si>
    <t>預約撥款到期作業</t>
  </si>
  <si>
    <t>L3100</t>
  </si>
  <si>
    <t xml:space="preserve">撥款                     </t>
  </si>
  <si>
    <t>2021/10/19, 2021/10/18, 2021/8/30, 7/21</t>
  </si>
  <si>
    <t>撥款</t>
  </si>
  <si>
    <t>L3002</t>
  </si>
  <si>
    <t xml:space="preserve">撥款明細資料查詢         </t>
  </si>
  <si>
    <t>放款內容查詢</t>
  </si>
  <si>
    <t>L3916</t>
  </si>
  <si>
    <t xml:space="preserve">撥款內容查詢             </t>
  </si>
  <si>
    <t>L3001</t>
  </si>
  <si>
    <t>放款明細資料查詢</t>
  </si>
  <si>
    <t>L2060</t>
  </si>
  <si>
    <t>聯貸案訂約明細資料查詢</t>
  </si>
  <si>
    <t>由L3010更名2021/9/7</t>
  </si>
  <si>
    <t>L2600</t>
  </si>
  <si>
    <t>聯貸案訂約登錄</t>
  </si>
  <si>
    <t>由L3600更名2021/9/7</t>
  </si>
  <si>
    <t>L2604</t>
  </si>
  <si>
    <t>聯貸費用維護</t>
  </si>
  <si>
    <t>審後新增2021/11/18 (L2600)</t>
  </si>
  <si>
    <t>審後新增</t>
  </si>
  <si>
    <t>L2064</t>
  </si>
  <si>
    <t>聯貸費用明細資料查詢</t>
  </si>
  <si>
    <t>L6022</t>
  </si>
  <si>
    <t>聯貸費用代碼查詢</t>
  </si>
  <si>
    <t>審後新增2021/11/23 (L2604)</t>
  </si>
  <si>
    <t>L6202</t>
  </si>
  <si>
    <t>聯貸費用代碼維護</t>
  </si>
  <si>
    <t>L3912</t>
  </si>
  <si>
    <t xml:space="preserve">交易內容查詢             </t>
  </si>
  <si>
    <t>交易明細資料查詢</t>
  </si>
  <si>
    <t>L3005</t>
  </si>
  <si>
    <t xml:space="preserve">交易明細資料查詢         </t>
  </si>
  <si>
    <t>L3932</t>
  </si>
  <si>
    <t xml:space="preserve">借戶利率查詢             </t>
  </si>
  <si>
    <t>借戶利率查詢</t>
  </si>
  <si>
    <t>L3721</t>
  </si>
  <si>
    <t xml:space="preserve">借戶利率變更             </t>
  </si>
  <si>
    <t>借戶利率變更</t>
  </si>
  <si>
    <t>L3701</t>
  </si>
  <si>
    <t xml:space="preserve">放款內容變更             </t>
  </si>
  <si>
    <t>放款內容變更</t>
  </si>
  <si>
    <t>4-1撥款退款作業</t>
  </si>
  <si>
    <t>L4101</t>
  </si>
  <si>
    <t>撥款退款作業</t>
  </si>
  <si>
    <t>L4001</t>
  </si>
  <si>
    <t>撥款退款彙總查詢</t>
  </si>
  <si>
    <t>L4901</t>
  </si>
  <si>
    <t xml:space="preserve">撥款匯款記錄檔查詢                   </t>
  </si>
  <si>
    <t>L6001</t>
  </si>
  <si>
    <t xml:space="preserve">應處理清單      </t>
  </si>
  <si>
    <t>2021/10/19, 2021/10/18, 2021/9/8</t>
  </si>
  <si>
    <t>4-4銀行扣款授權</t>
  </si>
  <si>
    <t>L4042</t>
  </si>
  <si>
    <t xml:space="preserve">ACH授權資料查詢                      </t>
  </si>
  <si>
    <t>L4410</t>
  </si>
  <si>
    <t xml:space="preserve">ACH授權資料建檔                      </t>
  </si>
  <si>
    <t>L4040</t>
  </si>
  <si>
    <t xml:space="preserve">產生ACH授權提出資料                  </t>
  </si>
  <si>
    <t>L4414</t>
  </si>
  <si>
    <t xml:space="preserve">上傳授權提回檔                       </t>
  </si>
  <si>
    <t>L4940</t>
  </si>
  <si>
    <t>帳號授權檔查詢</t>
  </si>
  <si>
    <t>L4941</t>
  </si>
  <si>
    <t>ACH授權資料歷史紀錄查詢</t>
  </si>
  <si>
    <t>L4043</t>
  </si>
  <si>
    <t xml:space="preserve">郵局授權資料查詢                     </t>
  </si>
  <si>
    <t>L4412</t>
  </si>
  <si>
    <t xml:space="preserve">郵局授權資料建檔                     </t>
  </si>
  <si>
    <t>L4041</t>
  </si>
  <si>
    <t>產生郵局授權資料</t>
  </si>
  <si>
    <t>L4942</t>
  </si>
  <si>
    <t>郵局授權資料歷史紀錄查詢</t>
  </si>
  <si>
    <t>L3210</t>
  </si>
  <si>
    <t xml:space="preserve">暫收款登錄               </t>
  </si>
  <si>
    <t>暫收款登錄</t>
  </si>
  <si>
    <t>L3220</t>
  </si>
  <si>
    <t xml:space="preserve">暫收款退還               </t>
  </si>
  <si>
    <t>暫收款退還</t>
  </si>
  <si>
    <t>L4102</t>
  </si>
  <si>
    <t>撥款退款明細表</t>
  </si>
  <si>
    <t>審後新增2021/10/26</t>
  </si>
  <si>
    <t>L4103</t>
  </si>
  <si>
    <t>抽退票傳票明細表</t>
  </si>
  <si>
    <t>4-2整批入帳作業(匯款轉帳、銀行/郵局扣款、支票兌現)</t>
  </si>
  <si>
    <t>L4922</t>
  </si>
  <si>
    <t>客戶還款方式及還款帳號查詢</t>
  </si>
  <si>
    <t>L4923</t>
  </si>
  <si>
    <t>還款帳號及還款方式變更紀錄查詢</t>
  </si>
  <si>
    <t>L6101</t>
  </si>
  <si>
    <t>業務關帳作業</t>
  </si>
  <si>
    <t>PJ201800012_URS_6共同作業_V1.9</t>
  </si>
  <si>
    <t>2021/10/25, 2021/10/18, 2021/9/13</t>
  </si>
  <si>
    <t>4-7其他</t>
  </si>
  <si>
    <t>L4701</t>
  </si>
  <si>
    <t xml:space="preserve">票據媒體製作                         </t>
  </si>
  <si>
    <t>L3007</t>
  </si>
  <si>
    <t xml:space="preserve">暫收支票明細資料查詢     </t>
  </si>
  <si>
    <t>暫收支票查詢</t>
  </si>
  <si>
    <t>L3009</t>
  </si>
  <si>
    <t>支票明細資料查詢-全部</t>
  </si>
  <si>
    <t>L3943</t>
  </si>
  <si>
    <t xml:space="preserve">支票內容查詢             </t>
  </si>
  <si>
    <t>L2061</t>
  </si>
  <si>
    <t>貸後契變手續費明細資料查詢(未入帳)</t>
  </si>
  <si>
    <t>237-1</t>
  </si>
  <si>
    <t>貸後契變手續費作業(MENU)-</t>
  </si>
  <si>
    <t>L2670</t>
  </si>
  <si>
    <t xml:space="preserve">貸後契變手續費維護                      </t>
  </si>
  <si>
    <t>貸後契變手續費作業(MENU)-貸後契變手續費維護</t>
  </si>
  <si>
    <t>L2062</t>
  </si>
  <si>
    <t>貸後契變手續費明細資料查詢</t>
  </si>
  <si>
    <t>237-2</t>
  </si>
  <si>
    <t>4-6火險作業</t>
  </si>
  <si>
    <t>L4060</t>
  </si>
  <si>
    <t xml:space="preserve">額度擔保品保險單關聯查詢   </t>
  </si>
  <si>
    <t>L4610</t>
  </si>
  <si>
    <t>保險單明細資料登錄</t>
  </si>
  <si>
    <t>L4600</t>
  </si>
  <si>
    <t xml:space="preserve">火險到期檔產生作業         </t>
  </si>
  <si>
    <t>L4601</t>
  </si>
  <si>
    <t xml:space="preserve">火險詢價作業               </t>
  </si>
  <si>
    <t>L4611</t>
  </si>
  <si>
    <t xml:space="preserve">續約保單資料維護           </t>
  </si>
  <si>
    <t>L4602</t>
  </si>
  <si>
    <t xml:space="preserve">火險出單明細表與媒體       </t>
  </si>
  <si>
    <t>L4603</t>
  </si>
  <si>
    <t xml:space="preserve">火險通知作業               </t>
  </si>
  <si>
    <t>L4962</t>
  </si>
  <si>
    <t xml:space="preserve">保險單資料檢核作業       </t>
  </si>
  <si>
    <t>2021/10/19, 2021/9/16</t>
  </si>
  <si>
    <t>L4960</t>
  </si>
  <si>
    <t xml:space="preserve">火險保費資料查詢(By客戶) </t>
  </si>
  <si>
    <t>L4961</t>
  </si>
  <si>
    <t xml:space="preserve">火險保費明細查詢         </t>
  </si>
  <si>
    <t>L4964</t>
  </si>
  <si>
    <t>擔保品保險單資料查詢</t>
  </si>
  <si>
    <t>L4965</t>
  </si>
  <si>
    <t xml:space="preserve">保險單明細資料查詢       </t>
  </si>
  <si>
    <t>4-4銀行扣款作業(產出銀扣媒體作業)</t>
  </si>
  <si>
    <t>L4450</t>
  </si>
  <si>
    <t xml:space="preserve">產出銀行扣帳檔                       </t>
  </si>
  <si>
    <t>蔡珮瑜、張舜雯</t>
  </si>
  <si>
    <t>L4943</t>
  </si>
  <si>
    <t xml:space="preserve">銀行扣款檔資料查詢                   </t>
  </si>
  <si>
    <t>2021/10/15, 2021/9/17</t>
  </si>
  <si>
    <t>L4451</t>
  </si>
  <si>
    <t xml:space="preserve">銀行扣款檔資料維護                   </t>
  </si>
  <si>
    <t>L4452</t>
  </si>
  <si>
    <t xml:space="preserve">銀行扣款(媒體製作)                   </t>
  </si>
  <si>
    <t>L4453</t>
  </si>
  <si>
    <t>銀扣扣款前通知</t>
  </si>
  <si>
    <t>L5705</t>
  </si>
  <si>
    <t>債權比例分攤(產出)</t>
  </si>
  <si>
    <t>蘇曉玲</t>
  </si>
  <si>
    <t>PJ201800012_URS_5管理性作業_V1.2.DOCX</t>
  </si>
  <si>
    <t>L5706</t>
  </si>
  <si>
    <t xml:space="preserve">債權比例分攤資料維護(匯入)            </t>
  </si>
  <si>
    <t>L5071</t>
  </si>
  <si>
    <t>債權案件明細查詢</t>
  </si>
  <si>
    <t>L5701</t>
  </si>
  <si>
    <t>債權維護</t>
  </si>
  <si>
    <t>L5981</t>
  </si>
  <si>
    <t>債權異動歷程查詢</t>
  </si>
  <si>
    <t>L5075</t>
  </si>
  <si>
    <t xml:space="preserve">債務協商滯繳/應繳明細查詢             </t>
  </si>
  <si>
    <t>L5974</t>
  </si>
  <si>
    <t xml:space="preserve">債權銀行帳號明細資料查詢              </t>
  </si>
  <si>
    <t>L5073</t>
  </si>
  <si>
    <t>債務協商作業-撥付日期查詢</t>
  </si>
  <si>
    <t>L5970</t>
  </si>
  <si>
    <t xml:space="preserve">期款試算                              </t>
  </si>
  <si>
    <t>L5074</t>
  </si>
  <si>
    <t>債務協商作業－債協應處理事項清單</t>
  </si>
  <si>
    <t>L597A</t>
  </si>
  <si>
    <t>債務協商作業-整批處理</t>
  </si>
  <si>
    <t>L5702</t>
  </si>
  <si>
    <t>債務協商作業-暫收入帳</t>
  </si>
  <si>
    <t>L5712</t>
  </si>
  <si>
    <t>債務協商作業-暫收解入</t>
  </si>
  <si>
    <t>審後新增2021/9/24</t>
  </si>
  <si>
    <t>L5971</t>
  </si>
  <si>
    <t xml:space="preserve">債務協商交易資料查詢                  </t>
  </si>
  <si>
    <t>L5972</t>
  </si>
  <si>
    <t>債務協商入帳明細資料查詢</t>
  </si>
  <si>
    <t>L5703</t>
  </si>
  <si>
    <t xml:space="preserve">債權銀行帳號登錄                      </t>
  </si>
  <si>
    <t>L5704</t>
  </si>
  <si>
    <t>債務協商作業－撥付日期設定</t>
  </si>
  <si>
    <t>L5707</t>
  </si>
  <si>
    <t xml:space="preserve">最大債權撥付產檔                      </t>
  </si>
  <si>
    <t>L5973</t>
  </si>
  <si>
    <t xml:space="preserve">最大債權撥付明細查詢                  </t>
  </si>
  <si>
    <t>L5975</t>
  </si>
  <si>
    <t>最大債權撥付統計查詢</t>
  </si>
  <si>
    <t>L5976</t>
  </si>
  <si>
    <t>債權案件主檔內容查詢</t>
  </si>
  <si>
    <t>L5977</t>
  </si>
  <si>
    <t>客戶最大債權撥付統計查詢</t>
  </si>
  <si>
    <t>L5711</t>
  </si>
  <si>
    <t>撥付金額調整</t>
  </si>
  <si>
    <t>L5708</t>
  </si>
  <si>
    <t xml:space="preserve">最大債權撥付出帳                      </t>
  </si>
  <si>
    <t>L5709</t>
  </si>
  <si>
    <t xml:space="preserve">最大債權撥付回覆檔檢核                </t>
  </si>
  <si>
    <t>L5710</t>
  </si>
  <si>
    <t xml:space="preserve">一般債權撥付資料檢核                  </t>
  </si>
  <si>
    <t>L6085</t>
  </si>
  <si>
    <t>單位及主管代號查詢</t>
  </si>
  <si>
    <t>張淑遠</t>
  </si>
  <si>
    <t>6-29</t>
  </si>
  <si>
    <t>單位主管代碼檔維護</t>
  </si>
  <si>
    <t>L6755</t>
  </si>
  <si>
    <t>單位及主管代號維護</t>
  </si>
  <si>
    <t>L6086</t>
  </si>
  <si>
    <t>單位代號查詢</t>
  </si>
  <si>
    <t>L6030</t>
  </si>
  <si>
    <t>特殊/例假日查詢</t>
  </si>
  <si>
    <t>L6310</t>
  </si>
  <si>
    <t>特殊/例假日登錄</t>
  </si>
  <si>
    <t>L6064</t>
  </si>
  <si>
    <t>各類代碼檔查詢</t>
  </si>
  <si>
    <t>L6604</t>
  </si>
  <si>
    <t>各類代碼檔維護</t>
  </si>
  <si>
    <t>L6061</t>
  </si>
  <si>
    <t>會計科子細目查詢</t>
  </si>
  <si>
    <t>6-30</t>
  </si>
  <si>
    <t>會計科子目維護</t>
  </si>
  <si>
    <t>L6601</t>
  </si>
  <si>
    <t>會計科子細目維護</t>
  </si>
  <si>
    <t>L6077</t>
  </si>
  <si>
    <t>現金流量預估資料查詢</t>
  </si>
  <si>
    <t>6-25</t>
  </si>
  <si>
    <t>現金流量預估資料維護</t>
  </si>
  <si>
    <t>L6707</t>
  </si>
  <si>
    <t>L6078</t>
  </si>
  <si>
    <t>利息收入預算數查詢</t>
  </si>
  <si>
    <t>L6708</t>
  </si>
  <si>
    <t>利息收入預算數維護</t>
  </si>
  <si>
    <t>L6063</t>
  </si>
  <si>
    <t>擔保品代號資料查詢</t>
  </si>
  <si>
    <t>鄧雪美</t>
  </si>
  <si>
    <t>6-12</t>
  </si>
  <si>
    <t>押品別資料維護</t>
  </si>
  <si>
    <t>L6603</t>
  </si>
  <si>
    <t>擔保品代號資料維護</t>
  </si>
  <si>
    <t>L6067</t>
  </si>
  <si>
    <t>保證人關係代碼查詢</t>
  </si>
  <si>
    <t>6-36</t>
  </si>
  <si>
    <t>保證人關係維護</t>
  </si>
  <si>
    <t>L6607</t>
  </si>
  <si>
    <t>保證人關係代碼維護</t>
  </si>
  <si>
    <t>L6075</t>
  </si>
  <si>
    <t>聯徵報送-地區別資料查詢</t>
  </si>
  <si>
    <t>6-35</t>
  </si>
  <si>
    <t>聯徵報送-地區別資料維護</t>
  </si>
  <si>
    <t>L6705</t>
  </si>
  <si>
    <t>L6062</t>
  </si>
  <si>
    <t>行業別代號資料查詢</t>
  </si>
  <si>
    <t>6-8</t>
  </si>
  <si>
    <t>行業別代號維護</t>
  </si>
  <si>
    <t>L6602</t>
  </si>
  <si>
    <t>L6074</t>
  </si>
  <si>
    <t>地區別資料查詢</t>
  </si>
  <si>
    <t>L6704</t>
  </si>
  <si>
    <t>地區別資料維護</t>
  </si>
  <si>
    <t>L6065</t>
  </si>
  <si>
    <t>逾期新增減少原因查詢</t>
  </si>
  <si>
    <t>6-17</t>
  </si>
  <si>
    <t>逾期新增減少原因維護</t>
  </si>
  <si>
    <t>L6605</t>
  </si>
  <si>
    <t>L6066</t>
  </si>
  <si>
    <t>主管理由查詢</t>
  </si>
  <si>
    <t>6-7</t>
  </si>
  <si>
    <t>主管理由檔維護</t>
  </si>
  <si>
    <t>L6606</t>
  </si>
  <si>
    <t>主管理由維護</t>
  </si>
  <si>
    <t>L6071</t>
  </si>
  <si>
    <t>行庫資料查詢</t>
  </si>
  <si>
    <t>6-28</t>
  </si>
  <si>
    <t>行庫資料維護</t>
  </si>
  <si>
    <t>L6701</t>
  </si>
  <si>
    <t>L6073</t>
  </si>
  <si>
    <t>保險/鑑定公司資料查詢</t>
  </si>
  <si>
    <t>6-10</t>
  </si>
  <si>
    <t>保險／鑑定公司資料維護</t>
  </si>
  <si>
    <t>L6703</t>
  </si>
  <si>
    <t>保險/鑑定公司資料維護</t>
  </si>
  <si>
    <t>L6079</t>
  </si>
  <si>
    <t>帳冊別目標金額查詢</t>
  </si>
  <si>
    <t>6-40</t>
  </si>
  <si>
    <t>利變目標金額維護</t>
  </si>
  <si>
    <t>L6709</t>
  </si>
  <si>
    <t>帳冊別目標金額維護</t>
  </si>
  <si>
    <t>L6052</t>
  </si>
  <si>
    <t>會計變動數值設定查詢</t>
  </si>
  <si>
    <t>L6502</t>
  </si>
  <si>
    <t>會計變動數值設定</t>
  </si>
  <si>
    <t>4-5員工扣薪作業-1產出媒體</t>
  </si>
  <si>
    <t>L4500</t>
  </si>
  <si>
    <t>設定員工扣薪日程表</t>
  </si>
  <si>
    <t>L4950</t>
  </si>
  <si>
    <t xml:space="preserve">員工扣薪設定檢核表    </t>
  </si>
  <si>
    <t>L4510</t>
  </si>
  <si>
    <t>產出員工扣薪明細檔</t>
  </si>
  <si>
    <t>L4951</t>
  </si>
  <si>
    <t>員工扣薪媒體檔查詢</t>
  </si>
  <si>
    <t>L4512</t>
  </si>
  <si>
    <t>員工扣薪媒體檔維護</t>
  </si>
  <si>
    <t>L4511</t>
  </si>
  <si>
    <t>產出員工扣薪媒體檔</t>
  </si>
  <si>
    <t>L4200</t>
  </si>
  <si>
    <t xml:space="preserve">入帳檔上傳作業                       </t>
  </si>
  <si>
    <t>2021/10/15,2021/9/29</t>
  </si>
  <si>
    <t>L4520</t>
  </si>
  <si>
    <t>產生員工扣薪報表</t>
  </si>
  <si>
    <t>4-5員工扣薪作業-2入賬</t>
  </si>
  <si>
    <t>L4204</t>
  </si>
  <si>
    <t>員工扣薪-明細查詢</t>
  </si>
  <si>
    <t>L4205</t>
  </si>
  <si>
    <t>支票兌現-明細查詢</t>
  </si>
  <si>
    <t>L4002</t>
  </si>
  <si>
    <t xml:space="preserve">整批入帳作業                         </t>
  </si>
  <si>
    <t>2021/10/15, 2021/10/12</t>
  </si>
  <si>
    <t>L420A</t>
  </si>
  <si>
    <t>整批批次檢核作業</t>
  </si>
  <si>
    <t>L420B</t>
  </si>
  <si>
    <t>整批批次入帳作業</t>
  </si>
  <si>
    <t>L4920</t>
  </si>
  <si>
    <t>整批入帳明細查詢</t>
  </si>
  <si>
    <t>L4925</t>
  </si>
  <si>
    <t xml:space="preserve">整批入帳明細查詢(By日期區間)         </t>
  </si>
  <si>
    <t>L4930</t>
  </si>
  <si>
    <t>整批勾選處理</t>
  </si>
  <si>
    <t>L4202</t>
  </si>
  <si>
    <t>銀行扣款-明細查詢</t>
  </si>
  <si>
    <t>L4203</t>
  </si>
  <si>
    <t>郵局扣款-明細查詢</t>
  </si>
  <si>
    <t>L4454</t>
  </si>
  <si>
    <t>產生銀扣失敗通知</t>
  </si>
  <si>
    <t>L4455</t>
  </si>
  <si>
    <t>銀行扣款報表</t>
  </si>
  <si>
    <t>審後新增2021/11/19</t>
  </si>
  <si>
    <t>L3911</t>
  </si>
  <si>
    <t xml:space="preserve">繳息情形查詢             </t>
  </si>
  <si>
    <t>繳息情形查詢</t>
  </si>
  <si>
    <t>L3913</t>
  </si>
  <si>
    <t>計息明細查詢</t>
  </si>
  <si>
    <t>審後新增2021/10/19</t>
  </si>
  <si>
    <t>L4210</t>
  </si>
  <si>
    <t xml:space="preserve">其他還款來源建檔                     </t>
  </si>
  <si>
    <t>L4921</t>
  </si>
  <si>
    <t xml:space="preserve">其他還款來源建檔查詢                 </t>
  </si>
  <si>
    <t>L4201</t>
  </si>
  <si>
    <t>匯款轉帳-明細維護</t>
  </si>
  <si>
    <t>L492A</t>
  </si>
  <si>
    <t xml:space="preserve">已入帳未還款查詢(By戶號)              </t>
  </si>
  <si>
    <t>L4702</t>
  </si>
  <si>
    <t xml:space="preserve">產生放款本息攤還表暨繳息通知單       </t>
  </si>
  <si>
    <t>L4703</t>
  </si>
  <si>
    <t xml:space="preserve">產生滯繳通知單                       </t>
  </si>
  <si>
    <t>L3921</t>
  </si>
  <si>
    <t xml:space="preserve">回收試算                 </t>
  </si>
  <si>
    <t>回收試算</t>
  </si>
  <si>
    <t>L3922</t>
  </si>
  <si>
    <t xml:space="preserve">結案試算                 </t>
  </si>
  <si>
    <t>2021/10/19, 2021/10/18, 2021/10/13</t>
  </si>
  <si>
    <t>結案試算</t>
  </si>
  <si>
    <t>L3923</t>
  </si>
  <si>
    <t xml:space="preserve">應繳日試算               </t>
  </si>
  <si>
    <t>應繳日試算</t>
  </si>
  <si>
    <t>L3924</t>
  </si>
  <si>
    <t xml:space="preserve">催收回復試算             </t>
  </si>
  <si>
    <t>催收回復試算</t>
  </si>
  <si>
    <t>L3925</t>
  </si>
  <si>
    <t xml:space="preserve">還款分配試算             </t>
  </si>
  <si>
    <t>還款分配試算</t>
  </si>
  <si>
    <t>L3926</t>
  </si>
  <si>
    <t xml:space="preserve">變更期款試算             </t>
  </si>
  <si>
    <t>變更期款試算</t>
  </si>
  <si>
    <t>L3004</t>
  </si>
  <si>
    <t xml:space="preserve">約定部分償還明細資料查詢 </t>
  </si>
  <si>
    <t>L3130</t>
  </si>
  <si>
    <t xml:space="preserve">約定部分償還登錄         </t>
  </si>
  <si>
    <t>L3200</t>
  </si>
  <si>
    <t xml:space="preserve">回收登錄                 </t>
  </si>
  <si>
    <t>回收登錄</t>
  </si>
  <si>
    <t>L3230</t>
  </si>
  <si>
    <t>暫收款銷帳</t>
  </si>
  <si>
    <t>2021/10/19, 2021/10/18, 2021/10/13,2021/9/14</t>
  </si>
  <si>
    <t>L3410</t>
  </si>
  <si>
    <t xml:space="preserve">結案登錄-可欠繳          </t>
  </si>
  <si>
    <t>結案登錄-可欠繳</t>
  </si>
  <si>
    <t>L3420</t>
  </si>
  <si>
    <t>結案登錄-不可欠繳</t>
  </si>
  <si>
    <t>L3731</t>
  </si>
  <si>
    <t>呆帳戶改呆帳結案戶</t>
  </si>
  <si>
    <t>L3711</t>
  </si>
  <si>
    <t xml:space="preserve">應繳日變更-不可欠繳      </t>
  </si>
  <si>
    <t>應繳日變更-不可欠繳</t>
  </si>
  <si>
    <t>L3712</t>
  </si>
  <si>
    <t xml:space="preserve">應繳日變更-可欠繳        </t>
  </si>
  <si>
    <t>應繳日變更-可欠繳</t>
  </si>
  <si>
    <t>L2603</t>
  </si>
  <si>
    <t xml:space="preserve">法拍費用借支報表列印                    </t>
  </si>
  <si>
    <t>法拍費用管理系統-法拍費用報表列印</t>
  </si>
  <si>
    <t>L2078</t>
  </si>
  <si>
    <t xml:space="preserve">法拍費用明細資料查詢              </t>
  </si>
  <si>
    <t>法拍費用管理系統-催收法務費沖銷明細資料查詢</t>
  </si>
  <si>
    <t>L2601</t>
  </si>
  <si>
    <t xml:space="preserve">法拍費用新增                            </t>
  </si>
  <si>
    <t>法拍費用管理系統-法拍費用新增</t>
  </si>
  <si>
    <t>L2602</t>
  </si>
  <si>
    <t xml:space="preserve">法拍費用維護                            </t>
  </si>
  <si>
    <t>法拍費用管理系統-法拍費用維護</t>
  </si>
  <si>
    <t>L2941</t>
  </si>
  <si>
    <t>法拍費用查詢-依借戶戶號</t>
  </si>
  <si>
    <t>法拍費用管理系統-法拍費用查詢-依帳務日期</t>
  </si>
  <si>
    <t>L2942</t>
  </si>
  <si>
    <t>法拍費用查詢-依會計日期</t>
  </si>
  <si>
    <t>法拍費用管理系統-法拍費用查詢-依借戶戶號</t>
  </si>
  <si>
    <t>L2605</t>
  </si>
  <si>
    <t xml:space="preserve">法拍費用未銷明細查詢                    </t>
  </si>
  <si>
    <t>法拍費用管理系統-法拍費用季報表</t>
  </si>
  <si>
    <t>L2613</t>
  </si>
  <si>
    <t xml:space="preserve">法務費轉催收明細表                      </t>
  </si>
  <si>
    <t>法拍費用管理系統-法務費轉催收明細表</t>
  </si>
  <si>
    <t>L2614</t>
  </si>
  <si>
    <t>法務費轉催收傳票開立作業(列印)</t>
  </si>
  <si>
    <t>併入應處理清單</t>
  </si>
  <si>
    <t>法拍費用管理系統-法務費轉催收傳票開立作業</t>
  </si>
  <si>
    <t>L4604</t>
  </si>
  <si>
    <t xml:space="preserve">火險保費未繳轉借支作業     </t>
  </si>
  <si>
    <t>L4605</t>
  </si>
  <si>
    <t xml:space="preserve">火險最終保單上傳作業       </t>
  </si>
  <si>
    <t>L4606</t>
  </si>
  <si>
    <t xml:space="preserve">火險佣金作業               </t>
  </si>
  <si>
    <t>L4607</t>
  </si>
  <si>
    <t xml:space="preserve">建築造價參考資料維護             </t>
  </si>
  <si>
    <t>L4966</t>
  </si>
  <si>
    <t xml:space="preserve">火險佣金資料查詢             </t>
  </si>
  <si>
    <t>L6982</t>
  </si>
  <si>
    <t>火險費轉列催收作業</t>
  </si>
  <si>
    <t>L6983</t>
  </si>
  <si>
    <t>法務費轉列催收作業</t>
  </si>
  <si>
    <t>2021/10/19, 2021/10/18</t>
  </si>
  <si>
    <t>L3440</t>
  </si>
  <si>
    <t xml:space="preserve">催收回復登錄             </t>
  </si>
  <si>
    <t>催收回復登錄</t>
  </si>
  <si>
    <t>L2079</t>
  </si>
  <si>
    <t>展期件新舊對照查詢</t>
  </si>
  <si>
    <t>法拍費用管理系統-法拍費用明細資料查詢</t>
  </si>
  <si>
    <t>L6981</t>
  </si>
  <si>
    <t>放款轉列催收作業</t>
  </si>
  <si>
    <t>L6201</t>
  </si>
  <si>
    <t>其他傳票輸入</t>
  </si>
  <si>
    <t>3-79</t>
  </si>
  <si>
    <t>其他傳票輸入作業</t>
  </si>
  <si>
    <t>L6901</t>
  </si>
  <si>
    <t>交易分錄清單查詢</t>
  </si>
  <si>
    <t>L6902</t>
  </si>
  <si>
    <t>會計總帳查詢</t>
  </si>
  <si>
    <t>L6903</t>
  </si>
  <si>
    <t>會計帳務明細查詢</t>
  </si>
  <si>
    <t>L6904</t>
  </si>
  <si>
    <t>日結彙計查詢</t>
  </si>
  <si>
    <t>L6905</t>
  </si>
  <si>
    <t>日結明細查詢</t>
  </si>
  <si>
    <t>2021/10/18, 2021/9/14</t>
  </si>
  <si>
    <t>L6906</t>
  </si>
  <si>
    <t>會計分錄查詢</t>
  </si>
  <si>
    <t>L6907</t>
  </si>
  <si>
    <t>未銷帳餘額明細查詢</t>
  </si>
  <si>
    <t>L6908</t>
  </si>
  <si>
    <t>銷帳歷史明細查詢</t>
  </si>
  <si>
    <t>L6102</t>
  </si>
  <si>
    <t>核心傳票相關單獨作業</t>
  </si>
  <si>
    <t>審後新增2021/10/18</t>
  </si>
  <si>
    <t>L2076</t>
  </si>
  <si>
    <t>領取清償證明作業</t>
  </si>
  <si>
    <t>2021/11/5, 2021/10/22</t>
  </si>
  <si>
    <t>225-1</t>
  </si>
  <si>
    <t>檔案借閱作業-檔案借閱明細資料查詢</t>
  </si>
  <si>
    <t>L2631</t>
  </si>
  <si>
    <t xml:space="preserve">清償作業                                </t>
  </si>
  <si>
    <t>XXX未改好</t>
  </si>
  <si>
    <t>清償作業</t>
  </si>
  <si>
    <t>L2931</t>
  </si>
  <si>
    <t xml:space="preserve">清償違約明細                            </t>
  </si>
  <si>
    <t>清償作業-清償違約明細</t>
  </si>
  <si>
    <t>L2077</t>
  </si>
  <si>
    <t xml:space="preserve">清償作業明細資料查詢                    </t>
  </si>
  <si>
    <t>清償報表作業-清償作業明細資料查詢</t>
  </si>
  <si>
    <t>L2932</t>
  </si>
  <si>
    <t>額度清償資料</t>
  </si>
  <si>
    <t>L2632</t>
  </si>
  <si>
    <t xml:space="preserve">清償作業維護                            </t>
  </si>
  <si>
    <t>清償報表作業-清償作業維護</t>
  </si>
  <si>
    <t>4-3利率調整作業</t>
  </si>
  <si>
    <t>L4322</t>
  </si>
  <si>
    <t>地區別利率調整設定</t>
  </si>
  <si>
    <t>L4320</t>
  </si>
  <si>
    <t xml:space="preserve">產生利率即將變動資料                 </t>
  </si>
  <si>
    <t>L4031</t>
  </si>
  <si>
    <t>利率調整清單</t>
  </si>
  <si>
    <t>L4321</t>
  </si>
  <si>
    <t>利率調整確認作業</t>
  </si>
  <si>
    <t>L4325</t>
  </si>
  <si>
    <t>個別利率批次輸入</t>
  </si>
  <si>
    <t>由L4105更名</t>
  </si>
  <si>
    <t>L4931</t>
  </si>
  <si>
    <t>個別利率調整作業</t>
  </si>
  <si>
    <t>L4721</t>
  </si>
  <si>
    <t>整批批次產出利率變動對帳單</t>
  </si>
  <si>
    <t>L4030</t>
  </si>
  <si>
    <t xml:space="preserve">調整員工利率作業                     </t>
  </si>
  <si>
    <t>L6031</t>
  </si>
  <si>
    <t>指標利率種類查詢</t>
  </si>
  <si>
    <t>L6032</t>
  </si>
  <si>
    <t>指標利率資料查詢</t>
  </si>
  <si>
    <t>L6301</t>
  </si>
  <si>
    <t>指標利率種類維護</t>
  </si>
  <si>
    <t>L6302</t>
  </si>
  <si>
    <t>指標利率登錄/維護</t>
  </si>
  <si>
    <t>L2036</t>
  </si>
  <si>
    <t>借款戶關係人/關係企業明細查詢</t>
  </si>
  <si>
    <t>施美娟、李珮君、陳俞辛(企金)</t>
  </si>
  <si>
    <t>非本公司關係人親屬明細資料查詢</t>
  </si>
  <si>
    <t>L2035</t>
  </si>
  <si>
    <t>借款戶關係人/關係企業查詢</t>
  </si>
  <si>
    <t>由L1906併入 2021/7/26</t>
  </si>
  <si>
    <t>非本公司關係人明細資料查詢</t>
  </si>
  <si>
    <t>L2305</t>
  </si>
  <si>
    <t xml:space="preserve">借款戶關係人/關係企業維護(整批)         </t>
  </si>
  <si>
    <t>L2306</t>
  </si>
  <si>
    <t xml:space="preserve">借款戶關係人/關係企業維護           </t>
  </si>
  <si>
    <t>由L1106併入 2021/7/26</t>
  </si>
  <si>
    <t>非本公司關係人資料建立</t>
  </si>
  <si>
    <t>L2022</t>
  </si>
  <si>
    <t>所有關係人資料查詢</t>
  </si>
  <si>
    <t>L2023</t>
  </si>
  <si>
    <t>ID所有人案件關係查詢</t>
  </si>
  <si>
    <t>審後新增2021/10/25</t>
  </si>
  <si>
    <t>L2222</t>
  </si>
  <si>
    <t>與授信戶關係登錄</t>
  </si>
  <si>
    <t>陳俞辛(企金)</t>
  </si>
  <si>
    <t>L2903</t>
  </si>
  <si>
    <t xml:space="preserve">關聯戶放款資料查詢                              </t>
  </si>
  <si>
    <t>關聯戶查詢</t>
  </si>
  <si>
    <t>L2980</t>
  </si>
  <si>
    <t>個人房貸調整作業</t>
  </si>
  <si>
    <t>L2073</t>
  </si>
  <si>
    <t>結清客戶申請個人資料控管查詢</t>
  </si>
  <si>
    <t>客戶個人資料控管明細資料查詢</t>
  </si>
  <si>
    <t>L2703</t>
  </si>
  <si>
    <t>結清客戶申請個人資料控管維護</t>
  </si>
  <si>
    <t>放款專員業績統計作業－區域中心經理所屬區域中心維護</t>
  </si>
  <si>
    <t>L2039</t>
  </si>
  <si>
    <t xml:space="preserve">擔保品重評明細資料查詢                  </t>
  </si>
  <si>
    <t>L2480</t>
  </si>
  <si>
    <t xml:space="preserve">擔保品重評資料登錄                      </t>
  </si>
  <si>
    <t>L5060</t>
  </si>
  <si>
    <t xml:space="preserve">案件處理清單         </t>
  </si>
  <si>
    <t>L5960</t>
  </si>
  <si>
    <t xml:space="preserve">案件資料查詢         </t>
  </si>
  <si>
    <t>L5961</t>
  </si>
  <si>
    <t xml:space="preserve">電催明細資料查詢     </t>
  </si>
  <si>
    <t>L5601</t>
  </si>
  <si>
    <t xml:space="preserve">電催登錄             </t>
  </si>
  <si>
    <t>L5962</t>
  </si>
  <si>
    <t xml:space="preserve">面催明細資料查詢     </t>
  </si>
  <si>
    <t>L5602</t>
  </si>
  <si>
    <t xml:space="preserve">面催登錄             </t>
  </si>
  <si>
    <t>L5963</t>
  </si>
  <si>
    <t xml:space="preserve">函催明細資料查詢     </t>
  </si>
  <si>
    <t>L5603</t>
  </si>
  <si>
    <t xml:space="preserve">函催登錄             </t>
  </si>
  <si>
    <t>L5964</t>
  </si>
  <si>
    <t xml:space="preserve">法務進度明細資料查詢 </t>
  </si>
  <si>
    <t>L5604</t>
  </si>
  <si>
    <t xml:space="preserve">法務進度登錄         </t>
  </si>
  <si>
    <t>L5965</t>
  </si>
  <si>
    <t xml:space="preserve">提醒事項查詢         </t>
  </si>
  <si>
    <t>L5605</t>
  </si>
  <si>
    <t xml:space="preserve">提醒事項登錄         </t>
  </si>
  <si>
    <t>L5061</t>
  </si>
  <si>
    <t>催收催繳明細</t>
  </si>
  <si>
    <t>L5062</t>
  </si>
  <si>
    <t>法務催收人員查詢</t>
  </si>
  <si>
    <t>審後新增2021/10/28</t>
  </si>
  <si>
    <t>L5606</t>
  </si>
  <si>
    <t>法務催收人員維護</t>
  </si>
  <si>
    <t>8-1AML檢核</t>
  </si>
  <si>
    <t>L8080</t>
  </si>
  <si>
    <t>AML姓名檢核查詢</t>
  </si>
  <si>
    <t>王薏涵、鄧雪美</t>
  </si>
  <si>
    <t>L8100</t>
  </si>
  <si>
    <t>AML姓名檢核</t>
  </si>
  <si>
    <t>L8081</t>
  </si>
  <si>
    <t>AML定審通知查詢</t>
  </si>
  <si>
    <t>新增2021/11/2</t>
  </si>
  <si>
    <t>L8083</t>
  </si>
  <si>
    <t>AML定審低風險資料查詢</t>
  </si>
  <si>
    <t>新增2021/11/26</t>
  </si>
  <si>
    <t>L8101</t>
  </si>
  <si>
    <t>AML定審通知處理</t>
  </si>
  <si>
    <t>8-7公務人員報送</t>
  </si>
  <si>
    <t>L8701</t>
  </si>
  <si>
    <t>產製公務人員報送資料</t>
  </si>
  <si>
    <t xml:space="preserve">公職人員財產申報作業  </t>
  </si>
  <si>
    <t>8-2疑似洗錢</t>
  </si>
  <si>
    <t>L8921</t>
  </si>
  <si>
    <t>疑似洗錢樣態檢核查詢</t>
  </si>
  <si>
    <t>L8201</t>
  </si>
  <si>
    <t>疑似洗錢樣態條件設定</t>
  </si>
  <si>
    <t>5-24-1</t>
  </si>
  <si>
    <t xml:space="preserve">疑似洗錢樣態條件設定  </t>
  </si>
  <si>
    <t>L8924</t>
  </si>
  <si>
    <t>疑似洗錢資料變更查詢</t>
  </si>
  <si>
    <t>L8202</t>
  </si>
  <si>
    <t>疑似洗錢樣態資料產生</t>
  </si>
  <si>
    <t>產生疑似洗錢樣態檢核資料</t>
  </si>
  <si>
    <t>L8922</t>
  </si>
  <si>
    <t>疑似洗錢交易合理性查詢</t>
  </si>
  <si>
    <t>5-24-4-1</t>
  </si>
  <si>
    <t>疑似洗錢交易合理性維護</t>
  </si>
  <si>
    <t>L8203</t>
  </si>
  <si>
    <t>L8923</t>
  </si>
  <si>
    <t>疑似洗錢交易訪談記錄查詢</t>
  </si>
  <si>
    <t>5-24-5-1</t>
  </si>
  <si>
    <t xml:space="preserve">疑似洗錢交易訪談維護  </t>
  </si>
  <si>
    <t>L8204</t>
  </si>
  <si>
    <t>疑似洗錢交易訪談記錄維護</t>
  </si>
  <si>
    <t>L5801</t>
  </si>
  <si>
    <t>補貼息作業</t>
  </si>
  <si>
    <t>L5982</t>
  </si>
  <si>
    <t>國稅局申報檔查詢</t>
  </si>
  <si>
    <t>L5812</t>
  </si>
  <si>
    <t>國稅局申報檔維護</t>
  </si>
  <si>
    <t>L5811</t>
  </si>
  <si>
    <t>產生國稅局申報檢核檔</t>
  </si>
  <si>
    <t>L5813</t>
  </si>
  <si>
    <t>產生國稅局申報媒體檔</t>
  </si>
  <si>
    <t>L5901</t>
  </si>
  <si>
    <t xml:space="preserve">資金運用概況明細資料查詢              </t>
  </si>
  <si>
    <t xml:space="preserve">2-11 </t>
  </si>
  <si>
    <t>資金運用概況明細資料查詢</t>
  </si>
  <si>
    <t>L5101</t>
  </si>
  <si>
    <t xml:space="preserve">資金運用概況維護                      </t>
  </si>
  <si>
    <t>資金運用概況明細</t>
  </si>
  <si>
    <t>L5902</t>
  </si>
  <si>
    <t>授信審議委員會會議紀錄明細資料查詢</t>
  </si>
  <si>
    <t xml:space="preserve">2-12 </t>
  </si>
  <si>
    <t>放審會維護</t>
  </si>
  <si>
    <t>L5102</t>
  </si>
  <si>
    <t>授信審議委員會會議紀錄維護</t>
  </si>
  <si>
    <t>L5903</t>
  </si>
  <si>
    <t xml:space="preserve">檔案借閱明細資料查詢                  </t>
  </si>
  <si>
    <t>2-25-1</t>
  </si>
  <si>
    <t>檔案借閱作業-檔案借閱維護</t>
  </si>
  <si>
    <t>L5103</t>
  </si>
  <si>
    <t xml:space="preserve">檔案借閱維護                          </t>
  </si>
  <si>
    <t>L5104</t>
  </si>
  <si>
    <t xml:space="preserve">檔案借閱報表作業(列印)                </t>
  </si>
  <si>
    <t>2-25-2</t>
  </si>
  <si>
    <t>檔案借閱作業-檔案借閱報表作業(列印)</t>
  </si>
  <si>
    <t>L5905</t>
  </si>
  <si>
    <t>覆審案件明細檔查詢</t>
  </si>
  <si>
    <t>L5105</t>
  </si>
  <si>
    <t>覆審案件明細檔維護</t>
  </si>
  <si>
    <t>L5106</t>
  </si>
  <si>
    <t>產生覆審案件資料明細</t>
  </si>
  <si>
    <t>L5906</t>
  </si>
  <si>
    <t>寬限條件控管繳息查詢</t>
  </si>
  <si>
    <t>L5116</t>
  </si>
  <si>
    <t>寬限條件控管維護</t>
  </si>
  <si>
    <t>5-1一般作業</t>
  </si>
  <si>
    <t>L5907</t>
  </si>
  <si>
    <t>指定覆審名單查詢</t>
  </si>
  <si>
    <t>審後新增2021/11/16 (L5905)</t>
  </si>
  <si>
    <t>放款管理課</t>
  </si>
  <si>
    <t>L5107</t>
  </si>
  <si>
    <t>指定覆審案件資料維護</t>
  </si>
  <si>
    <t>審後新增2021/11/16 (L5105)</t>
  </si>
  <si>
    <t>L6082</t>
  </si>
  <si>
    <t>放款業績工作月查詢</t>
  </si>
  <si>
    <t>B</t>
  </si>
  <si>
    <t>6-31</t>
  </si>
  <si>
    <t>放款業績工作日維護</t>
  </si>
  <si>
    <t>L6752</t>
  </si>
  <si>
    <t>放款業績工作月維護</t>
  </si>
  <si>
    <t>T</t>
  </si>
  <si>
    <t>L5402</t>
  </si>
  <si>
    <t xml:space="preserve">年度業績目標更新                    </t>
  </si>
  <si>
    <t>L5021</t>
  </si>
  <si>
    <t xml:space="preserve">房貸專員明細資料查詢                </t>
  </si>
  <si>
    <t>L5401</t>
  </si>
  <si>
    <t xml:space="preserve">房貸專員資料維護                    </t>
  </si>
  <si>
    <t>L5023</t>
  </si>
  <si>
    <t xml:space="preserve">晤談人員明細資料查詢                </t>
  </si>
  <si>
    <t>L5406</t>
  </si>
  <si>
    <t xml:space="preserve">晤談人員資料維護                    </t>
  </si>
  <si>
    <t>L5024</t>
  </si>
  <si>
    <t xml:space="preserve">目標金額、累計目標金額查詢          </t>
  </si>
  <si>
    <t>L5405</t>
  </si>
  <si>
    <t xml:space="preserve">更改目標金額、累計目標金額          </t>
  </si>
  <si>
    <t>L5022</t>
  </si>
  <si>
    <t xml:space="preserve">協辦人員等級明細資料查詢            </t>
  </si>
  <si>
    <t>L5914</t>
  </si>
  <si>
    <t>協辦人員等級歷程查詢</t>
  </si>
  <si>
    <t>L5407</t>
  </si>
  <si>
    <t xml:space="preserve">房貸協辦人員等級維護                </t>
  </si>
  <si>
    <t>L6084</t>
  </si>
  <si>
    <t>業績件數及金額核算標準查詢</t>
  </si>
  <si>
    <t>L6994</t>
  </si>
  <si>
    <t>業績件數及金額核算標準設定查詢</t>
  </si>
  <si>
    <t>L6754</t>
  </si>
  <si>
    <t>業績件數及金額核算標準設定</t>
  </si>
  <si>
    <t>L6757</t>
  </si>
  <si>
    <t>業績件數及金額核算標準設定(整月)</t>
  </si>
  <si>
    <t>L6081</t>
  </si>
  <si>
    <t>介紹人加碼獎勵津貼標準設定數查詢</t>
  </si>
  <si>
    <t>L6751</t>
  </si>
  <si>
    <t>介紹人加碼獎勵津貼標準設定</t>
  </si>
  <si>
    <t>L6087</t>
  </si>
  <si>
    <t>協辦獎勵津貼標準查詢</t>
  </si>
  <si>
    <t>L6787</t>
  </si>
  <si>
    <t>協辦獎勵津貼標準設定</t>
  </si>
  <si>
    <t>L6501</t>
  </si>
  <si>
    <t>系統變數及系統值設定</t>
  </si>
  <si>
    <t>L650A</t>
  </si>
  <si>
    <t>業績計算特殊參數設定(排除商品別)</t>
  </si>
  <si>
    <t>由L6503更名 2021/7/20</t>
  </si>
  <si>
    <t>L650B</t>
  </si>
  <si>
    <t>業績計算特殊參數設定(排除部門別)</t>
  </si>
  <si>
    <t>審後新增 2021/7/20</t>
  </si>
  <si>
    <t>L650C</t>
  </si>
  <si>
    <t>業績計算特殊參數設定(是否排除15日薪非業績人員)</t>
  </si>
  <si>
    <t>L650D</t>
  </si>
  <si>
    <t>業績計算特殊參數設定(業績追回通知設定)</t>
  </si>
  <si>
    <t>L5051</t>
  </si>
  <si>
    <t>房貸介紹人業績維護查詢</t>
  </si>
  <si>
    <t>L5501</t>
  </si>
  <si>
    <t xml:space="preserve">介紹人業績案件維護            </t>
  </si>
  <si>
    <t>L5505</t>
  </si>
  <si>
    <t>業績案件計件代碼維護</t>
  </si>
  <si>
    <t>新增 2021/11/10</t>
  </si>
  <si>
    <t>L5052</t>
  </si>
  <si>
    <t>房貸專員業績維護查詢</t>
  </si>
  <si>
    <t>L5502</t>
  </si>
  <si>
    <t>房貸專員件數金額資料維護</t>
  </si>
  <si>
    <t>L5056</t>
  </si>
  <si>
    <t>內網報表業績維護查詢</t>
  </si>
  <si>
    <t>L5506</t>
  </si>
  <si>
    <t>內網報表業績維護</t>
  </si>
  <si>
    <t>L5500</t>
  </si>
  <si>
    <t>工作日業績結算</t>
  </si>
  <si>
    <t>L5510</t>
  </si>
  <si>
    <t>產生換算業績、業務報酬發放媒體</t>
  </si>
  <si>
    <t>L5511</t>
  </si>
  <si>
    <t>L5053</t>
  </si>
  <si>
    <t>介紹、協辦獎金明細查詢</t>
  </si>
  <si>
    <t>L5503</t>
  </si>
  <si>
    <t xml:space="preserve">介紹、協辦獎金案件維護            </t>
  </si>
  <si>
    <t>L5512</t>
  </si>
  <si>
    <t>產生介紹人加碼獎金發放媒體</t>
  </si>
  <si>
    <t>L5054</t>
  </si>
  <si>
    <t>介紹人加碼獎金處理清單</t>
  </si>
  <si>
    <t>L5504</t>
  </si>
  <si>
    <t xml:space="preserve">介紹人加碼獎金案件維護      </t>
  </si>
  <si>
    <t>L5959</t>
  </si>
  <si>
    <t>房貸獎勵保費檢核結果查詢</t>
  </si>
  <si>
    <t>取消交易，2021/11/18會議User表示不使用</t>
  </si>
  <si>
    <t>L5910</t>
  </si>
  <si>
    <t xml:space="preserve">新撥款利率案件資料產生              </t>
  </si>
  <si>
    <t>L5912</t>
  </si>
  <si>
    <t xml:space="preserve">新光銀銀扣案件資料產生              </t>
  </si>
  <si>
    <t>L6042</t>
  </si>
  <si>
    <t>交易控制檔查詢</t>
  </si>
  <si>
    <t>L6402</t>
  </si>
  <si>
    <t>交易控制檔維護</t>
  </si>
  <si>
    <t>L6068</t>
  </si>
  <si>
    <t>報表代號對照檔查詢</t>
  </si>
  <si>
    <t>L6608</t>
  </si>
  <si>
    <t>報表代號對照檔維護</t>
  </si>
  <si>
    <t>L6043</t>
  </si>
  <si>
    <t>權限群組查詢</t>
  </si>
  <si>
    <t>L6403</t>
  </si>
  <si>
    <t xml:space="preserve">權限群組維護  </t>
  </si>
  <si>
    <t>L6103</t>
  </si>
  <si>
    <t xml:space="preserve">報表查詢作業申請    </t>
  </si>
  <si>
    <t>L6072</t>
  </si>
  <si>
    <t>營業單位對照檔查詢</t>
  </si>
  <si>
    <t>6-4</t>
  </si>
  <si>
    <t>營業單位對照檔維護</t>
  </si>
  <si>
    <t>L6702</t>
  </si>
  <si>
    <t>L6041</t>
  </si>
  <si>
    <t>使用者資料查詢</t>
  </si>
  <si>
    <t>L6401</t>
  </si>
  <si>
    <t>使用者資料維護</t>
  </si>
  <si>
    <t>L6104</t>
  </si>
  <si>
    <t>代理人設定</t>
  </si>
  <si>
    <t>L6044</t>
  </si>
  <si>
    <t>主管授權紀錄查詢</t>
  </si>
  <si>
    <t>L6932</t>
  </si>
  <si>
    <t>資料變更交易查詢</t>
  </si>
  <si>
    <t>L8030</t>
  </si>
  <si>
    <t>消債條列JCIC報送資料</t>
  </si>
  <si>
    <t>新增2021/10/21</t>
  </si>
  <si>
    <t>L8031</t>
  </si>
  <si>
    <t>消債條列JCIC報送資料歷程查詢(040)</t>
  </si>
  <si>
    <t>L8032</t>
  </si>
  <si>
    <t>消債條列JCIC報送資料歷程查詢(041)</t>
  </si>
  <si>
    <t>L8033</t>
  </si>
  <si>
    <t>消債條列JCIC報送資料歷程查詢(042)</t>
  </si>
  <si>
    <t>L8034</t>
  </si>
  <si>
    <t>消債條列JCIC報送資料歷程查詢(043)</t>
  </si>
  <si>
    <t>L8035</t>
  </si>
  <si>
    <t>消債條列JCIC報送資料歷程查詢(044)</t>
  </si>
  <si>
    <t>L8036</t>
  </si>
  <si>
    <t>消債條列JCIC報送資料歷程查詢(045)</t>
  </si>
  <si>
    <t>L8037</t>
  </si>
  <si>
    <t>消債條列JCIC報送資料歷程查詢(046)</t>
  </si>
  <si>
    <t>L8038</t>
  </si>
  <si>
    <t>消債條列JCIC報送資料歷程查詢(047)</t>
  </si>
  <si>
    <t>L8039</t>
  </si>
  <si>
    <t>消債條列JCIC報送資料歷程查詢(048)</t>
  </si>
  <si>
    <t>L8040</t>
  </si>
  <si>
    <t>消債條列JCIC報送資料歷程查詢(049)</t>
  </si>
  <si>
    <t>L8041</t>
  </si>
  <si>
    <t>消債條列JCIC報送資料歷程查詢(050)</t>
  </si>
  <si>
    <t>L8042</t>
  </si>
  <si>
    <t>消債條列JCIC報送資料歷程查詢(051)</t>
  </si>
  <si>
    <t>L8043</t>
  </si>
  <si>
    <t>消債條列JCIC報送資料歷程查詢(052)</t>
  </si>
  <si>
    <t>L8044</t>
  </si>
  <si>
    <t>消債條列JCIC報送資料歷程查詢(053)</t>
  </si>
  <si>
    <t>L8045</t>
  </si>
  <si>
    <t>消債條列JCIC報送資料歷程查詢(054)</t>
  </si>
  <si>
    <t>L8046</t>
  </si>
  <si>
    <t>消債條列JCIC報送資料歷程查詢(055)</t>
  </si>
  <si>
    <t>L8047</t>
  </si>
  <si>
    <t>消債條列JCIC報送資料歷程查詢(056)</t>
  </si>
  <si>
    <t>L8048</t>
  </si>
  <si>
    <t>消債條列JCIC報送資料歷程查詢(060)</t>
  </si>
  <si>
    <t>L8049</t>
  </si>
  <si>
    <t>消債條列JCIC報送資料歷程查詢(061)</t>
  </si>
  <si>
    <t>L8050</t>
  </si>
  <si>
    <t>消債條列JCIC報送資料歷程查詢(062)</t>
  </si>
  <si>
    <t>L8051</t>
  </si>
  <si>
    <t>消債條列JCIC報送資料歷程查詢(063)</t>
  </si>
  <si>
    <t>L8052</t>
  </si>
  <si>
    <t>消債條列JCIC報送資料歷程查詢(440)</t>
  </si>
  <si>
    <t>L8053</t>
  </si>
  <si>
    <t>消債條列JCIC報送資料歷程查詢(442)</t>
  </si>
  <si>
    <t>L8054</t>
  </si>
  <si>
    <t>消債條列JCIC報送資料歷程查詢(443)</t>
  </si>
  <si>
    <t>L8055</t>
  </si>
  <si>
    <t>消債條列JCIC報送資料歷程查詢(444)</t>
  </si>
  <si>
    <t>L8056</t>
  </si>
  <si>
    <t>消債條列JCIC報送資料歷程查詢(446)</t>
  </si>
  <si>
    <t>L8057</t>
  </si>
  <si>
    <t>消債條列JCIC報送資料歷程查詢(447)</t>
  </si>
  <si>
    <t>L8058</t>
  </si>
  <si>
    <t>消債條列JCIC報送資料歷程查詢(448)</t>
  </si>
  <si>
    <t>L8059</t>
  </si>
  <si>
    <t>消債條列JCIC報送資料歷程查詢(450)</t>
  </si>
  <si>
    <t>L8060</t>
  </si>
  <si>
    <t>消債條列JCIC報送資料歷程查詢(451)</t>
  </si>
  <si>
    <t>L8061</t>
  </si>
  <si>
    <t>消債條列JCIC報送資料歷程查詢(454)</t>
  </si>
  <si>
    <t>L8062</t>
  </si>
  <si>
    <t>消債條列JCIC報送資料歷程查詢(570)</t>
  </si>
  <si>
    <t>L8063</t>
  </si>
  <si>
    <t>消債條列JCIC報送資料歷程查詢(571)</t>
  </si>
  <si>
    <t>L8064</t>
  </si>
  <si>
    <t>消債條列JCIC報送資料歷程查詢(572)</t>
  </si>
  <si>
    <t>L8065</t>
  </si>
  <si>
    <t>消債條列JCIC報送資料歷程查詢(573)</t>
  </si>
  <si>
    <t>L8066</t>
  </si>
  <si>
    <t>消債條列JCIC報送資料歷程查詢(574)</t>
  </si>
  <si>
    <t>L8067</t>
  </si>
  <si>
    <t>消債條列JCIC報送資料歷程查詢(575)</t>
  </si>
  <si>
    <t>L8301</t>
  </si>
  <si>
    <t>(40)前置協商受理申請暨請求回報償權通知資料</t>
  </si>
  <si>
    <t>L8302</t>
  </si>
  <si>
    <t>(41)協商開始暨停催通知資料</t>
  </si>
  <si>
    <t>L8303</t>
  </si>
  <si>
    <t>(42)回報無擔保債權金額資料</t>
  </si>
  <si>
    <t>L8304</t>
  </si>
  <si>
    <t>(43)回報有擔保債權金額資料</t>
  </si>
  <si>
    <t>L8305</t>
  </si>
  <si>
    <t>(44)請求同意債務清償方案通知資料</t>
  </si>
  <si>
    <t>L8306</t>
  </si>
  <si>
    <t>(45)回報是否同意債務清償方案資料</t>
  </si>
  <si>
    <t>L8307</t>
  </si>
  <si>
    <t>(46)結案通知資料</t>
  </si>
  <si>
    <t>L8308</t>
  </si>
  <si>
    <t>(47)金融機構無擔保債務協議資料</t>
  </si>
  <si>
    <t>L8309</t>
  </si>
  <si>
    <t>(48)債務人基本資料</t>
  </si>
  <si>
    <t>L8310</t>
  </si>
  <si>
    <t>(49)債務清償方案法院認可資料</t>
  </si>
  <si>
    <t>L8311</t>
  </si>
  <si>
    <t>(50)債務人繳款資料</t>
  </si>
  <si>
    <t>L8312</t>
  </si>
  <si>
    <t>(51)延期繳款（喘息期）資料</t>
  </si>
  <si>
    <t>L8313</t>
  </si>
  <si>
    <t>(52)前置協商相關資料報送例外處理檔案</t>
  </si>
  <si>
    <t>L8314</t>
  </si>
  <si>
    <t>(53)同意報送例外處理檔案</t>
  </si>
  <si>
    <t>L8315</t>
  </si>
  <si>
    <t>(54)單獨全數受清償資料</t>
  </si>
  <si>
    <t>L8316</t>
  </si>
  <si>
    <t>(55)更生案件通報資料</t>
  </si>
  <si>
    <t>L8317</t>
  </si>
  <si>
    <t>(56)清算案件通報資料</t>
  </si>
  <si>
    <t>L8318</t>
  </si>
  <si>
    <t>(60)前置協商受理變更還款條件申請暨請求回報剩餘債權通知資料</t>
  </si>
  <si>
    <t>L8319</t>
  </si>
  <si>
    <t>(61)回報協商剩餘債權金額資料</t>
  </si>
  <si>
    <t>L8320</t>
  </si>
  <si>
    <t>(62)金融機構無擔保債務變更還款條件協議資料</t>
  </si>
  <si>
    <t>L8321</t>
  </si>
  <si>
    <t>(63)變更還款方案結案通知資料</t>
  </si>
  <si>
    <t>L8322</t>
  </si>
  <si>
    <t>(440)前置調解受理申請暨請求回報債權通知資料</t>
  </si>
  <si>
    <t>L8323</t>
  </si>
  <si>
    <t>(442)前置調解回報無擔保債權金額資料</t>
  </si>
  <si>
    <t>L8324</t>
  </si>
  <si>
    <t>(443)前置調解回報有擔保債權金額資料</t>
  </si>
  <si>
    <t>L8325</t>
  </si>
  <si>
    <t>(444)前置調解債務人基本資料</t>
  </si>
  <si>
    <t>L8326</t>
  </si>
  <si>
    <t>(446)前置調解結案通知資料</t>
  </si>
  <si>
    <t>L8327</t>
  </si>
  <si>
    <t>(447)前置調解金融機構無擔保債務協議資料</t>
  </si>
  <si>
    <t>L8328</t>
  </si>
  <si>
    <t>(448)前置調解無擔保債務還款分配資料</t>
  </si>
  <si>
    <t>L8329</t>
  </si>
  <si>
    <t>(450)前置調解債務人繳款資料</t>
  </si>
  <si>
    <t>L8330</t>
  </si>
  <si>
    <t>(451)前置調解延期繳款資料</t>
  </si>
  <si>
    <t>L8331</t>
  </si>
  <si>
    <t>(454)前置調解單獨全數受清償資料</t>
  </si>
  <si>
    <t>L8332</t>
  </si>
  <si>
    <t>(570)受理更生款項統一收付通知</t>
  </si>
  <si>
    <t>L8333</t>
  </si>
  <si>
    <t>(571)更生款項統一收付回報債權資料</t>
  </si>
  <si>
    <t>L8334</t>
  </si>
  <si>
    <t>(572)更生款項統一收款及撥付款項分配表資料</t>
  </si>
  <si>
    <t>L8335</t>
  </si>
  <si>
    <t>(573)債務人繳款資料</t>
  </si>
  <si>
    <t>L8336</t>
  </si>
  <si>
    <t>(574)更生款項統一收付結案通知資料</t>
  </si>
  <si>
    <t>L8337</t>
  </si>
  <si>
    <t>(575)債權金額異動通知資料</t>
  </si>
  <si>
    <t>L8403</t>
  </si>
  <si>
    <t>JCIC檔案匯出作業(040)</t>
  </si>
  <si>
    <t>L8404</t>
  </si>
  <si>
    <t>JCIC檔案匯出作業(041)</t>
  </si>
  <si>
    <t>L8405</t>
  </si>
  <si>
    <t>JCIC檔案匯出作業(042)</t>
  </si>
  <si>
    <t>L8406</t>
  </si>
  <si>
    <t>JCIC檔案匯出作業(043)</t>
  </si>
  <si>
    <t>L8407</t>
  </si>
  <si>
    <t>JCIC檔案匯出作業(044)</t>
  </si>
  <si>
    <t>L8408</t>
  </si>
  <si>
    <t>JCIC檔案匯出作業(045)</t>
  </si>
  <si>
    <t>L8409</t>
  </si>
  <si>
    <t>JCIC檔案匯出作業(046)</t>
  </si>
  <si>
    <t>L8410</t>
  </si>
  <si>
    <t>JCIC檔案匯出作業(047)</t>
  </si>
  <si>
    <t>L8411</t>
  </si>
  <si>
    <t>JCIC檔案匯出作業(048)</t>
  </si>
  <si>
    <t>L8412</t>
  </si>
  <si>
    <t>JCIC檔案匯出作業(049)</t>
  </si>
  <si>
    <t>L8413</t>
  </si>
  <si>
    <t>JCIC檔案匯出作業(050)</t>
  </si>
  <si>
    <t>L8414</t>
  </si>
  <si>
    <t>JCIC檔案匯出作業(051)</t>
  </si>
  <si>
    <t>L8415</t>
  </si>
  <si>
    <t>JCIC檔案匯出作業(052)</t>
  </si>
  <si>
    <t>L8416</t>
  </si>
  <si>
    <t>JCIC檔案匯出作業(053)</t>
  </si>
  <si>
    <t>L8417</t>
  </si>
  <si>
    <t>JCIC檔案匯出作業(054)</t>
  </si>
  <si>
    <t>L8418</t>
  </si>
  <si>
    <t>JCIC檔案匯出作業(055)</t>
  </si>
  <si>
    <t>L8419</t>
  </si>
  <si>
    <t>JCIC檔案匯出作業(056)</t>
  </si>
  <si>
    <t>L8420</t>
  </si>
  <si>
    <t>JCIC檔案匯出作業(060)</t>
  </si>
  <si>
    <t>L8421</t>
  </si>
  <si>
    <t>JCIC檔案匯出作業(061)</t>
  </si>
  <si>
    <t>L8422</t>
  </si>
  <si>
    <t>JCIC檔案匯出作業(062)</t>
  </si>
  <si>
    <t>L8423</t>
  </si>
  <si>
    <t>JCIC檔案匯出作業(063)</t>
  </si>
  <si>
    <t>L8424</t>
  </si>
  <si>
    <t>JCIC檔案匯出作業(440)</t>
  </si>
  <si>
    <t>L8425</t>
  </si>
  <si>
    <t>JCIC檔案匯出作業(442)</t>
  </si>
  <si>
    <t>L8426</t>
  </si>
  <si>
    <t>JCIC檔案匯出作業(443)</t>
  </si>
  <si>
    <t>L8427</t>
  </si>
  <si>
    <t>JCIC檔案匯出作業(444)</t>
  </si>
  <si>
    <t>L8428</t>
  </si>
  <si>
    <t>JCIC檔案匯出作業(446)</t>
  </si>
  <si>
    <t>L8429</t>
  </si>
  <si>
    <t>JCIC檔案匯出作業(447)</t>
  </si>
  <si>
    <t>L8430</t>
  </si>
  <si>
    <t>JCIC檔案匯出作業(448)</t>
  </si>
  <si>
    <t>L8431</t>
  </si>
  <si>
    <t>JCIC檔案匯出作業(450)</t>
  </si>
  <si>
    <t>L8432</t>
  </si>
  <si>
    <t>JCIC檔案匯出作業(451)</t>
  </si>
  <si>
    <t>L8433</t>
  </si>
  <si>
    <t>JCIC檔案匯出作業(454)</t>
  </si>
  <si>
    <t>L8434</t>
  </si>
  <si>
    <t>JCIC檔案匯出作業(570)</t>
  </si>
  <si>
    <t>L8435</t>
  </si>
  <si>
    <t>JCIC檔案匯出作業(571)</t>
  </si>
  <si>
    <t>L8436</t>
  </si>
  <si>
    <t>JCIC檔案匯出作業(572)</t>
  </si>
  <si>
    <t>L8437</t>
  </si>
  <si>
    <t>JCIC檔案匯出作業(573)</t>
  </si>
  <si>
    <t>L8438</t>
  </si>
  <si>
    <t>JCIC檔案匯出作業(574)</t>
  </si>
  <si>
    <t>L8439</t>
  </si>
  <si>
    <t>JCIC檔案匯出作業(575)</t>
  </si>
  <si>
    <t>L8950</t>
  </si>
  <si>
    <t>MU1人員名冊查詢</t>
  </si>
  <si>
    <t>新增2021/10/26</t>
  </si>
  <si>
    <t>L8350</t>
  </si>
  <si>
    <t>MU1人員名冊報送</t>
  </si>
  <si>
    <t>L8351</t>
  </si>
  <si>
    <t>聯徵產品檔案匯出作業</t>
  </si>
  <si>
    <t>L8401</t>
  </si>
  <si>
    <t>產生JCIC日報媒體檔</t>
  </si>
  <si>
    <t>新增2021/11/17，B204 聯徵授信餘額日報檔、B211 聯徵每日授信餘額變動資料檔</t>
  </si>
  <si>
    <t>L8402</t>
  </si>
  <si>
    <t>產生JCIC月報媒體檔</t>
  </si>
  <si>
    <t>L7022</t>
  </si>
  <si>
    <t>違約損失率檔查詢</t>
  </si>
  <si>
    <t>新增2021/11/17</t>
  </si>
  <si>
    <t>L7202</t>
  </si>
  <si>
    <t>違約損失率登錄</t>
  </si>
  <si>
    <t>L7903</t>
  </si>
  <si>
    <t>商品分類資料查詢</t>
  </si>
  <si>
    <t>L7210</t>
  </si>
  <si>
    <t>商品分類資料維護</t>
  </si>
  <si>
    <t>L7904</t>
  </si>
  <si>
    <t>特殊客觀減損狀況查詢</t>
  </si>
  <si>
    <t>L7204</t>
  </si>
  <si>
    <t>特殊客觀減損狀況維護</t>
  </si>
  <si>
    <t>L7203</t>
  </si>
  <si>
    <t>利息法帳面資料上傳作業</t>
  </si>
  <si>
    <t>L7901</t>
  </si>
  <si>
    <t>３４號公報欄位清單產生作業</t>
  </si>
  <si>
    <t>L7902</t>
  </si>
  <si>
    <t>ＩＦＲＳ９欄位清單產生作業</t>
  </si>
  <si>
    <t>L7913</t>
  </si>
  <si>
    <t>(eloan)評級資訊查詢</t>
  </si>
  <si>
    <t>新增2021/11/18</t>
  </si>
  <si>
    <t>LC001</t>
  </si>
  <si>
    <t>訂正資料查詢</t>
  </si>
  <si>
    <t>新增2021/11/29(主管、櫃員)</t>
  </si>
  <si>
    <t>LC002</t>
  </si>
  <si>
    <t>修正資料查詢</t>
  </si>
  <si>
    <t>新增2021/11/29(櫃員)</t>
  </si>
  <si>
    <t>LC003</t>
  </si>
  <si>
    <t>放行資料查詢</t>
  </si>
  <si>
    <t>新增2021/11/29(主管)</t>
  </si>
  <si>
    <t>LC004</t>
  </si>
  <si>
    <t>審核資料查詢</t>
  </si>
  <si>
    <t>LC005</t>
  </si>
  <si>
    <t>登錄提交資料查詢</t>
  </si>
  <si>
    <t>LC009</t>
  </si>
  <si>
    <t>報表及檔案查詢</t>
  </si>
  <si>
    <t>LC010</t>
  </si>
  <si>
    <t>鎖定戶號查詢</t>
  </si>
  <si>
    <t>LC011</t>
  </si>
  <si>
    <t>交易明細查詢</t>
  </si>
  <si>
    <t>LC012</t>
  </si>
  <si>
    <t>表單補印</t>
  </si>
  <si>
    <t>異動日期</t>
  </si>
  <si>
    <t>異動規劃</t>
  </si>
  <si>
    <t>客戶作業1, 貸前作業關聯戶1</t>
  </si>
  <si>
    <t>L1906</t>
  </si>
  <si>
    <t>.3.1</t>
  </si>
  <si>
    <t>關聯戶資料查詢 (交易改由L2035執行)</t>
  </si>
  <si>
    <t>交易改由L2035執行</t>
  </si>
  <si>
    <t>L1106</t>
  </si>
  <si>
    <t>關聯戶資料維護 (交易改由L2306執行)</t>
  </si>
  <si>
    <t>交易改由L2306執行</t>
  </si>
  <si>
    <t>L8110</t>
  </si>
  <si>
    <t>產製AML每日有效客戶名單</t>
  </si>
  <si>
    <t>無畫面，排程交易</t>
  </si>
  <si>
    <t>3-3回收、部分償還、暫收款</t>
  </si>
  <si>
    <t>L3008</t>
  </si>
  <si>
    <t>支票明細資料查詢-依客戶</t>
  </si>
  <si>
    <t>併入L3007</t>
  </si>
  <si>
    <t>放款服務課</t>
  </si>
  <si>
    <t>L2041</t>
  </si>
  <si>
    <t>不動產土地明細資料查詢</t>
  </si>
  <si>
    <t>併入L2911</t>
  </si>
  <si>
    <t>L2042</t>
  </si>
  <si>
    <t>不動產建物明細資料查詢</t>
  </si>
  <si>
    <t>L2047</t>
  </si>
  <si>
    <t>動產擔保品明細資料查詢</t>
  </si>
  <si>
    <t>併入L2038</t>
  </si>
  <si>
    <t>L2049</t>
  </si>
  <si>
    <t xml:space="preserve">擔保品關聯設定明細資料查詢              </t>
  </si>
  <si>
    <t>併入L2017</t>
  </si>
  <si>
    <t>L2919</t>
  </si>
  <si>
    <t xml:space="preserve">提供人之擔保品查詢                      </t>
  </si>
  <si>
    <t>L2922</t>
  </si>
  <si>
    <t xml:space="preserve">土地坐落索引查詢                        </t>
  </si>
  <si>
    <t>L5951</t>
  </si>
  <si>
    <t>房貸介紹人業績明細查詢</t>
  </si>
  <si>
    <t>整併入L5051</t>
  </si>
  <si>
    <t>L5952</t>
  </si>
  <si>
    <t>房貸專員業績明細查詢</t>
  </si>
  <si>
    <t>L5953</t>
  </si>
  <si>
    <t>介紹、協辦及加碼獎勵津貼實付應付獎金查詢</t>
  </si>
  <si>
    <t>併入L5053、L5054</t>
  </si>
  <si>
    <t>L8112</t>
  </si>
  <si>
    <t>金檢查核放款餘額資料Q53撈件</t>
  </si>
  <si>
    <t>改為隨機報表L9727 金檢Q53</t>
  </si>
  <si>
    <t>L5909</t>
  </si>
  <si>
    <t xml:space="preserve">案件品質排行表(列印)                </t>
  </si>
  <si>
    <t>User不使用(email 2021/11/15)</t>
  </si>
  <si>
    <t>L5911</t>
  </si>
  <si>
    <t xml:space="preserve">撥款件貸款成數統計資料產生          </t>
  </si>
  <si>
    <t>5-2房貸專員業績統計作業</t>
  </si>
  <si>
    <t>L5908</t>
  </si>
  <si>
    <t xml:space="preserve">房貸專員撥款筆數統計表              </t>
  </si>
  <si>
    <t>User不使用(會議 2021/11/18)</t>
  </si>
  <si>
    <t>放款推展課</t>
  </si>
  <si>
    <t>L6083</t>
  </si>
  <si>
    <t>房貸專員所屬業務部室查詢</t>
  </si>
  <si>
    <t>User不使用(葛經理email 2021/10/5)</t>
  </si>
  <si>
    <t>6-81</t>
  </si>
  <si>
    <t>放款專員所屬業務部室維護</t>
  </si>
  <si>
    <t>L6753</t>
  </si>
  <si>
    <t>房貸專員所屬業務部室維護</t>
  </si>
  <si>
    <t>L6985</t>
  </si>
  <si>
    <t>各項提存作業</t>
  </si>
  <si>
    <t>自動交易無畫面。審後新增2021/10/19</t>
  </si>
  <si>
    <t>交易</t>
  </si>
  <si>
    <t>交易說明</t>
  </si>
  <si>
    <t>序
號</t>
  </si>
  <si>
    <t>調整說明</t>
  </si>
  <si>
    <t>會議日期</t>
  </si>
  <si>
    <t>預定完成日</t>
  </si>
  <si>
    <t>完成日期</t>
  </si>
  <si>
    <t>負責人</t>
  </si>
  <si>
    <t>分析屬性</t>
  </si>
  <si>
    <t>預計工時</t>
  </si>
  <si>
    <t>設計錯誤</t>
  </si>
  <si>
    <t>原AS400功能</t>
  </si>
  <si>
    <t>功能提昇</t>
  </si>
  <si>
    <t>簡易</t>
  </si>
  <si>
    <t>無替代功能,需求度</t>
  </si>
  <si>
    <t>有替代功能</t>
  </si>
  <si>
    <t>其他</t>
  </si>
  <si>
    <t>調整輸出結果,由原先每年度顯示13筆月份資料,改為只顯示年一筆年度資料</t>
  </si>
  <si>
    <t>V</t>
  </si>
  <si>
    <t>配合上項調整,增加[查詢]按鈕,連結[L6752]查詢工作月資料</t>
  </si>
  <si>
    <t>增加工作月年度&lt;=日曆日年度時,資枓不可刪除管控</t>
  </si>
  <si>
    <t>增加"查詢"功能(配合L6082,[查詢]按鈕連結)</t>
  </si>
  <si>
    <t>增加上傳資料,區部、部室代號檢查</t>
  </si>
  <si>
    <t>提供下載"上傳資料最新範本"機制 (另提共同作法)</t>
  </si>
  <si>
    <t>上線後2個月內</t>
  </si>
  <si>
    <t>低</t>
  </si>
  <si>
    <t>1D</t>
  </si>
  <si>
    <t>新增"員工代碼"查詢條件</t>
  </si>
  <si>
    <t xml:space="preserve">調整排版:名稱相關欄位向右移動 </t>
  </si>
  <si>
    <t>新增"區域中心"維護機制:於[共用代碼檔(CdCode)]新增[代碼檔代碼]:AreaCenterCode,利用[L6041]及[L6401]交易維護</t>
  </si>
  <si>
    <t>新增"員工代碼"檢查,必須存在[員工檔(CdEmp)]</t>
  </si>
  <si>
    <t>複製功能調整:預設值為複製對象,欄位控制比照新增</t>
  </si>
  <si>
    <t>提供整批更新機制(來源檔為excel),另提供下載最新範本機制</t>
  </si>
  <si>
    <t>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</t>
  </si>
  <si>
    <t>高</t>
  </si>
  <si>
    <t>增加輸入畫面說明:三階架構下各階目標設定[單位代號]、[區部代號]、[部室代號]輸入說明</t>
  </si>
  <si>
    <t>增加[處長主任別]輸入說明:D.部室,B.區部,M.單位</t>
  </si>
  <si>
    <t xml:space="preserve"> [晤談人員1]、[晤談人員2]改為非必要輸入欄位,可為空白</t>
  </si>
  <si>
    <t>增加輸出欄位"目前狀態":含以下狀態
已生效：[生效日]&lt;=日曆日且符合下列三項條件:
(1).[停效日期]=0
(2).[停效日期]&gt;日曆日
(3).同一協辦人員,未有其他[生效日]更接近日曆日已生效的資料
已停效：[停效日期]&lt;=日曆日
待生效：[生效日]&gt;日曆日</t>
  </si>
  <si>
    <t>增加查詢條件[狀態]及[生效日期]，新增二項條件只能擇一輸入:
(1).狀態:限輸入選單(1.已生效,2已停效,3.待生效,9.全部)
[註]判斷方式參考1說明
(2).生效日期:可輸入起訖期間,查詢指定期間生效的資料</t>
  </si>
  <si>
    <t>增加[歷程]查詢機制</t>
  </si>
  <si>
    <t>中</t>
  </si>
  <si>
    <t>增加資料異動[歷程]記錄，配合[L5022]查詢[歷程]使用</t>
  </si>
  <si>
    <t>增加輸入排除條件,如下
(1).排除部門別(可輸入多筆)
(2).是否"排除15日薪非業績人員"選項
註:排除條件改於L6503業績計算特殊參數設定</t>
  </si>
  <si>
    <t>待議</t>
  </si>
  <si>
    <t>已生效資料,不可異動</t>
  </si>
  <si>
    <t>增加輸入[專業獎勵金]欄位,供經辦新增協辦”專業獎勵金"預設值使用</t>
  </si>
  <si>
    <t>[計件代碼]輸入畫面調整</t>
  </si>
  <si>
    <t>針對"業績追回之起止期數"於DB Layout及URS加運用說明</t>
  </si>
  <si>
    <t>[擔保放款年限]輸入欄位,增加以下說明
(1)."中期[]年~[]年"改成"中期[]年以上~[]年"
(2)."長期[]年~[]年"改成"長期[]年以上~[]年"</t>
  </si>
  <si>
    <t>增加[業績追回通知員工代碼清單]輸入欄位,系統並於業績追回案例發生時,依據設定員工代碼，由[員工檔(CdEmp)]記錄email信箱,主動發送email通知相關經辦。</t>
  </si>
  <si>
    <t>查詢輸出表格，標題二層式顯示(廠商註:因涉及匯出EXCEL功能,待技術評估後,提方案說明)</t>
  </si>
  <si>
    <t>增加新增"計件代碼"流程說明</t>
  </si>
  <si>
    <t>允許[新增]當工作月資料或[修改]已生效資料，需主管放行,系統於夜間批次需自動計算當工作月資料</t>
  </si>
  <si>
    <t>5D</t>
  </si>
  <si>
    <t>依據「放款部業績件數及金額核算標準表-1090327修訂.xls」提供建檔說明範例</t>
  </si>
  <si>
    <t>調整數字欄位輸入小數位數標準</t>
  </si>
  <si>
    <t>允許複製[新增]當工作月資料，需主管放行,系統於夜間批次需自動計算當工作月資料</t>
  </si>
  <si>
    <t>1.調整交易畫面說明文字</t>
  </si>
  <si>
    <t>2.人工啟動時,如何再同步資料上傳內網系統[[待辦事項4]]葛經理協調相關IT單位確認</t>
  </si>
  <si>
    <t>改列待辦事項</t>
  </si>
  <si>
    <t xml:space="preserve"> [計件代碼]改成可輸入欄位</t>
  </si>
  <si>
    <t>增加[介紹人]、[戶號]查詢條件,為非必要輸入條件</t>
  </si>
  <si>
    <t>和[L5051房貸介紹人業績處理清單]交易整併[待辦事項5]廠商另提設計</t>
  </si>
  <si>
    <t>增加[房貸專員]、[戶號]查詢條件,為非必要輸入條件</t>
  </si>
  <si>
    <t>與[L5052 房貸專員業績處理清單]交易整併[[待辦事項6]廠商另提設計</t>
  </si>
  <si>
    <t>LD006</t>
  </si>
  <si>
    <t>三階放款明細統計</t>
  </si>
  <si>
    <t>輸入條件改為[工作月],預設當日曆日工作月</t>
  </si>
  <si>
    <t>黃智偉</t>
  </si>
  <si>
    <t>LD007</t>
  </si>
  <si>
    <t>放款專員明細統計</t>
  </si>
  <si>
    <t>增加"按鈕標題",其他類似查詢交易,比照辦理,[廠商註]L1001已調整</t>
  </si>
  <si>
    <t>[員工代號]移至[客戶別]後面輸入,並控制如下:
(1).當[客戶別]值為"01"(員工)時,必須輸入[員工代號],並檢查[員工檔CdEmp]資料必須存在,且為在職員工
(2).其他[客戶別]值,隱藏欄位</t>
  </si>
  <si>
    <t>[企金別]移至[行業別]前面輸入,並控制如下:
(1).[企金別]值為"0"(個金)時,[行業別]預設值為"060000"(個人),不可修改
(2).[企金別]值為"2"(企金自然人)時,是否控制不可為"060000"(個人),不可修改</t>
  </si>
  <si>
    <t>[國籍]欄位處理如下:
(1).預設為"TW",不可修改
(2).轉換時"自然人"資料不為"TW"時,亦改值為"TW",有異動"自然人"資料,需並陳述於"轉換資調值異動報表"[廠商註]列入資料轉換共同處理事項</t>
  </si>
  <si>
    <t>[戶籍-郵遞區號]移至[戶籍-地址]後面輸入,並控制如下:
(1).[戶籍-郵遞區號]前三碼由系統依據[戶籍所在縣市]及[戶籍所在區鄉鎮]自動判斷帶出值,不可修改
(2).[戶籍-郵遞區號]後三碼,由人工自行輸入空白或數字</t>
  </si>
  <si>
    <t>[通訊-郵遞區號]移至[通訊-地址]後面輸入,並控制如下:
(1).[通訊-郵遞區號]前三碼由系統依據[通訊所在縣市]及[通訊所在區鄉鎮]自動判斷帶出值,不可修改
(2).[通訊-郵遞區號]後三碼,由人工自行輸入空白或數字</t>
  </si>
  <si>
    <t>修正[戶籍-地址]及[通訊-地址]無法正確顯示"輸入提示"問題,
[廠商註]因展示過程,有放大瀏覽器顯示比例造成,
會適度調整放大訊息顯示區因應</t>
  </si>
  <si>
    <t>增加[電子信箱]基本格式檢查</t>
  </si>
  <si>
    <t>[教育程度代號]改為必須輸入</t>
  </si>
  <si>
    <t>[自有住宅有無]改為必須輸入</t>
  </si>
  <si>
    <t>[是否為授信限制對象]、[是否為利害關係人] 、[是否為準利害關係人]
於目前顯示狀態後,增加"資料日期"資訊</t>
  </si>
  <si>
    <t>增加[是否為金控類似準利害關係人]欄位[註]
由吳承憲提供顯示邏輯</t>
  </si>
  <si>
    <t>增加[客戶交互運用維護]欄位(同【L1109交互運用輸入】交易機制)[註]吳承憲提供eLoan輸入控制供設計參考</t>
  </si>
  <si>
    <t>新增資料成功處,自動連結【L1105顧客聯絡電話維護】,
並控制必須輸入一組聯絡電話</t>
  </si>
  <si>
    <t xml:space="preserve"> </t>
  </si>
  <si>
    <t>[企金別]移至[行業別]前面輸入,並控制如下:
(1).[企金別]值為"0"(個金)時,[行業別]預設值為"060000"(個人),不可修改
(2).[企金別]值為"2"(企金自然人)時,是否控制不可為"060000"(個人),待與陳俞辛確認[已確認],不可修改</t>
  </si>
  <si>
    <t>[國籍]改為不可修改欄位[李珮君2021.7.27回覆]預設值為"TW",有修改功能</t>
  </si>
  <si>
    <t>[戶籍-地址]輸入參考L1101設計並列輸入</t>
  </si>
  <si>
    <t>1H</t>
  </si>
  <si>
    <t>[通訊-地址]輸入參考L1101設計並列輸入</t>
  </si>
  <si>
    <t>增加[同戶籍地圵]按鈕,處理參考L1101交易</t>
  </si>
  <si>
    <t>10. 刪除[是否為授信限制對象]、[是否為利害關係人] 、
[是否為準利害關係人]欄位</t>
  </si>
  <si>
    <t>增加[異動原因]代碼,請吳承憲提供[吳承憲2021.7.23回覆]此項應由服務課跟催收人員那邊統整</t>
  </si>
  <si>
    <t>新增聯絡電話時,[啟用]預設值為Y</t>
  </si>
  <si>
    <t>目前同一擔保品項下額度,均顯示該擔保品的最後 [設定金額],
需改為顯示各額度於設定當時該擔保品的[設定金額][廠商註]
轉換需同步調整,會於L2017說明前處理完畢</t>
  </si>
  <si>
    <t>調整查詢條件[員工姓名]為模糊比對</t>
  </si>
  <si>
    <t>增加輸出欄位[資料日期]</t>
  </si>
  <si>
    <t>提供[戶號-額度]全部"書面通知書"複製功能</t>
  </si>
  <si>
    <t>增加輸出欄位[異動者]、[異動日期]</t>
  </si>
  <si>
    <t>新增時[客戶額度]改為必須輸入欄位,在判斷客戶"書面通知書"是否列印時,也必須以[戶號-額度]申請為依據</t>
  </si>
  <si>
    <t>單一通知書,必須依據【L6608報表代號對照檔維護】的[寄送記號]設定值,檢查申請內容:
(1).值為[ 1.依利率調整通知方式]時,[寄送書面]、[發送簡訊]、[發送EMAIL]不可全部申請不寄送
(2).值為[2.依設定優先順序]時,[寄送書面]、[發送簡訊]、[發送EMAIL]可以申請全部不寄送</t>
  </si>
  <si>
    <t xml:space="preserve">原2021.7.22會議,討論項目修改如下紅字
[企金別]移至[行業別]前面輸入,並控制如下:
(1).[企金別]值為"0"(個金)時,[行業別]預設值為"060000"(個人),不可修改
(2).[企金別]值為"2"(企金自然人)時,預設為"060000"(個人),可修改
[待辦事項]陳俞辛確認報送方式[陳俞辛2021.7.29回覆] [企金別]值為"2"(企金自然人)時，預設值為"060000"(個人),不可修改
</t>
  </si>
  <si>
    <t>[英文名稱]移至[姓名]後輸入,長度由20位放大為50位</t>
  </si>
  <si>
    <t>[客戶別]預設值為"00.一般",可修改</t>
  </si>
  <si>
    <t>比對ELOAN於[身分證字號]前加[是否為護照/居留證]欄位,當值為"Y"(是)時,將[身分證字號]長度由10位放大20位,並不檢查格式
[註]於8/2說明,為符合聯徵報送,外國人只可輸入"統一證號"及"稅籍編號"格式,需加加檢查機制,輸入"稅籍編號"時,需輸入"護照號號"</t>
  </si>
  <si>
    <t>[行業別]不可輸入"060000"(個人)</t>
  </si>
  <si>
    <t xml:space="preserve"> [國籍]改標題為[公司註冊地],預設值"TW",可修改,不可空白</t>
  </si>
  <si>
    <t>[負責人身分證字號]當[公司註冊地]為"TW"時,必須輸入</t>
  </si>
  <si>
    <t>[負責人姓名]改為必須輸入</t>
  </si>
  <si>
    <t xml:space="preserve">[通訊-郵遞區號]移至[通訊-地址]後面輸入,並控制如下:
(1).[通訊-郵遞區號]前三碼由系統依據[通訊所在縣市]及[通訊所在區鄉鎮]自動判斷帶出值,不可修改
(2).[通訊-郵遞區號]後三碼,由人工自行輸入空白或數字
</t>
  </si>
  <si>
    <t>增加[客戶交互運用維護]欄位(同【L1109交互運用輸入】交易機制)參考eLoan設計輸入控制</t>
  </si>
  <si>
    <t>增加[是否為金控類似準利害關係人]欄位</t>
  </si>
  <si>
    <t>新增資料成功處,自動連結【L1105顧客聯絡電話維護】,並控制必須輸入一組聯絡電話</t>
  </si>
  <si>
    <t>[戶籍-地址]輸入參考L1102設計並列輸入</t>
  </si>
  <si>
    <t>[通訊-地址]輸入參考L1102設計並列輸入</t>
  </si>
  <si>
    <t>增加[同戶籍地圵]按鈕,處理參考L1102交易</t>
  </si>
  <si>
    <t>刪除[是否為授信限制對象]、[是否為利害關係人] 、[是否為準利害關係人]欄位</t>
  </si>
  <si>
    <t>加[客戶查詢]按鈕,可查詢客戶身份證字號及帶回戶名
[廠商註]併入L2306 借款戶關係人/關係企業維護</t>
  </si>
  <si>
    <t>增加客戶[統一編號]必須存在[客戶檔CustMain],並自動顯示[客戶姓名][廠商註]併入L2306 借款戶關係人/關係企業維護</t>
  </si>
  <si>
    <t>[關係人統編]如為既有客戶,則自動顯示[關係人姓名]不可修改
[廠商註]併入L2306 借款戶關係人/關係企業維護</t>
  </si>
  <si>
    <t>L9726</t>
  </si>
  <si>
    <t>企金往來客戶統計表</t>
  </si>
  <si>
    <t>包含"企金"及"企金自然人"放款明細資料</t>
  </si>
  <si>
    <t>為年度報表(由每年度啟始工作月之啟始日,開始出表)</t>
  </si>
  <si>
    <t>每筆明細只需顯示[戶號]-[額度]</t>
  </si>
  <si>
    <t>[放款日期]放[首撥日期]</t>
  </si>
  <si>
    <t xml:space="preserve">提供[放款性質]說明,[待辦事項3]陳俞辛,供廠商依據[擔保品類別]等欄位判斷 </t>
  </si>
  <si>
    <t>異動需主管放行</t>
  </si>
  <si>
    <t>3D</t>
  </si>
  <si>
    <t>維持需主管放行[註]於2021.7.27確認</t>
  </si>
  <si>
    <t>[是否為協議商品]預設值"N"</t>
  </si>
  <si>
    <t>隱藏[加碼是否依合約]標題,將值顯示於[商品加碼利率]後,顯示Y/N</t>
  </si>
  <si>
    <t>已生效,但額度尚未有使用該商品,可以修改[生效日]</t>
  </si>
  <si>
    <t>增加[手續費],參考[帳管費]設計</t>
  </si>
  <si>
    <t>增加[清償說明]輸入欄位,供「L2153 核准額度登錄」顯示</t>
  </si>
  <si>
    <t>2D</t>
  </si>
  <si>
    <t>增加[團體戶統編]查詢條件及輸出欄位</t>
  </si>
  <si>
    <t>[准駁查詢]連結交易「L2151 駁回額度登錄」交易標題改為「L2151額度登錄准駁查詢」</t>
  </si>
  <si>
    <t>[授信人員]改未必填</t>
  </si>
  <si>
    <t>增加"核決層級"輸入欄位[註1]吳承憲提供ELOAN作法[註2]廠商轉換資料時放空白處理</t>
  </si>
  <si>
    <t>新增時參考[核決層級]控制是否需輸入[核決主管],[註]已知董事會不需輸入</t>
  </si>
  <si>
    <t>舊案資料欄位無異動時,可不依新系統邏輯檢查</t>
  </si>
  <si>
    <t>廠商需更新ELOAN規格[待辦事項6]</t>
  </si>
  <si>
    <t>廠商提供調整畫面供BU確認[待辦事項7]</t>
  </si>
  <si>
    <t>確認企金需另設計輸入畫面或共用輸入畫面[待辦事項8]</t>
  </si>
  <si>
    <t>[授信人員]、[介紹人]、[放款專員]、[核決主管]欄位可不輸入，經辦可再至L2111補鍵資料</t>
  </si>
  <si>
    <t>申請[統一編號]及[團體戶統編],[客戶別]不需為"06.團體戶"</t>
  </si>
  <si>
    <t>額度檔記錄之[客戶別]為(06.團體戶)</t>
  </si>
  <si>
    <t>[金額,日期]移至[階梯式利率]前,便於判斷可輸入期別</t>
  </si>
  <si>
    <t>[客戶別]要預設[客戶檔CustMain]的[客戶別]值,如果是團體戶申請,要預設"06.團體戶"</t>
  </si>
  <si>
    <t>增加[手續費],參考[帳管費]設定及費用收取處理</t>
  </si>
  <si>
    <t>[是否限制清償]改為可修改,文字改帶[L2101商品參數維護]設定清償說明</t>
  </si>
  <si>
    <t>[徵審系統案號]標題改成[案件編號]</t>
  </si>
  <si>
    <t>依[案件隸屬單位]:企金時顯示[企金人員],餘為[房貸專員]</t>
  </si>
  <si>
    <t>同[戶號]+[案件編號]時,預設同案件編號的額度資料值</t>
  </si>
  <si>
    <t>再寄出調整後畫面供BU確認[註]列入待辦事項</t>
  </si>
  <si>
    <t>提供針對企金使用輸入欄位版本[註]需企金依據現有版本確認所需欄位</t>
  </si>
  <si>
    <t>增加"統一編號"查詢條件</t>
  </si>
  <si>
    <t>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</t>
  </si>
  <si>
    <t>[商品]改為可修改欄位</t>
  </si>
  <si>
    <t>[中租合約編號]移至新增標籤[其他]顯示</t>
  </si>
  <si>
    <t>[指標利率代碼]需依據[商品]設定，不可修改</t>
  </si>
  <si>
    <t>[核准額度]於撥款後不可修改</t>
  </si>
  <si>
    <t>[規定管制代碼]改為可修改欄位</t>
  </si>
  <si>
    <t>撥款後調整[貸款期間(月)][追蹤事項2]2021/1/20有討論,當時暫議詢問"新光銀行"作法,改為「L3701放款內容變更」確認</t>
  </si>
  <si>
    <t>不掛入選單,為維護交易查詢輔助交易</t>
  </si>
  <si>
    <t>增加於撥款時業績調整:
(1).可輸入二組[計件代碼]、[金額]，分計業績、報酬及獎金
(2).第一組預設為放款的[計件代碼]及[撥款金額]
(3).二組[金額]需等於[撥款金額]
[取消不做][2021/9/23]陳政皓經理：撥款檔增加計件代碼2控管已經決定不做。Vs.待辦事項2021/8/30-2.</t>
  </si>
  <si>
    <t>取消不做</t>
  </si>
  <si>
    <t>調整[會計日期]可輸入起訖區間</t>
  </si>
  <si>
    <t>資料轉換 [未齊件代碼]的[齊件日期計算日]的工作日數，預設為8工作日</t>
  </si>
  <si>
    <t>調整[齊件日期計算日] 輸入欄位說"日"為"工作日"[廠商註]已調整</t>
  </si>
  <si>
    <t>未齊案件到期時,需依下列清單,寄發EMAIL通知
(1).額度建檔所列[房貸專員/企金人員]
(2).有「L9110首次撥款審核資料表」交易權限使用者
(3).「L3100撥款」登錄經辦</t>
  </si>
  <si>
    <t>增加查詢條件 
(1).加[齊件訖日]區間
(2).加[銷號日期]區間</t>
  </si>
  <si>
    <t>輸出欄位調整說明
(1).移除[統一編號]
(2).[齊件日期]改標題為[齊件訖日]
(3).房貸專員需顯示代號及員工姓名
(4).增加[備註]</t>
  </si>
  <si>
    <t>[齊件日期]標題改成[齊件訖日],並可修改</t>
  </si>
  <si>
    <t>增加[備註]輸入欄位</t>
  </si>
  <si>
    <t>異動[銷號日期]需主管授權</t>
  </si>
  <si>
    <t>有「L2801 未齊案件管理」交易權限者,應將未齊件資料於[齊件訖日]到期前3工作日開始,顯示於該使用者"處理清單"中
*BS007</t>
  </si>
  <si>
    <t>增加[額度]查詢條件</t>
  </si>
  <si>
    <t>將戶號移至共同輸出區,並增加[戶名]資訊</t>
  </si>
  <si>
    <t>需於URS規格書說明"不開放查詢的客戶管控"的作法</t>
  </si>
  <si>
    <t>[異動]時需主管授權</t>
  </si>
  <si>
    <t>新增時[保證狀況碼]預設為"1.設定"</t>
  </si>
  <si>
    <t>[保證人關係]改用[保證人關係代碼(CdGuarantor)]檔,廢除[代碼檔(CdCode)]代碼"GuaTypeCode"資料,需補充涵蓋聯徵報送項目</t>
  </si>
  <si>
    <t>擔保品提供人,新系統不需再建[保證類別]為 [05.擔保品提供人]保證人資料,系統直接抓取擔保品資料的[所有權人]申報,並於擔保品建檔時增加[保證人關係]輸入欄位</t>
  </si>
  <si>
    <t>[保證人統編]需存在[客戶主檔(CustMain)],另提供[擔保品提供人]交易關係人建檔功能,可整合(L1101新增自然人及L1102新增法人)交易功能,參考"貸借款申請書"之"擔保品提供人"填寫資料,設計輸入控制[待辦事項6]陳政皓經理提供,並註記必須填寫及不必填寫的項目</t>
  </si>
  <si>
    <t>新增[交易關係人查詢]機制,可依[身份證字號/統一編號]查詢在貸中系統中各種身分資料(借戶、保證人、擔保品提供人)</t>
  </si>
  <si>
    <t>輸入條件[統一編號]標題改為[保證人統編]</t>
  </si>
  <si>
    <t>於輸出共同區,顯示[戶號],[戶名],[借戶否]資訊</t>
  </si>
  <si>
    <t>配合ELOAN共同借款人登錄,調整如下說明
新貸中系統調整說明:
(1).L2111新增電文欄位「共同借款人」,有值時代表為共同借款人案件,處理如下:
(2).會將同一「案件編號」的額度,自動連結為共同借款人戶(同「L2118共同借款人資料登錄」作業內容)
(3).將申請案件,自動改用「共同借款人」的統編對應之戶號]</t>
  </si>
  <si>
    <t xml:space="preserve">ELOAN現行調整說明:
(1).確認「共同借款人」和「申請額度」的關連(使用保證人建檔或另新增共用借款人建檔機制)
(2).「共同借款人」基本資料,可依循現行作法,送電文「L1101新增自然人」及「L1102新增法人」
</t>
  </si>
  <si>
    <t>SKL
承憲</t>
  </si>
  <si>
    <t xml:space="preserve">ELOAN規劃調整備註
(1).於案件申請時，可於同一案件編號下，建立不同「共同借款人」額度
</t>
  </si>
  <si>
    <t>增加[交易關係人]基本資料相關電文欄位,供ELOAN於新增[交易關係人]時,同步新增「顧客基本資料」</t>
  </si>
  <si>
    <t>擔保品建檔共同原則
(不動產、動產、股票、其他)</t>
  </si>
  <si>
    <t>提供[複製]機制</t>
  </si>
  <si>
    <t>提供EXCEL表[整批匯入建檔]機制</t>
  </si>
  <si>
    <t>移除[聯貸案]、[聯貸案類型]輸入欄位</t>
  </si>
  <si>
    <t>[抵押品註記]參考ELOAN輸入方式</t>
  </si>
  <si>
    <t>[建物][土地]重新交易時,需保留原擔保品編號</t>
  </si>
  <si>
    <t>增加門牌的模糊查詢</t>
  </si>
  <si>
    <t xml:space="preserve">[設定順位]調整最大可輸入值為9,並調整輸入[前一順位金額]與[前一順位債權人]同步調整可輸入8組; [前一順位債權人]放大為40位,預設值為"新光人壽保險股份有限公司",資料庫另行設計記錄
</t>
  </si>
  <si>
    <t>檢查擔保品唯一性時,錯誤訊息,顯示重複的完整擔保品編號</t>
  </si>
  <si>
    <t>新增成功時,顯示[保險單]按鈕,連結【L4610保險單明細資料登錄】交易,登錄保險單資料</t>
  </si>
  <si>
    <t>新增時,不必輸入[建物修改原因]</t>
  </si>
  <si>
    <t>[公設建號.所有權人]需同時為[建物.所有權人]</t>
  </si>
  <si>
    <t>於[建物]輸出,增加[保險單]按鈕, ,連結【L4060額度擔保品保險單關聯查詢】交易,查詢保險單資料</t>
  </si>
  <si>
    <t>交易功能併入[L2911不動產擔保品資料查詢] 取消L2041交易</t>
  </si>
  <si>
    <t>交易功能併入[L2911不動產擔保品資料查詢],取消L2042交易</t>
  </si>
  <si>
    <t>建檔時只需提供ID及姓名及掃描類別,基本資料可於L1101/L1102補鍵,並依[交易關係人]必須輸入的資料,做欄位輸入控制</t>
  </si>
  <si>
    <t>[擔保品代號2]="02.動產-機器設備"時,隱藏以下輸入欄位</t>
  </si>
  <si>
    <t>[抵押品註記]參考ELOAN輸入方式,</t>
  </si>
  <si>
    <t xml:space="preserve">新增成功時,顯示[保險單]按鈕,連結【L4610保險單明細資料登錄】交易,登錄保險單資料 </t>
  </si>
  <si>
    <t>併入L2017,應涵蓋以下項目
(1).L2049有的查詢條件
(2).L2049必要輸出欄位
以上調整於後續調整說明會展示</t>
  </si>
  <si>
    <t>併入L2038,應涵蓋以下項目
(1).L2919有的查詢條件
(2).L2919必要輸出欄位
以上調整於後續調整說明會展示</t>
  </si>
  <si>
    <t>併入L2038,應涵蓋以下項目
(1).L2038有的查詢條件
(2).L2038必要輸出欄位
以上調整於後續調整說明會展示</t>
  </si>
  <si>
    <t>改用[擔保品大類]控制,以下欄位查詢條件的顯示/隱藏</t>
  </si>
  <si>
    <t>[建物建號]及[土地地號]增加以區間查詢</t>
  </si>
  <si>
    <t>[建物門牌].[路]可模糊比對</t>
  </si>
  <si>
    <t>增加[車牌號碼]查詢條件</t>
  </si>
  <si>
    <t>增加可以[借戶戶名] 、[所有權人姓名]查詢機制,[廠商註]已調整
(1).新增[顧客基本資料]查詢按鈕
(2).利用自行輸入查詢條件,再選取查詢對象</t>
  </si>
  <si>
    <t>「同一關係企業及集團企業」資料報送作業</t>
  </si>
  <si>
    <t>[關係企業關係代號]目前規劃於「L2035/L2306借款戶關係人/關係企業維護」登錄,附申報[關係代號對照表][說明規劃]</t>
  </si>
  <si>
    <t>新增5種停車位型式的[數量]及[面積]合計欄位</t>
  </si>
  <si>
    <t>匯入台股股票代號</t>
  </si>
  <si>
    <t>新增[查詢]股票按鈕</t>
  </si>
  <si>
    <t>依據[每股單價鑑估標準]輸入選項,正確控制[非上市（櫃）每股淨值]、[每股面額]、[前日收盤價]、[前日收盤價]、[一個月平均價]、[三個月平均價]的必須輸入控制</t>
  </si>
  <si>
    <t>當[全戶維持率]低於時[通知追繳維持率]或[實行職權維持率]時,發送EMAIL給案件承辦[企金人員]
[註]全戶維持率=(收盤價*設定股數)/借款餘額
*BS008</t>
  </si>
  <si>
    <t>廠商整理說明,現有登錄[擔保維持率]、[通知追繳維持率]、[實行職權維持率]的使用狀況[說明使用狀況]</t>
  </si>
  <si>
    <t>增加[全戶維持率]欄位
[註]全戶維持率=(收盤價*設定股數)/借款餘額</t>
  </si>
  <si>
    <t>[投資內容],[公開價值]由獨立3行改成memo輸入型態</t>
  </si>
  <si>
    <t>訊息顯示,由原先連結[L2072 顧客控管警訊明細資料查詢]查詢交易模式,改為警示視窗方式顯示</t>
  </si>
  <si>
    <t>備錄代碼申2碼改為3碼，原代碼99.其他，由經辦自行輸入[備忘錄說明],也同步改成999.其他</t>
  </si>
  <si>
    <t>於[L6402 交易控制檔維護]新增[顯示顧客控管警訊]欄位選項,可彈性自訂顯示警訊交易</t>
  </si>
  <si>
    <t>[刪除]或非建檔者[修改]需主管授權</t>
  </si>
  <si>
    <t>查詢條件需指定[借款人戶號]</t>
  </si>
  <si>
    <t>調整輸出格式,如下
(1).共同區顯示戶號、戶名
(2).GRID明細移除戶號
(3).放大備忘錄說明
(4).只顯示最後更新者/日期</t>
  </si>
  <si>
    <t>加浮水印</t>
  </si>
  <si>
    <t>BBC,電話,傳真 &gt; 依據L1905交易設計,重新調整輸出排版</t>
  </si>
  <si>
    <t>交互運用,目前只顯示Y/N,是否要印明細,再確認</t>
  </si>
  <si>
    <t>保證人資料增加顯示"保證類別"</t>
  </si>
  <si>
    <t>"基本利率代碼"改為"商品代碼"</t>
  </si>
  <si>
    <t>增加週期項目"單位"及各"代碼"中文說明</t>
  </si>
  <si>
    <t>第三扣款人,需顯示"ID"及"姓名",不需"關係"</t>
  </si>
  <si>
    <t>違約適用方式重新排版呈現以精簡為原則</t>
  </si>
  <si>
    <t>"督辦姓名"改為"核決主管"</t>
  </si>
  <si>
    <t>擔保品提供人增加顯示"姓名"</t>
  </si>
  <si>
    <t>擔保品號碼顯示完整格式1位-2位-7位</t>
  </si>
  <si>
    <t>建號顯示完整格式5位-3位</t>
  </si>
  <si>
    <t>地號顯示完整格式4位-4位</t>
  </si>
  <si>
    <t>"主建物面積"="擔保品所在樓層面積"+"附屬建物面積"</t>
  </si>
  <si>
    <t>非"獨立車位"擔保品,"車位面積"顯示0; "獨立車位"擔保品,"車位面積"="主建物面積"</t>
  </si>
  <si>
    <t>"站別"刪除</t>
  </si>
  <si>
    <t>"保證人"增加顯示"保證類別" (自然人比照)</t>
  </si>
  <si>
    <t>增加顯示"共同借款人"及"合併額度控管"資訊</t>
  </si>
  <si>
    <t>2021-08-31 將調整後的格式 Email給會議相關人員確認,再開會說明</t>
  </si>
  <si>
    <t>撥款前[L2154 額度資料維護]可維護的額度欄位,於L3100調整為不可輸入,如於撥款前,欲調整相關欄位,調整於[L2154]維護</t>
  </si>
  <si>
    <t>[首次利率調整日期]欄位,調整排版至[利率]標籤</t>
  </si>
  <si>
    <t>主管放行時,[應收付明細]之[匯款銀行],無正確顯示</t>
  </si>
  <si>
    <t>[應收付明細]之[戶名],向左對齊</t>
  </si>
  <si>
    <t>條件加[撥款日期]期間</t>
  </si>
  <si>
    <t>輸出加[戶名]欄位</t>
  </si>
  <si>
    <t>[代碼]加中文說明</t>
  </si>
  <si>
    <t>[週期]加單位說明</t>
  </si>
  <si>
    <t>增加輸出AML檢核結果</t>
  </si>
  <si>
    <t>增加條件[查詢類別]</t>
  </si>
  <si>
    <t>比照[L3100撥款],撥款前[L2154 額度資料維護]可維護的欄位,於L3110調整為不可輸入,如於撥款前,欲調整相關欄位,調整於[L2154]維護</t>
  </si>
  <si>
    <t>預約撥款到期作業後又訂正,登放序號需顯示空白</t>
  </si>
  <si>
    <t>需放行交易,主管資訊未顯示</t>
  </si>
  <si>
    <t>輸出[暫收款金額]改為[暫收抵繳]</t>
  </si>
  <si>
    <t>移除[商品利率]欄位</t>
  </si>
  <si>
    <t>聯貸案訂約明細資料查詢 (2021/9/7 L3010改)</t>
  </si>
  <si>
    <t>更改交易代號為L2060(原L3010)</t>
  </si>
  <si>
    <t>聯貸案訂約登錄 (2021/9/7 L3600改)</t>
  </si>
  <si>
    <t>更改交易代號為L2600(原L3600)</t>
  </si>
  <si>
    <t>新增[聯貸編號],由系統自動編號(5碼)(原L3600)</t>
  </si>
  <si>
    <t>新增[國內或國際聯貸]輸入欄位(原L3600)</t>
  </si>
  <si>
    <t>提供以下二種方案,供企金確認作業流程(原L3600)
(1).【方案1】
(2).【方案2】經清河和企金確認後,採方案二</t>
  </si>
  <si>
    <t>查詢輸出欄位[授權狀態],改為顯示"完成新增授權","完成取消授權"</t>
  </si>
  <si>
    <t>由額度新增授權帳號,需回額度修改或刪除授權資料,於L4042需隱藏[修改]及[刪除]按鈕</t>
  </si>
  <si>
    <t>按鈕需依修改狀態顯示[暫停授權]或[恢復授權]</t>
  </si>
  <si>
    <t>帳號變更為"暫停"時,要檢查目前是否有額度設定扣款授權,無有效額度使用則不允許暫停</t>
  </si>
  <si>
    <t>依ACH及郵局帳號授權顯示不同輸出欄位</t>
  </si>
  <si>
    <t>增加輸出欄位[最後異動時間]</t>
  </si>
  <si>
    <t>[暫停]後[恢復]的[申請代碼]說明[成功新增]改為[恢復授權]</t>
  </si>
  <si>
    <t>[最後修改員編]需顯示[姓名]</t>
  </si>
  <si>
    <t>另提機制</t>
  </si>
  <si>
    <t>增加戶號所有有效額度[繳款方式]整合查詢</t>
  </si>
  <si>
    <t>授權帳號已提出,不可修改授權帳號,並加註說明"說明:扣款帳號已提出授權待授權銀行回覆,不可變更"</t>
  </si>
  <si>
    <t>於[扣款帳號]輸入時,顯示"已授權帳號"</t>
  </si>
  <si>
    <t>火險資料未更新</t>
  </si>
  <si>
    <t>[扣款人ＩＤ]需帶[授權檔ID],非戶號ID</t>
  </si>
  <si>
    <t>輸出欄位[帳號碼]改為[用戶編號],值=扣款人ID(10)+郵局存款別(1)+戶號(7)+帳號碼(2)</t>
  </si>
  <si>
    <t>需增加控管"未託收"票,不可抽票</t>
  </si>
  <si>
    <t>原[作業項目]項目"服務中心代收抽退票"改"服務中心代收抽票"</t>
  </si>
  <si>
    <t>執行完支票關帳,如下圖選項時,產出媒體時,新格式的媒體檔由"核心傳票媒體檔"改為"總帳傳票媒體檔"</t>
  </si>
  <si>
    <t>支票關帳處理,不含抽、退票處理</t>
  </si>
  <si>
    <t>增加[支票號碼]查詢條件</t>
  </si>
  <si>
    <t>一張支票有多筆銷帳時,查詢出只顯示一筆,需另按[支票內容]連結[L3943 支票內容查詢],查詢銷帳明細</t>
  </si>
  <si>
    <t>交易功能併入[L3007 暫收支票明細資料查詢]</t>
  </si>
  <si>
    <t>增加顯示"銷帳明細"資料</t>
  </si>
  <si>
    <t>於[暫收款金額]新增[契變手續費]查詢按鈕,連結【L2061貸後契變手續費明細資料查詢(未入帳)】,帶回[手續費]金額</t>
  </si>
  <si>
    <t xml:space="preserve">按[銀扣]按鈕時(紅框),連結【L4943銀行扣款檔資料查詢】時,查詢條件的預設值,調整如下(綠框):
(1).戶號:當筆契變手續費資料的戶號
(2).入帳日期:期間為查詢當筆契變手續費資料的建檔日期到日曆日
</t>
  </si>
  <si>
    <t>[契變日期]預設值為日曆日</t>
  </si>
  <si>
    <t>[經辦]需帶出經辦代碼及姓名</t>
  </si>
  <si>
    <t>[功能]查詢時,新增[會計日期]與[交易序號]資訊</t>
  </si>
  <si>
    <t>列印時需加印經辦姓名,補印時需加印"補列印"</t>
  </si>
  <si>
    <t>輸出欄位[己入帳]狀態A改為Y</t>
  </si>
  <si>
    <t>輸出欄位[交易金額]要分[起帳金額]跟[銷帳金額]兩個欄位</t>
  </si>
  <si>
    <t>到期檔產出後，續保資料中[火災險保險金額]/[火災險保費]/[地震險保險金額]/[地震險保費]均需顯示為0</t>
  </si>
  <si>
    <t>輸入欄位[火險到期年月],預設為2個月</t>
  </si>
  <si>
    <t>執行功能[自保]時，[會計日期/入通知檔/交易序號/處理代碼/轉催收日/轉催編號]欄位隱藏</t>
  </si>
  <si>
    <t>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</t>
  </si>
  <si>
    <t>[會計日期]無值時，[交易序號]顯示空白</t>
  </si>
  <si>
    <t>餘額(未撥貸或已結案)之續保處理如下說明
(1).執行後產生[續保資料錯誤明細表]
(2).更新續保檔資料</t>
  </si>
  <si>
    <t>餘額(未撥貸或已結案)之續保處理如下說明
(1).執行後產生[續保資料錯誤明細表]
(2).不寫入通知檔</t>
  </si>
  <si>
    <t>[保單號碼]改為[原保單號碼]</t>
  </si>
  <si>
    <t>通知方式</t>
  </si>
  <si>
    <t>額度檔未設定通知方式時，通知方式以簡訊優先，再書面，再email</t>
  </si>
  <si>
    <t>應處理清單</t>
  </si>
  <si>
    <t>[應處理清單]中email及簡訊資料查詢           
(1).[明細鍵值]欄位以中文顯示</t>
  </si>
  <si>
    <t>增加輸入欄位[作業項目],可輸入項目：[1: ACH 扣款 / 2:郵局扣款 /9:全部]</t>
  </si>
  <si>
    <t>產出[銀行扣款明細表] 
(1).需增加浮水印
(2) [還款類別]為火險費時， [應繳日]修改為[保險迄日]，[繳息迄日]修改為[到期年月]</t>
  </si>
  <si>
    <t>作業流程圖補充AML後續處理說明</t>
  </si>
  <si>
    <t>[功能]為新增時, 依[還款類別]自動計算並寫入扣款檔，經辦可利用修改功能調整內容</t>
  </si>
  <si>
    <t xml:space="preserve">取消[訂正]功能,另新增輸入欄位[功能],選項說明:
(1).產出媒體檔:產生銀行扣款媒體
(2).重置媒體碼:取代[訂正]功能機制
</t>
  </si>
  <si>
    <t>產出[銀扣媒體檔未產出清單],增加[戶名]輸出欄位，排序及跳頁條件依據[作業項目]欄位：[1: ACH 扣款 / 2:郵局扣款 /9:全部]</t>
  </si>
  <si>
    <t>[扣款銀行]欄位,增加[998:ACH扣款]選項</t>
  </si>
  <si>
    <t>於[查詢選項]選擇[2.上限金額 / 3.下限金額]時,增加可輸入查詢條件 [作業項目]</t>
  </si>
  <si>
    <t>[作業項目],可輸入項目：[1: ACH 扣款 / 2:郵局扣款 /9:全部]</t>
  </si>
  <si>
    <t>[銀行別]欄位,增加[998:ACH扣款]選項</t>
  </si>
  <si>
    <t>增加查詢明細機制，內容參考AS400[4-13-20 ACH 扣款檔資料維護]中查詢之欄位</t>
  </si>
  <si>
    <t xml:space="preserve">[查詢選項]增加輸入項目：[5.扣款金額=0 /
 6.媒體檔總金額]；
 (1)可輸入欄位[銀行別/還款類別/入帳日期]
 (2)[查詢選項]為[6.媒體檔總金額]時，[還款類別]欄限輸入[01期款/05火險費/99全部]，若查詢當時媒體尚未產出則出錯誤訊息。
</t>
  </si>
  <si>
    <t>銀扣暫收抵繳</t>
  </si>
  <si>
    <t>約定還款及法拍費用，需HOLD暫收款，不可予期款抵用</t>
  </si>
  <si>
    <t>火險費不可暫收抵繳，其他如帳管費、契變手續費、短收期款已加入期款(可抵繳)</t>
  </si>
  <si>
    <t>L698A</t>
  </si>
  <si>
    <t>[資料日期]欄位改為日曆日</t>
  </si>
  <si>
    <t>簡訊檔送出後，檔案可在 [LC009報表及檔案查詢]中查詢及開啟</t>
  </si>
  <si>
    <t>修改功能時,部分欄位沒有帶出中文顯示</t>
  </si>
  <si>
    <t>需顯示受理調解機構代號中文,欄位值與L8030的受理調解機構代號相同</t>
  </si>
  <si>
    <t>新增按鈕-連結聯徵資料的債務人聯絡電話</t>
  </si>
  <si>
    <t>延期繳款年月若無值則顯示空白</t>
  </si>
  <si>
    <t>新增按鈕-連結喘息期歷程(L6932篩選延期繳款年月起訖)</t>
  </si>
  <si>
    <t>異動延期繳款年月時,須同步維護下次繳款日及還款結束日</t>
  </si>
  <si>
    <t>延期年月改為顯示民國年月,若值=0則顯示空白</t>
  </si>
  <si>
    <t>連結法催紀錄L5960時,函催只做案件種類為債協部分:前置協商毀諾(未依約履行)通知函, 前置協商逾期繳款通知函</t>
  </si>
  <si>
    <t>到期日改為還款結束日</t>
  </si>
  <si>
    <t>點選查詢時改為連結到新代號L5976債權案件主檔內容查詢</t>
  </si>
  <si>
    <t>年利率可輸入0</t>
  </si>
  <si>
    <t>查詢篩選條件增加試算後的預設交易別,增加輸出欄位:試算後預設的交易別(如L5702欄位值),在畫面最下面增加整批入帳按鈕</t>
  </si>
  <si>
    <t>交易完成時顯示提示訊息成功失敗總筆數與金額</t>
  </si>
  <si>
    <t>新增按鈕查詢客戶撥付統計資料:連結到新交易L5977客戶最大債權撥付統計查詢,以客戶戶號+案件序號查詢最大債權撥付統計資料</t>
  </si>
  <si>
    <t>新增按鈕連動L5711撥付金額調整:未製檔才顯示按鈕</t>
  </si>
  <si>
    <t>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</t>
  </si>
  <si>
    <t>"經理"字眼改用"主管"</t>
  </si>
  <si>
    <t>新增輸入欄位[啟用記號],可輸入選項:Y:啟用,N:停用</t>
  </si>
  <si>
    <t>移除[刪除]按鈕</t>
  </si>
  <si>
    <t>增加輸出欄位[啟用記號]</t>
  </si>
  <si>
    <t>因為L6085查詢條件及輸出欄位,均有涵蓋L6086提供機制,所以L6086整併入L6085
註:因多個交易包含L6755本新增時,需用到此查詢帶回各單位、部室代號</t>
  </si>
  <si>
    <t>增加查詢條件[代碼檔名稱]模糊比對機制,如下圖</t>
  </si>
  <si>
    <t>[啟用記號]值N:未啟用,改為N:停用</t>
  </si>
  <si>
    <t>[假日]日期小於日曆日時,不顯示[刪除]按鈕</t>
  </si>
  <si>
    <t>原AS400/6-11,交易名稱變更為"地區別資料查詢"</t>
  </si>
  <si>
    <t>原AS400/6-11,交易名稱變更為"地區別資料維護"</t>
  </si>
  <si>
    <t>原AS400/6-35,交易名稱變更為"聯徵報送-地區別資料查詢"</t>
  </si>
  <si>
    <t>輸入條件[地區別]增加選單</t>
  </si>
  <si>
    <t>原AS400/6-35,交易名稱變更為"聯徵報送-地區別資料維護"</t>
  </si>
  <si>
    <t>輸入欄位[地區別]增加選單</t>
  </si>
  <si>
    <t>增加[JCIC縣市碼]及[JCIC鄉鎮碼]</t>
  </si>
  <si>
    <t>[地區類別]目前無其他交易使用,隱藏欄位</t>
  </si>
  <si>
    <t>增加[行業別]查詢條件</t>
  </si>
  <si>
    <t>配合主管授權等級控管,增加輸入欄位[授權等級],經辦預設0,主管限輸入1~9</t>
  </si>
  <si>
    <t>新增輸入欄位[統一編號],非必輸欄位</t>
  </si>
  <si>
    <t>交易名稱變更為"會計變動數值設定查詢"</t>
  </si>
  <si>
    <t>交易名稱變更為"會計變動數值設定"</t>
  </si>
  <si>
    <t>於L4500設定之[媒體日期]當天，[應處理清單]
執行[15日薪]及[非15日薪]扣薪媒體檔產出作業：
(1)有扣薪媒體明細資料時產生檔案。
(2)無扣薪媒體明細資料時產生空檔。</t>
  </si>
  <si>
    <t>未於L4500設定之日期不產生資料檔</t>
  </si>
  <si>
    <t>增加欄位[查詢選項]：
1：15日薪
2：非15日薪</t>
  </si>
  <si>
    <t>產出之報表中不要顯示[程式ID]及[報表]欄位</t>
  </si>
  <si>
    <t>扣款回應檔上傳時檢核處理：
與提出檔之總金額及筆數檢核是否相同，不同時顯示提示訊息。</t>
  </si>
  <si>
    <t>歸類為[不處理]之條件：
(1)與提出檔資料不符、扣款失敗、實扣金額為0
(2)產出失敗報表
(3)後續處理：若為[與提出檔資料不符]之情況，待查明原因後需要入帳時執行
L4210其他還款來源建檔(L4921[新增來源建檔]按鈕進入) -&gt; L4002整批入帳作業執行[轉暫收]</t>
  </si>
  <si>
    <t>查詢單改為產出報表，另增加2份報表：
  (1)員工扣薪總傳票明細表
  (2)火險費沖銷明細表(員工扣薪)</t>
  </si>
  <si>
    <t>增加查詢[銷帳編號]欄位</t>
  </si>
  <si>
    <t>期款收回順序</t>
  </si>
  <si>
    <t>期款收回順序：
回收費用</t>
  </si>
  <si>
    <t>依額度回收本息及欠繳：
(1)依計息起迄日先到先還。
(2)相同計息起迄日時，按利率由高至低依序償還</t>
  </si>
  <si>
    <t>針對轉換資料，若票據金額等於該額度期金時，以該額度入帳</t>
  </si>
  <si>
    <t>檢核條件：未兌現入帳之票據會每天顯示</t>
  </si>
  <si>
    <t>[處理事項說明]欄位加註該票據[未兌現]</t>
  </si>
  <si>
    <t>刪除輸出欄位[案號]</t>
  </si>
  <si>
    <t>增加欄位[是否內含利息]＆[利息是否可欠繳]，
參考 L3200做法</t>
  </si>
  <si>
    <t>約定部分償還可到額度</t>
  </si>
  <si>
    <t>非額度全部結清的情況，金額足夠償還餘額時將
該筆撥款設為結案</t>
  </si>
  <si>
    <t xml:space="preserve">部分償還自動入帳條件之優先序：
(1)L3130約定部分償還登錄。
(2)還款金額&gt;=L3130之約定金額。
(3)利率由高至低
2021/10/27蔡珮瑜回覆：
目前是利率高至低&gt;用途別&gt;由額度編號大至小
用途別為9-&gt;1-&gt;3-&gt;4-&gt;5-&gt;6-&gt;2
欄位代碼       欄位說明     
1            週轉金    
2            購置不動產
3            營業用資產
4            固定資產  
5            企業投資  
6            購置動產
9            其他
</t>
  </si>
  <si>
    <t>原AS400[存摺代號]欄位放在[對帳類別]欄</t>
  </si>
  <si>
    <t>依虛擬帳號區分顯示</t>
  </si>
  <si>
    <t>欄位[來源]中選項[11匯款轉帳預先作業]名稱改為[大額匯款手工增入入帳]</t>
  </si>
  <si>
    <t>欄位[處理狀態]選項中[人工入帳]名稱改為[單筆入帳]</t>
  </si>
  <si>
    <t>欄位[虛擬帳號]名稱改為[入帳戶號],虛線不要</t>
  </si>
  <si>
    <t>查詢輸出增加[檔名/序號]欄位</t>
  </si>
  <si>
    <t>欄位[還款金額]名稱改為[交易金額]</t>
  </si>
  <si>
    <t>依用途列印不同字樣</t>
  </si>
  <si>
    <t>賴文育陳綺萍</t>
  </si>
  <si>
    <t>列印存款單及匯款單</t>
  </si>
  <si>
    <t>相關報表</t>
  </si>
  <si>
    <t>原AS400報表改為[L4920整批入帳明細查詢]：
1.[4-1-4匯款暫存檔明細表]。
2.[4-1-7匯款轉帳檔明細表]，原[匯款沖帳碼]欄位取消</t>
  </si>
  <si>
    <t xml:space="preserve"> V</t>
  </si>
  <si>
    <t>新增失敗報表，格式參考[4-1-9匯款轉帳失敗表]
1.報表表頭以[存摺代號]換頁。
2.報表明細為失敗明細，無失敗時不顯示。
3.報表表尾為該批號之總數，含成功及失敗</t>
  </si>
  <si>
    <t>新增成功報表，格式參考[4-1-9匯款總傳票明細表]
1.報表表頭以[存摺代號]換頁</t>
  </si>
  <si>
    <t>整批入帳-期款</t>
  </si>
  <si>
    <t>整批入帳入期款時需參考[L6501系統變數及系統值設定]中欄位[整批-預收期數]設定值</t>
  </si>
  <si>
    <t>撥款序號改為非必輸欄位</t>
  </si>
  <si>
    <t>入帳日或會計日小於等於約定部分償還日期，未過期者僅能一筆(提供修改日期功能)</t>
  </si>
  <si>
    <t>實際償還金額必須大於等於約定部分償還金額</t>
  </si>
  <si>
    <t>依利率高者先還</t>
  </si>
  <si>
    <t>有期款未繳不執行</t>
  </si>
  <si>
    <t>L3130約定部分償還建檔時需增加欄位[是否內含利息]、[利息是否可欠繳]( 2021/10/12會議)</t>
  </si>
  <si>
    <t>新增修改送出後自動連結[L8204疑似洗錢交易訪談記錄維護]</t>
  </si>
  <si>
    <t>新增[實際還款金額]欄位</t>
  </si>
  <si>
    <t>[預定還款日期]、[還款金額]改為非必輸
2021/10/27蔡珮瑜回覆：訪談紀錄，[預定還款日期]、[預定還款金額]應該為必輸欄位</t>
  </si>
  <si>
    <t>原[還款金額]改為[約定還款金額]
2021/10/27蔡珮瑜回覆：訪談紀錄，[預定還款日期]、[預定還款金額]應該為必輸欄位</t>
  </si>
  <si>
    <t>撥款序號改為非必輸</t>
  </si>
  <si>
    <t>新增輸入選項欄位[1.每期攤還金額 2.部分償還金額]
(1).輸入每期攤還金額算出部分償還金額
(2).輸入部分償還金額顯示新的每期攤還金額</t>
  </si>
  <si>
    <t>錯誤訊息加入千分位</t>
  </si>
  <si>
    <t>共同機制</t>
  </si>
  <si>
    <t>所有的檢核條件，只需在[交易代碼]為[A.新增]、[C.異動]時作檢核即可</t>
  </si>
  <si>
    <t>若有隨同填報功能，則在送出後顯示提示訊息</t>
  </si>
  <si>
    <t>交易代碼[X.補件]、[R.請求債權人清冊]視為新增資料</t>
  </si>
  <si>
    <t>[報送單位代號]的說明為[最大債權金融機構代號]，則該欄位改為預設"458 "，且可讓使用者輸入</t>
  </si>
  <si>
    <t>[身分證字號]/[債務人IDN]後增加[客戶姓名]</t>
  </si>
  <si>
    <t>[協商開始日]自動帶出[協商申請日]+25日</t>
  </si>
  <si>
    <t>檢核該[債務人IDN]於[回報無擔保債權金額資料
檔案格式(JcicZ042)]中，[轉Jcic文字檔日期]不為空白之資料</t>
  </si>
  <si>
    <t>電話欄位提供說明</t>
  </si>
  <si>
    <t>[交易代碼]增加X.補件</t>
  </si>
  <si>
    <t>上傳結束，訊息顯示總金額及筆數</t>
  </si>
  <si>
    <t>增加輸入欄位[作業項目]，可輸入：[1.ACH 扣款 / 2.郵局扣款 / 9.全部]
2021/10/27蔡珮瑜回覆：應該需依扣款銀行別做篩選</t>
  </si>
  <si>
    <t>輸出欄位[處理代碼]取消</t>
  </si>
  <si>
    <t>銀扣作業將入帳失敗者自動轉暫收，以[轉暫收的數字]鐽可查詢明細，明細中增加應繳日期</t>
  </si>
  <si>
    <t>[不處理]及[不處理金額]欄位名稱改[失敗]及[失敗金額]</t>
  </si>
  <si>
    <t>輸出欄位[處理說明]取消，處理狀態之說明顯示在欄位[備註]</t>
  </si>
  <si>
    <t>輸出欄位[檢核結果]顯示
1.入帳成功：單筆入帳/批次入帳/轉暫收
2.入帳失敗：失敗原因</t>
  </si>
  <si>
    <t>新增失敗報表，格式參考[4-13-51 ACH 扣款失敗報表]</t>
  </si>
  <si>
    <t>新增成功報表，格式參考[4-13-61 ACH 扣款總傳票明細表]</t>
  </si>
  <si>
    <t>呆帳改呆帳結案戶</t>
  </si>
  <si>
    <t>新增欄位可輸入[核決主管]及[備註欄]
[2021/10/25張舜雯回覆]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</si>
  <si>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>L9133</t>
  </si>
  <si>
    <t>放款會計與主檔餘額檢核表</t>
  </si>
  <si>
    <t>浮水印顯示資訊錯誤</t>
  </si>
  <si>
    <t>不需產出[L9133放款會計與主檔餘額檢核表]</t>
  </si>
  <si>
    <t>保單險種不足明細表</t>
  </si>
  <si>
    <t>表中參考的建築造價資料，新系統與eloan分開維護，新系統新增維護交易</t>
  </si>
  <si>
    <t>擔保品號碼新舊對照</t>
  </si>
  <si>
    <t>新增查詢交易，欄位包含新舊擔保品號碼、戶號、額度、地址</t>
  </si>
  <si>
    <t>增加輸入欄位[有效保單]，可輸入[0.有效/9.全部]</t>
  </si>
  <si>
    <t>增加連結查詢[L2038擔保品明細資料查詢]&amp;[L4610保險單明細資料登錄/L4611續約保單資料維護]</t>
  </si>
  <si>
    <t>與新光產險對帳後，列應付費用：
正常繳款(放款系統出帳)
借:20232010 暫收及待結轉帳項-火險保費
 　　貸:20210391 應付費用-待匯</t>
  </si>
  <si>
    <t>火險佣金發放明細表：
 (1)地址欄位長度放大，程式ID&amp;報表代號修改為新系統代號</t>
  </si>
  <si>
    <t>火險佣金未發明細表：
 (1)地址欄位長度放大，程式ID&amp;報表代號修改為新系統代號</t>
  </si>
  <si>
    <t>住宅險改商業險註記</t>
  </si>
  <si>
    <t>L4610保險單明細資料登錄：增加輸入欄位[住宅險
改商業險註記]，可輸入[Y / 空白]</t>
  </si>
  <si>
    <t>L4611續約保單資料維護：增加輸入欄位[住宅險改
商業險註記]，可輸入[Y / 空白]</t>
  </si>
  <si>
    <t>L4962保險單資料檢核作業：檢核表類別增加選項
[住宅險改商業險註記]及輸入[火險到期起迄年月]
欄位</t>
  </si>
  <si>
    <t>增加連結查詢[L4961火險保費明細查詢]</t>
  </si>
  <si>
    <t>新增欄位[改呆帳結案戶],作業項目[08.收回呆帳]時顯示</t>
  </si>
  <si>
    <t>[改呆帳結案戶]檢核條件,輸入Y/N,預設N,輸入Y 時,顯示[核決主管]及[備註欄]可輸入
[2021/10/26張舜雯回覆]：如遇董事會核決，輸入轄最高主管，備註董事會。不新增核決層級。</t>
  </si>
  <si>
    <t>新增應轉催收日前三營業日即寫入應處理清單</t>
  </si>
  <si>
    <t>指標利率交易放行控制</t>
  </si>
  <si>
    <t>[L6301指標利率種類維護]新增一筆[指標利率種類]後，在未放行前不可建立該筆[指標利率種類]的指標利率</t>
  </si>
  <si>
    <t>欄位[生效記號]名稱改為[狀態]，顯示[已放行 / 未放行]</t>
  </si>
  <si>
    <t>[已使用]之指標利率不可修改或刪除
2021/10/27蔡珮瑜回覆：應為最新一筆利率生效未使用中及未生效，才能修改及刪除。
過往資料不應該可以修改刪除</t>
  </si>
  <si>
    <t xml:space="preserve">欄位[生效記號]顯示[未生效/已生效/已使用/未放
行]
2021/10/27蔡珮瑜回覆：應為最新一筆利率生效未使用中及未生效，才能修改及刪除。
過往資料不應該可以修改刪除
</t>
  </si>
  <si>
    <t>新增時需生效日期最大</t>
  </si>
  <si>
    <t>未生效(生效日期&gt;日曆日期)僅能一筆
2021/10/27蔡珮瑜回覆：應為最新一筆利率生效未使用中及未生效，才能修改及刪除。
過往資料不應該可以修改刪除。</t>
  </si>
  <si>
    <t>生效日期可小於日曆日期
2021/10/27蔡珮瑜回覆：應為最新一筆利率生效未使用中及未生效，才能修改及刪除。
過往資料不應該可以修改刪除。</t>
  </si>
  <si>
    <t>輸入欄位[戶別種類]名稱改為[個金/企金]：
1.個金  2.企金(含企金自然人)</t>
  </si>
  <si>
    <t>[作業項目]為4.員工利率調整：
1.若分次執行不同商品時，清單內之筆數為加總數
2.增加輸入欄位[批次利率]，與欄位[批次加減碼]2選1輸入：
(1) 輸入[批次利率]時，欄位[商品]必須輸入。
(2) 輸入[批次加減碼]時，欄位[商品]可不輸入</t>
  </si>
  <si>
    <t>1.2021/11/4
2.2021/11/10</t>
  </si>
  <si>
    <t>[作業項目]為5.按商品別調整，功能修改參考
[4-66整批利率變更作業]</t>
  </si>
  <si>
    <t>欄位[按地區別自動調整]名稱改為[按地區別調整]</t>
  </si>
  <si>
    <t>[按地區別調整]功能，增加勾選人工調整功能，勾選後列入[人工調整(未調整)]</t>
  </si>
  <si>
    <t>人工調整項目：按目前利率調整/按擬調利率調整/按輸入利率調整</t>
  </si>
  <si>
    <t>欄位[不處理]名稱改為[待處理]；欄位[要處理]名稱改為[總筆數]，含[待處理]筆數，位置移到欄位[作業狀態]前</t>
  </si>
  <si>
    <t>查詢條件增加輸入欄位[逾期期數]</t>
  </si>
  <si>
    <t>查詢輸出增加欄位[合約加碼利率]</t>
  </si>
  <si>
    <t>執行[確認]前需控管[待處理]之問題已排除</t>
  </si>
  <si>
    <t>調整員工利率作業</t>
  </si>
  <si>
    <t xml:space="preserve">
2021/10/27 蔡珮瑜回覆：EO員工利率-一般客戶,11退休員工，不需要去判讀員工是否在職。
挑選條件待與IT確認：
1. 員工利率產品比對不符清單
2. 客戶檔客戶別與員工檔比對不符清單
/* 員工利率產品比對不符清單 */
商品代碼 ProdNo 
if 商品為員工優惠貸款 &lt;&gt; EO員工利率-一般客戶,11退休員工
   if    1.身份變更       任用狀況碼 &lt;&gt; 1,4
      || 2.退休屆滿5年   任用狀況碼  = 5 
&amp; 離職/停約日 &lt; 本日減5年
/* 客戶檔客戶別與員工檔比對不符清單 */
if 任用狀況碼 &lt;&gt; 1,4,5  &amp;&amp; 客戶別 = 01,09  ==&gt; 比對
任用狀況碼 AgStatusCode 0:單位報備
1:在職
2:離職
3:解聘
4:留職停薪
5:退休離職
9:未報聘/內勤
客戶別 CustTypeCode 00:一般
01:員工
02:首購
03:關企公司
04:關企員工
05:保戶
07:員工二親等
09:新二階員工
</t>
  </si>
  <si>
    <t>輸入欄位[備註]移到最後輸入</t>
  </si>
  <si>
    <t>列印表單[個人房貸調整案]中補充欄位：
[調整原因/調降利率/客戶要求利率/擬調利率/
變更繳款方式/延長寬限期/縮短年期/延長年期/
備註]</t>
  </si>
  <si>
    <t>三擇一輸入不輸入時顯示空白</t>
  </si>
  <si>
    <t>輸出畫面利率後顯示生效日</t>
  </si>
  <si>
    <t>畫面顯示[戶號]、[戶名]</t>
  </si>
  <si>
    <t>計息起日、計息迄日日期錯誤</t>
  </si>
  <si>
    <t>[疑似洗錢交易合理性維護]改為[疑似洗錢交易訪談記錄維護]連動L8204</t>
  </si>
  <si>
    <t>新增交易,以ID查詢"ID所有人"與所有案件關係資料</t>
  </si>
  <si>
    <t>[功能]查詢時,需顯示[建立者]員編及姓名</t>
  </si>
  <si>
    <t>[功能]新增時，需主管授權</t>
  </si>
  <si>
    <t>增加解除功能，須註明解除原因</t>
  </si>
  <si>
    <t>Eloan上送客戶資料時，若未[解除],則回覆錯誤訊息</t>
  </si>
  <si>
    <t>帳務資料查詢:需去除ID與戶名，非帳務資料為不可查詢</t>
  </si>
  <si>
    <t>顯示[鑑估序號]00資料，該筆資料不可做修改及刪除</t>
  </si>
  <si>
    <t>輸出共同區增加[擔保品號碼]與[建物門牌]( ,如下圖紅框)，下方明細區移除[擔保品號碼]</t>
  </si>
  <si>
    <t>新增按鈕連結【L2017額度與擔保品關聯】查詢</t>
  </si>
  <si>
    <t>畫面增加按鈕連結【L2039 擔保品重評明細資料查詢】</t>
  </si>
  <si>
    <t>輸出明細增加[案件編號]欄位</t>
  </si>
  <si>
    <t>修改舊鑑估序號時，僅更新擔保品重評資料檔</t>
  </si>
  <si>
    <t>重評原因代碼:
Eloan上送擔保品時(L2411)，若鑑價日期不同要自　　
動新增重評資料，依計件代碼mapping 原因代碼</t>
  </si>
  <si>
    <t>關帳時列印結清戶滿5年的查詢清單</t>
  </si>
  <si>
    <t>改為查詢交易，交易內容待確認</t>
  </si>
  <si>
    <t>案件種類=法催,增加[到期存證信函]按鈕
2021/11/5 怡婷電聯通知：取消[到期存證信函]。</t>
  </si>
  <si>
    <t>欄位名稱[增修人員]改為[修改人員]</t>
  </si>
  <si>
    <t>輸出的共同列增加戶號與戶名</t>
  </si>
  <si>
    <t>欄位名稱[催收人員姓名]改為[法催人員]</t>
  </si>
  <si>
    <t>輸出欄位增加[擔保品編號]</t>
  </si>
  <si>
    <t>刪除按鈕拿掉</t>
  </si>
  <si>
    <t>交易畫面最下面增加維護日期+維護時間,維護日期為日曆日</t>
  </si>
  <si>
    <t>刪除時需增加主管覆核</t>
  </si>
  <si>
    <t>交易畫面最下面增加維護日期+維護時間,維護日
期為日曆日</t>
  </si>
  <si>
    <t>新增按鈕:連結[員工資料檔查詢]L190A</t>
  </si>
  <si>
    <t>新增交易:供法催使用,L5062查詢與L5606維護[法催地區別],內容欄位類似L6074,增加電話欄位((區碼)1234-5678#分機)</t>
  </si>
  <si>
    <t>按鈕[聯徵地區別查詢]改為[法催地區別查詢]</t>
  </si>
  <si>
    <t>增加按鈕:查詢擔保品連動L2038,並於畫面顯示 [門牌號碼]</t>
  </si>
  <si>
    <t>若有其他戶號+額度編號為同一擔保品,則一併維護法催資料</t>
  </si>
  <si>
    <t>欄位[其他記錄]長度放大為500</t>
  </si>
  <si>
    <t>刪除功能拿掉</t>
  </si>
  <si>
    <t>維護日期改為日曆日</t>
  </si>
  <si>
    <t>查詢選項選全部時,產生的檔案依種類區分不同頁籤</t>
  </si>
  <si>
    <t>日期改為日曆日</t>
  </si>
  <si>
    <t>查詢結果增加[異動人員]與[異動時間]</t>
  </si>
  <si>
    <t>查詢結果[戶別]改為中文</t>
  </si>
  <si>
    <t>[修改]時[戶別]帶出中文</t>
  </si>
  <si>
    <t>[戶別]改使用新增專用代碼檔供使用者自行新增</t>
  </si>
  <si>
    <t>若為已做過覆審之案件，[覆審年月]需存入最近
一次覆審之年月</t>
  </si>
  <si>
    <t>查詢條件增加[3.依追蹤年月]、[4.未完成追蹤]</t>
  </si>
  <si>
    <t>查詢結果增加[指定覆審記號]</t>
  </si>
  <si>
    <t>若[覆審記號]為空白，則[覆審年月]為000/00</t>
  </si>
  <si>
    <t>若[追蹤記號]為[2.要追蹤]時，增加一輸入欄位[追蹤年月]</t>
  </si>
  <si>
    <t>洗錢樣態三,增加欄位[統計天數]</t>
  </si>
  <si>
    <t>經辦交易送出不須主管授權,唯獨刪除時需要</t>
  </si>
  <si>
    <t>主管查詢時刪除時,刪除按鈕移除</t>
  </si>
  <si>
    <t>經辦第二次修改合理性,主管需重新覆核</t>
  </si>
  <si>
    <t>延遲交易日期判斷依主管同意日期做判斷</t>
  </si>
  <si>
    <t>提交放行交易</t>
  </si>
  <si>
    <t>增加主管[覆核日期]欄位,為主管第二次覆核時顯示</t>
  </si>
  <si>
    <t>增加洗錢合理性、延遲交易報表(含Excel)</t>
  </si>
  <si>
    <t>刪除交易需主管授權</t>
  </si>
  <si>
    <t>增加洗錢交易訪談報表</t>
  </si>
  <si>
    <t>查詢條件,移除[額度、撥款序號]欄位</t>
  </si>
  <si>
    <t>查詢結果移除[戶號、交易代號、會計日期、]欄位,如下圖所示</t>
  </si>
  <si>
    <t>每年年底終日執行批次,產生[每年房屋擔保借款繳息工作檔]資料流程圖</t>
  </si>
  <si>
    <t>批次執行結果通知方法,待小潘講共用時說明</t>
  </si>
  <si>
    <t>檢核檔內容需依據109年舊資料比對正確性</t>
  </si>
  <si>
    <t>增加搜尋條件,依據檢核檔r1~r8、r10~r12,檢核格式,與資金用途別</t>
  </si>
  <si>
    <t>修改資料時,可修改欄位與資料參考AS400畫面</t>
  </si>
  <si>
    <t>媒體檔格式不同,需重新改寫</t>
  </si>
  <si>
    <t>增加產出上傳官網之檔案</t>
  </si>
  <si>
    <t>產出資料格式錯誤,依照[20210608_保險公司資料交換說明書]重新改寫</t>
  </si>
  <si>
    <t>產出資料筆數邏輯修改</t>
  </si>
  <si>
    <t>[可放款金額]欄位,修改時需重新自動計算</t>
  </si>
  <si>
    <t>查詢條件,[借閱日期]欄位,預設為日曆日</t>
  </si>
  <si>
    <t>查詢結果,[歸還日期]欄位,若等於0,顯示空白</t>
  </si>
  <si>
    <t>[借閱日期]、[歸還日期]欄位,預設為日曆日</t>
  </si>
  <si>
    <t>申請與歸還時,供經辦與審核人員夾檔上傳</t>
  </si>
  <si>
    <t>列印功能,顯示浮水印</t>
  </si>
  <si>
    <t>查詢報表結果顯示增加[戶名]、[經辦姓名]</t>
  </si>
  <si>
    <t>查詢報表結果顯示增加[借閱日期]起訖日</t>
  </si>
  <si>
    <t>查詢條件,[報表種類]=[4,全部]時,無資料之報表,仍需顯示報表顯示無資料</t>
  </si>
  <si>
    <t>未歸還月報表,依[用途]分開顯示</t>
  </si>
  <si>
    <t>未歸還月報表,增加借閱日期欄位</t>
  </si>
  <si>
    <t>放行交易</t>
  </si>
  <si>
    <t>查詢結果,[經辦]欄位,代號改為顯示經辦姓名</t>
  </si>
  <si>
    <t>領取清償證明時,增加[用印申請書]夾檔上傳功能</t>
  </si>
  <si>
    <t>電話提示部分改為紅字</t>
  </si>
  <si>
    <t>L8301~L8337</t>
  </si>
  <si>
    <t>JCIC檔案匯出作業</t>
  </si>
  <si>
    <t>若[異動]狀態只能選擇異動，則[交易代碼]自動改值為[C.異動]</t>
  </si>
  <si>
    <t>增加[地址]欄位限輸入文數字檢核</t>
  </si>
  <si>
    <t>[帳號]欄位不需自動轉大寫</t>
  </si>
  <si>
    <t>檔案名稱依照[109年度消費者債務清理條例]調整</t>
  </si>
  <si>
    <t>[企金別]值為"2"(企金自然人)時,是否控制不可為"060000"(個人),待與陳俞辛確認</t>
  </si>
  <si>
    <t>L6083房貸專員所屬業務部室查詢:AS400使用確認</t>
  </si>
  <si>
    <t>L6753房貸專員所屬業務部室維護:AS400使用確認</t>
  </si>
  <si>
    <t>L6754 業績件數及金額核算標準設定交易, 數字欄位輸入小數位數標準</t>
  </si>
  <si>
    <t>L1101增加[是否為金控類似準利害關係人]欄位,提供顯示邏輯</t>
  </si>
  <si>
    <t>L1101增加[客戶交互運用維護]欄位(同【L1109交互運用輸入】交易機制),提供eLoan輸入控制供設計參考</t>
  </si>
  <si>
    <t>提供「客戶申請合約」最新範本</t>
  </si>
  <si>
    <t>更新「L2111 案件申請登錄」規格供ELOAN調整程式</t>
  </si>
  <si>
    <t>更新「L2111 案件申請登錄」調整後畫面供BU確認</t>
  </si>
  <si>
    <t>[L5951 房貸介紹人業績明細查詢]和[L5051房貸介紹人業績處理清單]交易整併,廠商另提設計</t>
  </si>
  <si>
    <t>[L5952 房貸專員業績明細查詢]與[L5052 房貸專員業績處理清單]交易整併,廠商另提設計</t>
  </si>
  <si>
    <t>客戶資料[企金別]值為"2"(企金自然人)時,申報處理</t>
  </si>
  <si>
    <t>【L1105顧客聯絡電話維護】確認[與借款人關係]選項</t>
  </si>
  <si>
    <t>提供「企金業績統計表」現有[放款性質]</t>
  </si>
  <si>
    <t>提供"核決層級"輸入欄位ELOAN作法</t>
  </si>
  <si>
    <t>更新「L2801 未齊案件管理」開發規格</t>
  </si>
  <si>
    <t>未齊件代碼維護,目前ELOAN亦需提供經辦維護機制，提供新貸中系統資料格式供ELOAN參考</t>
  </si>
  <si>
    <t>提供未齊件資料於[齊件訖日]到期前3工作日,通知EMAIL範例</t>
  </si>
  <si>
    <t>補提供未齊件報表樣張</t>
  </si>
  <si>
    <t>「L2801 未齊案件管理」待確認[齊件代碼]是否可修改</t>
  </si>
  <si>
    <t>提供"貸借款申請書"之"擔保品提供人"填寫資料,並註記必須填寫及不必填寫的項目</t>
  </si>
  <si>
    <t>L1105增加聯絡電話[異動原因]代碼</t>
  </si>
  <si>
    <t>請企金提供[指標利率種類],供廠商協助建檔參考</t>
  </si>
  <si>
    <t>提供各[未齊件代碼]的[齊件日期計算日]的工作日數，供廠商建檔參考</t>
  </si>
  <si>
    <t>依據「客戶申請合約」最新範本,說明新客戶建檔相關規劃</t>
  </si>
  <si>
    <t>"聯貸案件"於額度查詢顯示,規劃和"共用額度"一起說明</t>
  </si>
  <si>
    <t>提供下載"上傳資料最新範本"機制規劃說明</t>
  </si>
  <si>
    <t>L5500 工作日業績結算,人工啟動時,如何再同步資料上傳內網系統</t>
  </si>
  <si>
    <t>台北金融業拆款定盤利率匯入利率的流程討論</t>
  </si>
  <si>
    <t>「L2111 案件申請登錄」確認企金需另設計輸入畫面或共用輸入畫面</t>
  </si>
  <si>
    <t>撥款後調整[貸款期間(月)][追蹤事項]於「L3701放款內容變更」討論</t>
  </si>
  <si>
    <t>於撥款後,於L2154 額度資料維護,修改業績介紹人,房貸專員,協辦人員</t>
  </si>
  <si>
    <t>廠商提供L2111調整電文供ELOAN開發</t>
  </si>
  <si>
    <t>廠商提供L2221電文供ELOAN開發</t>
  </si>
  <si>
    <t>提供企金件擔保品EXCEL表,供整批匯入設計參考</t>
  </si>
  <si>
    <t>可分配金額(計算公式、轉換作業、應用層面)、塗銷作法、處分作法說明</t>
  </si>
  <si>
    <t>整理參考原AS400主管刷卡原因,供BU確認</t>
  </si>
  <si>
    <t>更新L2038 URS輸出說明文件,提供使用者確認</t>
  </si>
  <si>
    <t>L2221 交易關係人維護,廠商提供必須輸入基本資料欄位的整理表格,供BU確認</t>
  </si>
  <si>
    <t>廠商提供案件相關人員登錄的交易整理</t>
  </si>
  <si>
    <t>整理目前資料欄位的使用狀態(報表、塗銷證明),調整必須輸入的控制</t>
  </si>
  <si>
    <t>於清償作業討論時，再重新檢視功能是否需調整</t>
  </si>
  <si>
    <t>放款金額是否檢查擔保品"可分配金額</t>
  </si>
  <si>
    <t xml:space="preserve">[計件代碼2]、[計件代碼2金額]新增功能是否保留待議
vs.討論項目2021/7/27-1 </t>
  </si>
  <si>
    <t>待和負責核心IT單位確認[撥款匯款媒體檔]上傳核心系統作法</t>
  </si>
  <si>
    <t>提供整批匯款單格式及列印樣張</t>
  </si>
  <si>
    <t>交易L3005,[暫收抵繳]表示方式,調整後再說明</t>
  </si>
  <si>
    <t>「聯貸案訂約登錄」作業流程</t>
  </si>
  <si>
    <t>[L3220 暫收款退還]退票時,需列印會計傳票,廠商另提設計</t>
  </si>
  <si>
    <t>暫收款退還及整批撥款的整批匯款作業，與如何連結核心匯款系統機制有關，請IT了解並與放款部順過作業流程後，再行討論</t>
  </si>
  <si>
    <t>[應處理清單]火險續保簡訊檔內容待確認</t>
  </si>
  <si>
    <t>待淑微提供火險續保通知單email之樣張</t>
  </si>
  <si>
    <t>[保單險種不足明細表]計算公式</t>
  </si>
  <si>
    <t>[保單險種不足明細表]待提供樣張</t>
  </si>
  <si>
    <t>L5075債務協商滯繳/應繳明細查詢:未曾繳款時繳息迄日值為何?</t>
  </si>
  <si>
    <t>新壽內部討論後再決定L597A的整批入帳方式</t>
  </si>
  <si>
    <t>一般債權匯款檔</t>
  </si>
  <si>
    <t>確認AS400/ L6605逾期新增減少原因維護資料,使用狀況</t>
  </si>
  <si>
    <t>逾期時併入員工扣薪作業處理，請清河確認有關逾期處理及應扣金額計算方式</t>
  </si>
  <si>
    <t>L4703滯繳通知單及L4702繳息通知單依用途列印不同字樣，待提供</t>
  </si>
  <si>
    <t>原AS400待確認功能：
1.待確認功能：
4-8-73連續扣款失敗明細＆通知
4-8-83銀扣戶實際繳款方式檔產生作業
2.4-8-75銀扣火險成功期款失敗通知
(1)L4454產生銀扣失敗通知，需列印繳
息通知單。
(2)大宗掛號列印 &amp; 存款單列印：
待確認功能</t>
  </si>
  <si>
    <t xml:space="preserve"> L3731是否新增[核決層級]</t>
  </si>
  <si>
    <t>L4605火險最終保單上傳作業：
檔案上傳後之錯誤保單，待淑微提供錯誤清單後核對</t>
  </si>
  <si>
    <t>火險佣金未發明細表/火險佣金發放明細表：
是否以[戶名]取代[火險服務ID]欄位，待淑微確認。</t>
  </si>
  <si>
    <t>[AS400]4-96-2佣金換算作業：
原系統功能待珮琪提供</t>
  </si>
  <si>
    <t>新增火險佣金查詢交易，內容待淑微提供</t>
  </si>
  <si>
    <t>[AS400]4-96-2佣金換算作業：
待提供[應領金額]計算公式</t>
  </si>
  <si>
    <t>作業項目[08.收回呆帳]時是否新增核決層級:待回覆</t>
  </si>
  <si>
    <t>L4030調整員工利率作業
挑選條件待與IT確認：
1.員工利率產品比對不符清單
2.客戶檔客戶別與員工檔比對不符清單</t>
  </si>
  <si>
    <t>L6042交易控制檔:提供清單給SKL填寫 交易控制檔 結清戶個資控管及顧客控管警訊</t>
  </si>
  <si>
    <t>L1905:確認簡訊抓取模式</t>
  </si>
  <si>
    <t>透過Informatica將"借款戶關係人/關係企業"資料,由eloan匯入新貸中系統</t>
  </si>
  <si>
    <t>L2222 與授信戶關係登錄交易權限確認</t>
  </si>
  <si>
    <t>L2480 擔保品重評資料登錄.重評原因代碼,請放款部提供</t>
  </si>
  <si>
    <t>存證信函底稿版本,前置協商逾期繳款通知函繳款期限</t>
  </si>
  <si>
    <t>法定代理人與地址</t>
  </si>
  <si>
    <t>[戶別]欄位名稱變更，待使用者提供</t>
  </si>
  <si>
    <t>[當日累積件數]欄位，待使用者提供</t>
  </si>
  <si>
    <t>附件上傳功能</t>
  </si>
  <si>
    <t>提供指定覆審機制</t>
  </si>
  <si>
    <t>[追蹤記號][1.免追蹤]、[3.不追蹤]字眼是否需要更改</t>
  </si>
  <si>
    <t>L6503</t>
  </si>
  <si>
    <t>L3600</t>
  </si>
  <si>
    <t>NO</t>
  </si>
  <si>
    <t>議題</t>
  </si>
  <si>
    <t>後續討論會議</t>
  </si>
  <si>
    <t>業績討論</t>
  </si>
  <si>
    <t>1.聯貸費用處理
2.取消部份抵押品,核准金額的顯示
3.L2111企金件,商品HELP展示</t>
  </si>
  <si>
    <t>俞辛</t>
  </si>
  <si>
    <t>員工扣薪</t>
  </si>
  <si>
    <t>利率調整作業</t>
  </si>
  <si>
    <t>1.產出媒體作業</t>
  </si>
  <si>
    <t xml:space="preserve">  L4030 調整員工利率作業</t>
  </si>
  <si>
    <t xml:space="preserve">  L4701 票據媒體製作</t>
  </si>
  <si>
    <t xml:space="preserve">  L4500 設定員工扣薪日程表</t>
  </si>
  <si>
    <t xml:space="preserve">  L4031 利率調整清單</t>
  </si>
  <si>
    <t xml:space="preserve">  L4702 產生放款本息攤還表暨繳息通知單</t>
  </si>
  <si>
    <t xml:space="preserve">  L4950 員工扣薪設定檢核表</t>
  </si>
  <si>
    <t xml:space="preserve">  L4320 產生利率即將變動資料</t>
  </si>
  <si>
    <t xml:space="preserve">  L4703 產生滯繳通知單</t>
  </si>
  <si>
    <t xml:space="preserve">  L4510 產出員工扣薪明細檔</t>
  </si>
  <si>
    <t xml:space="preserve">  L4325 個別利率批次輸入</t>
  </si>
  <si>
    <t xml:space="preserve">  L4951 員工扣薪媒體檔查詢</t>
  </si>
  <si>
    <t xml:space="preserve">  L4931 個別調整利率作業</t>
  </si>
  <si>
    <t xml:space="preserve">  L4512 員工扣薪媒體檔維護</t>
  </si>
  <si>
    <t xml:space="preserve">  L4321 利率調整確認作業</t>
  </si>
  <si>
    <t xml:space="preserve">  L4511 產出員工扣薪媒體檔</t>
  </si>
  <si>
    <t xml:space="preserve">  L4322 地區別利率調整設定</t>
  </si>
  <si>
    <t xml:space="preserve">  L4520 產生員工扣薪回傳報表</t>
  </si>
  <si>
    <t xml:space="preserve">  L4721 整批批次產出利率變動對帳單</t>
  </si>
  <si>
    <t>2.入帳</t>
  </si>
  <si>
    <t xml:space="preserve">  L2980 個人房貸調整作業</t>
  </si>
  <si>
    <t xml:space="preserve">  L4204 員</t>
  </si>
  <si>
    <t>seq</t>
  </si>
  <si>
    <t>待辦事項</t>
  </si>
  <si>
    <t>預計完工日</t>
  </si>
  <si>
    <t>執行狀況</t>
  </si>
  <si>
    <t>實際完工日</t>
  </si>
  <si>
    <t>預定交付/展示日期</t>
  </si>
  <si>
    <t>2021/7/26已確認,並記錄當日會議紀錄</t>
  </si>
  <si>
    <t>2021/7/30 EMAIL:
1. 【介紹單位 / 撥款業績比例】小數點欄位調整為兩位，另增加百分比符號。
2. 【房貸專員 / 撥款業績比例】小數點欄位調整為兩位，另增加百分比符號。</t>
  </si>
  <si>
    <t>業績討論時</t>
  </si>
  <si>
    <t>2021/7/23 email 已提供「金控疑似準利害關係人」做法參考附件需求規格</t>
  </si>
  <si>
    <t>業績討論時說明後交付</t>
  </si>
  <si>
    <t>2021/7/23 email 已提供</t>
  </si>
  <si>
    <t>110/07/30下午email回覆：貸款借據暨授信合約書</t>
  </si>
  <si>
    <t>以多層標題處理
以L6994為例</t>
  </si>
  <si>
    <t>已完成</t>
  </si>
  <si>
    <t>確定整併,於業績討論時說明</t>
  </si>
  <si>
    <t>[陳俞辛2021.7.29回覆] [企金別]值為"2"(企金自然人)時，預設值為"060000"(個人),不可修改</t>
  </si>
  <si>
    <t>2021/7/28 EMAIL提供</t>
  </si>
  <si>
    <t xml:space="preserve">2021/8/11 email：
未齊件管理須代碼可以
(1)新增-配合未來有新類型或者之前未定義可以進行新增
(2)修改-配合未來名稱修改進行維護
(3)刪除-無該項文件時刪除，或者配合日後相關作業辦理
</t>
  </si>
  <si>
    <t>110/07/30下午email回覆</t>
  </si>
  <si>
    <t>[吳承憲2021.7.23回覆] 此項應由服務課跟催收人員那邊統整
[政皓經理2021/08/12回覆]關於增加聯絡電話[異動原因]代碼，除1.客戶提出申請以外，請新增2.催收人員新增。</t>
  </si>
  <si>
    <t>8/4,</t>
  </si>
  <si>
    <t>[陳俞辛2021.7.29回覆]</t>
  </si>
  <si>
    <t xml:space="preserve">2021/8/11 email ：
1.規範
依撥款案件審核作業SOP辦理，依規八個工作日內，另控管「信貸、保貸、信用卡」之還款水單13個工作日內完成，特殊個案以核准批覆條件為準。
(1)原則=8個工作日。(如代償後謄本+火險單)
(2)控管「信貸、保貸、信用卡」之還款水單=13個工作日。
基本上13個工作日，但
A.客戶沒馬上要撥
B.(3)特例
C其他文件:資金用途文件等等各種情形
(3)特例=以核准批覆條件為準。(工作日不一定)
2.計算起始日
計算方式自撥款日起算，為工作日不含假日
以110年8月為準，撥款日為8/2者，控管8個工作日之案件，含撥款當日計算，即8/11為最後一日。
3.提醒日的日期及計算方式已提過，不另贅述。
</t>
  </si>
  <si>
    <t>於業績討論時提出</t>
  </si>
  <si>
    <t>陳政皓經理
賴文育</t>
  </si>
  <si>
    <t>2021/9/23 Line回覆：放款金額是否檢查擔保品可分配金額，主要企金多筆擔保品能夠清楚建檔與部分塗銷就可檢查</t>
  </si>
  <si>
    <t>Eric：與外部對接測試之一</t>
  </si>
  <si>
    <t xml:space="preserve">企金
陳政皓經理
</t>
  </si>
  <si>
    <t>​Susan 2021/08/27上午10:19 email主旨：放款帳務系統-需求審查確認會議 會議記錄 2021/8/24-補充-擔保品現行輸行"聯貸案"</t>
  </si>
  <si>
    <t>邵淑微
林清河</t>
  </si>
  <si>
    <t>1.9/24 email (火險通知單相關範本) 已提供
2.範本中第一頁寄送地址頁面不需提供</t>
  </si>
  <si>
    <t>2021/9/29已提供</t>
  </si>
  <si>
    <t>2021/9/24會議中確認：其值為[協商申請日]</t>
  </si>
  <si>
    <t>2021/9/30清河提供資訊</t>
  </si>
  <si>
    <t>2021/10/14已取得</t>
  </si>
  <si>
    <t>2021/10/27許慧玉回覆：
*4-8-73為連續扣款失敗明細及通知單，保留此功能
*4-8-83銀扣戶實際繳款方式檔產生作業，程式清單無此功能
*4-8-75銀扣火險成功期款失敗通知
(1.大宗掛號列印：需列印出郵局大宗掛號單(郵局掛號單格式如附件)
(2.存款單列印：目前系統會自行判斷是否為約定自行匯款，自動列印</t>
  </si>
  <si>
    <t>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</si>
  <si>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 xml:space="preserve">2021/10/21已回覆：
請確認我們上傳檔案的佣金負數資料是否有處理，目前我們系統會判斷txt內為負數的資料並排除寫入LN$CMTP
</t>
  </si>
  <si>
    <t>2021/10/21已回覆：
保經回覆可移除電腦編號但需保留火險服務人ID</t>
  </si>
  <si>
    <t>2021/10/21已回覆：
依據《LN$CMTP火險佣金媒體檔》選資料出來，算出《LN$CMDP火險佣金發放檔》的【應領金額】</t>
  </si>
  <si>
    <t>2021/10/21已回覆：
查詢條件需可依據借款人ID、戶號及業務員統編、員編進行查詢，且查詢內容須增加顯示借款人姓名</t>
  </si>
  <si>
    <t>2021/10/26張舜雯已回覆:
(如遇董事會核決，輸入轄最高主管，備註董事會)
不新增核決層級</t>
  </si>
  <si>
    <t xml:space="preserve">2021/10/25 12:36 email主旨：簡訊、報表的電話號碼抓取優先序
簡訊的電話號碼優先序：
(排除停用)
1.電話種類 05: 簡訊
2.電話種類無簡訊=&gt;電話種類03:手機
3.相同電話種類
 1).本人優先
 2).先建檔優先(依建檔日期、時間排序(同 L1905]顧客聯絡電話查詢)
報表的電話號碼優先序：
(排除停用)
1.依報表內容挑選電話種類
2.相同電話種類
 1).本人優先
 2).先建檔優先(依建檔日期、時間排序(同 L1905]顧客聯絡電話查詢)
</t>
  </si>
  <si>
    <t>放款部</t>
  </si>
  <si>
    <t>請盡速與負責人確認</t>
  </si>
  <si>
    <t>2021/11/5施美娟回覆：
戶別改為事項
1- 授信案件-董事會
2- 授信案件-董事長
3- 授信案件-總經理
4- 內部規章-董事會
5- 內部規章-董事長
6- 內部規章-總經理
7- 逾放報告
9-其他</t>
  </si>
  <si>
    <t>2021/11/5施美娟回覆：
改為項次，欄位改置最左邊(下載及系統相同)</t>
  </si>
  <si>
    <t>2021/11/5施美娟回覆：**可上傳多筆** (之後提供)</t>
  </si>
  <si>
    <t>提供「受理調解機構代號」可輸入縣市代碼，並依照輸入內容帶出法院名稱或縣市名稱</t>
  </si>
  <si>
    <t>[L8203疑似洗錢交易合理性]洗錢合理性、延遲交易, Excel及報表樣張</t>
  </si>
  <si>
    <t>[L8204疑似洗錢交易訪談]洗錢交易訪談報表樣張</t>
  </si>
  <si>
    <t>L5813申報媒體檔格式與上傳官網之檔案格式</t>
  </si>
  <si>
    <t>審閱會議</t>
  </si>
  <si>
    <t>預計 的加總</t>
  </si>
  <si>
    <t>實際 的加總</t>
  </si>
  <si>
    <t>預二 的加總</t>
  </si>
  <si>
    <t>實際二 的加總</t>
  </si>
  <si>
    <t>正式交審 的加總</t>
  </si>
  <si>
    <t>預計</t>
  </si>
  <si>
    <t>實際</t>
  </si>
  <si>
    <t>預二</t>
  </si>
  <si>
    <t>實際二</t>
  </si>
  <si>
    <t>正式交審</t>
  </si>
  <si>
    <t>序號</t>
  </si>
  <si>
    <t>上線前需轉入最新行庫資料</t>
  </si>
  <si>
    <t>項目</t>
  </si>
  <si>
    <t>說明</t>
  </si>
  <si>
    <t>資料轉換</t>
  </si>
  <si>
    <t>1.代碼轉換有異動,檢核表,由比對程式出,並請SKL提出處理邏輯(eric)
   (1).客戶主檔:原客戶別(央行管制戶)均轉為01一般戶,
         原額度檔也有客戶別,別註記於(規定管制代碼RuleCode)
   (2).L1108 使用報表代號,轉換至CdReport(智偉)--2021/8/2轉資料轉換
2.擔保品唯一各額度的原始設定金額(SKL\整理中文件\共用代碼檔整理轉換,昱衡連線)
3.目前使用代碼清單(2021-07-21共用代碼檔整理清單.xlsx)
4.轉入代碼是否存在對應代碼檔檢核(eric)
5.轉換後,必須另外新增代碼的SQL整理(智偉)--2021/8/2轉資料轉換</t>
  </si>
  <si>
    <t>主管授權理申報表</t>
  </si>
  <si>
    <t>格式討論</t>
  </si>
  <si>
    <t>[經辦等級]
B: 所有交易主管及經辦皆可執行該交易
S: 僅主管可執行該交易
T: 僅經辦可執行該交易
[主管核可] 
V: 該交易須主管核可
O: 該交易選擇性的須主管核可，詳細內容請參閱該交易之交易說明</t>
  </si>
  <si>
    <t>https://skl.webex.com/skl/j.php?MTID=m4cad926e26e65b979305fb669cef7280</t>
  </si>
  <si>
    <t>放款部人員聯絡電話</t>
  </si>
  <si>
    <t>梁健福</t>
  </si>
  <si>
    <t>放款部協理</t>
  </si>
  <si>
    <t>skcx9340@skl.com.tw</t>
  </si>
  <si>
    <t>摩天 18樓</t>
  </si>
  <si>
    <t>劉師尹</t>
  </si>
  <si>
    <t>專案協理</t>
  </si>
  <si>
    <t>skeq9875@skl.com.tw</t>
  </si>
  <si>
    <t>放款帳務專員</t>
  </si>
  <si>
    <t>skfb9368@skl.com.tw</t>
  </si>
  <si>
    <t>skem8461@skl.com.tw</t>
  </si>
  <si>
    <t>skba3883@skl.com.tw</t>
  </si>
  <si>
    <t>skat2658@skl.com.tw</t>
  </si>
  <si>
    <t>skct5927@skl.com.tw</t>
  </si>
  <si>
    <t>放款服務課經理</t>
  </si>
  <si>
    <t>chchen@skl.com.tw</t>
  </si>
  <si>
    <t>房貸推展業務專員</t>
  </si>
  <si>
    <t>bettychang@skl.com.tw</t>
  </si>
  <si>
    <t>資深放款推展企劃專員</t>
  </si>
  <si>
    <t>snoopy@skl.com.tw</t>
  </si>
  <si>
    <t>專案經理</t>
  </si>
  <si>
    <t>skey5613@skl.com.tw</t>
  </si>
  <si>
    <t>skes8696@skl.com.tw</t>
  </si>
  <si>
    <t>企金推展專員</t>
  </si>
  <si>
    <t>skcq3559@skl.com.tw</t>
  </si>
  <si>
    <t>黃國安</t>
  </si>
  <si>
    <t>房貸部專</t>
  </si>
  <si>
    <t>營管部</t>
  </si>
  <si>
    <t>張建昌</t>
  </si>
  <si>
    <t>房貸專員</t>
  </si>
  <si>
    <t>營管部(松信區部)</t>
  </si>
  <si>
    <t>黃豐益</t>
  </si>
  <si>
    <t>營管部(建國區部)</t>
  </si>
  <si>
    <t>傅子榮</t>
  </si>
  <si>
    <t>營推部</t>
  </si>
  <si>
    <t>梁裕祥</t>
  </si>
  <si>
    <t>營推部(板橋區部)</t>
  </si>
  <si>
    <t>唐孝芳</t>
  </si>
  <si>
    <t>資深房貸專員</t>
  </si>
  <si>
    <t>(03)337-2564</t>
  </si>
  <si>
    <t>營推部(桃園區部)</t>
  </si>
  <si>
    <t>陳育誠</t>
  </si>
  <si>
    <t>企金推展專案襄理</t>
  </si>
  <si>
    <t>(07)9741985</t>
  </si>
  <si>
    <t>駐：高雄</t>
  </si>
  <si>
    <t>林瑶洲</t>
  </si>
  <si>
    <t>(04)22282125</t>
  </si>
  <si>
    <t>駐：台中</t>
  </si>
  <si>
    <t>林洺漳</t>
  </si>
  <si>
    <t>(04)2228-2125</t>
  </si>
  <si>
    <t>業推部(復興、南投區部)</t>
  </si>
  <si>
    <t>涂國祥</t>
  </si>
  <si>
    <t>業推部</t>
  </si>
  <si>
    <t>薛太郎</t>
  </si>
  <si>
    <t>(04)37076074#14</t>
  </si>
  <si>
    <t>業推部(惠國區部)</t>
  </si>
  <si>
    <t>陳聖仁</t>
  </si>
  <si>
    <t>(06)223-8413</t>
  </si>
  <si>
    <t>業開部(南市區部)</t>
  </si>
  <si>
    <t>呂玫絨</t>
  </si>
  <si>
    <t>(07)974-1985</t>
  </si>
  <si>
    <t>業開部(雄南區部)</t>
  </si>
  <si>
    <t>蔡丞耿</t>
  </si>
  <si>
    <t>業開部</t>
  </si>
  <si>
    <t>莊世清</t>
  </si>
  <si>
    <t>(04)2622-3535</t>
  </si>
  <si>
    <t>業推部(清水區部)</t>
  </si>
  <si>
    <t>鄂雅玲</t>
  </si>
  <si>
    <t>業開部(鳳山區部)</t>
  </si>
  <si>
    <t>詹貯麟</t>
  </si>
  <si>
    <t>放款管理課主管</t>
  </si>
  <si>
    <t>jeffjan@skl.com.tw</t>
  </si>
  <si>
    <t>授信覆審專案襄理</t>
  </si>
  <si>
    <t>sherrycheng@skl.com.tw</t>
  </si>
  <si>
    <t>放款法務專員</t>
  </si>
  <si>
    <t>skcb7541@skl.com.tw</t>
  </si>
  <si>
    <t>放款資產評估專案襄理</t>
  </si>
  <si>
    <t>anniechang@skl.com.tw</t>
  </si>
  <si>
    <t>陳念生</t>
  </si>
  <si>
    <t>(04)22298330</t>
  </si>
  <si>
    <t>陳義仁</t>
  </si>
  <si>
    <t>(06)2228985</t>
  </si>
  <si>
    <t>駐：台南</t>
  </si>
  <si>
    <t>呂家富</t>
  </si>
  <si>
    <t>放款審查課主管</t>
  </si>
  <si>
    <t>jeffleu@skl.com.tw</t>
  </si>
  <si>
    <t>放款審查課</t>
  </si>
  <si>
    <t>資深授信審核專員</t>
  </si>
  <si>
    <t>skcs8468@skl.com.tw</t>
  </si>
  <si>
    <t>李光輝</t>
  </si>
  <si>
    <t>授信審核專案襄理</t>
  </si>
  <si>
    <t>alenshih@skl.com.tw</t>
  </si>
  <si>
    <t>授信審核專員</t>
  </si>
  <si>
    <t>gracelee@skl.com.tw</t>
  </si>
  <si>
    <t>劉在明</t>
  </si>
  <si>
    <t>黎萬柱</t>
  </si>
  <si>
    <t>資深審核專員</t>
  </si>
  <si>
    <t>鄭峰彰</t>
  </si>
  <si>
    <t>徵信專員</t>
  </si>
  <si>
    <t>林昱英</t>
  </si>
  <si>
    <t>鑑價專員</t>
  </si>
  <si>
    <t>王薏涵</t>
  </si>
  <si>
    <t>侯守華</t>
  </si>
  <si>
    <t>資深鑑價專員</t>
  </si>
  <si>
    <t>資深徵信專員</t>
  </si>
  <si>
    <t>羅元隆</t>
  </si>
  <si>
    <t>(03)496-6016</t>
  </si>
  <si>
    <t>駐：中壢</t>
  </si>
  <si>
    <t>黃財政</t>
  </si>
  <si>
    <t>審核專員</t>
  </si>
  <si>
    <t>(07)2387181</t>
  </si>
  <si>
    <t>蔡忠志</t>
  </si>
  <si>
    <t>(04)22290301</t>
  </si>
  <si>
    <t>邱應忠</t>
  </si>
  <si>
    <t>黃連青</t>
  </si>
  <si>
    <t>(05)5326531</t>
  </si>
  <si>
    <t>駐：雲林</t>
  </si>
  <si>
    <t>李紹綺</t>
  </si>
  <si>
    <t>張文旭</t>
  </si>
  <si>
    <t>蘇承鴻</t>
  </si>
  <si>
    <t>蔡惠足</t>
  </si>
  <si>
    <t>(06)2238413</t>
  </si>
  <si>
    <t>日</t>
  </si>
  <si>
    <t>URS審查會議</t>
  </si>
  <si>
    <t>加總</t>
  </si>
  <si>
    <t>完成比</t>
  </si>
  <si>
    <t>展示</t>
  </si>
  <si>
    <t>計數 - 會議日期</t>
  </si>
  <si>
    <t>討論日期/提列討論</t>
  </si>
  <si>
    <t>計數 - 預計完工日 的加總</t>
  </si>
  <si>
    <t>計數 - 實際完工日 的加總</t>
  </si>
  <si>
    <t>追蹤議題預計完工/實際完工</t>
  </si>
  <si>
    <t>計數 - 預計完工日</t>
  </si>
  <si>
    <t>計數 - 實際完工日</t>
  </si>
  <si>
    <t>借款戶關係人/關係企業維護</t>
  </si>
  <si>
    <t>關聯戶放款資料查詢</t>
  </si>
  <si>
    <t>擔保品明細資料查詢</t>
  </si>
  <si>
    <t>擔保品重評明細資料查詢</t>
  </si>
  <si>
    <t>擔保品重評資料登錄</t>
  </si>
  <si>
    <t>統計日期</t>
  </si>
  <si>
    <t>累計</t>
  </si>
  <si>
    <t>完成</t>
  </si>
  <si>
    <t>累計2</t>
  </si>
  <si>
    <t>完成2</t>
  </si>
  <si>
    <t>累計3</t>
  </si>
  <si>
    <t>完成3</t>
  </si>
  <si>
    <t>高累計</t>
  </si>
  <si>
    <t>完成7</t>
  </si>
  <si>
    <t>中累計</t>
  </si>
  <si>
    <t>完成8</t>
  </si>
  <si>
    <t>低累計</t>
  </si>
  <si>
    <t>完成9</t>
  </si>
  <si>
    <t>累計4</t>
  </si>
  <si>
    <t>完成4</t>
  </si>
  <si>
    <t>累計5</t>
  </si>
  <si>
    <t>完成5</t>
  </si>
  <si>
    <t>累計6</t>
  </si>
  <si>
    <t>完成6</t>
  </si>
  <si>
    <t>簡訊</t>
  </si>
  <si>
    <t>上線後2月</t>
  </si>
  <si>
    <t>TranNo</t>
  </si>
  <si>
    <t>MenuNo</t>
  </si>
  <si>
    <t>SubMenuNo</t>
  </si>
  <si>
    <t>2021/9/7 :Version</t>
  </si>
  <si>
    <t>L3010</t>
  </si>
  <si>
    <t>L5055</t>
  </si>
  <si>
    <t>L5513</t>
  </si>
  <si>
    <t>L7201</t>
  </si>
  <si>
    <t>L8113</t>
  </si>
  <si>
    <t>L9130</t>
  </si>
  <si>
    <t>L9131</t>
  </si>
  <si>
    <t>L9132</t>
  </si>
  <si>
    <t>L9701</t>
  </si>
  <si>
    <t>L9702</t>
  </si>
  <si>
    <t>L9703</t>
  </si>
  <si>
    <t>L9704</t>
  </si>
  <si>
    <t>L9705</t>
  </si>
  <si>
    <t>L9706</t>
  </si>
  <si>
    <t>L9707</t>
  </si>
  <si>
    <t>L9708</t>
  </si>
  <si>
    <t>L9709</t>
  </si>
  <si>
    <t>L9710</t>
  </si>
  <si>
    <t>L9711</t>
  </si>
  <si>
    <t>L9712</t>
  </si>
  <si>
    <t>L9713</t>
  </si>
  <si>
    <t>L9714</t>
  </si>
  <si>
    <t>L9715</t>
  </si>
  <si>
    <t>L9716</t>
  </si>
  <si>
    <t>L9717</t>
  </si>
  <si>
    <t>L9718</t>
  </si>
  <si>
    <t>L9719</t>
  </si>
  <si>
    <t>L9720</t>
  </si>
  <si>
    <t>L9721</t>
  </si>
  <si>
    <t>L9722</t>
  </si>
  <si>
    <t>L9723</t>
  </si>
  <si>
    <t>L9724</t>
  </si>
  <si>
    <t>L9725</t>
  </si>
  <si>
    <t>L9801</t>
  </si>
  <si>
    <t>L9802</t>
  </si>
  <si>
    <t>L9803</t>
  </si>
  <si>
    <t>L9804</t>
  </si>
  <si>
    <t>L9805</t>
  </si>
  <si>
    <t>L9806</t>
  </si>
  <si>
    <t>要二審的</t>
  </si>
  <si>
    <t>討論項目</t>
  </si>
  <si>
    <t>TranItem</t>
  </si>
  <si>
    <t xml:space="preserve">火險保費資料查詢(By客戶)              </t>
  </si>
  <si>
    <t>批次作業</t>
  </si>
  <si>
    <t>火險作業</t>
  </si>
  <si>
    <t xml:space="preserve">火險保費明細查詢                      </t>
  </si>
  <si>
    <t xml:space="preserve">保險單資料檢核作業                    </t>
  </si>
  <si>
    <t xml:space="preserve">保險單明細資料查詢                    </t>
  </si>
  <si>
    <t xml:space="preserve">員工扣薪設定檢核表                    </t>
  </si>
  <si>
    <t>員工作業</t>
  </si>
  <si>
    <t xml:space="preserve">產出員工扣薪明細檔                   </t>
  </si>
  <si>
    <t xml:space="preserve">產出員工扣薪媒體檔                   </t>
  </si>
  <si>
    <t xml:space="preserve">票據媒體製作                          </t>
  </si>
  <si>
    <t>其他作業</t>
  </si>
  <si>
    <t xml:space="preserve">產生放款本息攤還表暨繳息通知單        </t>
  </si>
  <si>
    <t xml:space="preserve">產生滯繳通知單                        </t>
  </si>
  <si>
    <t>管理性作業</t>
  </si>
  <si>
    <t>一般作業</t>
  </si>
  <si>
    <t xml:space="preserve">放審會記錄明細資料查詢                </t>
  </si>
  <si>
    <t>年度業績目標更新</t>
  </si>
  <si>
    <t>房貸專員業績統計作業</t>
  </si>
  <si>
    <t>業績計算特殊參數設定</t>
  </si>
  <si>
    <t>共同作業</t>
  </si>
  <si>
    <t>系統變數維護</t>
  </si>
  <si>
    <t>國稅局申報作業</t>
  </si>
  <si>
    <t>遵循法令作業</t>
  </si>
  <si>
    <t>債協報送作業</t>
  </si>
  <si>
    <t>業務作業</t>
  </si>
  <si>
    <t>保證人、關係人</t>
  </si>
  <si>
    <t>房貸介紹人業績處理清單</t>
  </si>
  <si>
    <t>業績調整作業</t>
  </si>
  <si>
    <t>房貸專員業績處理清單</t>
  </si>
  <si>
    <t>介紹、協辦、專業獎勵獎金發放明細</t>
  </si>
  <si>
    <t>產生介紹獎金發放媒體</t>
  </si>
  <si>
    <t>介紹人加碼獎勵津貼</t>
  </si>
  <si>
    <t>案件處理清單</t>
  </si>
  <si>
    <t>法催紀錄作業</t>
  </si>
  <si>
    <t xml:space="preserve">債權案件明細查詢                      </t>
  </si>
  <si>
    <t>債務協商作業</t>
  </si>
  <si>
    <t>債協應處理清單</t>
  </si>
  <si>
    <t>債務協商滯繳/應繳明細查詢</t>
  </si>
  <si>
    <t>期款試算</t>
  </si>
  <si>
    <t xml:space="preserve">債務協商入帳明細查詢                  </t>
  </si>
  <si>
    <t>債權比例分攤維護（產出）</t>
  </si>
  <si>
    <t>債權比例分攤維護(匯入)</t>
  </si>
  <si>
    <t>最大債權撥付產檔</t>
  </si>
  <si>
    <t>最大債權撥付出帳</t>
  </si>
  <si>
    <t>最大債權撥付回覆檔檢核</t>
  </si>
  <si>
    <t>一般債權撥付資料檢核</t>
  </si>
  <si>
    <t xml:space="preserve">業務關帳作業                          </t>
  </si>
  <si>
    <t>控制類</t>
  </si>
  <si>
    <t>報表查詢作業申請</t>
  </si>
  <si>
    <t>日結類</t>
  </si>
  <si>
    <t>共同資料維護(利率、營業日)</t>
  </si>
  <si>
    <t>AML 姓名檢核查詢</t>
  </si>
  <si>
    <t>AML檢核</t>
  </si>
  <si>
    <t>會計科子細目</t>
  </si>
  <si>
    <t>行業別代號</t>
  </si>
  <si>
    <t>擔保品代號資料</t>
  </si>
  <si>
    <t>各類代碼檔</t>
  </si>
  <si>
    <t>逾期新增減少原因</t>
  </si>
  <si>
    <t>主管理由檔</t>
  </si>
  <si>
    <t>保證人關係代碼</t>
  </si>
  <si>
    <t>行庫資料</t>
  </si>
  <si>
    <t>其他基本資料維護</t>
  </si>
  <si>
    <t>營業單位資料</t>
  </si>
  <si>
    <t>保險/鑑定公司資料</t>
  </si>
  <si>
    <t>現金流量預估資料</t>
  </si>
  <si>
    <t>利息收入預算數</t>
  </si>
  <si>
    <t>帳冊別目標金額</t>
  </si>
  <si>
    <t>放款業績工作月</t>
  </si>
  <si>
    <t>房貸專員所屬業務部室</t>
  </si>
  <si>
    <t xml:space="preserve">表外放款承諾資料產出                  </t>
  </si>
  <si>
    <t>介接外部系統</t>
  </si>
  <si>
    <t>IFRS 9 作業</t>
  </si>
  <si>
    <t>疑似洗錢</t>
  </si>
  <si>
    <t>消債條例ＪＣＩＣ報送資料</t>
  </si>
  <si>
    <t>疑似洗錢交易訪談查詢</t>
  </si>
  <si>
    <t>產生ＪＣＩＣ日報媒體檔</t>
  </si>
  <si>
    <t>JCIC放款報送</t>
  </si>
  <si>
    <t>產生ＪＣＩＣ月報媒體檔</t>
  </si>
  <si>
    <t>報表作業</t>
  </si>
  <si>
    <t xml:space="preserve">核心傳票媒體檔產生作業                </t>
  </si>
  <si>
    <t>關帳報表</t>
  </si>
  <si>
    <t xml:space="preserve">核心日結單代傳票列印                  </t>
  </si>
  <si>
    <t xml:space="preserve">傳票媒體明細表(核心)                  </t>
  </si>
  <si>
    <t xml:space="preserve">會計與主檔餘額檢核表                  </t>
  </si>
  <si>
    <t xml:space="preserve">客戶往來交易明細表                    </t>
  </si>
  <si>
    <t>隨機報表</t>
  </si>
  <si>
    <t xml:space="preserve">放款餘額及財收統計表                  </t>
  </si>
  <si>
    <t xml:space="preserve">滯繳客戶明細表                        </t>
  </si>
  <si>
    <t xml:space="preserve">催收款明細表                          </t>
  </si>
  <si>
    <t xml:space="preserve">放款本息攤還表暨繳息通知單            </t>
  </si>
  <si>
    <t xml:space="preserve">貸款餘額證明書                        </t>
  </si>
  <si>
    <t xml:space="preserve">新增逾放案件明細資料                  </t>
  </si>
  <si>
    <t xml:space="preserve">貸款自動轉帳申請書明細表              </t>
  </si>
  <si>
    <t xml:space="preserve">暫收放貸核心傳票檔資料                </t>
  </si>
  <si>
    <t xml:space="preserve">日報                                  </t>
  </si>
  <si>
    <t>定期報表</t>
  </si>
  <si>
    <t xml:space="preserve">週報                                  </t>
  </si>
  <si>
    <t xml:space="preserve">月報                                  </t>
  </si>
  <si>
    <t xml:space="preserve">季報                                  </t>
  </si>
  <si>
    <t xml:space="preserve">半年報                                </t>
  </si>
  <si>
    <t>年報</t>
  </si>
  <si>
    <t>利息違約金減免明細表</t>
  </si>
  <si>
    <t>案件申請、額度</t>
  </si>
  <si>
    <t>寬限到期明細表</t>
  </si>
  <si>
    <t>放款到期明細表及通知單</t>
  </si>
  <si>
    <t>業務專辦照顧十八個月明細表</t>
  </si>
  <si>
    <t>繳息證明單</t>
  </si>
  <si>
    <t>應收票據之帳齡分析表</t>
  </si>
  <si>
    <t>交易控制檔</t>
  </si>
  <si>
    <t>作業控管維護</t>
  </si>
  <si>
    <t>使用者資料</t>
  </si>
  <si>
    <t>權限群組</t>
  </si>
  <si>
    <t>產生員工扣薪回傳報表</t>
  </si>
  <si>
    <t>聯徵產品報送</t>
  </si>
  <si>
    <t>逾期及轉催收件統計表</t>
  </si>
  <si>
    <t>擔保品</t>
  </si>
  <si>
    <t>防制洗錢機構風險評估(IRA)定期量化撈件</t>
  </si>
  <si>
    <t>ICS放款資料</t>
  </si>
  <si>
    <t>逾期放款催繳處理結果</t>
  </si>
  <si>
    <t>應收利息之帳齡分析表</t>
  </si>
  <si>
    <t>放款有效客戶數</t>
  </si>
  <si>
    <t>撥付日期查詢</t>
  </si>
  <si>
    <t>催收法務人員查詢</t>
  </si>
  <si>
    <t>房貸專員撥款筆數統計表</t>
  </si>
  <si>
    <t>案件品質排行表(列印)</t>
  </si>
  <si>
    <t>新撥款利率案件資料產生</t>
  </si>
  <si>
    <t>撥款件貸款成數統計資料產生</t>
  </si>
  <si>
    <t>新光銀銀扣案件資料產生</t>
  </si>
  <si>
    <t>帳務作業</t>
  </si>
  <si>
    <t>變更、延長年期</t>
  </si>
  <si>
    <t xml:space="preserve">撥款匯款記錄檔查詢                    </t>
  </si>
  <si>
    <t>入帳檔上傳作業</t>
  </si>
  <si>
    <t>整批入帳作業</t>
  </si>
  <si>
    <t xml:space="preserve">整批入帳明細查詢(By日期區間)          </t>
  </si>
  <si>
    <t>其他還款來源建檔查詢</t>
  </si>
  <si>
    <t xml:space="preserve">利率調整清單                          </t>
  </si>
  <si>
    <t>產生利率即將變動資料</t>
  </si>
  <si>
    <t xml:space="preserve">ACH授權資料查詢                       </t>
  </si>
  <si>
    <t>銀行扣款作業</t>
  </si>
  <si>
    <t xml:space="preserve">產生ACH授權提出資料                   </t>
  </si>
  <si>
    <t xml:space="preserve">郵局授權資料查詢                      </t>
  </si>
  <si>
    <t xml:space="preserve">產生郵局授權提出資料                  </t>
  </si>
  <si>
    <t xml:space="preserve">上傳授權提回檔                        </t>
  </si>
  <si>
    <t xml:space="preserve">產出銀行扣帳檔                        </t>
  </si>
  <si>
    <t xml:space="preserve">銀行扣款檔資料查詢                    </t>
  </si>
  <si>
    <t>銀行扣款(媒體製作)</t>
  </si>
  <si>
    <t xml:space="preserve">銀扣扣款前通知                        </t>
  </si>
  <si>
    <t xml:space="preserve">產生銀扣扣款失敗                      </t>
  </si>
  <si>
    <t xml:space="preserve">額度擔保品保險單關聯查詢              </t>
  </si>
  <si>
    <t xml:space="preserve">火險到期檔產生作業                    </t>
  </si>
  <si>
    <t xml:space="preserve">火險詢價作業                          </t>
  </si>
  <si>
    <t xml:space="preserve">火險出單明細表與媒體                  </t>
  </si>
  <si>
    <t>火險通知作業</t>
  </si>
  <si>
    <t>火險保費未繳轉借支作業</t>
  </si>
  <si>
    <t xml:space="preserve">火險最終保單上傳作業                  </t>
  </si>
  <si>
    <t xml:space="preserve">火險佣金作業                          </t>
  </si>
  <si>
    <t>公務人員報送</t>
  </si>
  <si>
    <t>E-Loan</t>
  </si>
  <si>
    <t>產生國稅局申報下載檔</t>
  </si>
  <si>
    <t>特殊/例假日</t>
  </si>
  <si>
    <t>逾放處理催收明細表</t>
  </si>
  <si>
    <t>違約損失率</t>
  </si>
  <si>
    <t>放款利息法折溢價攤銷表</t>
  </si>
  <si>
    <t>晤談人員明細資料查詢</t>
  </si>
  <si>
    <t>目標金額、累計目標金額查詢</t>
  </si>
  <si>
    <t>個人房貸調整作業查詢</t>
  </si>
  <si>
    <t>未齊件代碼查詢</t>
  </si>
  <si>
    <t>消債條列JCIC報送資料歷程查詢(067)</t>
  </si>
  <si>
    <t>顧客明細資料</t>
  </si>
  <si>
    <t>顧客基本資料</t>
  </si>
  <si>
    <t>顧客聯絡電話</t>
  </si>
  <si>
    <t>公司戶財務狀況明細資料</t>
  </si>
  <si>
    <t>公司戶財務狀況</t>
  </si>
  <si>
    <t>申請不列印書面通知書</t>
  </si>
  <si>
    <t xml:space="preserve">商品參數明細資料                 </t>
  </si>
  <si>
    <t>商品作業</t>
  </si>
  <si>
    <t xml:space="preserve">申請案件明細資料                 </t>
  </si>
  <si>
    <t>額度明細資料</t>
  </si>
  <si>
    <t xml:space="preserve">額度與擔保品關聯查詢                  </t>
  </si>
  <si>
    <t>擔保品重評明細資料</t>
  </si>
  <si>
    <t>貸後契變手續費明細資料(未入帳)</t>
  </si>
  <si>
    <t>貸後契變手續費明細資料</t>
  </si>
  <si>
    <t xml:space="preserve">顧客控管警訊明細資料            </t>
  </si>
  <si>
    <t>結清客戶個人資料控管明細資料</t>
  </si>
  <si>
    <t xml:space="preserve">清償作業明細資料                  </t>
  </si>
  <si>
    <t>法拍費用明細資料</t>
  </si>
  <si>
    <t>法拍費用</t>
  </si>
  <si>
    <t xml:space="preserve">團體戶申請登錄                        </t>
  </si>
  <si>
    <t xml:space="preserve">法拍費用借支報表列印                  </t>
  </si>
  <si>
    <t xml:space="preserve">法拍費用未銷明細查詢                  </t>
  </si>
  <si>
    <t xml:space="preserve">法務費轉催收明細表                    </t>
  </si>
  <si>
    <t>法務費轉催收傳票開立作業</t>
  </si>
  <si>
    <t xml:space="preserve">保證人保證資料查詢                    </t>
  </si>
  <si>
    <t>協辦人員等級明細資料查詢</t>
  </si>
  <si>
    <t xml:space="preserve">支票明細資料查詢-全部                 </t>
  </si>
  <si>
    <t>回收、部分償還、暫收款</t>
  </si>
  <si>
    <t xml:space="preserve">清償違約明細                          </t>
  </si>
  <si>
    <t xml:space="preserve">法拍費用查詢-依借款人戶號             </t>
  </si>
  <si>
    <t>法拍費用查詢-依帳務日期</t>
  </si>
  <si>
    <t xml:space="preserve">撥款明細資料查詢                      </t>
  </si>
  <si>
    <t xml:space="preserve">預約撥款明細資料查詢                  </t>
  </si>
  <si>
    <t>約定部分償還明細資料查詢</t>
  </si>
  <si>
    <t xml:space="preserve">交易明細資料查詢                      </t>
  </si>
  <si>
    <t xml:space="preserve">暫收支票明細資料查詢                  </t>
  </si>
  <si>
    <t xml:space="preserve">支票明細資料查詢-依客戶               </t>
  </si>
  <si>
    <t>預約撥款</t>
  </si>
  <si>
    <t xml:space="preserve">預約撥款刪除                          </t>
  </si>
  <si>
    <t>結案登錄－可欠繳</t>
  </si>
  <si>
    <t>展期、結案、轉催呆</t>
  </si>
  <si>
    <t>結案登錄－不可欠繳</t>
  </si>
  <si>
    <t>應繳日變更－不可欠繳</t>
  </si>
  <si>
    <t>應繳日變更－可欠繳</t>
  </si>
  <si>
    <t xml:space="preserve">貸款試算                              </t>
  </si>
  <si>
    <t>試算</t>
  </si>
  <si>
    <t xml:space="preserve">繳息情形查詢                          </t>
  </si>
  <si>
    <t xml:space="preserve">交易內容查詢                          </t>
  </si>
  <si>
    <t xml:space="preserve">撥款內容查詢                          </t>
  </si>
  <si>
    <t xml:space="preserve">回收試算                              </t>
  </si>
  <si>
    <t xml:space="preserve">結案試算                              </t>
  </si>
  <si>
    <t xml:space="preserve">應繳日試算                            </t>
  </si>
  <si>
    <t xml:space="preserve">催收回復試算                          </t>
  </si>
  <si>
    <t xml:space="preserve">還款分配試算                          </t>
  </si>
  <si>
    <t xml:space="preserve">變更期款試算                          </t>
  </si>
  <si>
    <t xml:space="preserve">借戶利率查詢                          </t>
  </si>
  <si>
    <t xml:space="preserve">支票內容查詢                          </t>
  </si>
  <si>
    <t>產生協辦獎金媒體</t>
  </si>
  <si>
    <t>協辦獎金處理清單</t>
  </si>
  <si>
    <t>理財型商品續約檢核報表</t>
  </si>
  <si>
    <t>業績計算特殊參數設定(是否排除非業績人員)</t>
  </si>
  <si>
    <t>房貸專員明細資料查詢</t>
  </si>
  <si>
    <t>員工房貸利率明細</t>
  </si>
  <si>
    <t>顧客基本資料維護-編號變更</t>
  </si>
  <si>
    <t>延遲數</t>
  </si>
  <si>
    <t>延遲率</t>
  </si>
  <si>
    <t>2021/8/16~9/3</t>
  </si>
  <si>
    <t>借款戶關係人/關係企業維護(整批)</t>
  </si>
  <si>
    <t>個人房貸調整案</t>
  </si>
  <si>
    <t>結清客戶個人資料控管明細資料查詢</t>
  </si>
  <si>
    <t>結清客戶個人資料控管維護</t>
  </si>
  <si>
    <t>案件資料查詢</t>
  </si>
  <si>
    <t>電催明細資料查詢</t>
  </si>
  <si>
    <t>電催登錄</t>
  </si>
  <si>
    <t>面催明細資料查詢</t>
  </si>
  <si>
    <t>面催登錄</t>
  </si>
  <si>
    <t>函催明細資料查詢</t>
  </si>
  <si>
    <t>函催登錄</t>
  </si>
  <si>
    <t>法務進度明細資料查詢</t>
  </si>
  <si>
    <t>法務進度登錄</t>
  </si>
  <si>
    <t>提醒事項查詢</t>
  </si>
  <si>
    <t>提醒事項登錄</t>
  </si>
  <si>
    <t>疑似洗錢交易訪談維護</t>
  </si>
  <si>
    <t>部門</t>
  </si>
  <si>
    <t>與會人員/日期</t>
  </si>
  <si>
    <t>(2021/7/29)</t>
  </si>
  <si>
    <t>資訊規劃部</t>
  </si>
  <si>
    <t>廖淳英</t>
  </si>
  <si>
    <t>陳又菁</t>
  </si>
  <si>
    <t>王瀞琳</t>
  </si>
  <si>
    <t>投資資訊課</t>
  </si>
  <si>
    <t>葛展宇</t>
  </si>
  <si>
    <t>3,A</t>
  </si>
  <si>
    <t>柯文齡</t>
  </si>
  <si>
    <t>2,A</t>
  </si>
  <si>
    <t>4,B</t>
  </si>
  <si>
    <t>4,A</t>
  </si>
  <si>
    <t>1,A</t>
  </si>
  <si>
    <t>User企金</t>
  </si>
  <si>
    <t>1,B</t>
  </si>
  <si>
    <t>萬事宜</t>
  </si>
  <si>
    <t>何書溱</t>
  </si>
  <si>
    <t>會議通知</t>
  </si>
  <si>
    <t>參與會議</t>
  </si>
  <si>
    <t>回覆會議</t>
  </si>
  <si>
    <t>回覆+建議</t>
  </si>
  <si>
    <t>與會畫面</t>
  </si>
  <si>
    <t>A</t>
  </si>
  <si>
    <t>討論、待辦</t>
  </si>
  <si>
    <t>回覆討論、待辦</t>
  </si>
  <si>
    <t>通知紀錄~7/28</t>
  </si>
  <si>
    <t>會議記錄</t>
    <phoneticPr fontId="3" type="noConversion"/>
  </si>
  <si>
    <t>L8301~L8337</t>
    <phoneticPr fontId="3" type="noConversion"/>
  </si>
  <si>
    <t>需二審</t>
    <phoneticPr fontId="3" type="noConversion"/>
  </si>
  <si>
    <t>V</t>
    <phoneticPr fontId="3" type="noConversion"/>
  </si>
  <si>
    <t>新增2021/11/17：B201 聯徵授信餘額月報檔、B207 授信戶基本資料檔、B080 授信額度資料檔、B085 帳號轉換資料檔
   B087 聯貸案首次動撥後６個月內發生違約之實際主導金融機構註記檔
   B090 擔保品關聯檔資料檔
   B092 不動產擔保品明細檔
   B093 動產及貴重物品擔保品明細檔
   B094 股票擔保品明細檔
   B095 不動產擔保品明細-建號附加檔
   B096 不動產擔保品明細-地號附加檔
   B680 「貸款餘額(擔保放款餘額加上部分擔保、副擔保貸款餘額)扣除擔保品鑑估值」之金額資料檔</t>
    <phoneticPr fontId="3" type="noConversion"/>
  </si>
  <si>
    <t>5-15-6
5-16-6</t>
    <phoneticPr fontId="3" type="noConversion"/>
  </si>
  <si>
    <t>違約損失率維護</t>
    <phoneticPr fontId="3" type="noConversion"/>
  </si>
  <si>
    <t>5-15-2
5-16-2</t>
    <phoneticPr fontId="3" type="noConversion"/>
  </si>
  <si>
    <t>商品分類資料設定</t>
    <phoneticPr fontId="3" type="noConversion"/>
  </si>
  <si>
    <t>5-15-3
5-16-3</t>
    <phoneticPr fontId="3" type="noConversion"/>
  </si>
  <si>
    <t>特殊客觀減損狀況資料維護</t>
    <phoneticPr fontId="3" type="noConversion"/>
  </si>
  <si>
    <t>5-15-13
5-16-13</t>
    <phoneticPr fontId="3" type="noConversion"/>
  </si>
  <si>
    <t>利息法帳面資料上傳作業</t>
    <phoneticPr fontId="3" type="noConversion"/>
  </si>
  <si>
    <t>5-15-7 
5-15-8 
5-15-9 
5-15-10
5-15-11
5-15-12</t>
    <phoneticPr fontId="3" type="noConversion"/>
  </si>
  <si>
    <t xml:space="preserve">欄位清單 1~3 產生作業
欄位清單 4 產生作業  
欄位清單 6 產生作業  
欄位清單 7 產生作業  
欄位清單 8 產生作業  
欄位清單 9 產生作業  </t>
    <phoneticPr fontId="3" type="noConversion"/>
  </si>
  <si>
    <t>5-16-7 
5-16-8 
5-16-9 
5-16-10
5-16-11
5-16-12
5-16-15</t>
    <phoneticPr fontId="3" type="noConversion"/>
  </si>
  <si>
    <t xml:space="preserve">欄位清單 1~3 產生作業
欄位清單 4 產生作業  
欄位清單 6 產生作業  
欄位清單 7 產生作業  
欄位清單 8 產生作業  
欄位清單 9 產生作業  
欄位清單 10 產生作業 </t>
    <phoneticPr fontId="3" type="noConversion"/>
  </si>
  <si>
    <t>LC</t>
    <phoneticPr fontId="3" type="noConversion"/>
  </si>
  <si>
    <t>計數 - 正式
交付審查 的加總</t>
  </si>
  <si>
    <t>計數 - 正式
交付審查</t>
  </si>
  <si>
    <t>新增查詢條件戶號、戶名</t>
    <phoneticPr fontId="3" type="noConversion"/>
  </si>
  <si>
    <t>URS完成</t>
    <phoneticPr fontId="3" type="noConversion"/>
  </si>
  <si>
    <t>L7202</t>
    <phoneticPr fontId="3" type="noConversion"/>
  </si>
  <si>
    <t>違約損失率登錄</t>
    <phoneticPr fontId="3" type="noConversion"/>
  </si>
  <si>
    <t>L5060</t>
    <phoneticPr fontId="3" type="noConversion"/>
  </si>
  <si>
    <t>L7204</t>
    <phoneticPr fontId="3" type="noConversion"/>
  </si>
  <si>
    <t>特殊客觀減損狀況維護</t>
    <phoneticPr fontId="3" type="noConversion"/>
  </si>
  <si>
    <t>L7904</t>
    <phoneticPr fontId="3" type="noConversion"/>
  </si>
  <si>
    <t>特殊客觀減損狀況查詢</t>
    <phoneticPr fontId="3" type="noConversion"/>
  </si>
  <si>
    <t>中文姓名改為戶名</t>
    <phoneticPr fontId="3" type="noConversion"/>
  </si>
  <si>
    <t>L7203</t>
    <phoneticPr fontId="3" type="noConversion"/>
  </si>
  <si>
    <t>確認執行完交易畫面最後一行的訊息是否為多餘的:刪除此訊息列</t>
    <phoneticPr fontId="3" type="noConversion"/>
  </si>
  <si>
    <t>LC009產檔後的排序確認</t>
    <phoneticPr fontId="3" type="noConversion"/>
  </si>
  <si>
    <t>1.比照AS400調整欄位,[原因說明]欄位(長度
  62),[原因代碼]=[01個別評價;99其他],註記碼
  =[1重整;2破產;9其他],[客觀減損條件]=[1~5]
2.中文姓名改為戶名
3.移除刪除功能,確認刪除功能是否留紀錄</t>
    <phoneticPr fontId="3" type="noConversion"/>
  </si>
  <si>
    <t>L7901</t>
    <phoneticPr fontId="3" type="noConversion"/>
  </si>
  <si>
    <t>蘇曉玲</t>
    <phoneticPr fontId="3" type="noConversion"/>
  </si>
  <si>
    <t>案件處理清單</t>
    <phoneticPr fontId="3" type="noConversion"/>
  </si>
  <si>
    <t>延遲繳款通知函改產TXT檔,增加顯示最近6筆繳款明細資料</t>
    <phoneticPr fontId="3" type="noConversion"/>
  </si>
  <si>
    <t>高</t>
    <phoneticPr fontId="3" type="noConversion"/>
  </si>
  <si>
    <t>３４號公報欄位清單產生作業</t>
    <phoneticPr fontId="3" type="noConversion"/>
  </si>
  <si>
    <t>L4454</t>
    <phoneticPr fontId="3" type="noConversion"/>
  </si>
  <si>
    <t>產生銀扣扣款失敗</t>
    <phoneticPr fontId="3" type="noConversion"/>
  </si>
  <si>
    <t>銀扣火險成功期款失敗通知 : 存款單列印</t>
    <phoneticPr fontId="3" type="noConversion"/>
  </si>
  <si>
    <t>陳昱衡</t>
    <phoneticPr fontId="3" type="noConversion"/>
  </si>
  <si>
    <t>L4603</t>
    <phoneticPr fontId="3" type="noConversion"/>
  </si>
  <si>
    <t xml:space="preserve">火險通知作業 </t>
    <phoneticPr fontId="3" type="noConversion"/>
  </si>
  <si>
    <t>火險及地震險保費_繳款通知單 : 寄出email的附檔以ID加密</t>
    <phoneticPr fontId="3" type="noConversion"/>
  </si>
  <si>
    <t>L4204</t>
    <phoneticPr fontId="3" type="noConversion"/>
  </si>
  <si>
    <t>L4701</t>
    <phoneticPr fontId="3" type="noConversion"/>
  </si>
  <si>
    <t>L4703</t>
    <phoneticPr fontId="3" type="noConversion"/>
  </si>
  <si>
    <t>12/3待補</t>
    <phoneticPr fontId="3" type="noConversion"/>
  </si>
  <si>
    <t>L4211</t>
    <phoneticPr fontId="3" type="noConversion"/>
  </si>
  <si>
    <t>L4520</t>
    <phoneticPr fontId="3" type="noConversion"/>
  </si>
  <si>
    <t>L4702</t>
    <phoneticPr fontId="3" type="noConversion"/>
  </si>
  <si>
    <t>增加"案件編號"查詢條件</t>
    <phoneticPr fontId="3" type="noConversion"/>
  </si>
  <si>
    <t>增加"戶名"顯示(二審新增-2021/12/3)</t>
    <phoneticPr fontId="3" type="noConversion"/>
  </si>
  <si>
    <t>程式完成</t>
    <phoneticPr fontId="3" type="noConversion"/>
  </si>
  <si>
    <t>URS交付</t>
    <phoneticPr fontId="3" type="noConversion"/>
  </si>
  <si>
    <t>匯款轉帳報表</t>
    <phoneticPr fontId="3" type="noConversion"/>
  </si>
  <si>
    <t>審後新增2021/12/3</t>
    <phoneticPr fontId="3" type="noConversion"/>
  </si>
  <si>
    <t>審後新增</t>
    <phoneticPr fontId="3" type="noConversion"/>
  </si>
  <si>
    <t>審後新增2021/12/3</t>
    <phoneticPr fontId="3" type="noConversion"/>
  </si>
  <si>
    <t>L3917</t>
    <phoneticPr fontId="3" type="noConversion"/>
  </si>
  <si>
    <t xml:space="preserve">繳息情形明細查詢             </t>
    <phoneticPr fontId="3" type="noConversion"/>
  </si>
  <si>
    <t>L3240</t>
    <phoneticPr fontId="3" type="noConversion"/>
  </si>
  <si>
    <t>回收冲正(轉換前資料)</t>
    <phoneticPr fontId="3" type="noConversion"/>
  </si>
  <si>
    <t>審後新增2021/12/3</t>
    <phoneticPr fontId="3" type="noConversion"/>
  </si>
  <si>
    <t>洗錢樣態三,增加欄位[統計天數]</t>
    <phoneticPr fontId="3" type="noConversion"/>
  </si>
  <si>
    <t>計數 - 程式完成 的加總</t>
  </si>
  <si>
    <t>計數 - 程式完成</t>
  </si>
  <si>
    <t>總
交易</t>
    <phoneticPr fontId="3" type="noConversion"/>
  </si>
  <si>
    <t>5-3業績調整作業</t>
  </si>
  <si>
    <t/>
  </si>
  <si>
    <t>2-1商品作業</t>
  </si>
  <si>
    <t>2-2案件申請、額度</t>
  </si>
  <si>
    <t>1-1顧客基本資料</t>
  </si>
  <si>
    <t>1-3申請不列印書面通知書</t>
  </si>
  <si>
    <t>1-2公司戶財務狀況</t>
  </si>
  <si>
    <t>9-9其他</t>
    <phoneticPr fontId="3" type="noConversion"/>
  </si>
  <si>
    <t>6-1控制類</t>
    <phoneticPr fontId="3" type="noConversion"/>
  </si>
  <si>
    <t>6-2日結類</t>
    <phoneticPr fontId="3" type="noConversion"/>
  </si>
  <si>
    <t>6-3共同資料維護(利率、營業日)</t>
    <phoneticPr fontId="3" type="noConversion"/>
  </si>
  <si>
    <t>6-4作業控管維護</t>
    <phoneticPr fontId="3" type="noConversion"/>
  </si>
  <si>
    <t>6-5系統變數維護</t>
    <phoneticPr fontId="3" type="noConversion"/>
  </si>
  <si>
    <t>6-6各類代碼檔維護</t>
    <phoneticPr fontId="3" type="noConversion"/>
  </si>
  <si>
    <t>6-7其他基本資料維護</t>
    <phoneticPr fontId="3" type="noConversion"/>
  </si>
  <si>
    <t>5-7國稅局申報作業</t>
    <phoneticPr fontId="3" type="noConversion"/>
  </si>
  <si>
    <t>5-1一般作業</t>
    <phoneticPr fontId="3" type="noConversion"/>
  </si>
  <si>
    <t>5-4法催紀錄作業</t>
    <phoneticPr fontId="3" type="noConversion"/>
  </si>
  <si>
    <t>8-4JCIC放款報送</t>
    <phoneticPr fontId="3" type="noConversion"/>
  </si>
  <si>
    <t>7-2IFRS9作業</t>
  </si>
  <si>
    <t>5-5債務協商作業</t>
  </si>
  <si>
    <t>L8205</t>
    <phoneticPr fontId="3" type="noConversion"/>
  </si>
  <si>
    <t>產生疑似洗錢報表</t>
    <phoneticPr fontId="3" type="noConversion"/>
  </si>
  <si>
    <t>審後新增2021/10/29</t>
    <phoneticPr fontId="3" type="noConversion"/>
  </si>
  <si>
    <t>5-2房貸專員業績統計作業</t>
    <phoneticPr fontId="3" type="noConversion"/>
  </si>
  <si>
    <t>8-3債協報送作業</t>
    <phoneticPr fontId="3" type="noConversion"/>
  </si>
  <si>
    <t>8-5聯徵產品報送</t>
    <phoneticPr fontId="3" type="noConversion"/>
  </si>
  <si>
    <t>2-4擔保品</t>
    <phoneticPr fontId="3" type="noConversion"/>
  </si>
  <si>
    <t>2-9其他</t>
    <phoneticPr fontId="3" type="noConversion"/>
  </si>
  <si>
    <t>2-6清償作業</t>
    <phoneticPr fontId="3" type="noConversion"/>
  </si>
  <si>
    <t>3-1試算</t>
    <phoneticPr fontId="3" type="noConversion"/>
  </si>
  <si>
    <t>3-2撥款</t>
    <phoneticPr fontId="3" type="noConversion"/>
  </si>
  <si>
    <t>3-5變更、延長年期</t>
    <phoneticPr fontId="3" type="noConversion"/>
  </si>
  <si>
    <t>3-3回收、部分償還、暫收款</t>
    <phoneticPr fontId="3" type="noConversion"/>
  </si>
  <si>
    <t>3-4展期、結案、轉催呆</t>
    <phoneticPr fontId="3" type="noConversion"/>
  </si>
  <si>
    <t>6-8其他作業</t>
    <phoneticPr fontId="3" type="noConversion"/>
  </si>
  <si>
    <t>6-6各類代碼檔維護</t>
    <phoneticPr fontId="3" type="noConversion"/>
  </si>
  <si>
    <t>2-3保證人、關係人</t>
    <phoneticPr fontId="3" type="noConversion"/>
  </si>
  <si>
    <t>6-6各類代碼檔維護</t>
    <phoneticPr fontId="3" type="noConversion"/>
  </si>
  <si>
    <t>2-9其他</t>
    <phoneticPr fontId="3" type="noConversion"/>
  </si>
  <si>
    <t>2-5法拍費用</t>
    <phoneticPr fontId="3" type="noConversion"/>
  </si>
  <si>
    <t>2-2案件申請、額度</t>
    <phoneticPr fontId="3" type="noConversion"/>
  </si>
  <si>
    <t>2-2案件申請、額度</t>
    <phoneticPr fontId="3" type="noConversion"/>
  </si>
  <si>
    <t>7-1E-Loan</t>
    <phoneticPr fontId="3" type="noConversion"/>
  </si>
  <si>
    <t>L190A</t>
    <phoneticPr fontId="3" type="noConversion"/>
  </si>
  <si>
    <t>8-1AML檢核</t>
    <phoneticPr fontId="3" type="noConversion"/>
  </si>
  <si>
    <t>LC共同作業</t>
    <phoneticPr fontId="3" type="noConversion"/>
  </si>
  <si>
    <t>1-4其他</t>
    <phoneticPr fontId="3" type="noConversion"/>
  </si>
  <si>
    <t>2021/11/26OK</t>
    <phoneticPr fontId="3" type="noConversion"/>
  </si>
  <si>
    <t>總
交易</t>
  </si>
  <si>
    <t>URS完成</t>
  </si>
  <si>
    <t>程式完成</t>
  </si>
  <si>
    <t>URS交付</t>
  </si>
  <si>
    <t>LC</t>
  </si>
  <si>
    <t>2-3保證人、關係人</t>
  </si>
  <si>
    <t>2-4擔保品</t>
  </si>
  <si>
    <t>2-5法拍費用</t>
  </si>
  <si>
    <t>2-6清償作業</t>
  </si>
  <si>
    <t>2-9其他</t>
  </si>
  <si>
    <t>3-1試算</t>
  </si>
  <si>
    <t>3-2撥款</t>
  </si>
  <si>
    <t>3-4展期、結案、轉催呆</t>
  </si>
  <si>
    <t>3-5變更、延長年期</t>
  </si>
  <si>
    <t>5-4法催紀錄作業</t>
  </si>
  <si>
    <t>5-7國稅局申報作業</t>
  </si>
  <si>
    <t>6-1控制類</t>
  </si>
  <si>
    <t>6-2日結類</t>
  </si>
  <si>
    <t>6-3共同資料維護(利率、營業日)</t>
  </si>
  <si>
    <t>6-4作業控管維護</t>
  </si>
  <si>
    <t>6-5系統變數維護</t>
  </si>
  <si>
    <t>6-6各類代碼檔維護</t>
  </si>
  <si>
    <t>6-7其他基本資料維護</t>
  </si>
  <si>
    <t>6-8其他作業</t>
  </si>
  <si>
    <t>7-1E-Loan</t>
  </si>
  <si>
    <t>8-3債協報送作業</t>
  </si>
  <si>
    <t>8-4JCIC放款報送</t>
  </si>
  <si>
    <t>8-5聯徵產品報送</t>
  </si>
  <si>
    <t>9-9其他</t>
  </si>
  <si>
    <t>LC共同作業</t>
  </si>
  <si>
    <t>1-4其他</t>
  </si>
  <si>
    <t>總計</t>
    <phoneticPr fontId="3" type="noConversion"/>
  </si>
  <si>
    <t>已二審</t>
    <phoneticPr fontId="3" type="noConversion"/>
  </si>
  <si>
    <t>已一審</t>
    <phoneticPr fontId="3" type="noConversion"/>
  </si>
  <si>
    <t>交付</t>
    <phoneticPr fontId="3" type="noConversion"/>
  </si>
  <si>
    <t>程式
完成</t>
    <phoneticPr fontId="3" type="noConversion"/>
  </si>
  <si>
    <t>預計
本周交付</t>
    <phoneticPr fontId="3" type="noConversion"/>
  </si>
  <si>
    <t>待程式
完成</t>
    <phoneticPr fontId="3" type="noConversion"/>
  </si>
  <si>
    <t>待二審
(第二波交付)</t>
  </si>
  <si>
    <t>L7210</t>
    <phoneticPr fontId="3" type="noConversion"/>
  </si>
  <si>
    <t>商品分類資料維護</t>
    <phoneticPr fontId="3" type="noConversion"/>
  </si>
  <si>
    <t>1.移除刪除功能
2.欄位名稱變數調整,Ifrs開頭變數需改為Ifrs9
3.IFRS階梯商品別代碼=空白時改以N代替</t>
    <phoneticPr fontId="3" type="noConversion"/>
  </si>
  <si>
    <t>1.畫面日期預設為日曆日
2.新增資料已存在的錯誤訊息調整敘述
3.啟用記號確認是否使用:使用在IFRS9欄位清單8
  的違約損失率欄位,跑表當月已生效且已啟用資料
  撈最新生效的一筆
4.移除刪除功能</t>
    <phoneticPr fontId="3" type="noConversion"/>
  </si>
  <si>
    <t>L8401</t>
    <phoneticPr fontId="3" type="noConversion"/>
  </si>
  <si>
    <t>產生JCIC日報媒體檔</t>
    <phoneticPr fontId="3" type="noConversion"/>
  </si>
  <si>
    <t>L8402</t>
    <phoneticPr fontId="3" type="noConversion"/>
  </si>
  <si>
    <t>產生JCIC月報媒體檔</t>
    <phoneticPr fontId="3" type="noConversion"/>
  </si>
  <si>
    <t>1.輸入欄位增加日期起訖條件,預設值為會計日
2.修改聯絡人為鄧雪美02-23895858#7279</t>
    <phoneticPr fontId="3" type="noConversion"/>
  </si>
  <si>
    <t>1.調整輸出結果畫面,寬度加大
2.修改聯絡人為鄧雪美02-23895858#7279
異動聯絡人資訊需修改之程式清單:由單一之程式控制L8ConstantEum.java</t>
    <phoneticPr fontId="3" type="noConversion"/>
  </si>
  <si>
    <t>已一審</t>
  </si>
  <si>
    <t>已二審</t>
  </si>
  <si>
    <t>交付</t>
  </si>
  <si>
    <t>程式
完成</t>
  </si>
  <si>
    <t>預計
本周交付</t>
  </si>
  <si>
    <t>待程式
完成</t>
  </si>
  <si>
    <t>未完成程式</t>
  </si>
  <si>
    <t>狀態</t>
  </si>
  <si>
    <t>報表未完成</t>
  </si>
  <si>
    <t>累計完成%</t>
  </si>
  <si>
    <t>計數 - URS完成 的加總</t>
  </si>
  <si>
    <t>計數 - URS完成</t>
  </si>
  <si>
    <t>小計</t>
    <phoneticPr fontId="3" type="noConversion"/>
  </si>
  <si>
    <t>未審</t>
    <phoneticPr fontId="3" type="noConversion"/>
  </si>
  <si>
    <t>備註</t>
    <phoneticPr fontId="3" type="noConversion"/>
  </si>
  <si>
    <t>原本周交付</t>
    <phoneticPr fontId="3" type="noConversion"/>
  </si>
  <si>
    <t>百分比</t>
    <phoneticPr fontId="3" type="noConversion"/>
  </si>
  <si>
    <t>未完成小計</t>
    <phoneticPr fontId="3" type="noConversion"/>
  </si>
  <si>
    <t>C
待二審
(第二波交付)</t>
    <phoneticPr fontId="3" type="noConversion"/>
  </si>
  <si>
    <t>D
其他
(待同小類程式URS完備)</t>
    <phoneticPr fontId="3" type="noConversion"/>
  </si>
  <si>
    <t>B
預計本周交付</t>
    <phoneticPr fontId="3" type="noConversion"/>
  </si>
  <si>
    <t>A
已交付</t>
    <phoneticPr fontId="3" type="noConversion"/>
  </si>
  <si>
    <t>A+B+C+D=</t>
    <phoneticPr fontId="3" type="noConversion"/>
  </si>
  <si>
    <t>URS程式預計完成時間</t>
    <phoneticPr fontId="3" type="noConversion"/>
  </si>
  <si>
    <r>
      <t xml:space="preserve">已完成
</t>
    </r>
    <r>
      <rPr>
        <sz val="6"/>
        <color theme="1"/>
        <rFont val="標楷體"/>
        <family val="4"/>
        <charset val="136"/>
      </rPr>
      <t>已二審</t>
    </r>
  </si>
  <si>
    <r>
      <t xml:space="preserve">已完成
</t>
    </r>
    <r>
      <rPr>
        <sz val="6"/>
        <color theme="1"/>
        <rFont val="標楷體"/>
        <family val="4"/>
        <charset val="136"/>
      </rPr>
      <t>需二審</t>
    </r>
  </si>
  <si>
    <t>無調整</t>
    <phoneticPr fontId="3" type="noConversion"/>
  </si>
  <si>
    <t>L7902</t>
    <phoneticPr fontId="3" type="noConversion"/>
  </si>
  <si>
    <t>ＩＦＲＳ９欄位清單產生作業</t>
    <phoneticPr fontId="3" type="noConversion"/>
  </si>
  <si>
    <t>媒體檔無資料,檔案內容改在有月報環境的測試套展示</t>
    <phoneticPr fontId="3" type="noConversion"/>
  </si>
  <si>
    <t>：實際未完成</t>
    <phoneticPr fontId="3" type="noConversion"/>
  </si>
  <si>
    <t>狀態</t>
    <phoneticPr fontId="3" type="noConversion"/>
  </si>
  <si>
    <t>待URS完成</t>
    <phoneticPr fontId="3" type="noConversion"/>
  </si>
  <si>
    <t>URS程式均未完成</t>
    <phoneticPr fontId="3" type="noConversion"/>
  </si>
  <si>
    <t>己交付</t>
    <phoneticPr fontId="3" type="noConversion"/>
  </si>
  <si>
    <t>其他小計</t>
    <phoneticPr fontId="3" type="noConversion"/>
  </si>
  <si>
    <t>LC.共同作業</t>
    <phoneticPr fontId="3" type="noConversion"/>
  </si>
  <si>
    <t>URS
未完成</t>
    <phoneticPr fontId="3" type="noConversion"/>
  </si>
  <si>
    <t>程式
未完成</t>
    <phoneticPr fontId="3" type="noConversion"/>
  </si>
  <si>
    <t>均
未完成</t>
    <phoneticPr fontId="3" type="noConversion"/>
  </si>
  <si>
    <t>待二審</t>
    <phoneticPr fontId="3" type="noConversion"/>
  </si>
  <si>
    <t>LC.共同作業</t>
    <phoneticPr fontId="3" type="noConversion"/>
  </si>
  <si>
    <t>己交付</t>
    <phoneticPr fontId="3" type="noConversion"/>
  </si>
  <si>
    <t>待二審</t>
    <phoneticPr fontId="3" type="noConversion"/>
  </si>
  <si>
    <t>URS
未完成</t>
    <phoneticPr fontId="3" type="noConversion"/>
  </si>
  <si>
    <t>程式
未完成</t>
    <phoneticPr fontId="3" type="noConversion"/>
  </si>
  <si>
    <t>欄1</t>
    <phoneticPr fontId="3" type="noConversion"/>
  </si>
  <si>
    <t>均
未完成</t>
    <phoneticPr fontId="3" type="noConversion"/>
  </si>
  <si>
    <t>4-5員工扣薪作業</t>
    <phoneticPr fontId="3" type="noConversion"/>
  </si>
  <si>
    <t>己完成</t>
    <phoneticPr fontId="3" type="noConversion"/>
  </si>
  <si>
    <r>
      <t xml:space="preserve">已完成
</t>
    </r>
    <r>
      <rPr>
        <sz val="6"/>
        <color theme="1"/>
        <rFont val="微軟正黑體"/>
        <family val="2"/>
        <charset val="136"/>
      </rPr>
      <t>已二審</t>
    </r>
  </si>
  <si>
    <r>
      <t xml:space="preserve">已完成
</t>
    </r>
    <r>
      <rPr>
        <sz val="6"/>
        <color theme="1"/>
        <rFont val="微軟正黑體"/>
        <family val="2"/>
        <charset val="136"/>
      </rPr>
      <t>需二審</t>
    </r>
  </si>
  <si>
    <t>小計</t>
    <phoneticPr fontId="3" type="noConversion"/>
  </si>
  <si>
    <t>待交付</t>
    <phoneticPr fontId="3" type="noConversion"/>
  </si>
  <si>
    <t>已完成</t>
    <phoneticPr fontId="3" type="noConversion"/>
  </si>
  <si>
    <t>PJ201800012_URS_2業務作業_V1.28.doc</t>
    <phoneticPr fontId="3" type="noConversion"/>
  </si>
  <si>
    <t>已完整
待二審</t>
    <phoneticPr fontId="3" type="noConversion"/>
  </si>
  <si>
    <t>邱怡婷</t>
    <phoneticPr fontId="3" type="noConversion"/>
  </si>
  <si>
    <t>2021/12/14am</t>
    <phoneticPr fontId="3" type="noConversion"/>
  </si>
  <si>
    <t>PJ201800012_URS_4批次作業_V1.10.doc</t>
    <phoneticPr fontId="3" type="noConversion"/>
  </si>
  <si>
    <t>火險保費資料維護</t>
    <phoneticPr fontId="3" type="noConversion"/>
  </si>
  <si>
    <t>4-91-13</t>
  </si>
  <si>
    <t>4-91-13</t>
    <phoneticPr fontId="3" type="noConversion"/>
  </si>
  <si>
    <t>火險到期檔產生作業</t>
    <phoneticPr fontId="3" type="noConversion"/>
  </si>
  <si>
    <t>4-91-1</t>
    <phoneticPr fontId="3" type="noConversion"/>
  </si>
  <si>
    <t xml:space="preserve">火險詢價上傳檔轉檔作業
火險詢價重複投保報表  
續保資料錯誤明細表    </t>
    <phoneticPr fontId="3" type="noConversion"/>
  </si>
  <si>
    <t>4-91-3
4-91-4
4-91-5</t>
    <phoneticPr fontId="3" type="noConversion"/>
  </si>
  <si>
    <t>出單明細表</t>
    <phoneticPr fontId="3" type="noConversion"/>
  </si>
  <si>
    <t>4-91-7</t>
  </si>
  <si>
    <t>火險通知單</t>
    <phoneticPr fontId="3" type="noConversion"/>
  </si>
  <si>
    <t>4-91-6</t>
  </si>
  <si>
    <t xml:space="preserve">保費、保單未完成檢核表
額度無保單檢核表      </t>
    <phoneticPr fontId="3" type="noConversion"/>
  </si>
  <si>
    <t>4-91-15
4-91-16</t>
    <phoneticPr fontId="3" type="noConversion"/>
  </si>
  <si>
    <t>火險保費查詢</t>
    <phoneticPr fontId="3" type="noConversion"/>
  </si>
  <si>
    <t>火險最終保單上傳更新作業</t>
    <phoneticPr fontId="3" type="noConversion"/>
  </si>
  <si>
    <t>4-91-10</t>
  </si>
  <si>
    <t>新交易</t>
    <phoneticPr fontId="3" type="noConversion"/>
  </si>
  <si>
    <t>4-8-10 
4-8-11 
4-13-10
4-13-11</t>
    <phoneticPr fontId="3" type="noConversion"/>
  </si>
  <si>
    <t>4-8-20 
4-13-20</t>
    <phoneticPr fontId="3" type="noConversion"/>
  </si>
  <si>
    <t xml:space="preserve">銀行扣款檔資料維護 
ACH 扣款檔資料維護 </t>
    <phoneticPr fontId="3" type="noConversion"/>
  </si>
  <si>
    <t xml:space="preserve">產生火險銀行扣款檔                    
產生銀行扣款檔                        
產生 ACH 扣款檔（火險）               
產生 ACH 扣款檔－期款帳管費契變手續費 </t>
    <phoneticPr fontId="3" type="noConversion"/>
  </si>
  <si>
    <t>4-8-30 
4-13-30
4-13-31</t>
    <phoneticPr fontId="3" type="noConversion"/>
  </si>
  <si>
    <t xml:space="preserve">銀行扣款（含火險）媒體製作
ACH 扣款媒體製作          
重置扣款媒體碼            </t>
    <phoneticPr fontId="3" type="noConversion"/>
  </si>
  <si>
    <t>4-8-35 
4-13-23</t>
    <phoneticPr fontId="3" type="noConversion"/>
  </si>
  <si>
    <t>銀行扣款前簡訊通知作業
ACH 扣款前簡訊傳送作業</t>
    <phoneticPr fontId="3" type="noConversion"/>
  </si>
  <si>
    <t>4-8-25 
4-13-21</t>
    <phoneticPr fontId="3" type="noConversion"/>
  </si>
  <si>
    <t>郵局扣款檢核表      
ACH 扣款金額異常報表</t>
    <phoneticPr fontId="3" type="noConversion"/>
  </si>
  <si>
    <t>新交易</t>
    <phoneticPr fontId="3" type="noConversion"/>
  </si>
  <si>
    <t>二審會議預排</t>
    <phoneticPr fontId="3" type="noConversion"/>
  </si>
  <si>
    <t>4-7-2</t>
  </si>
  <si>
    <t>員工扣薪設定檢核表</t>
    <phoneticPr fontId="3" type="noConversion"/>
  </si>
  <si>
    <t>4-7-1 
4-7-4 
4-7-10</t>
    <phoneticPr fontId="3" type="noConversion"/>
  </si>
  <si>
    <t>員工扣薪到期明細表        
１５日薪扣薪資料產生作業  
非１５日薪扣薪資料產生作業</t>
    <phoneticPr fontId="3" type="noConversion"/>
  </si>
  <si>
    <t>4-7-16</t>
  </si>
  <si>
    <t>員工扣薪資料查詢</t>
    <phoneticPr fontId="3" type="noConversion"/>
  </si>
  <si>
    <t>4-7-17</t>
  </si>
  <si>
    <t>員工扣薪資料維護</t>
    <phoneticPr fontId="3" type="noConversion"/>
  </si>
  <si>
    <t>4-7-5 
4-7-11
4-7-20</t>
    <phoneticPr fontId="3" type="noConversion"/>
  </si>
  <si>
    <t xml:space="preserve">１５日薪扣薪媒體檔產生作業   
非１５日薪扣薪媒體檔產生作業 
員工扣薪媒體下傳報表         </t>
    <phoneticPr fontId="3" type="noConversion"/>
  </si>
  <si>
    <t xml:space="preserve">4-7-15
</t>
    <phoneticPr fontId="3" type="noConversion"/>
  </si>
  <si>
    <t>員工扣薪報表</t>
  </si>
  <si>
    <t>新交易</t>
    <phoneticPr fontId="3" type="noConversion"/>
  </si>
  <si>
    <t xml:space="preserve">4-5-1
</t>
    <phoneticPr fontId="3" type="noConversion"/>
  </si>
  <si>
    <t xml:space="preserve">票據兌現媒體製作
</t>
    <phoneticPr fontId="3" type="noConversion"/>
  </si>
  <si>
    <t xml:space="preserve">4-1-12
</t>
    <phoneticPr fontId="3" type="noConversion"/>
  </si>
  <si>
    <t>大額匯款手工增入入帳</t>
    <phoneticPr fontId="3" type="noConversion"/>
  </si>
  <si>
    <t>4-1-3
4-1-5
4-1-8</t>
    <phoneticPr fontId="3" type="noConversion"/>
  </si>
  <si>
    <t>匯款暫存檔剔件作業
匯款暫存檔資料維護
匯款轉帳檔資料維護</t>
    <phoneticPr fontId="3" type="noConversion"/>
  </si>
  <si>
    <t xml:space="preserve">4-1-13
</t>
    <phoneticPr fontId="3" type="noConversion"/>
  </si>
  <si>
    <t>匯款還本繳息通知單</t>
  </si>
  <si>
    <t>4-1-4
4-1-7</t>
    <phoneticPr fontId="3" type="noConversion"/>
  </si>
  <si>
    <t>匯款暫存檔印表作業
匯款轉帳檔印表作業</t>
    <phoneticPr fontId="3" type="noConversion"/>
  </si>
  <si>
    <t xml:space="preserve">4-7-7 
4-7-12
4-1-1
4-1-6
4-13-50
4-8-50 
</t>
    <phoneticPr fontId="3" type="noConversion"/>
  </si>
  <si>
    <t xml:space="preserve">１５日薪扣薪媒體回傳作業  
非１５日薪扣薪媒體回傳作業
ＰＣ上傳匯款檔轉入暫存檔作業 
匯款暫存檔轉入匯款轉帳檔     
上傳 ACH 扣款媒體作業 
ＰＣ上傳銀行扣款作業  </t>
    <phoneticPr fontId="3" type="noConversion"/>
  </si>
  <si>
    <t xml:space="preserve">4-7-14
4-5-7
4-1-9
4-13-60
4-8-81 
</t>
    <phoneticPr fontId="3" type="noConversion"/>
  </si>
  <si>
    <t xml:space="preserve">員工扣薪入帳作業
票據入帳作業（核心）
自動匯款作業(入帳) 
ACH 扣款入帳作業
銀行扣款入帳作業
</t>
    <phoneticPr fontId="3" type="noConversion"/>
  </si>
  <si>
    <t xml:space="preserve">4-13-71
4-13-72
4-13-73
4-13-74
4-13-75
4-8-61 
4-8-62 
4-8-70 
4-8-71 
4-8-75 </t>
    <phoneticPr fontId="3" type="noConversion"/>
  </si>
  <si>
    <t xml:space="preserve">ACH 存款不足明信片列印       
ACH 扣款不成功簡訊通知作業   
ACH 火險扣款成功期款失敗通知 
ACH 扣款失敗五萬元以上報表   
ACH 一年內新貸件扣款失敗表   
期款五萬元以上之銀扣失敗報表 
一年內新貸件扣款失敗表       
銀行存款不足明信片列印       
銀行扣款不成功簡訊通知作業   
銀扣火險成功期款失敗通知     </t>
    <phoneticPr fontId="3" type="noConversion"/>
  </si>
  <si>
    <t>4-96-1
4-96-3
4-96-4</t>
    <phoneticPr fontId="3" type="noConversion"/>
  </si>
  <si>
    <t xml:space="preserve">ＰＣ上傳媒體檔轉入佣金媒體檔 
火險佣金發放明細表           
產生下傳媒體                 </t>
    <phoneticPr fontId="3" type="noConversion"/>
  </si>
  <si>
    <t xml:space="preserve">火險保費查詢 </t>
    <phoneticPr fontId="3" type="noConversion"/>
  </si>
  <si>
    <t>4-91-12</t>
    <phoneticPr fontId="3" type="noConversion"/>
  </si>
  <si>
    <t>4-91-12</t>
    <phoneticPr fontId="3" type="noConversion"/>
  </si>
  <si>
    <t xml:space="preserve">4-4-16
</t>
    <phoneticPr fontId="3" type="noConversion"/>
  </si>
  <si>
    <t>地區類別資料維護</t>
    <phoneticPr fontId="3" type="noConversion"/>
  </si>
  <si>
    <t>4-66   
4-4-1-1
4-4-2-1</t>
    <phoneticPr fontId="3" type="noConversion"/>
  </si>
  <si>
    <t>整批利率變更作業    
產生即將變動資料    
產生定期機動調整資料</t>
    <phoneticPr fontId="3" type="noConversion"/>
  </si>
  <si>
    <t>4-4-1-14
4-4-2-14</t>
    <phoneticPr fontId="3" type="noConversion"/>
  </si>
  <si>
    <t>利率調整－批次更新作業
利率調整－批次更新作業</t>
    <phoneticPr fontId="3" type="noConversion"/>
  </si>
  <si>
    <t xml:space="preserve">4-4-13
</t>
    <phoneticPr fontId="3" type="noConversion"/>
  </si>
  <si>
    <t>利率批次調整繳息通知單</t>
    <phoneticPr fontId="3" type="noConversion"/>
  </si>
  <si>
    <t>匯款轉帳失敗表
匯款總傳票明細表</t>
    <phoneticPr fontId="82" type="noConversion"/>
  </si>
  <si>
    <t>4-1-9</t>
    <phoneticPr fontId="3" type="noConversion"/>
  </si>
  <si>
    <t>4-2-1
4-2-2
4-2-3
4-2-4</t>
    <phoneticPr fontId="3" type="noConversion"/>
  </si>
  <si>
    <t>撥款匯款媒體製作
匯款單
匯款單明細表
撥款傳票明細表</t>
    <phoneticPr fontId="3" type="noConversion"/>
  </si>
  <si>
    <t>新交易</t>
    <phoneticPr fontId="3" type="noConversion"/>
  </si>
  <si>
    <t>4-12-10
4-12-20</t>
    <phoneticPr fontId="3" type="noConversion"/>
  </si>
  <si>
    <t>授權資料建檔作業
授權記錄檔資料維護作業</t>
    <phoneticPr fontId="3" type="noConversion"/>
  </si>
  <si>
    <t>產生授權資料
授權媒體製作
重製授權媒體碼</t>
    <phoneticPr fontId="3" type="noConversion"/>
  </si>
  <si>
    <t>4-12-15
4-12-30
4-12-31</t>
    <phoneticPr fontId="3" type="noConversion"/>
  </si>
  <si>
    <t>4-8-95-10
4-8-95-20</t>
    <phoneticPr fontId="3" type="noConversion"/>
  </si>
  <si>
    <t>授權資料建檔作業
授權記錄檔資料維護作業</t>
    <phoneticPr fontId="3" type="noConversion"/>
  </si>
  <si>
    <t>產生授權資料
授權媒體製作
重製授權媒體碼</t>
    <phoneticPr fontId="3" type="noConversion"/>
  </si>
  <si>
    <t>4-8-95-15
4-8-95-30
4-8-95-31</t>
    <phoneticPr fontId="3" type="noConversion"/>
  </si>
  <si>
    <t>ＰＣ上傳授權提回檔
ＰＣ上傳授權提回檔</t>
    <phoneticPr fontId="3" type="noConversion"/>
  </si>
  <si>
    <t>4-12-50
4-8-95-50</t>
    <phoneticPr fontId="3" type="noConversion"/>
  </si>
  <si>
    <t>377
4-5-4
4-5-5</t>
    <phoneticPr fontId="3" type="noConversion"/>
  </si>
  <si>
    <t>多餘支明細資料查詢
暫收支票明細表    
支票兌現未入帳查詢</t>
    <phoneticPr fontId="3" type="noConversion"/>
  </si>
  <si>
    <t>新交易
4-5-8
4-1-11</t>
    <phoneticPr fontId="3" type="noConversion"/>
  </si>
  <si>
    <t xml:space="preserve">
支票兌現轉帳總傳票明細表
匯款總傳票明細表</t>
    <phoneticPr fontId="3" type="noConversion"/>
  </si>
  <si>
    <t>2021/12/9, 2021/12/14am</t>
    <phoneticPr fontId="3" type="noConversion"/>
  </si>
  <si>
    <t>2021/12/9, 2021/12/13</t>
    <phoneticPr fontId="3" type="noConversion"/>
  </si>
  <si>
    <t>蔡珮瑜</t>
    <phoneticPr fontId="3" type="noConversion"/>
  </si>
  <si>
    <t>PJ201800012_URS_5管理性作業_V1.2.DOCX</t>
    <phoneticPr fontId="3" type="noConversion"/>
  </si>
  <si>
    <t>催收及債協系統</t>
    <phoneticPr fontId="3" type="noConversion"/>
  </si>
  <si>
    <t>催收案件清單</t>
    <phoneticPr fontId="3" type="noConversion"/>
  </si>
  <si>
    <t>協商帳務系統</t>
    <phoneticPr fontId="3" type="noConversion"/>
  </si>
  <si>
    <t>PJ201800012_URS_5管理性作業_V1.3.DOCX</t>
    <phoneticPr fontId="3" type="noConversion"/>
  </si>
  <si>
    <t>PJ201800012_URS_3帳務作業_V1.84</t>
    <phoneticPr fontId="3" type="noConversion"/>
  </si>
  <si>
    <t>2021/12/9, 2021/11/12</t>
    <phoneticPr fontId="3" type="noConversion"/>
  </si>
  <si>
    <t>L6023</t>
    <phoneticPr fontId="3" type="noConversion"/>
  </si>
  <si>
    <t>L6203</t>
    <phoneticPr fontId="3" type="noConversion"/>
  </si>
  <si>
    <t>收件字代碼維護</t>
    <phoneticPr fontId="3" type="noConversion"/>
  </si>
  <si>
    <t>收件字代碼查詢</t>
    <phoneticPr fontId="3" type="noConversion"/>
  </si>
  <si>
    <t>審後新增2021/10/08 (L2418)</t>
    <phoneticPr fontId="3" type="noConversion"/>
  </si>
  <si>
    <t>張淑遠</t>
    <phoneticPr fontId="3" type="noConversion"/>
  </si>
  <si>
    <t>5-3業績調整作業</t>
    <phoneticPr fontId="3" type="noConversion"/>
  </si>
  <si>
    <t>總交易</t>
    <phoneticPr fontId="3" type="noConversion"/>
  </si>
  <si>
    <t>業務分類</t>
    <phoneticPr fontId="3" type="noConversion"/>
  </si>
  <si>
    <t>User</t>
    <phoneticPr fontId="3" type="noConversion"/>
  </si>
  <si>
    <t>2021/11/26統計完成 的加總</t>
  </si>
  <si>
    <t>2021/11/26統計完成</t>
  </si>
  <si>
    <t>L8084</t>
    <phoneticPr fontId="3" type="noConversion"/>
  </si>
  <si>
    <t>2021/12/14 am,2021/10/29</t>
    <phoneticPr fontId="3" type="noConversion"/>
  </si>
  <si>
    <t>2021/12/14 am, 2021/12/9, 2021/12/13</t>
    <phoneticPr fontId="3" type="noConversion"/>
  </si>
  <si>
    <t>需求規格書第一審閱檢視會議進度</t>
    <phoneticPr fontId="3" type="noConversion"/>
  </si>
  <si>
    <t>L8</t>
    <phoneticPr fontId="3" type="noConversion"/>
  </si>
  <si>
    <t>Mix</t>
    <phoneticPr fontId="3" type="noConversion"/>
  </si>
  <si>
    <t>L6101</t>
    <phoneticPr fontId="3" type="noConversion"/>
  </si>
  <si>
    <t>L6001</t>
    <phoneticPr fontId="3" type="noConversion"/>
  </si>
  <si>
    <t>L4</t>
    <phoneticPr fontId="3" type="noConversion"/>
  </si>
  <si>
    <t>2021/12/13未完成數</t>
    <phoneticPr fontId="3" type="noConversion"/>
  </si>
  <si>
    <t>領取清償證明作業</t>
    <phoneticPr fontId="3" type="noConversion"/>
  </si>
  <si>
    <t>補領時寫入待清償違約金，匯款轉帳整批入帳時自動收取</t>
    <phoneticPr fontId="3" type="noConversion"/>
  </si>
  <si>
    <t>領取清償證明自動連LC009報表及製檔</t>
    <phoneticPr fontId="3" type="noConversion"/>
  </si>
  <si>
    <t>請蔡珮瑜提供縣市、地政、收件字EXCEL</t>
    <phoneticPr fontId="3" type="noConversion"/>
  </si>
  <si>
    <t>2021/11/1 蔡珮瑜已回覆</t>
    <phoneticPr fontId="3" type="noConversion"/>
  </si>
  <si>
    <t>擔保品他項權利登錄</t>
    <phoneticPr fontId="3" type="noConversion"/>
  </si>
  <si>
    <t>L2418 他項權利登錄 畫面討論</t>
  </si>
  <si>
    <t>L2418縣市地政收件字改下拉選單</t>
  </si>
  <si>
    <t>清償作業維護</t>
  </si>
  <si>
    <t>未結案時,可修改登錄資料</t>
  </si>
  <si>
    <t>新增【歷程】按鈕 連動內容變更查詢</t>
    <phoneticPr fontId="3" type="noConversion"/>
  </si>
  <si>
    <t>清償作業明細資料查詢</t>
  </si>
  <si>
    <t>MU1人員名冊報送</t>
    <phoneticPr fontId="3" type="noConversion"/>
  </si>
  <si>
    <t>[分行代號]改為下拉選單式輸入</t>
    <phoneticPr fontId="3" type="noConversion"/>
  </si>
  <si>
    <t>代碼檔增加代碼(MuSub)</t>
    <phoneticPr fontId="3" type="noConversion"/>
  </si>
  <si>
    <t>[修改]時，[資料日期]欄位須改為可修改</t>
  </si>
  <si>
    <t>增加輸入欄位[功能]</t>
  </si>
  <si>
    <t>報送日期改為固定顯示今日系統日，如下圖</t>
  </si>
  <si>
    <t>MU1人員名冊查詢</t>
    <phoneticPr fontId="3" type="noConversion"/>
  </si>
  <si>
    <t>[總行]、[分行]查詢結果增加顯示中文</t>
    <phoneticPr fontId="3" type="noConversion"/>
  </si>
  <si>
    <t>增加查詢結果欄位[轉JCIC文字檔日期]、[上次
更新人員]、[上次更新日期]</t>
    <phoneticPr fontId="3" type="noConversion"/>
  </si>
  <si>
    <t>終止名冊工作檔輸出母版再確認</t>
  </si>
  <si>
    <t>核撥清單工作檔檔輸出母版再確認  照原樣張輸出</t>
  </si>
  <si>
    <t>暫收款轉帳</t>
    <phoneticPr fontId="3" type="noConversion"/>
  </si>
  <si>
    <t>新增 [區隔帳冊]欄位(URS規格補說明) 作業項目為16.[3200億專案]可選，其他項目固定為傳統帳冊</t>
    <phoneticPr fontId="3" type="noConversion"/>
  </si>
  <si>
    <t>提供由L1001查詢寬限控管結果</t>
    <phoneticPr fontId="3" type="noConversion"/>
  </si>
  <si>
    <t>張嘉榮</t>
    <phoneticPr fontId="3" type="noConversion"/>
  </si>
  <si>
    <t>交易整併入【L5051 房貸介紹人業績維護查詢】</t>
  </si>
  <si>
    <t>介紹人業績案件維護</t>
    <phoneticPr fontId="3" type="noConversion"/>
  </si>
  <si>
    <t>改以「戶號+額度+撥款」調整業績案件資料。【廠商註】已調整完畢</t>
  </si>
  <si>
    <t>增加查詢條件「介紹人」。【廠商註】已調整完畢</t>
    <phoneticPr fontId="3" type="noConversion"/>
  </si>
  <si>
    <t>修改及刪除均要留軌跡。【廠商註】已調整完畢</t>
  </si>
  <si>
    <t>調整查詢條件,比照【L5051 房貸介紹人業績維護查詢】。【廠商註】已調整完畢</t>
  </si>
  <si>
    <t>輸出結果「戶名」偶數字改以*取代</t>
  </si>
  <si>
    <t>輸出結果「換算業績」、「業務報酬」、「業績金額」,改以「戶號+額度+撥款」分別明細顯示,不再以「戶號+額度」合計顯示</t>
    <phoneticPr fontId="3" type="noConversion"/>
  </si>
  <si>
    <t>交易整併入【L5052 房貸專員業績維護查詢】</t>
    <phoneticPr fontId="3" type="noConversion"/>
  </si>
  <si>
    <t>增加查詢條件「房貸專員」【廠商註】已調整完畢</t>
    <phoneticPr fontId="3" type="noConversion"/>
  </si>
  <si>
    <t>房貸專員業績維護查詢</t>
    <phoneticPr fontId="3" type="noConversion"/>
  </si>
  <si>
    <t>房貸專員業績案件維護</t>
  </si>
  <si>
    <t>修改及刪除均要留軌跡。【廠商註】已調整完畢,</t>
  </si>
  <si>
    <t>調整查詢條件,比照【L5052 房貸專員業績維護查詢】。【廠商註】已調整完畢</t>
  </si>
  <si>
    <t>輸出結果「戶名」偶數字改以*取代。【廠商註】已調整完畢</t>
  </si>
  <si>
    <t>提供「受理調解機構代號」可輸入縣市代碼，並依照輸入內容帶出法院名稱或縣市名稱</t>
    <phoneticPr fontId="3" type="noConversion"/>
  </si>
  <si>
    <t>產生JCIC日報媒體檔</t>
    <phoneticPr fontId="3" type="noConversion"/>
  </si>
  <si>
    <t>輸入欄位增加日期起訖條件,預設值為上一會計日</t>
    <phoneticPr fontId="3" type="noConversion"/>
  </si>
  <si>
    <t>異動聯絡人資訊需修改之程式清單</t>
    <phoneticPr fontId="3" type="noConversion"/>
  </si>
  <si>
    <t>蘇曉玲</t>
    <phoneticPr fontId="3" type="noConversion"/>
  </si>
  <si>
    <t>增加待處理(待放行、待提交、待審核)資訊, 【廠商註】已調整完畢</t>
    <phoneticPr fontId="3" type="noConversion"/>
  </si>
  <si>
    <t>交易整併入【LC011 交易明細查詢】【廠商註】已調整完畢</t>
    <phoneticPr fontId="3" type="noConversion"/>
  </si>
  <si>
    <t>PJ201800012_URS_5管理性作業_V1.4</t>
    <phoneticPr fontId="3" type="noConversion"/>
  </si>
  <si>
    <t>PJ201800012_URS_2業務作業_V1.29.doc</t>
    <phoneticPr fontId="3" type="noConversion"/>
  </si>
  <si>
    <t>PJ201800012_URS_7介接外部系統_V1.6(eLoan)</t>
  </si>
  <si>
    <t>L8925</t>
    <phoneticPr fontId="3" type="noConversion"/>
  </si>
  <si>
    <t>疑似洗錢資料明細查詢</t>
    <phoneticPr fontId="3" type="noConversion"/>
  </si>
  <si>
    <t>二審後新增2021/12/9</t>
    <phoneticPr fontId="3" type="noConversion"/>
  </si>
  <si>
    <t>覆審案件明細檔查詢</t>
    <phoneticPr fontId="3" type="noConversion"/>
  </si>
  <si>
    <t>5-22-6</t>
    <phoneticPr fontId="3" type="noConversion"/>
  </si>
  <si>
    <t>5-24-2</t>
    <phoneticPr fontId="3" type="noConversion"/>
  </si>
  <si>
    <t>7-2IFRS9作業</t>
    <phoneticPr fontId="3" type="noConversion"/>
  </si>
  <si>
    <t>張舜雯</t>
    <phoneticPr fontId="3" type="noConversion"/>
  </si>
  <si>
    <t>JCIC-&gt;聯徵產品查詢</t>
    <phoneticPr fontId="3" type="noConversion"/>
  </si>
  <si>
    <t>JCIC-&gt;聯徵產品檔案匯出作業</t>
    <phoneticPr fontId="3" type="noConversion"/>
  </si>
  <si>
    <t>5-9</t>
    <phoneticPr fontId="3" type="noConversion"/>
  </si>
  <si>
    <t>覆審案件</t>
    <phoneticPr fontId="3" type="noConversion"/>
  </si>
  <si>
    <t>5-22</t>
    <phoneticPr fontId="3" type="noConversion"/>
  </si>
  <si>
    <t>寬限條件控管</t>
    <phoneticPr fontId="3" type="noConversion"/>
  </si>
  <si>
    <t>PJ201800012_URS_8遵循法令作業_V1.3</t>
    <phoneticPr fontId="3" type="noConversion"/>
  </si>
  <si>
    <t xml:space="preserve"> 每日新增授信及清償資料    
 每日新增授信明細表        
 每日新增清償明細表（撥款）
 每日授信餘額變動資料      </t>
    <phoneticPr fontId="3" type="noConversion"/>
  </si>
  <si>
    <t xml:space="preserve"> 帳號轉換資料０８５檔        
 正常件月報資料              
 催收件月報資料              
 呆帳件月報資料              
 結案件月報資料              
 額度資料媒體檔              
 當月結案件新增到額度檔      
 授信戶基本資料媒體檔        
 擔保品關聯檔                
 合併各月報資料 --&gt; B201 檔  
 JCIC 授信額度檔檢核作業     
 JCIC 授信餘額月報檔檢核作業 
 JCIC B680 檔產生作業</t>
    <phoneticPr fontId="3" type="noConversion"/>
  </si>
  <si>
    <t>"客戶別"後加"規定管制代碼"說明</t>
    <phoneticPr fontId="3" type="noConversion"/>
  </si>
  <si>
    <t>4-79</t>
    <phoneticPr fontId="3" type="noConversion"/>
  </si>
  <si>
    <t xml:space="preserve">4-80
</t>
    <phoneticPr fontId="3" type="noConversion"/>
  </si>
  <si>
    <t>8-7公務人員報送</t>
    <phoneticPr fontId="3" type="noConversion"/>
  </si>
  <si>
    <t>8-2疑似洗錢</t>
    <phoneticPr fontId="3" type="noConversion"/>
  </si>
  <si>
    <t>PJ201800012_URS_9報表作業_V1.3</t>
    <phoneticPr fontId="3" type="noConversion"/>
  </si>
  <si>
    <t>LC109</t>
    <phoneticPr fontId="3" type="noConversion"/>
  </si>
  <si>
    <t>報表簽核</t>
  </si>
  <si>
    <t>LC110</t>
    <phoneticPr fontId="3" type="noConversion"/>
  </si>
  <si>
    <t>解除戶號鎖定</t>
  </si>
  <si>
    <t>LC014</t>
    <phoneticPr fontId="3" type="noConversion"/>
  </si>
  <si>
    <t>上傳附件查詢</t>
  </si>
  <si>
    <t>LC104</t>
    <phoneticPr fontId="3" type="noConversion"/>
  </si>
  <si>
    <t>上傳附件</t>
  </si>
  <si>
    <t>併入LC011 2021/12/15</t>
    <phoneticPr fontId="3" type="noConversion"/>
  </si>
  <si>
    <t>審後新增2021/12/15</t>
    <phoneticPr fontId="3" type="noConversion"/>
  </si>
  <si>
    <t>李珮君交接</t>
    <phoneticPr fontId="3" type="noConversion"/>
  </si>
  <si>
    <t>李珮君(張淑遠)</t>
    <phoneticPr fontId="3" type="noConversion"/>
  </si>
  <si>
    <t>消債條例JCIC報送資料</t>
    <phoneticPr fontId="3" type="noConversion"/>
  </si>
  <si>
    <t>JCIC檔案匯出作業</t>
    <phoneticPr fontId="3" type="noConversion"/>
  </si>
  <si>
    <t xml:space="preserve">2-31 </t>
  </si>
  <si>
    <t>96年度放款專員業績統計作業</t>
  </si>
  <si>
    <t>產生介紹、協辦、專業獎勵獎金發放媒體</t>
    <phoneticPr fontId="3" type="noConversion"/>
  </si>
  <si>
    <t>2-36-1</t>
    <phoneticPr fontId="3" type="noConversion"/>
  </si>
  <si>
    <t>業績案件計件代碼維護</t>
    <phoneticPr fontId="3" type="noConversion"/>
  </si>
  <si>
    <t>2-36-4</t>
    <phoneticPr fontId="3" type="noConversion"/>
  </si>
  <si>
    <t>2-36-6</t>
    <phoneticPr fontId="3" type="noConversion"/>
  </si>
  <si>
    <t>2-36-3</t>
    <phoneticPr fontId="3" type="noConversion"/>
  </si>
  <si>
    <t>陳政皓</t>
    <phoneticPr fontId="3" type="noConversion"/>
  </si>
  <si>
    <t>PJ201800012_URS_C共同作業_V1.00.docx</t>
  </si>
  <si>
    <t>PJ201800012_URS_8遵循法令作業_債協報送_V1.0.docx</t>
    <phoneticPr fontId="3" type="noConversion"/>
  </si>
  <si>
    <t>L2040</t>
    <phoneticPr fontId="3" type="noConversion"/>
  </si>
  <si>
    <t>擔保品號碼新舊對照查詢</t>
  </si>
  <si>
    <t>L6933</t>
    <phoneticPr fontId="3" type="noConversion"/>
  </si>
  <si>
    <t>L6934</t>
    <phoneticPr fontId="3" type="noConversion"/>
  </si>
  <si>
    <t>資料變更明細查詢</t>
    <phoneticPr fontId="3" type="noConversion"/>
  </si>
  <si>
    <t>資料變更內容查詢</t>
    <phoneticPr fontId="3" type="noConversion"/>
  </si>
  <si>
    <t>審後新增2021/11/29</t>
    <phoneticPr fontId="3" type="noConversion"/>
  </si>
  <si>
    <t>L8082</t>
    <phoneticPr fontId="3" type="noConversion"/>
  </si>
  <si>
    <t>AML定審高風險資料查詢</t>
    <phoneticPr fontId="3" type="noConversion"/>
  </si>
  <si>
    <t>AML定審中風險資料查詢</t>
    <phoneticPr fontId="3" type="noConversion"/>
  </si>
  <si>
    <t>新交易</t>
    <phoneticPr fontId="3" type="noConversion"/>
  </si>
  <si>
    <t>使用者資料查詢</t>
    <phoneticPr fontId="3" type="noConversion"/>
  </si>
  <si>
    <t>L8110</t>
    <phoneticPr fontId="3" type="noConversion"/>
  </si>
  <si>
    <t>產製AML每日有效客戶名單</t>
    <phoneticPr fontId="3" type="noConversion"/>
  </si>
  <si>
    <t>使用者資料維護</t>
    <phoneticPr fontId="3" type="noConversion"/>
  </si>
  <si>
    <t>[授權等級]改為[主管等級],限[權限等級]=1.主管時輸入,限輸入1~5</t>
    <phoneticPr fontId="3" type="noConversion"/>
  </si>
  <si>
    <t>移除[最後交易序號]欄位</t>
    <phoneticPr fontId="3" type="noConversion"/>
  </si>
  <si>
    <t>增加輸入欄位:修改日期,修改人員。</t>
    <phoneticPr fontId="3" type="noConversion"/>
  </si>
  <si>
    <t>增加[上次登入日期]及[修改人員]及[修改日期]輸出欄位</t>
    <phoneticPr fontId="3" type="noConversion"/>
  </si>
  <si>
    <t>報表代號對照檔維護</t>
    <phoneticPr fontId="3" type="noConversion"/>
  </si>
  <si>
    <t>火險佣金未發明細表/火險佣金發放明細表：
是否以[戶名]取代[火險服務ID]欄位，待淑微確認。</t>
    <phoneticPr fontId="3" type="noConversion"/>
  </si>
  <si>
    <t>主管授權紀錄查詢</t>
    <phoneticPr fontId="3" type="noConversion"/>
  </si>
  <si>
    <t>輸入條件調整
(1).[會計日期]改[會計日期]區間
(2).增加[交易日期]區間</t>
    <phoneticPr fontId="3" type="noConversion"/>
  </si>
  <si>
    <t>[寄送記號]=2.依設定優先順序時, [書面寄送]、[簡訊寄送]及[EMAIL寄送]至少一項[優先順序]值不得為0</t>
    <phoneticPr fontId="3" type="noConversion"/>
  </si>
  <si>
    <t>增加查詢條件,如下
(1).課組別
(2).權限等級:0.全部/1.主管/3.經辦</t>
    <phoneticPr fontId="3" type="noConversion"/>
  </si>
  <si>
    <t>資料變更交易查詢</t>
    <phoneticPr fontId="3" type="noConversion"/>
  </si>
  <si>
    <t>輸入條件調整
(1).增加[交易日期]區間</t>
    <phoneticPr fontId="3" type="noConversion"/>
  </si>
  <si>
    <t>權限群組維護</t>
    <phoneticPr fontId="3" type="noConversion"/>
  </si>
  <si>
    <t>依使用者的交易權限掛選單</t>
    <phoneticPr fontId="3" type="noConversion"/>
  </si>
  <si>
    <t>權限細項異動需記錄LOG</t>
    <phoneticPr fontId="3" type="noConversion"/>
  </si>
  <si>
    <t>使用者交易權限查詢</t>
    <phoneticPr fontId="3" type="noConversion"/>
  </si>
  <si>
    <t>報表查詢作業申請</t>
    <phoneticPr fontId="3" type="noConversion"/>
  </si>
  <si>
    <t>代理人設定</t>
    <phoneticPr fontId="3" type="noConversion"/>
  </si>
  <si>
    <t>新增交易</t>
    <phoneticPr fontId="3" type="noConversion"/>
  </si>
  <si>
    <t>查詢全部或指定使用者的交易權限</t>
    <phoneticPr fontId="3" type="noConversion"/>
  </si>
  <si>
    <t>調整為不需主管授權</t>
    <phoneticPr fontId="3" type="noConversion"/>
  </si>
  <si>
    <t>需主管放行</t>
    <phoneticPr fontId="3" type="noConversion"/>
  </si>
  <si>
    <t>經辦限同單位、同課組別經辦代理</t>
    <phoneticPr fontId="3" type="noConversion"/>
  </si>
  <si>
    <t>主管限同單位主管代理</t>
    <phoneticPr fontId="3" type="noConversion"/>
  </si>
  <si>
    <t>PJ201800012_URS_7介接外部系統_V1.8.docx</t>
  </si>
  <si>
    <t>PJ201800012_URS_8遵循法令作業_V1.5.docx</t>
    <phoneticPr fontId="3" type="noConversion"/>
  </si>
  <si>
    <t>PJ201800012_URS_2業務作業_V1.31.docx</t>
    <phoneticPr fontId="3" type="noConversion"/>
  </si>
  <si>
    <t>20212/12/16</t>
    <phoneticPr fontId="3" type="noConversion"/>
  </si>
  <si>
    <t>於交易成功,增加上傳附件機制</t>
    <phoneticPr fontId="3" type="noConversion"/>
  </si>
  <si>
    <t>AML定審通知查詢</t>
    <phoneticPr fontId="3" type="noConversion"/>
  </si>
  <si>
    <t>增加上傳附件機制</t>
    <phoneticPr fontId="3" type="noConversion"/>
  </si>
  <si>
    <t>增加輸入排除條件,如下
(1).排除部門別(可輸入多筆),移至L650A
(2).是否"排除15日薪非業績人員"選項,移至L650C</t>
    <phoneticPr fontId="3" type="noConversion"/>
  </si>
  <si>
    <t>由原"生效工作月"設計,改成"工作月期間",判斷設定有效期間</t>
    <phoneticPr fontId="3" type="noConversion"/>
  </si>
  <si>
    <t>二審實際</t>
    <phoneticPr fontId="3" type="noConversion"/>
  </si>
  <si>
    <t>L6943</t>
    <phoneticPr fontId="3" type="noConversion"/>
  </si>
  <si>
    <t>使用者交易權限查詢</t>
  </si>
  <si>
    <t>審後新增2021/12/20</t>
    <phoneticPr fontId="3" type="noConversion"/>
  </si>
  <si>
    <t>PJ201800012_URS_6共同作業_V1.11.docx</t>
  </si>
  <si>
    <t>L6088</t>
    <phoneticPr fontId="3" type="noConversion"/>
  </si>
  <si>
    <t>L6987</t>
    <phoneticPr fontId="3" type="noConversion"/>
  </si>
  <si>
    <t>呆帳戶產生法務費墊付</t>
    <phoneticPr fontId="3" type="noConversion"/>
  </si>
  <si>
    <t>PJ201800012_URS_6共同作業_V1.11.docx</t>
    <phoneticPr fontId="3" type="noConversion"/>
  </si>
  <si>
    <t>由L190A更名 2021/12/20</t>
    <phoneticPr fontId="3" type="noConversion"/>
  </si>
  <si>
    <t>PJ201800012_URS_5管理性作業_V1.6.docx</t>
    <phoneticPr fontId="3" type="noConversion"/>
  </si>
  <si>
    <t>PJ201800012_URS_4批次作業_V1.12.docx</t>
    <phoneticPr fontId="3" type="noConversion"/>
  </si>
  <si>
    <t>PJ201800012_URS_2業務作業_V1.4.docx</t>
    <phoneticPr fontId="3" type="noConversion"/>
  </si>
  <si>
    <t>2021/12/20、12/14</t>
    <phoneticPr fontId="3" type="noConversion"/>
  </si>
  <si>
    <t>SIT進度</t>
    <phoneticPr fontId="3" type="noConversion"/>
  </si>
  <si>
    <t>L8101</t>
    <phoneticPr fontId="3" type="noConversion"/>
  </si>
  <si>
    <t>L6943</t>
  </si>
  <si>
    <t>L8084</t>
  </si>
  <si>
    <t>L6301</t>
    <phoneticPr fontId="3" type="noConversion"/>
  </si>
  <si>
    <r>
      <t>2021/12/9</t>
    </r>
    <r>
      <rPr>
        <sz val="10"/>
        <color theme="1"/>
        <rFont val="細明體"/>
        <family val="3"/>
        <charset val="136"/>
      </rPr>
      <t>、</t>
    </r>
    <r>
      <rPr>
        <sz val="10"/>
        <color theme="1"/>
        <rFont val="Candara"/>
        <family val="2"/>
      </rPr>
      <t>12/20</t>
    </r>
    <phoneticPr fontId="3" type="noConversion"/>
  </si>
  <si>
    <r>
      <t>2021/10/20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12/9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12/14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12/20</t>
    </r>
    <phoneticPr fontId="3" type="noConversion"/>
  </si>
  <si>
    <r>
      <t>2021/12/14</t>
    </r>
    <r>
      <rPr>
        <sz val="10"/>
        <color theme="1"/>
        <rFont val="細明體"/>
        <family val="3"/>
        <charset val="136"/>
      </rPr>
      <t>、</t>
    </r>
    <r>
      <rPr>
        <sz val="10"/>
        <color theme="1"/>
        <rFont val="Candara"/>
        <family val="2"/>
      </rPr>
      <t>12/20</t>
    </r>
    <phoneticPr fontId="3" type="noConversion"/>
  </si>
  <si>
    <r>
      <t>2021/11/12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12/9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12/20</t>
    </r>
    <phoneticPr fontId="3" type="noConversion"/>
  </si>
  <si>
    <t>交付審查</t>
    <phoneticPr fontId="3" type="noConversion"/>
  </si>
  <si>
    <t>張金龍</t>
    <phoneticPr fontId="3" type="noConversion"/>
  </si>
  <si>
    <t>黃詳惟</t>
  </si>
  <si>
    <t>L4920</t>
    <phoneticPr fontId="3" type="noConversion"/>
  </si>
  <si>
    <t>原AS400報表改為[L4920整批入帳明細查詢]：
1.[4-1-4匯款暫存檔明細表]。
2.[4-1-7匯款轉帳檔明細表]，原[匯款沖帳碼]欄位取消 (不需改程式,會議記錄說明以查詢取代原報表)</t>
    <phoneticPr fontId="3" type="noConversion"/>
  </si>
  <si>
    <t>企金戶95101的檢核條件：提供自動設定(與95102及95103的檢核相同)
2021/10/27蔡珮瑜回覆：入帳前，經辦指定為期款、還款、結清、手續費或暫收後，再整批入帳。
=&gt; (配合2021/10/27蔡珮瑜回覆 , 程式還原)</t>
    <phoneticPr fontId="3" type="noConversion"/>
  </si>
  <si>
    <t>調整程式,13支JCIC媒體檔中有聯絡人資訊,統一由單一支程式控制,已完成</t>
    <phoneticPr fontId="3" type="noConversion"/>
  </si>
  <si>
    <t>2021/11/4 怡婷email存證信函底稿版本。
2021/11/5 怡婷電聯通知：繳款期限資訊。
2021/11/24怡婷電聯討論調整為產製txt檔並增加繳款明細6筆
2021/12/7 email怡婷:txt檔內容確認</t>
    <phoneticPr fontId="3" type="noConversion"/>
  </si>
  <si>
    <t>協助</t>
    <phoneticPr fontId="3" type="noConversion"/>
  </si>
  <si>
    <t>參考</t>
    <phoneticPr fontId="3" type="noConversion"/>
  </si>
  <si>
    <t>2021/08/25 下午3:15 email主旨：OO_新壽擔保品分配表-企金餘屋貸款新壽擔保品分配表-企金餘屋貸款，附件：
OO_新壽擔保品分配表-企金餘屋貸款.xlsx</t>
    <phoneticPr fontId="3" type="noConversion"/>
  </si>
  <si>
    <t>暫停開發 2021/10/5 email</t>
    <phoneticPr fontId="3" type="noConversion"/>
  </si>
  <si>
    <t>[AS400]4-96-2佣金換算作業：
待提供[應領金額]計算公式</t>
    <phoneticPr fontId="3" type="noConversion"/>
  </si>
  <si>
    <r>
      <t xml:space="preserve">2021/11/4,18:46 email主旨：RE: 4-96火險佣金作業
</t>
    </r>
    <r>
      <rPr>
        <sz val="6"/>
        <color theme="1"/>
        <rFont val="標楷體"/>
        <family val="4"/>
        <charset val="136"/>
      </rPr>
      <t xml:space="preserve">【CMT04險別】=1
Case1 【險種CMT11】=11→【應領金額CMT20】=【保費CMT12】*【佣金率(0.11)】
Case2 【險種CMT11】=12、13→【應領金額CMT20】=【佣金CMT13】*【佣金率(0.65)】
Case3【險種CMT11】=15→【應領金額CMT20】=【保費CMT12】*【佣金率(0.04)】
不符合Case1、Case2、Case3的則為0
*佣金率
險種     新佣金率
11       0.11   
15       0.04   
12       0.65   
13       0.65 </t>
    </r>
  </si>
  <si>
    <t>2021/10/6已提供</t>
    <phoneticPr fontId="3" type="noConversion"/>
  </si>
  <si>
    <t>L6042交易控制檔:提供清單給SKL填寫 交易控制檔 結清戶個資控管及顧客控管警訊</t>
    <phoneticPr fontId="3" type="noConversion"/>
  </si>
  <si>
    <t>2021/11/1 18:46 email主旨：SKL-結清戶個資控管及顧客控管警訊之交易清單
附件：結清戶個資控管及顧客控管警訊之交易清單.xlsx</t>
    <phoneticPr fontId="3" type="noConversion"/>
  </si>
  <si>
    <t>L5500工作日業績結算,人工啟動時,如何再同步資料上傳內網系統</t>
    <phoneticPr fontId="3" type="noConversion"/>
  </si>
  <si>
    <t>L6608：管理科確認，客戶有逾期繳款時,則各項通知項目是否一律通知</t>
    <phoneticPr fontId="3" type="noConversion"/>
  </si>
  <si>
    <t>可分配金額(計算公式、轉換作業、應用層面)、塗銷作法、處分作法說明</t>
    <phoneticPr fontId="3" type="noConversion"/>
  </si>
  <si>
    <t>余家興</t>
    <phoneticPr fontId="3" type="noConversion"/>
  </si>
  <si>
    <t>無來源資料</t>
    <phoneticPr fontId="3" type="noConversion"/>
  </si>
  <si>
    <t>新增L4103交易(2021.11.24審)</t>
    <phoneticPr fontId="3" type="noConversion"/>
  </si>
  <si>
    <t>2021/9/23 Line回覆：撥款檔增加計件代碼2控管已經決定不做
2021.09.23 星期四
12:01 SKL-陳政皓經理 1.企金餘屋貸款excel表給過
2.放款金額是否檢查擔保品可分配金額，主要企金多筆擔保品能夠清楚建檔與部分塗銷就可檢查
3.撥款檔增加計件代碼2控管已經決定不做
4.整批匯款樣章再提供</t>
    <phoneticPr fontId="3" type="noConversion"/>
  </si>
  <si>
    <t>2021.09.13回覆(L4101 撥款匯款作業)</t>
    <phoneticPr fontId="3" type="noConversion"/>
  </si>
  <si>
    <t>Eric</t>
    <phoneticPr fontId="3" type="noConversion"/>
  </si>
  <si>
    <t>2021/11/19提供</t>
    <phoneticPr fontId="3" type="noConversion"/>
  </si>
  <si>
    <t>2021/09/17提供</t>
    <phoneticPr fontId="3" type="noConversion"/>
  </si>
  <si>
    <t>葛展宇經理</t>
    <phoneticPr fontId="3" type="noConversion"/>
  </si>
  <si>
    <t>提供整批匯款單格式及列印樣張</t>
    <phoneticPr fontId="3" type="noConversion"/>
  </si>
  <si>
    <t>2021/12/23 email：查看目前測試系統已完成設定有『寄送記號』之報表，倘若遇到逾期案件時，各項通知可一律寄出。
惟，爾後倘有『新增』系統如何檢核或確定逾期件可否寄出…..</t>
    <phoneticPr fontId="3" type="noConversion"/>
  </si>
  <si>
    <t>台北金融業拆款定盤利率匯入利率的流程討論</t>
    <phoneticPr fontId="3" type="noConversion"/>
  </si>
  <si>
    <t>2021/8/9 email回覆：[與借款人關係]太多職稱，請新增空白欄位，讓企金人員可自由鍵入</t>
    <phoneticPr fontId="3" type="noConversion"/>
  </si>
  <si>
    <t>2021/7/27 (週二) 下午 12:30 已mail 檔案</t>
    <phoneticPr fontId="3" type="noConversion"/>
  </si>
  <si>
    <t>email回覆</t>
    <phoneticPr fontId="3" type="noConversion"/>
  </si>
  <si>
    <t>2021/8/9回覆：此「L2111 案件申請登錄」會另與企金同仁再做討論。</t>
    <phoneticPr fontId="3" type="noConversion"/>
  </si>
  <si>
    <t>併共用額度討論</t>
    <phoneticPr fontId="3" type="noConversion"/>
  </si>
  <si>
    <t>8/4安排說明後仍須調整，預計8/13調整後再安排說明。
2021/8/16 陸續會議中確認。</t>
    <phoneticPr fontId="3" type="noConversion"/>
  </si>
  <si>
    <t>[應處理清單]火險續保簡訊檔內容待確認(L6001)</t>
    <phoneticPr fontId="3" type="noConversion"/>
  </si>
  <si>
    <t>2021/9/23 Line回覆：整批匯款樣張再提供
2021/11/24完成二審(L4101 撥款匯款作業)</t>
    <phoneticPr fontId="3" type="noConversion"/>
  </si>
  <si>
    <t>2021/12/23 18:09 email主旨：SKL-待辦事項-20210824-2_擔保品之可分配金額、塗銷作法、處分作法，附件：擔保品額度.pdf</t>
    <phoneticPr fontId="3" type="noConversion"/>
  </si>
  <si>
    <t>暫收款退還及整批撥款的整批匯款作業，與如何連結核心匯款系統機制有關，請IT了解並與放款部順過作業流程後，再行討論</t>
    <phoneticPr fontId="3" type="noConversion"/>
  </si>
  <si>
    <t>2021/12/23email提醒。</t>
    <phoneticPr fontId="3" type="noConversion"/>
  </si>
  <si>
    <t>暫緩處理，未收到User調整需求。
待User提供產出明細後再調整。
2021/12/23email提醒。</t>
    <phoneticPr fontId="3" type="noConversion"/>
  </si>
  <si>
    <t>暫緩處理，未收到IT調整需求。
待IT確認後，再調整程式邏輯。
2021/12/23email提醒。</t>
    <phoneticPr fontId="3" type="noConversion"/>
  </si>
  <si>
    <t>逾期時併入員工扣薪作業處理，請清河確認有關逾期處理及應扣金額計算方式</t>
    <phoneticPr fontId="3" type="noConversion"/>
  </si>
  <si>
    <t>邵淑微
林清河</t>
    <phoneticPr fontId="3" type="noConversion"/>
  </si>
  <si>
    <t>L6023</t>
  </si>
  <si>
    <t>L6203</t>
  </si>
  <si>
    <t>L6088</t>
  </si>
  <si>
    <t>L6933</t>
  </si>
  <si>
    <t>L6934</t>
  </si>
  <si>
    <t>PJ201800012_URS_1顧客管理作業_V1.43.docx</t>
    <phoneticPr fontId="3" type="noConversion"/>
  </si>
  <si>
    <t>取消交易，由L6088(2021/12/20交付)取代；L190A於L1_1.43刪除</t>
    <phoneticPr fontId="3" type="noConversion"/>
  </si>
  <si>
    <t>2021/12/24(1.43)、11/15(1.42)、10/15(1.41)、10/1(1.4)</t>
    <phoneticPr fontId="3" type="noConversion"/>
  </si>
  <si>
    <t>2021/12/24(1.43)、2021/10/1</t>
    <phoneticPr fontId="3" type="noConversion"/>
  </si>
  <si>
    <t>2021/12/24(1.43)、11/15(1.42)、10/1(1.4)</t>
    <phoneticPr fontId="3" type="noConversion"/>
  </si>
  <si>
    <t>11/15(1.42)、2021/10/1</t>
    <phoneticPr fontId="3" type="noConversion"/>
  </si>
  <si>
    <t>2021/12/24(1.43)、11/15(1.42)、2021/10/1</t>
    <phoneticPr fontId="3" type="noConversion"/>
  </si>
  <si>
    <t>2021/11/15(1.42)、10/1(1.4)</t>
  </si>
  <si>
    <t xml:space="preserve">2021/12/24 清河email回覆：看一下上次提供的檔案有沒有回銷檔的內容。1.付款摘要欄位放摘要就好。2.FTP Address: 10.11.100.1 port:21。3.暫收款退還及整批撥款的整批匯款作業=&gt;清河再與放款確認
2021/12/23 email提醒
程式(L6101 業務關帳作業)已按新規格撰寫(付款摘要欄規格待確認),待新壽提供FTP Address
</t>
    <phoneticPr fontId="3" type="noConversion"/>
  </si>
  <si>
    <r>
      <t>12/9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12/14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12/20</t>
    </r>
    <phoneticPr fontId="3" type="noConversion"/>
  </si>
  <si>
    <t>L2304</t>
  </si>
  <si>
    <t>L4211</t>
  </si>
  <si>
    <t>L6069</t>
  </si>
  <si>
    <t>LC700</t>
  </si>
  <si>
    <t>LC800</t>
  </si>
  <si>
    <t>LM016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</si>
</sst>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176" formatCode="[$-404]aaa;@"/>
    <numFmt numFmtId="177" formatCode="0_);[Red]\(0\)"/>
    <numFmt numFmtId="178" formatCode="0.0%"/>
    <numFmt numFmtId="179" formatCode="yyyy/m/d\ h:mm;@"/>
    <numFmt numFmtId="180" formatCode="m&quot;月&quot;d&quot;日&quot;"/>
    <numFmt numFmtId="181" formatCode="yyyy/mm/dd;@"/>
    <numFmt numFmtId="182" formatCode="yyyy/m/d;@"/>
    <numFmt numFmtId="183" formatCode="0.00_);[Red]\(0.00\)"/>
    <numFmt numFmtId="184" formatCode="mm/dd"/>
    <numFmt numFmtId="185" formatCode="mm/dd;@"/>
  </numFmts>
  <fonts count="98" x14ac:knownFonts="1">
    <font>
      <sz val="11"/>
      <color theme="1"/>
      <name val="新細明體"/>
      <family val="2"/>
      <scheme val="minor"/>
    </font>
    <font>
      <sz val="12"/>
      <color theme="1"/>
      <name val="微軟正黑體"/>
      <family val="2"/>
      <charset val="136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0"/>
      <name val="標楷體"/>
      <family val="4"/>
      <charset val="136"/>
    </font>
    <font>
      <sz val="10"/>
      <color theme="1"/>
      <name val="標楷體"/>
      <family val="4"/>
      <charset val="136"/>
    </font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微軟正黑體"/>
      <family val="2"/>
      <charset val="136"/>
    </font>
    <font>
      <sz val="11"/>
      <color theme="1"/>
      <name val="Candara"/>
      <family val="2"/>
    </font>
    <font>
      <sz val="6"/>
      <name val="標楷體"/>
      <family val="4"/>
      <charset val="136"/>
    </font>
    <font>
      <sz val="12"/>
      <color theme="1"/>
      <name val="微軟正黑體"/>
      <family val="2"/>
      <charset val="136"/>
    </font>
    <font>
      <sz val="11"/>
      <color theme="0"/>
      <name val="微軟正黑體"/>
      <family val="2"/>
      <charset val="136"/>
    </font>
    <font>
      <u/>
      <sz val="11"/>
      <color theme="10"/>
      <name val="新細明體"/>
      <family val="2"/>
      <scheme val="minor"/>
    </font>
    <font>
      <b/>
      <sz val="11"/>
      <color theme="1"/>
      <name val="Candara"/>
      <family val="2"/>
    </font>
    <font>
      <b/>
      <sz val="16"/>
      <color theme="1"/>
      <name val="Candara"/>
      <family val="2"/>
    </font>
    <font>
      <sz val="12"/>
      <color theme="1"/>
      <name val="Candara"/>
      <family val="2"/>
    </font>
    <font>
      <sz val="12"/>
      <color rgb="FF333333"/>
      <name val="Candara"/>
      <family val="2"/>
    </font>
    <font>
      <sz val="12"/>
      <color rgb="FF333333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sz val="12"/>
      <color theme="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1"/>
      <color theme="0"/>
      <name val="Candara"/>
      <family val="2"/>
    </font>
    <font>
      <sz val="11"/>
      <color rgb="FFFF0000"/>
      <name val="Candara"/>
      <family val="2"/>
    </font>
    <font>
      <sz val="12"/>
      <color rgb="FFFF0000"/>
      <name val="標楷體"/>
      <family val="4"/>
      <charset val="136"/>
    </font>
    <font>
      <b/>
      <sz val="12"/>
      <color theme="0"/>
      <name val="Candara"/>
      <family val="2"/>
    </font>
    <font>
      <b/>
      <sz val="12"/>
      <color theme="0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8"/>
      <color theme="1"/>
      <name val="標楷體"/>
      <family val="4"/>
      <charset val="136"/>
    </font>
    <font>
      <sz val="8"/>
      <color rgb="FFFF0000"/>
      <name val="標楷體"/>
      <family val="4"/>
      <charset val="136"/>
    </font>
    <font>
      <b/>
      <sz val="12"/>
      <color theme="1"/>
      <name val="Candara"/>
      <family val="2"/>
    </font>
    <font>
      <sz val="10"/>
      <color rgb="FFFF0000"/>
      <name val="標楷體"/>
      <family val="4"/>
      <charset val="136"/>
    </font>
    <font>
      <sz val="11"/>
      <color theme="1"/>
      <name val="細明體"/>
      <family val="3"/>
      <charset val="136"/>
    </font>
    <font>
      <sz val="11"/>
      <color theme="1"/>
      <name val="Candara"/>
      <family val="3"/>
      <charset val="136"/>
    </font>
    <font>
      <b/>
      <sz val="12"/>
      <color theme="1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theme="1"/>
      <name val="DengXian"/>
      <family val="1"/>
    </font>
    <font>
      <sz val="11"/>
      <color theme="1"/>
      <name val="Candara"/>
      <family val="2"/>
    </font>
    <font>
      <b/>
      <sz val="6"/>
      <color theme="0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indexed="8"/>
      <name val="新細明體"/>
      <family val="2"/>
      <scheme val="minor"/>
    </font>
    <font>
      <sz val="11"/>
      <color theme="1"/>
      <name val="Candara"/>
      <family val="2"/>
    </font>
    <font>
      <sz val="11"/>
      <name val="Candara"/>
      <family val="2"/>
    </font>
    <font>
      <b/>
      <sz val="10"/>
      <color theme="1"/>
      <name val="標楷體"/>
      <family val="4"/>
      <charset val="136"/>
    </font>
    <font>
      <b/>
      <sz val="8"/>
      <color theme="1"/>
      <name val="標楷體"/>
      <family val="4"/>
      <charset val="136"/>
    </font>
    <font>
      <sz val="12"/>
      <color rgb="FF00B050"/>
      <name val="標楷體"/>
      <family val="4"/>
      <charset val="136"/>
    </font>
    <font>
      <sz val="11"/>
      <color theme="1"/>
      <name val="標楷體"/>
      <family val="4"/>
      <charset val="136"/>
    </font>
    <font>
      <sz val="8"/>
      <color theme="1"/>
      <name val="新細明體"/>
      <family val="2"/>
      <scheme val="minor"/>
    </font>
    <font>
      <b/>
      <sz val="11"/>
      <color rgb="FFC00000"/>
      <name val="微軟正黑體"/>
      <family val="2"/>
      <charset val="136"/>
    </font>
    <font>
      <sz val="10"/>
      <color theme="1"/>
      <name val="Candara"/>
      <family val="2"/>
    </font>
    <font>
      <sz val="10"/>
      <color rgb="FFFF0000"/>
      <name val="Candara"/>
      <family val="2"/>
    </font>
    <font>
      <sz val="9"/>
      <color theme="1"/>
      <name val="Candara"/>
      <family val="2"/>
    </font>
    <font>
      <sz val="11"/>
      <color theme="1"/>
      <name val="Candara"/>
      <family val="2"/>
    </font>
    <font>
      <sz val="8"/>
      <color theme="1"/>
      <name val="微軟正黑體"/>
      <family val="2"/>
      <charset val="136"/>
    </font>
    <font>
      <sz val="8"/>
      <color theme="1"/>
      <name val="Candara"/>
      <family val="2"/>
    </font>
    <font>
      <b/>
      <sz val="9"/>
      <color theme="1"/>
      <name val="微軟正黑體"/>
      <family val="2"/>
      <charset val="136"/>
    </font>
    <font>
      <b/>
      <sz val="10"/>
      <color theme="1"/>
      <name val="微軟正黑體"/>
      <family val="2"/>
      <charset val="136"/>
    </font>
    <font>
      <b/>
      <sz val="8"/>
      <color theme="1"/>
      <name val="微軟正黑體"/>
      <family val="2"/>
      <charset val="136"/>
    </font>
    <font>
      <sz val="8"/>
      <name val="Candara"/>
      <family val="2"/>
    </font>
    <font>
      <sz val="10"/>
      <color theme="1"/>
      <name val="微軟正黑體"/>
      <family val="2"/>
      <charset val="136"/>
    </font>
    <font>
      <sz val="8"/>
      <color theme="1"/>
      <name val="Candara"/>
      <family val="3"/>
      <charset val="136"/>
    </font>
    <font>
      <sz val="11"/>
      <name val="標楷體"/>
      <family val="4"/>
      <charset val="136"/>
    </font>
    <font>
      <sz val="11"/>
      <color indexed="8"/>
      <name val="微軟正黑體"/>
      <family val="2"/>
      <charset val="136"/>
    </font>
    <font>
      <sz val="8"/>
      <name val="標楷體"/>
      <family val="4"/>
      <charset val="136"/>
    </font>
    <font>
      <sz val="9"/>
      <name val="標楷體"/>
      <family val="4"/>
      <charset val="136"/>
    </font>
    <font>
      <sz val="12"/>
      <name val="新細明體"/>
      <family val="1"/>
      <charset val="136"/>
    </font>
    <font>
      <sz val="10"/>
      <name val="Arial"/>
      <family val="2"/>
    </font>
    <font>
      <sz val="11"/>
      <name val="新細明體"/>
      <family val="2"/>
      <scheme val="minor"/>
    </font>
    <font>
      <b/>
      <sz val="11"/>
      <color theme="0"/>
      <name val="標楷體"/>
      <family val="4"/>
      <charset val="136"/>
    </font>
    <font>
      <sz val="11"/>
      <color rgb="FFFF0000"/>
      <name val="標楷體"/>
      <family val="4"/>
      <charset val="136"/>
    </font>
    <font>
      <b/>
      <sz val="11"/>
      <color rgb="FF0070C0"/>
      <name val="標楷體"/>
      <family val="4"/>
      <charset val="136"/>
    </font>
    <font>
      <sz val="6"/>
      <color theme="1"/>
      <name val="標楷體"/>
      <family val="4"/>
      <charset val="136"/>
    </font>
    <font>
      <b/>
      <sz val="11"/>
      <color theme="0"/>
      <name val="微軟正黑體"/>
      <family val="2"/>
      <charset val="136"/>
    </font>
    <font>
      <sz val="6"/>
      <color theme="1"/>
      <name val="微軟正黑體"/>
      <family val="2"/>
      <charset val="136"/>
    </font>
    <font>
      <sz val="11"/>
      <color rgb="FFFF0000"/>
      <name val="微軟正黑體"/>
      <family val="2"/>
      <charset val="136"/>
    </font>
    <font>
      <b/>
      <sz val="11"/>
      <color rgb="FF0070C0"/>
      <name val="微軟正黑體"/>
      <family val="2"/>
      <charset val="136"/>
    </font>
    <font>
      <sz val="11"/>
      <name val="微軟正黑體"/>
      <family val="2"/>
      <charset val="136"/>
    </font>
    <font>
      <b/>
      <sz val="11"/>
      <color rgb="FFFF0000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9"/>
      <color theme="1"/>
      <name val="微軟正黑體"/>
      <family val="2"/>
      <charset val="136"/>
    </font>
    <font>
      <b/>
      <sz val="11"/>
      <color rgb="FFC00000"/>
      <name val="細明體"/>
      <family val="3"/>
      <charset val="136"/>
    </font>
    <font>
      <sz val="12"/>
      <color rgb="FF000000"/>
      <name val="標楷體"/>
      <family val="4"/>
      <charset val="136"/>
    </font>
    <font>
      <sz val="9"/>
      <color theme="1"/>
      <name val="細明體"/>
      <family val="3"/>
      <charset val="136"/>
    </font>
    <font>
      <sz val="9"/>
      <color theme="1"/>
      <name val="Candara"/>
      <family val="3"/>
      <charset val="136"/>
    </font>
    <font>
      <sz val="8"/>
      <color theme="1"/>
      <name val="細明體"/>
      <family val="3"/>
      <charset val="136"/>
    </font>
    <font>
      <sz val="10"/>
      <color rgb="FF000000"/>
      <name val="標楷體"/>
      <family val="4"/>
      <charset val="136"/>
    </font>
    <font>
      <sz val="11"/>
      <color rgb="FFC00000"/>
      <name val="微軟正黑體"/>
      <family val="2"/>
      <charset val="136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細明體"/>
      <family val="3"/>
      <charset val="136"/>
    </font>
    <font>
      <sz val="10"/>
      <color theme="1"/>
      <name val="細明體"/>
      <family val="3"/>
      <charset val="136"/>
    </font>
    <font>
      <sz val="10"/>
      <name val="Candara"/>
      <family val="2"/>
    </font>
    <font>
      <sz val="9"/>
      <color theme="1"/>
      <name val="標楷體"/>
      <family val="4"/>
      <charset val="136"/>
    </font>
    <font>
      <strike/>
      <sz val="10"/>
      <color rgb="FFFF0000"/>
      <name val="標楷體"/>
      <family val="4"/>
      <charset val="136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auto="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30">
    <border>
      <left/>
      <right/>
      <top/>
      <bottom/>
      <diagonal/>
    </border>
    <border>
      <left style="medium">
        <color theme="2" tint="-9.9978637043366805E-2"/>
      </left>
      <right style="medium">
        <color theme="2" tint="-9.9978637043366805E-2"/>
      </right>
      <top style="medium">
        <color theme="2" tint="-9.9978637043366805E-2"/>
      </top>
      <bottom style="medium">
        <color theme="2" tint="-9.9978637043366805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90">
    <xf numFmtId="0" fontId="0" fillId="0" borderId="0"/>
    <xf numFmtId="0" fontId="7" fillId="0" borderId="0">
      <alignment vertical="center"/>
    </xf>
    <xf numFmtId="0" fontId="6" fillId="0" borderId="0"/>
    <xf numFmtId="0" fontId="7" fillId="0" borderId="0">
      <alignment vertical="center"/>
    </xf>
    <xf numFmtId="0" fontId="8" fillId="0" borderId="0">
      <alignment vertical="center"/>
    </xf>
    <xf numFmtId="9" fontId="6" fillId="0" borderId="0">
      <alignment vertical="center"/>
    </xf>
    <xf numFmtId="0" fontId="14" fillId="0" borderId="0"/>
    <xf numFmtId="0" fontId="7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9" fillId="0" borderId="0"/>
    <xf numFmtId="0" fontId="8" fillId="0" borderId="0">
      <alignment vertical="center"/>
    </xf>
    <xf numFmtId="0" fontId="7" fillId="0" borderId="0">
      <alignment vertical="center"/>
    </xf>
    <xf numFmtId="0" fontId="44" fillId="0" borderId="0">
      <alignment vertical="center"/>
    </xf>
    <xf numFmtId="0" fontId="7" fillId="0" borderId="0">
      <alignment vertical="center"/>
    </xf>
    <xf numFmtId="0" fontId="7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9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70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4" fillId="0" borderId="0">
      <alignment vertical="center"/>
    </xf>
    <xf numFmtId="0" fontId="1" fillId="0" borderId="0">
      <alignment vertical="center"/>
    </xf>
    <xf numFmtId="0" fontId="69" fillId="0" borderId="0"/>
    <xf numFmtId="9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9" fillId="0" borderId="0"/>
    <xf numFmtId="0" fontId="4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699">
    <xf numFmtId="0" fontId="0" fillId="0" borderId="0" xfId="0"/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left"/>
    </xf>
    <xf numFmtId="0" fontId="12" fillId="0" borderId="0" xfId="0" applyFont="1" applyAlignment="1">
      <alignment wrapText="1"/>
    </xf>
    <xf numFmtId="0" fontId="9" fillId="0" borderId="0" xfId="0" applyFont="1"/>
    <xf numFmtId="0" fontId="13" fillId="5" borderId="0" xfId="0" applyFont="1" applyFill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4" fillId="0" borderId="0" xfId="6"/>
    <xf numFmtId="0" fontId="16" fillId="0" borderId="0" xfId="7" applyFont="1" applyAlignment="1">
      <alignment horizontal="left" vertical="center"/>
    </xf>
    <xf numFmtId="0" fontId="17" fillId="0" borderId="0" xfId="7" applyFont="1" applyAlignment="1">
      <alignment vertical="center"/>
    </xf>
    <xf numFmtId="0" fontId="18" fillId="0" borderId="6" xfId="7" applyFont="1" applyBorder="1" applyAlignment="1">
      <alignment horizontal="left" vertical="center" wrapText="1" indent="1"/>
    </xf>
    <xf numFmtId="0" fontId="18" fillId="0" borderId="7" xfId="7" applyFont="1" applyBorder="1" applyAlignment="1">
      <alignment horizontal="left" vertical="center" wrapText="1" indent="1"/>
    </xf>
    <xf numFmtId="0" fontId="18" fillId="0" borderId="8" xfId="7" applyFont="1" applyBorder="1" applyAlignment="1">
      <alignment horizontal="left" vertical="center" wrapText="1" indent="1"/>
    </xf>
    <xf numFmtId="0" fontId="18" fillId="0" borderId="9" xfId="7" applyFont="1" applyBorder="1" applyAlignment="1">
      <alignment horizontal="left" vertical="center" wrapText="1" indent="1"/>
    </xf>
    <xf numFmtId="0" fontId="18" fillId="0" borderId="10" xfId="7" applyFont="1" applyBorder="1" applyAlignment="1">
      <alignment horizontal="left" vertical="center" wrapText="1" indent="1"/>
    </xf>
    <xf numFmtId="0" fontId="18" fillId="0" borderId="2" xfId="7" applyFont="1" applyBorder="1" applyAlignment="1">
      <alignment horizontal="left" vertical="center" wrapText="1" indent="1"/>
    </xf>
    <xf numFmtId="0" fontId="18" fillId="0" borderId="12" xfId="7" applyFont="1" applyBorder="1" applyAlignment="1">
      <alignment horizontal="left" vertical="center" wrapText="1" indent="1"/>
    </xf>
    <xf numFmtId="0" fontId="18" fillId="11" borderId="10" xfId="7" applyFont="1" applyFill="1" applyBorder="1" applyAlignment="1">
      <alignment horizontal="left" vertical="center" wrapText="1" indent="1"/>
    </xf>
    <xf numFmtId="0" fontId="18" fillId="11" borderId="11" xfId="7" applyFont="1" applyFill="1" applyBorder="1" applyAlignment="1">
      <alignment horizontal="left" vertical="center" wrapText="1" indent="1"/>
    </xf>
    <xf numFmtId="0" fontId="18" fillId="11" borderId="2" xfId="7" applyFont="1" applyFill="1" applyBorder="1" applyAlignment="1">
      <alignment horizontal="left" vertical="center" wrapText="1" indent="1"/>
    </xf>
    <xf numFmtId="0" fontId="18" fillId="11" borderId="12" xfId="7" applyFont="1" applyFill="1" applyBorder="1" applyAlignment="1">
      <alignment horizontal="left" vertical="center" wrapText="1" indent="1"/>
    </xf>
    <xf numFmtId="0" fontId="18" fillId="12" borderId="10" xfId="7" applyFont="1" applyFill="1" applyBorder="1" applyAlignment="1">
      <alignment horizontal="left" vertical="center" wrapText="1" indent="1"/>
    </xf>
    <xf numFmtId="0" fontId="18" fillId="12" borderId="11" xfId="7" applyFont="1" applyFill="1" applyBorder="1" applyAlignment="1">
      <alignment horizontal="left" vertical="center" wrapText="1" indent="1"/>
    </xf>
    <xf numFmtId="0" fontId="18" fillId="12" borderId="2" xfId="7" applyFont="1" applyFill="1" applyBorder="1" applyAlignment="1">
      <alignment horizontal="left" vertical="center" wrapText="1" indent="1"/>
    </xf>
    <xf numFmtId="0" fontId="18" fillId="12" borderId="12" xfId="7" applyFont="1" applyFill="1" applyBorder="1" applyAlignment="1">
      <alignment horizontal="left" vertical="center" wrapText="1" indent="1"/>
    </xf>
    <xf numFmtId="0" fontId="18" fillId="6" borderId="10" xfId="7" applyFont="1" applyFill="1" applyBorder="1" applyAlignment="1">
      <alignment horizontal="left" vertical="center" wrapText="1" indent="1"/>
    </xf>
    <xf numFmtId="0" fontId="18" fillId="6" borderId="11" xfId="7" applyFont="1" applyFill="1" applyBorder="1" applyAlignment="1">
      <alignment horizontal="left" vertical="center" wrapText="1" indent="1"/>
    </xf>
    <xf numFmtId="0" fontId="18" fillId="6" borderId="2" xfId="7" applyFont="1" applyFill="1" applyBorder="1" applyAlignment="1">
      <alignment horizontal="left" vertical="center" wrapText="1" indent="1"/>
    </xf>
    <xf numFmtId="0" fontId="18" fillId="6" borderId="12" xfId="7" applyFont="1" applyFill="1" applyBorder="1" applyAlignment="1">
      <alignment horizontal="left" vertical="center" wrapText="1" indent="1"/>
    </xf>
    <xf numFmtId="0" fontId="18" fillId="6" borderId="13" xfId="7" applyFont="1" applyFill="1" applyBorder="1" applyAlignment="1">
      <alignment horizontal="left" vertical="center" wrapText="1" indent="1"/>
    </xf>
    <xf numFmtId="0" fontId="18" fillId="6" borderId="14" xfId="7" applyFont="1" applyFill="1" applyBorder="1" applyAlignment="1">
      <alignment horizontal="left" vertical="center" wrapText="1" indent="1"/>
    </xf>
    <xf numFmtId="0" fontId="18" fillId="6" borderId="15" xfId="7" applyFont="1" applyFill="1" applyBorder="1" applyAlignment="1">
      <alignment horizontal="left" vertical="center" wrapText="1" indent="1"/>
    </xf>
    <xf numFmtId="0" fontId="18" fillId="6" borderId="16" xfId="7" applyFont="1" applyFill="1" applyBorder="1" applyAlignment="1">
      <alignment horizontal="left" vertical="center" wrapText="1" indent="1"/>
    </xf>
    <xf numFmtId="0" fontId="19" fillId="0" borderId="11" xfId="7" applyFont="1" applyBorder="1" applyAlignment="1">
      <alignment horizontal="left" vertical="center" wrapText="1" indent="1"/>
    </xf>
    <xf numFmtId="9" fontId="10" fillId="13" borderId="0" xfId="5" applyFont="1" applyFill="1" applyAlignment="1"/>
    <xf numFmtId="0" fontId="10" fillId="7" borderId="0" xfId="0" applyFont="1" applyFill="1"/>
    <xf numFmtId="0" fontId="15" fillId="13" borderId="0" xfId="0" applyFont="1" applyFill="1" applyAlignment="1">
      <alignment horizontal="left"/>
    </xf>
    <xf numFmtId="0" fontId="12" fillId="0" borderId="0" xfId="0" applyFont="1" applyAlignment="1">
      <alignment vertical="center" wrapText="1"/>
    </xf>
    <xf numFmtId="0" fontId="21" fillId="5" borderId="0" xfId="0" applyFont="1" applyFill="1" applyAlignment="1">
      <alignment horizontal="center"/>
    </xf>
    <xf numFmtId="14" fontId="10" fillId="0" borderId="0" xfId="0" applyNumberFormat="1" applyFont="1" applyAlignment="1">
      <alignment horizontal="left"/>
    </xf>
    <xf numFmtId="14" fontId="10" fillId="13" borderId="0" xfId="0" applyNumberFormat="1" applyFont="1" applyFill="1"/>
    <xf numFmtId="49" fontId="4" fillId="0" borderId="0" xfId="0" quotePrefix="1" applyNumberFormat="1" applyFont="1" applyAlignment="1">
      <alignment horizontal="left" vertical="center"/>
    </xf>
    <xf numFmtId="0" fontId="9" fillId="13" borderId="0" xfId="0" applyFont="1" applyFill="1"/>
    <xf numFmtId="0" fontId="9" fillId="0" borderId="0" xfId="0" applyFont="1" applyAlignment="1">
      <alignment wrapText="1"/>
    </xf>
    <xf numFmtId="0" fontId="10" fillId="0" borderId="0" xfId="0" applyFont="1" applyAlignment="1">
      <alignment vertical="center"/>
    </xf>
    <xf numFmtId="14" fontId="10" fillId="7" borderId="0" xfId="0" applyNumberFormat="1" applyFont="1" applyFill="1" applyAlignment="1">
      <alignment horizontal="center"/>
    </xf>
    <xf numFmtId="0" fontId="20" fillId="13" borderId="0" xfId="0" applyFont="1" applyFill="1"/>
    <xf numFmtId="0" fontId="15" fillId="13" borderId="0" xfId="0" applyFont="1" applyFill="1"/>
    <xf numFmtId="0" fontId="10" fillId="13" borderId="0" xfId="0" applyFont="1" applyFill="1"/>
    <xf numFmtId="14" fontId="15" fillId="0" borderId="0" xfId="0" applyNumberFormat="1" applyFont="1"/>
    <xf numFmtId="14" fontId="10" fillId="0" borderId="0" xfId="0" applyNumberFormat="1" applyFont="1"/>
    <xf numFmtId="14" fontId="10" fillId="0" borderId="0" xfId="5" applyNumberFormat="1" applyFont="1" applyAlignment="1"/>
    <xf numFmtId="14" fontId="15" fillId="0" borderId="0" xfId="5" applyNumberFormat="1" applyFont="1" applyAlignment="1"/>
    <xf numFmtId="0" fontId="15" fillId="0" borderId="0" xfId="0" applyFont="1"/>
    <xf numFmtId="0" fontId="19" fillId="11" borderId="2" xfId="7" applyFont="1" applyFill="1" applyBorder="1" applyAlignment="1">
      <alignment horizontal="left" vertical="center" wrapText="1" indent="1"/>
    </xf>
    <xf numFmtId="0" fontId="26" fillId="9" borderId="18" xfId="0" applyFont="1" applyFill="1" applyBorder="1" applyAlignment="1">
      <alignment vertical="center"/>
    </xf>
    <xf numFmtId="0" fontId="26" fillId="9" borderId="19" xfId="0" applyFont="1" applyFill="1" applyBorder="1" applyAlignment="1">
      <alignment vertical="center"/>
    </xf>
    <xf numFmtId="0" fontId="26" fillId="8" borderId="20" xfId="0" applyFont="1" applyFill="1" applyBorder="1"/>
    <xf numFmtId="0" fontId="26" fillId="8" borderId="21" xfId="0" applyFont="1" applyFill="1" applyBorder="1"/>
    <xf numFmtId="0" fontId="26" fillId="10" borderId="20" xfId="0" applyFont="1" applyFill="1" applyBorder="1"/>
    <xf numFmtId="0" fontId="26" fillId="10" borderId="21" xfId="0" applyFont="1" applyFill="1" applyBorder="1"/>
    <xf numFmtId="0" fontId="26" fillId="10" borderId="22" xfId="0" applyFont="1" applyFill="1" applyBorder="1"/>
    <xf numFmtId="0" fontId="26" fillId="10" borderId="0" xfId="0" applyFont="1" applyFill="1"/>
    <xf numFmtId="0" fontId="26" fillId="14" borderId="0" xfId="0" applyFont="1" applyFill="1" applyAlignment="1">
      <alignment vertical="center"/>
    </xf>
    <xf numFmtId="9" fontId="10" fillId="0" borderId="0" xfId="5" applyFont="1" applyAlignment="1"/>
    <xf numFmtId="0" fontId="28" fillId="0" borderId="0" xfId="0" applyFont="1"/>
    <xf numFmtId="0" fontId="28" fillId="0" borderId="0" xfId="0" applyFont="1" applyAlignment="1">
      <alignment vertical="center"/>
    </xf>
    <xf numFmtId="14" fontId="28" fillId="0" borderId="0" xfId="0" applyNumberFormat="1" applyFont="1" applyAlignment="1">
      <alignment horizontal="center" vertical="center" wrapText="1"/>
    </xf>
    <xf numFmtId="14" fontId="28" fillId="0" borderId="0" xfId="0" applyNumberFormat="1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14" fontId="25" fillId="0" borderId="0" xfId="0" applyNumberFormat="1" applyFont="1" applyAlignment="1">
      <alignment horizontal="center" vertical="center"/>
    </xf>
    <xf numFmtId="0" fontId="28" fillId="0" borderId="0" xfId="0" applyFont="1" applyAlignment="1">
      <alignment vertical="center" wrapText="1"/>
    </xf>
    <xf numFmtId="0" fontId="25" fillId="0" borderId="0" xfId="0" applyFont="1" applyAlignment="1">
      <alignment vertical="center" wrapText="1"/>
    </xf>
    <xf numFmtId="14" fontId="29" fillId="0" borderId="0" xfId="0" applyNumberFormat="1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8" fillId="0" borderId="0" xfId="0" applyFont="1" applyAlignment="1">
      <alignment vertical="top" wrapText="1"/>
    </xf>
    <xf numFmtId="14" fontId="25" fillId="0" borderId="0" xfId="0" applyNumberFormat="1" applyFont="1" applyAlignment="1">
      <alignment horizontal="center" vertical="top"/>
    </xf>
    <xf numFmtId="0" fontId="30" fillId="0" borderId="0" xfId="0" applyFont="1" applyAlignment="1">
      <alignment vertical="top" wrapText="1"/>
    </xf>
    <xf numFmtId="14" fontId="28" fillId="0" borderId="0" xfId="0" applyNumberFormat="1" applyFont="1" applyAlignment="1">
      <alignment horizontal="center" vertical="top"/>
    </xf>
    <xf numFmtId="0" fontId="28" fillId="0" borderId="0" xfId="0" applyFont="1" applyAlignment="1">
      <alignment vertical="top"/>
    </xf>
    <xf numFmtId="0" fontId="10" fillId="7" borderId="0" xfId="0" applyFont="1" applyFill="1" applyAlignment="1">
      <alignment horizontal="center"/>
    </xf>
    <xf numFmtId="14" fontId="10" fillId="0" borderId="0" xfId="2" applyNumberFormat="1" applyFont="1"/>
    <xf numFmtId="0" fontId="10" fillId="0" borderId="0" xfId="2" applyFont="1"/>
    <xf numFmtId="0" fontId="10" fillId="0" borderId="0" xfId="2" applyFont="1" applyAlignment="1">
      <alignment horizontal="center"/>
    </xf>
    <xf numFmtId="0" fontId="10" fillId="7" borderId="0" xfId="2" applyFont="1" applyFill="1"/>
    <xf numFmtId="14" fontId="32" fillId="15" borderId="0" xfId="7" applyNumberFormat="1" applyFont="1" applyFill="1" applyAlignment="1">
      <alignment horizontal="center" vertical="center"/>
    </xf>
    <xf numFmtId="0" fontId="28" fillId="0" borderId="0" xfId="0" applyFont="1" applyAlignment="1">
      <alignment horizontal="center" vertical="top"/>
    </xf>
    <xf numFmtId="14" fontId="10" fillId="0" borderId="0" xfId="2" applyNumberFormat="1" applyFont="1" applyAlignment="1">
      <alignment horizontal="right"/>
    </xf>
    <xf numFmtId="0" fontId="10" fillId="0" borderId="0" xfId="2" applyFont="1" applyAlignment="1">
      <alignment horizontal="right"/>
    </xf>
    <xf numFmtId="0" fontId="24" fillId="0" borderId="0" xfId="2" applyFont="1" applyAlignment="1">
      <alignment horizontal="right"/>
    </xf>
    <xf numFmtId="0" fontId="10" fillId="13" borderId="0" xfId="2" applyFont="1" applyFill="1" applyAlignment="1">
      <alignment horizontal="center"/>
    </xf>
    <xf numFmtId="0" fontId="10" fillId="7" borderId="0" xfId="2" applyFont="1" applyFill="1" applyAlignment="1">
      <alignment horizontal="right"/>
    </xf>
    <xf numFmtId="0" fontId="24" fillId="7" borderId="0" xfId="2" applyFont="1" applyFill="1" applyAlignment="1">
      <alignment horizontal="right"/>
    </xf>
    <xf numFmtId="0" fontId="31" fillId="0" borderId="0" xfId="0" applyFont="1" applyAlignment="1">
      <alignment vertical="top" wrapText="1"/>
    </xf>
    <xf numFmtId="0" fontId="30" fillId="0" borderId="0" xfId="0" applyFont="1" applyAlignment="1">
      <alignment vertical="top"/>
    </xf>
    <xf numFmtId="0" fontId="12" fillId="0" borderId="0" xfId="0" applyFont="1" applyAlignment="1">
      <alignment vertical="top"/>
    </xf>
    <xf numFmtId="0" fontId="28" fillId="0" borderId="0" xfId="0" applyFont="1" applyAlignment="1">
      <alignment horizontal="left" vertical="top" wrapText="1"/>
    </xf>
    <xf numFmtId="0" fontId="25" fillId="0" borderId="0" xfId="0" applyFont="1" applyAlignment="1">
      <alignment horizontal="center" vertical="top"/>
    </xf>
    <xf numFmtId="0" fontId="25" fillId="0" borderId="0" xfId="0" applyFont="1" applyAlignment="1">
      <alignment vertical="top" wrapText="1"/>
    </xf>
    <xf numFmtId="0" fontId="25" fillId="0" borderId="0" xfId="0" applyFont="1" applyAlignment="1">
      <alignment vertical="top"/>
    </xf>
    <xf numFmtId="0" fontId="22" fillId="0" borderId="0" xfId="0" applyFont="1" applyAlignment="1">
      <alignment vertical="top"/>
    </xf>
    <xf numFmtId="0" fontId="34" fillId="0" borderId="0" xfId="2" applyFont="1"/>
    <xf numFmtId="0" fontId="35" fillId="0" borderId="0" xfId="2" applyFont="1"/>
    <xf numFmtId="14" fontId="37" fillId="0" borderId="0" xfId="0" applyNumberFormat="1" applyFont="1" applyAlignment="1">
      <alignment horizontal="center"/>
    </xf>
    <xf numFmtId="0" fontId="37" fillId="0" borderId="0" xfId="0" applyFont="1" applyAlignment="1">
      <alignment horizontal="center"/>
    </xf>
    <xf numFmtId="14" fontId="28" fillId="2" borderId="0" xfId="0" applyNumberFormat="1" applyFont="1" applyFill="1" applyAlignment="1">
      <alignment horizontal="center" vertical="center" wrapText="1"/>
    </xf>
    <xf numFmtId="14" fontId="38" fillId="0" borderId="0" xfId="0" applyNumberFormat="1" applyFont="1" applyAlignment="1">
      <alignment horizontal="center"/>
    </xf>
    <xf numFmtId="0" fontId="38" fillId="0" borderId="0" xfId="0" applyFont="1" applyAlignment="1">
      <alignment horizontal="center"/>
    </xf>
    <xf numFmtId="14" fontId="39" fillId="0" borderId="0" xfId="2" applyNumberFormat="1" applyFont="1" applyAlignment="1">
      <alignment horizontal="center"/>
    </xf>
    <xf numFmtId="0" fontId="39" fillId="0" borderId="0" xfId="2" applyFont="1"/>
    <xf numFmtId="14" fontId="28" fillId="2" borderId="0" xfId="0" applyNumberFormat="1" applyFont="1" applyFill="1" applyAlignment="1">
      <alignment horizontal="center" vertical="center"/>
    </xf>
    <xf numFmtId="14" fontId="40" fillId="0" borderId="0" xfId="0" applyNumberFormat="1" applyFont="1" applyAlignment="1">
      <alignment horizontal="center"/>
    </xf>
    <xf numFmtId="0" fontId="40" fillId="0" borderId="0" xfId="0" applyFont="1" applyAlignment="1">
      <alignment horizontal="center"/>
    </xf>
    <xf numFmtId="14" fontId="38" fillId="7" borderId="0" xfId="0" applyNumberFormat="1" applyFont="1" applyFill="1" applyAlignment="1">
      <alignment horizontal="center"/>
    </xf>
    <xf numFmtId="0" fontId="40" fillId="7" borderId="0" xfId="0" applyFont="1" applyFill="1" applyAlignment="1">
      <alignment horizontal="center"/>
    </xf>
    <xf numFmtId="14" fontId="40" fillId="7" borderId="0" xfId="0" applyNumberFormat="1" applyFont="1" applyFill="1" applyAlignment="1">
      <alignment horizontal="center"/>
    </xf>
    <xf numFmtId="0" fontId="27" fillId="5" borderId="0" xfId="0" applyFont="1" applyFill="1" applyAlignment="1">
      <alignment horizontal="center" vertical="top"/>
    </xf>
    <xf numFmtId="0" fontId="41" fillId="5" borderId="0" xfId="0" applyFont="1" applyFill="1" applyAlignment="1">
      <alignment horizontal="right" vertical="top"/>
    </xf>
    <xf numFmtId="14" fontId="27" fillId="5" borderId="0" xfId="0" applyNumberFormat="1" applyFont="1" applyFill="1" applyAlignment="1">
      <alignment horizontal="center" vertical="top"/>
    </xf>
    <xf numFmtId="0" fontId="36" fillId="0" borderId="0" xfId="0" applyFont="1" applyAlignment="1">
      <alignment horizontal="center" vertical="top"/>
    </xf>
    <xf numFmtId="14" fontId="23" fillId="8" borderId="0" xfId="0" applyNumberFormat="1" applyFont="1" applyFill="1" applyAlignment="1">
      <alignment horizontal="center" vertical="center"/>
    </xf>
    <xf numFmtId="0" fontId="28" fillId="0" borderId="0" xfId="0" applyFont="1" applyAlignment="1">
      <alignment horizontal="left" vertical="center" wrapText="1"/>
    </xf>
    <xf numFmtId="0" fontId="24" fillId="0" borderId="0" xfId="0" applyFont="1"/>
    <xf numFmtId="0" fontId="28" fillId="0" borderId="0" xfId="0" applyFont="1" applyAlignment="1">
      <alignment horizontal="center" vertical="center" wrapText="1"/>
    </xf>
    <xf numFmtId="0" fontId="26" fillId="5" borderId="17" xfId="0" applyFont="1" applyFill="1" applyBorder="1" applyAlignment="1">
      <alignment horizontal="center" vertical="center"/>
    </xf>
    <xf numFmtId="14" fontId="42" fillId="0" borderId="0" xfId="0" applyNumberFormat="1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/>
    </xf>
    <xf numFmtId="0" fontId="43" fillId="7" borderId="0" xfId="0" applyFont="1" applyFill="1" applyAlignment="1">
      <alignment horizontal="center"/>
    </xf>
    <xf numFmtId="0" fontId="28" fillId="2" borderId="0" xfId="0" applyFont="1" applyFill="1" applyAlignment="1">
      <alignment horizontal="center" vertical="center"/>
    </xf>
    <xf numFmtId="0" fontId="44" fillId="0" borderId="0" xfId="11" applyAlignment="1">
      <alignment vertical="center"/>
    </xf>
    <xf numFmtId="14" fontId="4" fillId="0" borderId="0" xfId="0" applyNumberFormat="1" applyFont="1" applyAlignment="1">
      <alignment vertical="center"/>
    </xf>
    <xf numFmtId="0" fontId="1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2" applyAlignment="1">
      <alignment horizontal="center" vertical="center"/>
    </xf>
    <xf numFmtId="0" fontId="6" fillId="2" borderId="0" xfId="2" applyFill="1" applyAlignment="1">
      <alignment horizontal="center" vertical="center"/>
    </xf>
    <xf numFmtId="14" fontId="44" fillId="7" borderId="0" xfId="11" applyNumberFormat="1" applyFill="1" applyAlignment="1">
      <alignment vertical="center"/>
    </xf>
    <xf numFmtId="14" fontId="4" fillId="0" borderId="0" xfId="0" applyNumberFormat="1" applyFont="1" applyAlignment="1">
      <alignment horizontal="center"/>
    </xf>
    <xf numFmtId="14" fontId="45" fillId="7" borderId="0" xfId="0" applyNumberFormat="1" applyFont="1" applyFill="1" applyAlignment="1">
      <alignment horizontal="center"/>
    </xf>
    <xf numFmtId="0" fontId="45" fillId="7" borderId="0" xfId="0" applyFont="1" applyFill="1" applyAlignment="1">
      <alignment horizontal="center"/>
    </xf>
    <xf numFmtId="0" fontId="23" fillId="8" borderId="0" xfId="0" applyFont="1" applyFill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14" fontId="33" fillId="0" borderId="0" xfId="0" applyNumberFormat="1" applyFont="1" applyAlignment="1">
      <alignment horizontal="center" vertical="center"/>
    </xf>
    <xf numFmtId="14" fontId="33" fillId="0" borderId="0" xfId="0" applyNumberFormat="1" applyFont="1" applyAlignment="1">
      <alignment vertical="center"/>
    </xf>
    <xf numFmtId="0" fontId="46" fillId="0" borderId="0" xfId="0" applyFont="1" applyAlignment="1">
      <alignment horizontal="center"/>
    </xf>
    <xf numFmtId="0" fontId="47" fillId="0" borderId="0" xfId="12" applyFont="1" applyAlignment="1">
      <alignment horizontal="center" vertical="center"/>
    </xf>
    <xf numFmtId="14" fontId="5" fillId="0" borderId="0" xfId="12" applyNumberFormat="1" applyFont="1" applyAlignment="1">
      <alignment horizontal="center" vertical="center"/>
    </xf>
    <xf numFmtId="0" fontId="5" fillId="0" borderId="0" xfId="12" applyFont="1" applyAlignment="1">
      <alignment horizontal="center" vertical="center"/>
    </xf>
    <xf numFmtId="0" fontId="5" fillId="0" borderId="0" xfId="12" applyFont="1" applyAlignment="1">
      <alignment horizontal="center" vertical="center" wrapText="1"/>
    </xf>
    <xf numFmtId="14" fontId="48" fillId="0" borderId="0" xfId="12" applyNumberFormat="1" applyFont="1" applyAlignment="1">
      <alignment horizontal="center" vertical="center"/>
    </xf>
    <xf numFmtId="0" fontId="5" fillId="4" borderId="0" xfId="12" applyFont="1" applyFill="1" applyAlignment="1">
      <alignment horizontal="left" vertical="center"/>
    </xf>
    <xf numFmtId="0" fontId="49" fillId="0" borderId="0" xfId="0" applyFont="1" applyAlignment="1">
      <alignment vertical="center" wrapText="1"/>
    </xf>
    <xf numFmtId="0" fontId="29" fillId="0" borderId="0" xfId="0" applyFont="1" applyAlignment="1">
      <alignment vertical="center" wrapText="1"/>
    </xf>
    <xf numFmtId="0" fontId="49" fillId="0" borderId="0" xfId="0" applyFont="1" applyAlignment="1">
      <alignment horizontal="center" vertical="center"/>
    </xf>
    <xf numFmtId="0" fontId="49" fillId="0" borderId="0" xfId="0" applyFont="1" applyAlignment="1">
      <alignment vertical="center"/>
    </xf>
    <xf numFmtId="14" fontId="49" fillId="0" borderId="0" xfId="0" applyNumberFormat="1" applyFont="1" applyAlignment="1">
      <alignment horizontal="center" vertical="center"/>
    </xf>
    <xf numFmtId="0" fontId="28" fillId="0" borderId="0" xfId="0" applyFont="1" applyAlignment="1">
      <alignment horizontal="center" vertical="top" wrapText="1"/>
    </xf>
    <xf numFmtId="0" fontId="46" fillId="0" borderId="0" xfId="0" applyFont="1"/>
    <xf numFmtId="0" fontId="27" fillId="10" borderId="2" xfId="0" applyFont="1" applyFill="1" applyBorder="1" applyAlignment="1">
      <alignment horizontal="center" vertical="center"/>
    </xf>
    <xf numFmtId="0" fontId="27" fillId="10" borderId="5" xfId="0" applyFont="1" applyFill="1" applyBorder="1" applyAlignment="1">
      <alignment horizontal="center" vertical="center"/>
    </xf>
    <xf numFmtId="0" fontId="25" fillId="0" borderId="0" xfId="0" applyFont="1" applyAlignment="1">
      <alignment vertical="center"/>
    </xf>
    <xf numFmtId="14" fontId="50" fillId="0" borderId="0" xfId="0" applyNumberFormat="1" applyFont="1"/>
    <xf numFmtId="0" fontId="50" fillId="0" borderId="0" xfId="0" applyFont="1" applyAlignment="1">
      <alignment horizontal="center" vertical="center"/>
    </xf>
    <xf numFmtId="0" fontId="50" fillId="0" borderId="0" xfId="0" applyFont="1"/>
    <xf numFmtId="14" fontId="50" fillId="0" borderId="0" xfId="0" applyNumberFormat="1" applyFont="1" applyAlignment="1">
      <alignment horizontal="left" vertical="center"/>
    </xf>
    <xf numFmtId="14" fontId="5" fillId="0" borderId="0" xfId="0" applyNumberFormat="1" applyFont="1"/>
    <xf numFmtId="14" fontId="4" fillId="0" borderId="0" xfId="0" applyNumberFormat="1" applyFont="1" applyAlignment="1">
      <alignment horizontal="left"/>
    </xf>
    <xf numFmtId="0" fontId="4" fillId="0" borderId="0" xfId="0" applyFont="1" applyAlignment="1">
      <alignment horizontal="right" vertical="center"/>
    </xf>
    <xf numFmtId="0" fontId="0" fillId="0" borderId="0" xfId="0" applyAlignment="1">
      <alignment vertical="top"/>
    </xf>
    <xf numFmtId="0" fontId="4" fillId="0" borderId="2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14" fontId="4" fillId="0" borderId="2" xfId="0" applyNumberFormat="1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vertical="top"/>
    </xf>
    <xf numFmtId="0" fontId="4" fillId="0" borderId="5" xfId="0" applyFont="1" applyBorder="1" applyAlignment="1">
      <alignment horizontal="center" vertical="top"/>
    </xf>
    <xf numFmtId="0" fontId="4" fillId="0" borderId="5" xfId="0" applyFont="1" applyBorder="1" applyAlignment="1">
      <alignment vertical="top"/>
    </xf>
    <xf numFmtId="14" fontId="4" fillId="0" borderId="5" xfId="0" applyNumberFormat="1" applyFont="1" applyBorder="1" applyAlignment="1">
      <alignment horizontal="left" vertical="top"/>
    </xf>
    <xf numFmtId="0" fontId="4" fillId="0" borderId="6" xfId="0" applyFont="1" applyBorder="1" applyAlignment="1">
      <alignment horizontal="center" vertical="top"/>
    </xf>
    <xf numFmtId="0" fontId="4" fillId="0" borderId="8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14" fontId="4" fillId="0" borderId="8" xfId="0" applyNumberFormat="1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4" fillId="0" borderId="12" xfId="0" applyFont="1" applyBorder="1" applyAlignment="1">
      <alignment horizontal="left" vertical="top"/>
    </xf>
    <xf numFmtId="0" fontId="4" fillId="0" borderId="10" xfId="0" applyFont="1" applyBorder="1" applyAlignment="1">
      <alignment horizontal="center" vertical="top"/>
    </xf>
    <xf numFmtId="0" fontId="4" fillId="0" borderId="12" xfId="0" applyFont="1" applyBorder="1" applyAlignment="1">
      <alignment vertical="top"/>
    </xf>
    <xf numFmtId="0" fontId="4" fillId="0" borderId="15" xfId="0" applyFont="1" applyBorder="1" applyAlignment="1">
      <alignment horizontal="center" vertical="top"/>
    </xf>
    <xf numFmtId="0" fontId="5" fillId="0" borderId="15" xfId="0" applyFont="1" applyBorder="1" applyAlignment="1">
      <alignment horizontal="center" vertical="top"/>
    </xf>
    <xf numFmtId="14" fontId="4" fillId="0" borderId="15" xfId="0" applyNumberFormat="1" applyFont="1" applyBorder="1" applyAlignment="1">
      <alignment horizontal="left" vertical="top"/>
    </xf>
    <xf numFmtId="0" fontId="4" fillId="0" borderId="16" xfId="0" applyFont="1" applyBorder="1" applyAlignment="1">
      <alignment vertical="top"/>
    </xf>
    <xf numFmtId="0" fontId="4" fillId="0" borderId="8" xfId="0" applyFont="1" applyBorder="1" applyAlignment="1">
      <alignment vertical="top"/>
    </xf>
    <xf numFmtId="0" fontId="4" fillId="0" borderId="9" xfId="0" applyFont="1" applyBorder="1" applyAlignment="1">
      <alignment vertical="top"/>
    </xf>
    <xf numFmtId="0" fontId="4" fillId="0" borderId="13" xfId="0" applyFont="1" applyBorder="1" applyAlignment="1">
      <alignment horizontal="center" vertical="top"/>
    </xf>
    <xf numFmtId="0" fontId="4" fillId="0" borderId="15" xfId="0" applyFont="1" applyBorder="1" applyAlignment="1">
      <alignment vertical="top"/>
    </xf>
    <xf numFmtId="0" fontId="4" fillId="0" borderId="24" xfId="0" applyFont="1" applyBorder="1" applyAlignment="1">
      <alignment horizontal="center" vertical="top" wrapText="1"/>
    </xf>
    <xf numFmtId="0" fontId="4" fillId="0" borderId="25" xfId="0" applyFont="1" applyBorder="1" applyAlignment="1">
      <alignment horizontal="center" vertical="top" wrapText="1"/>
    </xf>
    <xf numFmtId="49" fontId="4" fillId="0" borderId="25" xfId="0" applyNumberFormat="1" applyFont="1" applyBorder="1" applyAlignment="1">
      <alignment horizontal="center" vertical="top"/>
    </xf>
    <xf numFmtId="14" fontId="4" fillId="0" borderId="25" xfId="0" applyNumberFormat="1" applyFont="1" applyBorder="1" applyAlignment="1">
      <alignment horizontal="center" vertical="top"/>
    </xf>
    <xf numFmtId="0" fontId="4" fillId="0" borderId="25" xfId="0" applyFont="1" applyBorder="1" applyAlignment="1">
      <alignment horizontal="center" vertical="top"/>
    </xf>
    <xf numFmtId="0" fontId="4" fillId="0" borderId="26" xfId="0" applyFont="1" applyBorder="1" applyAlignment="1">
      <alignment vertical="top"/>
    </xf>
    <xf numFmtId="0" fontId="4" fillId="0" borderId="27" xfId="0" applyFont="1" applyBorder="1" applyAlignment="1">
      <alignment horizontal="center" vertical="top"/>
    </xf>
    <xf numFmtId="0" fontId="4" fillId="0" borderId="28" xfId="0" applyFont="1" applyBorder="1" applyAlignment="1">
      <alignment vertical="top"/>
    </xf>
    <xf numFmtId="0" fontId="4" fillId="0" borderId="15" xfId="0" applyFont="1" applyBorder="1" applyAlignment="1">
      <alignment vertical="top" wrapText="1"/>
    </xf>
    <xf numFmtId="0" fontId="4" fillId="0" borderId="16" xfId="0" applyFont="1" applyBorder="1" applyAlignment="1">
      <alignment horizontal="left" vertical="top"/>
    </xf>
    <xf numFmtId="0" fontId="51" fillId="0" borderId="0" xfId="0" applyFont="1" applyAlignment="1">
      <alignment vertical="top"/>
    </xf>
    <xf numFmtId="14" fontId="46" fillId="15" borderId="0" xfId="0" applyNumberFormat="1" applyFont="1" applyFill="1" applyAlignment="1">
      <alignment horizontal="center" vertical="center"/>
    </xf>
    <xf numFmtId="0" fontId="46" fillId="15" borderId="0" xfId="0" applyFont="1" applyFill="1" applyAlignment="1">
      <alignment horizontal="center" vertical="center"/>
    </xf>
    <xf numFmtId="14" fontId="52" fillId="0" borderId="0" xfId="0" applyNumberFormat="1" applyFont="1" applyAlignment="1">
      <alignment horizontal="left"/>
    </xf>
    <xf numFmtId="9" fontId="9" fillId="0" borderId="0" xfId="5" applyFont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9" fontId="10" fillId="0" borderId="0" xfId="5" applyFont="1" applyAlignment="1">
      <alignment horizontal="center" vertical="top"/>
    </xf>
    <xf numFmtId="0" fontId="10" fillId="0" borderId="0" xfId="0" applyFont="1" applyAlignment="1">
      <alignment vertical="top"/>
    </xf>
    <xf numFmtId="14" fontId="56" fillId="0" borderId="0" xfId="0" applyNumberFormat="1" applyFont="1" applyAlignment="1">
      <alignment horizontal="center"/>
    </xf>
    <xf numFmtId="0" fontId="56" fillId="0" borderId="0" xfId="0" applyFont="1" applyAlignment="1">
      <alignment horizontal="center"/>
    </xf>
    <xf numFmtId="0" fontId="28" fillId="0" borderId="0" xfId="0" applyFont="1" applyAlignment="1">
      <alignment wrapText="1"/>
    </xf>
    <xf numFmtId="0" fontId="4" fillId="0" borderId="1" xfId="0" applyFont="1" applyBorder="1" applyAlignment="1">
      <alignment horizontal="center" vertical="top" wrapText="1"/>
    </xf>
    <xf numFmtId="0" fontId="4" fillId="0" borderId="0" xfId="0" applyFont="1" applyAlignment="1">
      <alignment vertical="top" wrapText="1"/>
    </xf>
    <xf numFmtId="14" fontId="4" fillId="0" borderId="0" xfId="0" applyNumberFormat="1" applyFont="1" applyAlignment="1">
      <alignment horizontal="center" vertical="top" wrapText="1"/>
    </xf>
    <xf numFmtId="0" fontId="11" fillId="0" borderId="0" xfId="0" applyFont="1" applyAlignment="1">
      <alignment vertical="top"/>
    </xf>
    <xf numFmtId="14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vertical="top"/>
    </xf>
    <xf numFmtId="14" fontId="4" fillId="0" borderId="0" xfId="0" applyNumberFormat="1" applyFont="1" applyAlignment="1">
      <alignment vertical="top"/>
    </xf>
    <xf numFmtId="0" fontId="4" fillId="0" borderId="0" xfId="0" applyFont="1" applyAlignment="1">
      <alignment horizontal="right" vertical="top"/>
    </xf>
    <xf numFmtId="49" fontId="4" fillId="0" borderId="0" xfId="0" applyNumberFormat="1" applyFont="1" applyAlignment="1">
      <alignment vertical="top"/>
    </xf>
    <xf numFmtId="49" fontId="4" fillId="0" borderId="0" xfId="0" applyNumberFormat="1" applyFont="1" applyAlignment="1">
      <alignment horizontal="center" vertical="top"/>
    </xf>
    <xf numFmtId="14" fontId="33" fillId="0" borderId="0" xfId="0" applyNumberFormat="1" applyFont="1" applyAlignment="1">
      <alignment horizontal="center" vertical="top"/>
    </xf>
    <xf numFmtId="0" fontId="4" fillId="4" borderId="0" xfId="0" applyFont="1" applyFill="1" applyAlignment="1">
      <alignment vertical="top"/>
    </xf>
    <xf numFmtId="0" fontId="4" fillId="3" borderId="0" xfId="0" applyFont="1" applyFill="1" applyAlignment="1">
      <alignment vertical="top"/>
    </xf>
    <xf numFmtId="9" fontId="58" fillId="0" borderId="0" xfId="5" applyFont="1" applyAlignment="1">
      <alignment horizontal="center"/>
    </xf>
    <xf numFmtId="0" fontId="62" fillId="15" borderId="0" xfId="0" applyFont="1" applyFill="1" applyAlignment="1">
      <alignment vertical="center"/>
    </xf>
    <xf numFmtId="0" fontId="5" fillId="0" borderId="0" xfId="0" applyFont="1" applyAlignment="1">
      <alignment vertical="top" wrapText="1"/>
    </xf>
    <xf numFmtId="0" fontId="30" fillId="0" borderId="0" xfId="0" applyFont="1" applyAlignment="1">
      <alignment vertical="center" wrapText="1"/>
    </xf>
    <xf numFmtId="14" fontId="53" fillId="13" borderId="0" xfId="0" applyNumberFormat="1" applyFont="1" applyFill="1" applyAlignment="1">
      <alignment horizontal="center" vertical="center"/>
    </xf>
    <xf numFmtId="9" fontId="53" fillId="13" borderId="0" xfId="5" applyFont="1" applyFill="1" applyAlignment="1">
      <alignment horizontal="center" vertical="center"/>
    </xf>
    <xf numFmtId="14" fontId="53" fillId="13" borderId="0" xfId="0" applyNumberFormat="1" applyFont="1" applyFill="1" applyAlignment="1">
      <alignment horizontal="center" vertical="center" wrapText="1"/>
    </xf>
    <xf numFmtId="0" fontId="53" fillId="13" borderId="0" xfId="0" applyFont="1" applyFill="1" applyAlignment="1">
      <alignment horizontal="center" vertical="center"/>
    </xf>
    <xf numFmtId="9" fontId="64" fillId="13" borderId="0" xfId="5" applyFont="1" applyFill="1" applyAlignment="1">
      <alignment horizontal="center" vertical="center" wrapText="1"/>
    </xf>
    <xf numFmtId="14" fontId="53" fillId="13" borderId="0" xfId="5" applyNumberFormat="1" applyFont="1" applyFill="1" applyAlignment="1">
      <alignment horizontal="center" vertical="center"/>
    </xf>
    <xf numFmtId="9" fontId="10" fillId="0" borderId="0" xfId="5" applyFont="1" applyAlignment="1">
      <alignment horizontal="center" vertical="center"/>
    </xf>
    <xf numFmtId="0" fontId="53" fillId="0" borderId="0" xfId="0" applyFont="1" applyAlignment="1">
      <alignment vertical="center"/>
    </xf>
    <xf numFmtId="14" fontId="53" fillId="0" borderId="0" xfId="0" applyNumberFormat="1" applyFont="1" applyAlignment="1">
      <alignment horizontal="right" vertical="top"/>
    </xf>
    <xf numFmtId="14" fontId="53" fillId="0" borderId="0" xfId="0" applyNumberFormat="1" applyFont="1" applyAlignment="1">
      <alignment horizontal="center" vertical="top"/>
    </xf>
    <xf numFmtId="0" fontId="53" fillId="0" borderId="0" xfId="0" applyFont="1" applyAlignment="1">
      <alignment horizontal="center" vertical="top"/>
    </xf>
    <xf numFmtId="9" fontId="53" fillId="0" borderId="0" xfId="5" applyFont="1" applyAlignment="1">
      <alignment horizontal="center" vertical="top"/>
    </xf>
    <xf numFmtId="14" fontId="53" fillId="0" borderId="0" xfId="5" applyNumberFormat="1" applyFont="1" applyAlignment="1">
      <alignment horizontal="center" vertical="top"/>
    </xf>
    <xf numFmtId="14" fontId="63" fillId="7" borderId="0" xfId="0" applyNumberFormat="1" applyFont="1" applyFill="1" applyAlignment="1">
      <alignment horizontal="center" vertical="center"/>
    </xf>
    <xf numFmtId="9" fontId="53" fillId="7" borderId="0" xfId="5" applyFont="1" applyFill="1" applyAlignment="1">
      <alignment horizontal="center" vertical="center"/>
    </xf>
    <xf numFmtId="0" fontId="53" fillId="7" borderId="0" xfId="0" applyFont="1" applyFill="1" applyAlignment="1">
      <alignment vertical="center"/>
    </xf>
    <xf numFmtId="0" fontId="59" fillId="7" borderId="0" xfId="0" applyFont="1" applyFill="1" applyAlignment="1">
      <alignment horizontal="center" vertical="center" wrapText="1"/>
    </xf>
    <xf numFmtId="14" fontId="55" fillId="13" borderId="0" xfId="0" applyNumberFormat="1" applyFont="1" applyFill="1" applyAlignment="1">
      <alignment horizontal="left" vertical="center"/>
    </xf>
    <xf numFmtId="0" fontId="65" fillId="0" borderId="0" xfId="0" applyFont="1" applyAlignment="1">
      <alignment vertical="top"/>
    </xf>
    <xf numFmtId="0" fontId="5" fillId="0" borderId="0" xfId="0" applyFont="1"/>
    <xf numFmtId="14" fontId="54" fillId="0" borderId="0" xfId="0" applyNumberFormat="1" applyFont="1" applyAlignment="1">
      <alignment horizontal="center" vertical="top" wrapText="1"/>
    </xf>
    <xf numFmtId="14" fontId="54" fillId="13" borderId="0" xfId="5" applyNumberFormat="1" applyFont="1" applyFill="1" applyAlignment="1">
      <alignment horizontal="center" vertical="center"/>
    </xf>
    <xf numFmtId="17" fontId="4" fillId="0" borderId="0" xfId="0" applyNumberFormat="1" applyFont="1" applyAlignment="1">
      <alignment vertical="top"/>
    </xf>
    <xf numFmtId="0" fontId="9" fillId="7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14" fontId="4" fillId="7" borderId="0" xfId="0" applyNumberFormat="1" applyFont="1" applyFill="1" applyAlignment="1">
      <alignment horizontal="center" vertical="top"/>
    </xf>
    <xf numFmtId="14" fontId="4" fillId="2" borderId="0" xfId="0" applyNumberFormat="1" applyFont="1" applyFill="1" applyAlignment="1">
      <alignment horizontal="center" vertical="top"/>
    </xf>
    <xf numFmtId="0" fontId="29" fillId="0" borderId="0" xfId="0" applyFont="1"/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top" wrapText="1"/>
    </xf>
    <xf numFmtId="49" fontId="4" fillId="2" borderId="1" xfId="0" applyNumberFormat="1" applyFont="1" applyFill="1" applyBorder="1" applyAlignment="1">
      <alignment horizontal="center" vertical="top"/>
    </xf>
    <xf numFmtId="0" fontId="4" fillId="2" borderId="0" xfId="0" applyFont="1" applyFill="1" applyAlignment="1">
      <alignment horizontal="center" vertical="top"/>
    </xf>
    <xf numFmtId="0" fontId="66" fillId="0" borderId="0" xfId="11" applyFont="1" applyAlignment="1">
      <alignment vertical="center"/>
    </xf>
    <xf numFmtId="0" fontId="66" fillId="0" borderId="0" xfId="11" applyFont="1" applyAlignment="1">
      <alignment horizontal="center" vertical="center"/>
    </xf>
    <xf numFmtId="0" fontId="4" fillId="2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0" borderId="0" xfId="0" pivotButton="1"/>
    <xf numFmtId="0" fontId="0" fillId="0" borderId="0" xfId="0" applyAlignment="1">
      <alignment horizontal="left"/>
    </xf>
    <xf numFmtId="14" fontId="10" fillId="0" borderId="0" xfId="0" quotePrefix="1" applyNumberFormat="1" applyFont="1" applyAlignment="1">
      <alignment horizontal="left"/>
    </xf>
    <xf numFmtId="0" fontId="27" fillId="5" borderId="3" xfId="0" applyFont="1" applyFill="1" applyBorder="1" applyAlignment="1">
      <alignment horizontal="center" vertical="center"/>
    </xf>
    <xf numFmtId="0" fontId="27" fillId="5" borderId="5" xfId="0" applyFont="1" applyFill="1" applyBorder="1" applyAlignment="1">
      <alignment horizontal="center" vertical="center"/>
    </xf>
    <xf numFmtId="0" fontId="27" fillId="5" borderId="4" xfId="0" applyFont="1" applyFill="1" applyBorder="1" applyAlignment="1">
      <alignment horizontal="center" vertical="center" wrapText="1"/>
    </xf>
    <xf numFmtId="14" fontId="0" fillId="0" borderId="0" xfId="0" applyNumberFormat="1"/>
    <xf numFmtId="0" fontId="0" fillId="2" borderId="0" xfId="0" applyFill="1"/>
    <xf numFmtId="0" fontId="65" fillId="0" borderId="0" xfId="0" applyFont="1" applyAlignment="1">
      <alignment vertical="center"/>
    </xf>
    <xf numFmtId="49" fontId="4" fillId="18" borderId="0" xfId="0" applyNumberFormat="1" applyFont="1" applyFill="1" applyAlignment="1">
      <alignment vertical="top"/>
    </xf>
    <xf numFmtId="0" fontId="4" fillId="18" borderId="0" xfId="0" applyFont="1" applyFill="1" applyAlignment="1">
      <alignment vertical="top"/>
    </xf>
    <xf numFmtId="14" fontId="4" fillId="17" borderId="0" xfId="0" applyNumberFormat="1" applyFont="1" applyFill="1" applyAlignment="1">
      <alignment horizontal="center" vertical="top"/>
    </xf>
    <xf numFmtId="14" fontId="4" fillId="18" borderId="0" xfId="0" applyNumberFormat="1" applyFont="1" applyFill="1" applyAlignment="1">
      <alignment horizontal="center" vertical="top"/>
    </xf>
    <xf numFmtId="0" fontId="4" fillId="17" borderId="0" xfId="0" applyFont="1" applyFill="1" applyAlignment="1">
      <alignment vertical="top"/>
    </xf>
    <xf numFmtId="0" fontId="11" fillId="0" borderId="1" xfId="0" applyFont="1" applyBorder="1" applyAlignment="1">
      <alignment horizontal="center" vertical="top" wrapText="1"/>
    </xf>
    <xf numFmtId="0" fontId="57" fillId="0" borderId="0" xfId="0" pivotButton="1" applyFont="1"/>
    <xf numFmtId="0" fontId="57" fillId="0" borderId="0" xfId="0" applyFont="1" applyAlignment="1">
      <alignment horizontal="left"/>
    </xf>
    <xf numFmtId="0" fontId="4" fillId="0" borderId="0" xfId="2" applyFont="1" applyAlignment="1">
      <alignment vertical="top"/>
    </xf>
    <xf numFmtId="14" fontId="53" fillId="0" borderId="0" xfId="0" applyNumberFormat="1" applyFont="1" applyAlignment="1">
      <alignment horizontal="center" vertical="top" wrapText="1"/>
    </xf>
    <xf numFmtId="14" fontId="10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vertical="top"/>
    </xf>
    <xf numFmtId="0" fontId="0" fillId="0" borderId="0" xfId="0"/>
    <xf numFmtId="0" fontId="10" fillId="0" borderId="0" xfId="0" applyFont="1"/>
    <xf numFmtId="0" fontId="57" fillId="0" borderId="0" xfId="0" applyFont="1"/>
    <xf numFmtId="0" fontId="57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14" fontId="4" fillId="0" borderId="0" xfId="0" applyNumberFormat="1" applyFont="1" applyAlignment="1">
      <alignment horizontal="right" vertical="top"/>
    </xf>
    <xf numFmtId="14" fontId="4" fillId="0" borderId="0" xfId="0" applyNumberFormat="1" applyFont="1" applyAlignment="1">
      <alignment horizontal="center" vertical="top"/>
    </xf>
    <xf numFmtId="0" fontId="4" fillId="16" borderId="0" xfId="0" applyFont="1" applyFill="1" applyAlignment="1">
      <alignment horizontal="center" vertical="top" wrapText="1"/>
    </xf>
    <xf numFmtId="14" fontId="4" fillId="0" borderId="0" xfId="0" applyNumberFormat="1" applyFont="1" applyAlignment="1">
      <alignment horizontal="left" vertical="center"/>
    </xf>
    <xf numFmtId="0" fontId="4" fillId="0" borderId="0" xfId="0" applyFont="1"/>
    <xf numFmtId="49" fontId="4" fillId="0" borderId="0" xfId="2" applyNumberFormat="1" applyFont="1" applyAlignment="1">
      <alignment horizontal="center" vertical="center"/>
    </xf>
    <xf numFmtId="0" fontId="4" fillId="0" borderId="0" xfId="2" applyFont="1" applyAlignment="1">
      <alignment vertical="center"/>
    </xf>
    <xf numFmtId="0" fontId="71" fillId="0" borderId="0" xfId="0" applyFont="1" applyAlignment="1">
      <alignment vertical="top"/>
    </xf>
    <xf numFmtId="14" fontId="71" fillId="0" borderId="0" xfId="0" applyNumberFormat="1" applyFont="1" applyAlignment="1">
      <alignment horizontal="right" vertical="top"/>
    </xf>
    <xf numFmtId="0" fontId="71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 wrapText="1"/>
    </xf>
    <xf numFmtId="14" fontId="28" fillId="19" borderId="0" xfId="0" applyNumberFormat="1" applyFont="1" applyFill="1" applyAlignment="1">
      <alignment horizontal="center" vertical="top"/>
    </xf>
    <xf numFmtId="9" fontId="10" fillId="0" borderId="0" xfId="5" applyFont="1" applyAlignment="1">
      <alignment horizontal="center"/>
    </xf>
    <xf numFmtId="0" fontId="61" fillId="0" borderId="0" xfId="0" applyFont="1"/>
    <xf numFmtId="0" fontId="61" fillId="0" borderId="0" xfId="0" applyFont="1" applyAlignment="1">
      <alignment horizontal="right"/>
    </xf>
    <xf numFmtId="0" fontId="28" fillId="0" borderId="0" xfId="35" applyFont="1" applyAlignment="1">
      <alignment vertical="center"/>
    </xf>
    <xf numFmtId="0" fontId="27" fillId="9" borderId="2" xfId="0" applyFont="1" applyFill="1" applyBorder="1" applyAlignment="1">
      <alignment horizontal="center" vertical="center"/>
    </xf>
    <xf numFmtId="0" fontId="28" fillId="0" borderId="0" xfId="0" applyFont="1" applyAlignment="1">
      <alignment horizontal="center" vertical="center"/>
    </xf>
    <xf numFmtId="176" fontId="10" fillId="0" borderId="0" xfId="0" applyNumberFormat="1" applyFont="1" applyAlignment="1">
      <alignment horizontal="center"/>
    </xf>
    <xf numFmtId="177" fontId="10" fillId="0" borderId="0" xfId="0" applyNumberFormat="1" applyFont="1" applyAlignment="1">
      <alignment horizontal="center"/>
    </xf>
    <xf numFmtId="178" fontId="10" fillId="0" borderId="0" xfId="5" applyNumberFormat="1" applyFont="1" applyAlignment="1">
      <alignment horizontal="center"/>
    </xf>
    <xf numFmtId="178" fontId="10" fillId="0" borderId="0" xfId="0" applyNumberFormat="1" applyFont="1" applyAlignment="1">
      <alignment horizontal="center"/>
    </xf>
    <xf numFmtId="178" fontId="0" fillId="0" borderId="0" xfId="0" applyNumberFormat="1"/>
    <xf numFmtId="177" fontId="59" fillId="7" borderId="0" xfId="0" applyNumberFormat="1" applyFont="1" applyFill="1" applyAlignment="1">
      <alignment horizontal="center" vertical="center" wrapText="1"/>
    </xf>
    <xf numFmtId="177" fontId="60" fillId="7" borderId="0" xfId="0" applyNumberFormat="1" applyFont="1" applyFill="1" applyAlignment="1">
      <alignment horizontal="center" vertical="center" wrapText="1"/>
    </xf>
    <xf numFmtId="177" fontId="61" fillId="7" borderId="0" xfId="0" applyNumberFormat="1" applyFont="1" applyFill="1" applyAlignment="1">
      <alignment horizontal="center" vertical="center" wrapText="1"/>
    </xf>
    <xf numFmtId="178" fontId="59" fillId="7" borderId="0" xfId="0" applyNumberFormat="1" applyFont="1" applyFill="1" applyAlignment="1">
      <alignment horizontal="center" vertical="center" wrapText="1"/>
    </xf>
    <xf numFmtId="177" fontId="53" fillId="13" borderId="0" xfId="0" applyNumberFormat="1" applyFont="1" applyFill="1" applyAlignment="1">
      <alignment horizontal="center" vertical="center"/>
    </xf>
    <xf numFmtId="177" fontId="53" fillId="0" borderId="0" xfId="0" applyNumberFormat="1" applyFont="1" applyAlignment="1">
      <alignment horizontal="center" vertical="top"/>
    </xf>
    <xf numFmtId="177" fontId="53" fillId="7" borderId="0" xfId="0" applyNumberFormat="1" applyFont="1" applyFill="1" applyAlignment="1">
      <alignment horizontal="center" vertical="center"/>
    </xf>
    <xf numFmtId="177" fontId="57" fillId="0" borderId="0" xfId="0" applyNumberFormat="1" applyFont="1" applyAlignment="1">
      <alignment horizontal="right"/>
    </xf>
    <xf numFmtId="176" fontId="57" fillId="0" borderId="0" xfId="0" applyNumberFormat="1" applyFont="1" applyAlignment="1">
      <alignment horizontal="left"/>
    </xf>
    <xf numFmtId="176" fontId="10" fillId="0" borderId="0" xfId="0" quotePrefix="1" applyNumberFormat="1" applyFont="1" applyAlignment="1">
      <alignment horizontal="left"/>
    </xf>
    <xf numFmtId="178" fontId="58" fillId="0" borderId="0" xfId="0" applyNumberFormat="1" applyFont="1"/>
    <xf numFmtId="176" fontId="46" fillId="15" borderId="0" xfId="0" applyNumberFormat="1" applyFont="1" applyFill="1" applyAlignment="1">
      <alignment horizontal="center" vertical="center"/>
    </xf>
    <xf numFmtId="177" fontId="46" fillId="15" borderId="0" xfId="0" applyNumberFormat="1" applyFont="1" applyFill="1" applyAlignment="1">
      <alignment horizontal="center" vertical="center"/>
    </xf>
    <xf numFmtId="178" fontId="46" fillId="15" borderId="0" xfId="5" applyNumberFormat="1" applyFont="1" applyFill="1" applyAlignment="1">
      <alignment horizontal="center" vertical="center"/>
    </xf>
    <xf numFmtId="178" fontId="46" fillId="15" borderId="0" xfId="0" applyNumberFormat="1" applyFont="1" applyFill="1" applyAlignment="1">
      <alignment horizontal="center" vertical="center"/>
    </xf>
    <xf numFmtId="178" fontId="58" fillId="0" borderId="0" xfId="5" applyNumberFormat="1" applyFont="1" applyAlignment="1"/>
    <xf numFmtId="176" fontId="10" fillId="7" borderId="0" xfId="0" applyNumberFormat="1" applyFont="1" applyFill="1" applyAlignment="1">
      <alignment horizontal="center"/>
    </xf>
    <xf numFmtId="177" fontId="10" fillId="7" borderId="0" xfId="0" applyNumberFormat="1" applyFont="1" applyFill="1" applyAlignment="1">
      <alignment horizontal="center"/>
    </xf>
    <xf numFmtId="178" fontId="10" fillId="7" borderId="0" xfId="5" applyNumberFormat="1" applyFont="1" applyFill="1" applyAlignment="1">
      <alignment horizontal="center"/>
    </xf>
    <xf numFmtId="176" fontId="37" fillId="0" borderId="0" xfId="0" applyNumberFormat="1" applyFont="1" applyAlignment="1">
      <alignment horizontal="center"/>
    </xf>
    <xf numFmtId="177" fontId="37" fillId="0" borderId="0" xfId="0" applyNumberFormat="1" applyFont="1" applyAlignment="1">
      <alignment horizontal="center"/>
    </xf>
    <xf numFmtId="176" fontId="38" fillId="0" borderId="0" xfId="0" applyNumberFormat="1" applyFont="1" applyAlignment="1">
      <alignment horizontal="center"/>
    </xf>
    <xf numFmtId="177" fontId="38" fillId="0" borderId="0" xfId="0" applyNumberFormat="1" applyFont="1" applyAlignment="1">
      <alignment horizontal="center"/>
    </xf>
    <xf numFmtId="176" fontId="40" fillId="0" borderId="0" xfId="0" applyNumberFormat="1" applyFont="1" applyAlignment="1">
      <alignment horizontal="center"/>
    </xf>
    <xf numFmtId="177" fontId="40" fillId="0" borderId="0" xfId="0" applyNumberFormat="1" applyFont="1" applyAlignment="1">
      <alignment horizontal="center"/>
    </xf>
    <xf numFmtId="176" fontId="40" fillId="7" borderId="0" xfId="0" applyNumberFormat="1" applyFont="1" applyFill="1" applyAlignment="1">
      <alignment horizontal="center"/>
    </xf>
    <xf numFmtId="177" fontId="40" fillId="7" borderId="0" xfId="0" applyNumberFormat="1" applyFont="1" applyFill="1" applyAlignment="1">
      <alignment horizontal="center"/>
    </xf>
    <xf numFmtId="176" fontId="42" fillId="0" borderId="0" xfId="0" applyNumberFormat="1" applyFont="1" applyAlignment="1">
      <alignment horizontal="center"/>
    </xf>
    <xf numFmtId="176" fontId="43" fillId="0" borderId="0" xfId="0" applyNumberFormat="1" applyFont="1" applyAlignment="1">
      <alignment horizontal="center"/>
    </xf>
    <xf numFmtId="176" fontId="43" fillId="7" borderId="0" xfId="0" applyNumberFormat="1" applyFont="1" applyFill="1" applyAlignment="1">
      <alignment horizontal="center"/>
    </xf>
    <xf numFmtId="176" fontId="45" fillId="7" borderId="0" xfId="0" applyNumberFormat="1" applyFont="1" applyFill="1" applyAlignment="1">
      <alignment horizontal="center"/>
    </xf>
    <xf numFmtId="176" fontId="56" fillId="0" borderId="0" xfId="0" applyNumberFormat="1" applyFont="1" applyAlignment="1">
      <alignment horizontal="center"/>
    </xf>
    <xf numFmtId="177" fontId="56" fillId="0" borderId="0" xfId="0" applyNumberFormat="1" applyFont="1" applyAlignment="1">
      <alignment horizontal="center"/>
    </xf>
    <xf numFmtId="178" fontId="56" fillId="0" borderId="0" xfId="5" applyNumberFormat="1" applyFont="1" applyAlignment="1">
      <alignment horizontal="center"/>
    </xf>
    <xf numFmtId="179" fontId="4" fillId="0" borderId="0" xfId="0" applyNumberFormat="1" applyFont="1" applyAlignment="1">
      <alignment horizontal="left" vertical="top"/>
    </xf>
    <xf numFmtId="181" fontId="4" fillId="0" borderId="0" xfId="0" applyNumberFormat="1" applyFont="1" applyAlignment="1">
      <alignment vertical="top"/>
    </xf>
    <xf numFmtId="179" fontId="4" fillId="0" borderId="0" xfId="0" applyNumberFormat="1" applyFont="1" applyAlignment="1">
      <alignment horizontal="center" vertical="top" wrapText="1"/>
    </xf>
    <xf numFmtId="181" fontId="4" fillId="17" borderId="0" xfId="0" applyNumberFormat="1" applyFont="1" applyFill="1" applyAlignment="1">
      <alignment vertical="top"/>
    </xf>
    <xf numFmtId="180" fontId="4" fillId="0" borderId="0" xfId="0" applyNumberFormat="1" applyFont="1" applyAlignment="1">
      <alignment vertical="top"/>
    </xf>
    <xf numFmtId="179" fontId="4" fillId="0" borderId="0" xfId="0" applyNumberFormat="1" applyFont="1" applyAlignment="1">
      <alignment horizontal="left"/>
    </xf>
    <xf numFmtId="181" fontId="65" fillId="0" borderId="0" xfId="0" applyNumberFormat="1" applyFont="1" applyAlignment="1">
      <alignment horizontal="left" vertical="center"/>
    </xf>
    <xf numFmtId="181" fontId="67" fillId="0" borderId="0" xfId="0" applyNumberFormat="1" applyFont="1" applyAlignment="1">
      <alignment vertical="center"/>
    </xf>
    <xf numFmtId="181" fontId="67" fillId="0" borderId="0" xfId="0" applyNumberFormat="1" applyFont="1" applyAlignment="1">
      <alignment horizontal="center" vertical="center"/>
    </xf>
    <xf numFmtId="182" fontId="68" fillId="0" borderId="0" xfId="0" applyNumberFormat="1" applyFont="1" applyAlignment="1">
      <alignment horizontal="left" vertical="center"/>
    </xf>
    <xf numFmtId="180" fontId="28" fillId="0" borderId="0" xfId="0" applyNumberFormat="1" applyFont="1" applyAlignment="1">
      <alignment horizontal="center" vertical="center"/>
    </xf>
    <xf numFmtId="183" fontId="0" fillId="0" borderId="0" xfId="0" applyNumberFormat="1"/>
    <xf numFmtId="180" fontId="28" fillId="0" borderId="0" xfId="0" applyNumberFormat="1" applyFont="1" applyAlignment="1">
      <alignment vertical="top"/>
    </xf>
    <xf numFmtId="184" fontId="20" fillId="13" borderId="0" xfId="0" applyNumberFormat="1" applyFont="1" applyFill="1" applyAlignment="1">
      <alignment horizontal="left"/>
    </xf>
    <xf numFmtId="184" fontId="10" fillId="0" borderId="0" xfId="0" applyNumberFormat="1" applyFont="1" applyAlignment="1">
      <alignment horizontal="right"/>
    </xf>
    <xf numFmtId="184" fontId="15" fillId="13" borderId="0" xfId="0" applyNumberFormat="1" applyFont="1" applyFill="1" applyAlignment="1">
      <alignment horizontal="left"/>
    </xf>
    <xf numFmtId="184" fontId="15" fillId="13" borderId="0" xfId="0" applyNumberFormat="1" applyFont="1" applyFill="1" applyAlignment="1">
      <alignment horizontal="right"/>
    </xf>
    <xf numFmtId="184" fontId="24" fillId="13" borderId="0" xfId="0" applyNumberFormat="1" applyFont="1" applyFill="1" applyAlignment="1">
      <alignment horizontal="right"/>
    </xf>
    <xf numFmtId="184" fontId="10" fillId="13" borderId="0" xfId="0" applyNumberFormat="1" applyFont="1" applyFill="1" applyAlignment="1">
      <alignment horizontal="right"/>
    </xf>
    <xf numFmtId="184" fontId="10" fillId="7" borderId="0" xfId="0" applyNumberFormat="1" applyFont="1" applyFill="1" applyAlignment="1">
      <alignment horizontal="right"/>
    </xf>
    <xf numFmtId="185" fontId="10" fillId="0" borderId="0" xfId="0" applyNumberFormat="1" applyFont="1"/>
    <xf numFmtId="185" fontId="20" fillId="13" borderId="0" xfId="0" applyNumberFormat="1" applyFont="1" applyFill="1"/>
    <xf numFmtId="185" fontId="10" fillId="7" borderId="0" xfId="0" applyNumberFormat="1" applyFont="1" applyFill="1"/>
    <xf numFmtId="185" fontId="15" fillId="0" borderId="0" xfId="0" applyNumberFormat="1" applyFont="1"/>
    <xf numFmtId="185" fontId="15" fillId="13" borderId="0" xfId="0" applyNumberFormat="1" applyFont="1" applyFill="1"/>
    <xf numFmtId="185" fontId="15" fillId="0" borderId="0" xfId="0" applyNumberFormat="1" applyFont="1" applyAlignment="1">
      <alignment horizontal="right"/>
    </xf>
    <xf numFmtId="177" fontId="26" fillId="5" borderId="19" xfId="0" applyNumberFormat="1" applyFont="1" applyFill="1" applyBorder="1" applyAlignment="1">
      <alignment horizontal="center" vertical="center"/>
    </xf>
    <xf numFmtId="177" fontId="10" fillId="0" borderId="0" xfId="0" applyNumberFormat="1" applyFont="1"/>
    <xf numFmtId="176" fontId="23" fillId="8" borderId="0" xfId="0" applyNumberFormat="1" applyFont="1" applyFill="1" applyAlignment="1">
      <alignment horizontal="center" vertical="center"/>
    </xf>
    <xf numFmtId="177" fontId="23" fillId="8" borderId="0" xfId="0" applyNumberFormat="1" applyFont="1" applyFill="1" applyAlignment="1">
      <alignment horizontal="center" vertical="center"/>
    </xf>
    <xf numFmtId="178" fontId="23" fillId="8" borderId="0" xfId="5" applyNumberFormat="1" applyFont="1" applyFill="1" applyAlignment="1">
      <alignment horizontal="center" vertical="center"/>
    </xf>
    <xf numFmtId="178" fontId="23" fillId="8" borderId="0" xfId="0" applyNumberFormat="1" applyFont="1" applyFill="1" applyAlignment="1">
      <alignment horizontal="center" vertical="center"/>
    </xf>
    <xf numFmtId="178" fontId="13" fillId="8" borderId="0" xfId="5" applyNumberFormat="1" applyFont="1" applyFill="1" applyAlignment="1">
      <alignment horizontal="center" vertical="center" wrapText="1"/>
    </xf>
    <xf numFmtId="178" fontId="37" fillId="0" borderId="0" xfId="5" applyNumberFormat="1" applyFont="1" applyAlignment="1">
      <alignment horizontal="center"/>
    </xf>
    <xf numFmtId="178" fontId="38" fillId="0" borderId="0" xfId="5" applyNumberFormat="1" applyFont="1" applyAlignment="1">
      <alignment horizontal="center"/>
    </xf>
    <xf numFmtId="178" fontId="40" fillId="0" borderId="0" xfId="5" applyNumberFormat="1" applyFont="1" applyAlignment="1">
      <alignment horizontal="center"/>
    </xf>
    <xf numFmtId="178" fontId="40" fillId="7" borderId="0" xfId="5" applyNumberFormat="1" applyFont="1" applyFill="1" applyAlignment="1">
      <alignment horizontal="center"/>
    </xf>
    <xf numFmtId="178" fontId="42" fillId="0" borderId="0" xfId="5" applyNumberFormat="1" applyFont="1" applyAlignment="1">
      <alignment horizontal="center"/>
    </xf>
    <xf numFmtId="178" fontId="43" fillId="0" borderId="0" xfId="5" applyNumberFormat="1" applyFont="1" applyAlignment="1">
      <alignment horizontal="center"/>
    </xf>
    <xf numFmtId="178" fontId="43" fillId="7" borderId="0" xfId="5" applyNumberFormat="1" applyFont="1" applyFill="1" applyAlignment="1">
      <alignment horizontal="center"/>
    </xf>
    <xf numFmtId="178" fontId="45" fillId="7" borderId="0" xfId="5" applyNumberFormat="1" applyFont="1" applyFill="1" applyAlignment="1">
      <alignment horizontal="center"/>
    </xf>
    <xf numFmtId="0" fontId="28" fillId="0" borderId="0" xfId="0" applyFont="1" applyAlignment="1">
      <alignment horizontal="center" vertical="center"/>
    </xf>
    <xf numFmtId="0" fontId="10" fillId="0" borderId="0" xfId="0" applyNumberFormat="1" applyFont="1" applyAlignment="1">
      <alignment horizontal="center"/>
    </xf>
    <xf numFmtId="0" fontId="10" fillId="7" borderId="0" xfId="0" applyNumberFormat="1" applyFont="1" applyFill="1" applyAlignment="1">
      <alignment horizontal="center"/>
    </xf>
    <xf numFmtId="178" fontId="10" fillId="0" borderId="0" xfId="5" applyNumberFormat="1" applyFont="1" applyFill="1" applyAlignment="1">
      <alignment horizontal="center"/>
    </xf>
    <xf numFmtId="178" fontId="58" fillId="0" borderId="0" xfId="5" applyNumberFormat="1" applyFont="1" applyFill="1" applyAlignment="1"/>
    <xf numFmtId="0" fontId="10" fillId="0" borderId="0" xfId="0" applyFont="1" applyFill="1" applyAlignment="1">
      <alignment horizontal="center"/>
    </xf>
    <xf numFmtId="0" fontId="0" fillId="0" borderId="0" xfId="0" applyNumberFormat="1"/>
    <xf numFmtId="0" fontId="57" fillId="0" borderId="0" xfId="0" applyNumberFormat="1" applyFont="1"/>
    <xf numFmtId="0" fontId="57" fillId="0" borderId="0" xfId="0" applyNumberFormat="1" applyFont="1" applyAlignment="1">
      <alignment horizontal="center"/>
    </xf>
    <xf numFmtId="177" fontId="53" fillId="13" borderId="0" xfId="5" applyNumberFormat="1" applyFont="1" applyFill="1" applyAlignment="1">
      <alignment horizontal="center" vertical="center"/>
    </xf>
    <xf numFmtId="177" fontId="53" fillId="7" borderId="0" xfId="5" applyNumberFormat="1" applyFont="1" applyFill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180" fontId="28" fillId="0" borderId="0" xfId="35" applyNumberFormat="1" applyFont="1" applyAlignment="1">
      <alignment horizontal="center" vertical="center"/>
    </xf>
    <xf numFmtId="0" fontId="28" fillId="0" borderId="0" xfId="35" applyFont="1" applyAlignment="1">
      <alignment horizontal="center" vertical="center"/>
    </xf>
    <xf numFmtId="0" fontId="28" fillId="2" borderId="0" xfId="35" applyFont="1" applyFill="1" applyAlignment="1">
      <alignment horizontal="center" vertical="center"/>
    </xf>
    <xf numFmtId="0" fontId="28" fillId="0" borderId="0" xfId="0" applyFont="1" applyAlignment="1">
      <alignment horizontal="center"/>
    </xf>
    <xf numFmtId="0" fontId="28" fillId="0" borderId="0" xfId="35" applyFont="1" applyFill="1" applyAlignment="1">
      <alignment vertical="center"/>
    </xf>
    <xf numFmtId="0" fontId="28" fillId="0" borderId="0" xfId="0" applyFont="1" applyFill="1"/>
    <xf numFmtId="0" fontId="28" fillId="0" borderId="0" xfId="35" applyFont="1" applyFill="1" applyAlignment="1">
      <alignment horizontal="center" vertical="center"/>
    </xf>
    <xf numFmtId="0" fontId="0" fillId="0" borderId="0" xfId="0" applyFill="1"/>
    <xf numFmtId="180" fontId="28" fillId="0" borderId="0" xfId="35" applyNumberFormat="1" applyFont="1" applyFill="1" applyAlignment="1">
      <alignment horizontal="center" vertical="center"/>
    </xf>
    <xf numFmtId="180" fontId="28" fillId="0" borderId="0" xfId="0" applyNumberFormat="1" applyFont="1" applyFill="1" applyAlignment="1">
      <alignment horizontal="center"/>
    </xf>
    <xf numFmtId="0" fontId="28" fillId="0" borderId="0" xfId="0" applyFont="1" applyFill="1" applyAlignment="1">
      <alignment horizontal="center"/>
    </xf>
    <xf numFmtId="0" fontId="28" fillId="20" borderId="0" xfId="35" applyFont="1" applyFill="1" applyAlignment="1">
      <alignment horizontal="center" vertical="center"/>
    </xf>
    <xf numFmtId="0" fontId="28" fillId="20" borderId="29" xfId="35" applyFont="1" applyFill="1" applyBorder="1" applyAlignment="1">
      <alignment horizontal="center" vertical="center"/>
    </xf>
    <xf numFmtId="0" fontId="4" fillId="0" borderId="0" xfId="0" applyNumberFormat="1" applyFont="1" applyAlignment="1">
      <alignment vertical="top"/>
    </xf>
    <xf numFmtId="0" fontId="53" fillId="13" borderId="0" xfId="5" applyNumberFormat="1" applyFont="1" applyFill="1" applyAlignment="1">
      <alignment horizontal="center" vertical="center"/>
    </xf>
    <xf numFmtId="0" fontId="53" fillId="7" borderId="0" xfId="5" applyNumberFormat="1" applyFont="1" applyFill="1" applyAlignment="1">
      <alignment horizontal="center" vertical="center"/>
    </xf>
    <xf numFmtId="176" fontId="55" fillId="0" borderId="0" xfId="0" applyNumberFormat="1" applyFont="1" applyAlignment="1">
      <alignment horizontal="center"/>
    </xf>
    <xf numFmtId="9" fontId="55" fillId="13" borderId="0" xfId="5" applyFont="1" applyFill="1" applyAlignment="1">
      <alignment horizontal="center" vertical="center"/>
    </xf>
    <xf numFmtId="177" fontId="55" fillId="0" borderId="0" xfId="0" applyNumberFormat="1" applyFont="1" applyAlignment="1">
      <alignment horizontal="center" vertical="top"/>
    </xf>
    <xf numFmtId="9" fontId="55" fillId="7" borderId="0" xfId="5" applyFont="1" applyFill="1" applyAlignment="1">
      <alignment horizontal="center" vertical="center"/>
    </xf>
    <xf numFmtId="9" fontId="55" fillId="13" borderId="0" xfId="5" applyNumberFormat="1" applyFont="1" applyFill="1" applyAlignment="1">
      <alignment horizontal="center" vertical="center"/>
    </xf>
    <xf numFmtId="9" fontId="55" fillId="7" borderId="0" xfId="5" applyNumberFormat="1" applyFont="1" applyFill="1" applyAlignment="1">
      <alignment horizontal="center" vertical="center"/>
    </xf>
    <xf numFmtId="9" fontId="55" fillId="0" borderId="0" xfId="0" applyNumberFormat="1" applyFont="1" applyAlignment="1">
      <alignment horizontal="center"/>
    </xf>
    <xf numFmtId="9" fontId="59" fillId="7" borderId="0" xfId="0" applyNumberFormat="1" applyFont="1" applyFill="1" applyAlignment="1">
      <alignment horizontal="center" vertical="center" wrapText="1"/>
    </xf>
    <xf numFmtId="9" fontId="55" fillId="0" borderId="0" xfId="0" applyNumberFormat="1" applyFont="1" applyAlignment="1">
      <alignment horizontal="center" vertical="top"/>
    </xf>
    <xf numFmtId="14" fontId="58" fillId="13" borderId="0" xfId="0" applyNumberFormat="1" applyFont="1" applyFill="1" applyAlignment="1">
      <alignment horizontal="center" vertical="center" wrapText="1"/>
    </xf>
    <xf numFmtId="177" fontId="10" fillId="0" borderId="0" xfId="0" applyNumberFormat="1" applyFont="1" applyAlignment="1">
      <alignment vertical="top"/>
    </xf>
    <xf numFmtId="180" fontId="4" fillId="0" borderId="0" xfId="0" quotePrefix="1" applyNumberFormat="1" applyFont="1" applyAlignment="1">
      <alignment vertical="top"/>
    </xf>
    <xf numFmtId="14" fontId="59" fillId="7" borderId="0" xfId="0" applyNumberFormat="1" applyFont="1" applyFill="1" applyAlignment="1">
      <alignment horizontal="center" vertical="center" wrapText="1"/>
    </xf>
    <xf numFmtId="14" fontId="53" fillId="7" borderId="0" xfId="0" applyNumberFormat="1" applyFont="1" applyFill="1" applyAlignment="1">
      <alignment horizontal="center" vertical="center"/>
    </xf>
    <xf numFmtId="10" fontId="10" fillId="0" borderId="0" xfId="0" applyNumberFormat="1" applyFont="1" applyAlignment="1">
      <alignment horizontal="center"/>
    </xf>
    <xf numFmtId="10" fontId="59" fillId="7" borderId="0" xfId="0" applyNumberFormat="1" applyFont="1" applyFill="1" applyAlignment="1">
      <alignment horizontal="center" vertical="center" wrapText="1"/>
    </xf>
    <xf numFmtId="10" fontId="53" fillId="13" borderId="0" xfId="0" applyNumberFormat="1" applyFont="1" applyFill="1" applyAlignment="1">
      <alignment horizontal="center" vertical="center"/>
    </xf>
    <xf numFmtId="10" fontId="53" fillId="0" borderId="0" xfId="0" applyNumberFormat="1" applyFont="1" applyAlignment="1">
      <alignment horizontal="center" vertical="top"/>
    </xf>
    <xf numFmtId="10" fontId="53" fillId="7" borderId="0" xfId="0" applyNumberFormat="1" applyFont="1" applyFill="1" applyAlignment="1">
      <alignment horizontal="center" vertical="center"/>
    </xf>
    <xf numFmtId="14" fontId="53" fillId="7" borderId="0" xfId="0" applyNumberFormat="1" applyFont="1" applyFill="1" applyAlignment="1">
      <alignment vertical="center"/>
    </xf>
    <xf numFmtId="177" fontId="0" fillId="0" borderId="0" xfId="0" applyNumberFormat="1"/>
    <xf numFmtId="177" fontId="53" fillId="0" borderId="0" xfId="0" applyNumberFormat="1" applyFont="1" applyAlignment="1">
      <alignment horizontal="center" vertical="top" wrapText="1"/>
    </xf>
    <xf numFmtId="177" fontId="53" fillId="0" borderId="0" xfId="5" applyNumberFormat="1" applyFont="1" applyAlignment="1">
      <alignment horizontal="center" vertical="top"/>
    </xf>
    <xf numFmtId="177" fontId="53" fillId="7" borderId="0" xfId="0" applyNumberFormat="1" applyFont="1" applyFill="1" applyAlignment="1">
      <alignment vertical="center"/>
    </xf>
    <xf numFmtId="14" fontId="53" fillId="7" borderId="0" xfId="5" applyNumberFormat="1" applyFont="1" applyFill="1" applyAlignment="1">
      <alignment horizontal="center" vertical="center"/>
    </xf>
    <xf numFmtId="14" fontId="58" fillId="13" borderId="0" xfId="5" applyNumberFormat="1" applyFont="1" applyFill="1" applyAlignment="1">
      <alignment horizontal="center" vertical="center" wrapText="1"/>
    </xf>
    <xf numFmtId="9" fontId="53" fillId="13" borderId="0" xfId="5" applyNumberFormat="1" applyFont="1" applyFill="1" applyAlignment="1">
      <alignment horizontal="center" vertical="center"/>
    </xf>
    <xf numFmtId="9" fontId="53" fillId="0" borderId="0" xfId="0" applyNumberFormat="1" applyFont="1" applyAlignment="1">
      <alignment horizontal="center" vertical="top"/>
    </xf>
    <xf numFmtId="9" fontId="53" fillId="7" borderId="0" xfId="5" applyNumberFormat="1" applyFont="1" applyFill="1" applyAlignment="1">
      <alignment horizontal="center" vertical="center"/>
    </xf>
    <xf numFmtId="0" fontId="50" fillId="7" borderId="0" xfId="0" applyFont="1" applyFill="1"/>
    <xf numFmtId="0" fontId="50" fillId="0" borderId="0" xfId="0" applyFont="1" applyAlignment="1">
      <alignment horizontal="center"/>
    </xf>
    <xf numFmtId="0" fontId="50" fillId="0" borderId="0" xfId="0" applyFont="1" applyAlignment="1">
      <alignment vertical="center"/>
    </xf>
    <xf numFmtId="0" fontId="50" fillId="7" borderId="0" xfId="0" applyFont="1" applyFill="1" applyAlignment="1">
      <alignment horizontal="center"/>
    </xf>
    <xf numFmtId="0" fontId="50" fillId="7" borderId="0" xfId="0" applyFont="1" applyFill="1" applyAlignment="1">
      <alignment vertical="center"/>
    </xf>
    <xf numFmtId="0" fontId="50" fillId="7" borderId="0" xfId="0" applyFont="1" applyFill="1" applyAlignment="1">
      <alignment horizontal="center" vertical="center"/>
    </xf>
    <xf numFmtId="0" fontId="50" fillId="7" borderId="0" xfId="0" applyFont="1" applyFill="1" applyAlignment="1">
      <alignment horizontal="center" vertical="center" wrapText="1"/>
    </xf>
    <xf numFmtId="9" fontId="50" fillId="0" borderId="0" xfId="0" applyNumberFormat="1" applyFont="1" applyAlignment="1">
      <alignment horizontal="center"/>
    </xf>
    <xf numFmtId="0" fontId="50" fillId="0" borderId="0" xfId="0" applyNumberFormat="1" applyFont="1" applyAlignment="1">
      <alignment horizontal="center"/>
    </xf>
    <xf numFmtId="14" fontId="4" fillId="21" borderId="0" xfId="0" applyNumberFormat="1" applyFont="1" applyFill="1" applyAlignment="1">
      <alignment horizontal="center" vertical="top"/>
    </xf>
    <xf numFmtId="0" fontId="4" fillId="21" borderId="0" xfId="0" applyFont="1" applyFill="1" applyAlignment="1">
      <alignment horizontal="center" vertical="top" wrapText="1"/>
    </xf>
    <xf numFmtId="0" fontId="28" fillId="0" borderId="0" xfId="0" applyFont="1" applyAlignment="1">
      <alignment horizontal="center" vertical="center"/>
    </xf>
    <xf numFmtId="0" fontId="50" fillId="0" borderId="0" xfId="0" applyFont="1" applyAlignment="1">
      <alignment horizontal="left"/>
    </xf>
    <xf numFmtId="0" fontId="50" fillId="0" borderId="0" xfId="0" applyFont="1" applyFill="1" applyAlignment="1">
      <alignment horizontal="center"/>
    </xf>
    <xf numFmtId="0" fontId="50" fillId="7" borderId="0" xfId="0" applyNumberFormat="1" applyFont="1" applyFill="1" applyAlignment="1">
      <alignment horizontal="center"/>
    </xf>
    <xf numFmtId="0" fontId="50" fillId="7" borderId="0" xfId="5" applyNumberFormat="1" applyFont="1" applyFill="1">
      <alignment vertical="center"/>
    </xf>
    <xf numFmtId="9" fontId="50" fillId="0" borderId="0" xfId="0" applyNumberFormat="1" applyFont="1"/>
    <xf numFmtId="0" fontId="50" fillId="0" borderId="0" xfId="0" applyNumberFormat="1" applyFont="1"/>
    <xf numFmtId="0" fontId="50" fillId="7" borderId="0" xfId="0" applyNumberFormat="1" applyFont="1" applyFill="1"/>
    <xf numFmtId="9" fontId="73" fillId="0" borderId="0" xfId="0" applyNumberFormat="1" applyFont="1"/>
    <xf numFmtId="9" fontId="65" fillId="0" borderId="0" xfId="0" applyNumberFormat="1" applyFont="1"/>
    <xf numFmtId="0" fontId="50" fillId="0" borderId="0" xfId="0" applyFont="1" applyAlignment="1">
      <alignment vertical="top"/>
    </xf>
    <xf numFmtId="0" fontId="50" fillId="0" borderId="0" xfId="0" applyFont="1" applyAlignment="1">
      <alignment horizontal="center" vertical="top"/>
    </xf>
    <xf numFmtId="0" fontId="74" fillId="7" borderId="0" xfId="0" applyFont="1" applyFill="1" applyAlignment="1">
      <alignment horizontal="right"/>
    </xf>
    <xf numFmtId="0" fontId="50" fillId="22" borderId="0" xfId="0" applyFont="1" applyFill="1" applyAlignment="1">
      <alignment horizontal="center" vertical="top" wrapText="1"/>
    </xf>
    <xf numFmtId="0" fontId="5" fillId="7" borderId="0" xfId="0" applyFont="1" applyFill="1" applyAlignment="1">
      <alignment horizontal="center" vertical="center" wrapText="1"/>
    </xf>
    <xf numFmtId="0" fontId="5" fillId="7" borderId="0" xfId="0" applyNumberFormat="1" applyFont="1" applyFill="1" applyAlignment="1">
      <alignment horizontal="center" vertical="center" wrapText="1"/>
    </xf>
    <xf numFmtId="0" fontId="50" fillId="4" borderId="0" xfId="0" applyFont="1" applyFill="1" applyAlignment="1">
      <alignment horizontal="center" vertical="center" wrapText="1"/>
    </xf>
    <xf numFmtId="0" fontId="50" fillId="24" borderId="0" xfId="0" applyFont="1" applyFill="1" applyAlignment="1">
      <alignment horizontal="center" vertical="center" wrapText="1"/>
    </xf>
    <xf numFmtId="0" fontId="50" fillId="13" borderId="0" xfId="0" applyFont="1" applyFill="1" applyAlignment="1">
      <alignment horizontal="center" vertical="center"/>
    </xf>
    <xf numFmtId="0" fontId="72" fillId="23" borderId="0" xfId="0" applyFont="1" applyFill="1" applyAlignment="1">
      <alignment horizontal="center" vertical="top" wrapText="1"/>
    </xf>
    <xf numFmtId="0" fontId="50" fillId="22" borderId="0" xfId="5" applyNumberFormat="1" applyFont="1" applyFill="1" applyAlignment="1">
      <alignment horizontal="center" vertical="center"/>
    </xf>
    <xf numFmtId="0" fontId="50" fillId="23" borderId="0" xfId="0" applyNumberFormat="1" applyFont="1" applyFill="1" applyAlignment="1">
      <alignment horizontal="center"/>
    </xf>
    <xf numFmtId="0" fontId="50" fillId="21" borderId="0" xfId="0" applyNumberFormat="1" applyFont="1" applyFill="1" applyAlignment="1">
      <alignment horizontal="center"/>
    </xf>
    <xf numFmtId="0" fontId="50" fillId="19" borderId="0" xfId="0" applyFont="1" applyFill="1"/>
    <xf numFmtId="0" fontId="30" fillId="0" borderId="0" xfId="0" applyFont="1" applyAlignment="1">
      <alignment horizontal="center"/>
    </xf>
    <xf numFmtId="0" fontId="28" fillId="0" borderId="0" xfId="0" applyFont="1" applyAlignment="1">
      <alignment horizontal="center" vertical="center"/>
    </xf>
    <xf numFmtId="0" fontId="50" fillId="0" borderId="0" xfId="0" applyFont="1" applyAlignment="1">
      <alignment horizontal="right"/>
    </xf>
    <xf numFmtId="0" fontId="72" fillId="19" borderId="0" xfId="0" applyFont="1" applyFill="1" applyAlignment="1">
      <alignment vertical="top" wrapText="1"/>
    </xf>
    <xf numFmtId="0" fontId="72" fillId="19" borderId="0" xfId="0" applyFont="1" applyFill="1" applyAlignment="1">
      <alignment vertical="top"/>
    </xf>
    <xf numFmtId="9" fontId="73" fillId="0" borderId="0" xfId="0" applyNumberFormat="1" applyFont="1" applyAlignment="1">
      <alignment horizontal="left"/>
    </xf>
    <xf numFmtId="0" fontId="50" fillId="0" borderId="0" xfId="0" applyNumberFormat="1" applyFont="1" applyAlignment="1">
      <alignment horizontal="right"/>
    </xf>
    <xf numFmtId="0" fontId="74" fillId="7" borderId="0" xfId="0" applyFont="1" applyFill="1" applyAlignment="1">
      <alignment horizontal="left"/>
    </xf>
    <xf numFmtId="0" fontId="4" fillId="0" borderId="0" xfId="0" applyFont="1" applyFill="1" applyAlignment="1">
      <alignment vertical="top"/>
    </xf>
    <xf numFmtId="49" fontId="4" fillId="0" borderId="0" xfId="0" applyNumberFormat="1" applyFont="1" applyFill="1" applyAlignment="1">
      <alignment vertical="top"/>
    </xf>
    <xf numFmtId="0" fontId="30" fillId="0" borderId="0" xfId="0" applyFont="1"/>
    <xf numFmtId="0" fontId="30" fillId="0" borderId="0" xfId="0" applyNumberFormat="1" applyFont="1" applyAlignment="1">
      <alignment horizontal="center"/>
    </xf>
    <xf numFmtId="0" fontId="50" fillId="7" borderId="0" xfId="0" applyFont="1" applyFill="1" applyAlignment="1">
      <alignment vertical="center" wrapText="1"/>
    </xf>
    <xf numFmtId="181" fontId="4" fillId="9" borderId="0" xfId="0" applyNumberFormat="1" applyFont="1" applyFill="1" applyAlignment="1">
      <alignment vertical="top"/>
    </xf>
    <xf numFmtId="0" fontId="4" fillId="9" borderId="0" xfId="0" applyFont="1" applyFill="1" applyAlignment="1">
      <alignment vertical="top"/>
    </xf>
    <xf numFmtId="0" fontId="4" fillId="9" borderId="0" xfId="0" applyFont="1" applyFill="1" applyAlignment="1">
      <alignment horizontal="center" vertical="top"/>
    </xf>
    <xf numFmtId="0" fontId="11" fillId="9" borderId="0" xfId="0" applyFont="1" applyFill="1" applyAlignment="1">
      <alignment vertical="top"/>
    </xf>
    <xf numFmtId="0" fontId="71" fillId="9" borderId="0" xfId="0" applyFont="1" applyFill="1" applyAlignment="1">
      <alignment vertical="top"/>
    </xf>
    <xf numFmtId="14" fontId="71" fillId="9" borderId="0" xfId="0" applyNumberFormat="1" applyFont="1" applyFill="1" applyAlignment="1">
      <alignment horizontal="right" vertical="top"/>
    </xf>
    <xf numFmtId="0" fontId="71" fillId="9" borderId="0" xfId="0" applyFont="1" applyFill="1" applyAlignment="1">
      <alignment horizontal="center" vertical="top"/>
    </xf>
    <xf numFmtId="0" fontId="4" fillId="9" borderId="0" xfId="0" applyFont="1" applyFill="1" applyAlignment="1">
      <alignment horizontal="left" vertical="top"/>
    </xf>
    <xf numFmtId="179" fontId="4" fillId="9" borderId="0" xfId="0" applyNumberFormat="1" applyFont="1" applyFill="1" applyAlignment="1">
      <alignment horizontal="left" vertical="top"/>
    </xf>
    <xf numFmtId="14" fontId="4" fillId="9" borderId="0" xfId="0" applyNumberFormat="1" applyFont="1" applyFill="1" applyAlignment="1">
      <alignment horizontal="left" vertical="top"/>
    </xf>
    <xf numFmtId="14" fontId="4" fillId="9" borderId="0" xfId="0" applyNumberFormat="1" applyFont="1" applyFill="1" applyAlignment="1">
      <alignment vertical="top"/>
    </xf>
    <xf numFmtId="0" fontId="9" fillId="0" borderId="0" xfId="0" applyFont="1" applyAlignment="1">
      <alignment vertical="top"/>
    </xf>
    <xf numFmtId="0" fontId="9" fillId="0" borderId="0" xfId="0" applyFont="1" applyAlignment="1">
      <alignment horizontal="center" vertical="top"/>
    </xf>
    <xf numFmtId="0" fontId="9" fillId="22" borderId="0" xfId="0" applyFont="1" applyFill="1" applyAlignment="1">
      <alignment horizontal="center" vertical="top" wrapText="1"/>
    </xf>
    <xf numFmtId="0" fontId="76" fillId="23" borderId="0" xfId="0" applyFont="1" applyFill="1" applyAlignment="1">
      <alignment horizontal="center" vertical="top" wrapText="1"/>
    </xf>
    <xf numFmtId="0" fontId="76" fillId="19" borderId="0" xfId="0" applyFont="1" applyFill="1" applyAlignment="1">
      <alignment vertical="top" wrapText="1"/>
    </xf>
    <xf numFmtId="0" fontId="76" fillId="19" borderId="0" xfId="0" applyFont="1" applyFill="1" applyAlignment="1">
      <alignment vertical="top"/>
    </xf>
    <xf numFmtId="0" fontId="9" fillId="9" borderId="0" xfId="0" applyFont="1" applyFill="1" applyAlignment="1">
      <alignment vertical="top"/>
    </xf>
    <xf numFmtId="0" fontId="9" fillId="0" borderId="0" xfId="0" applyFont="1" applyAlignment="1">
      <alignment horizontal="center" vertical="center" wrapText="1"/>
    </xf>
    <xf numFmtId="0" fontId="9" fillId="7" borderId="0" xfId="0" applyFont="1" applyFill="1" applyAlignment="1">
      <alignment vertical="center"/>
    </xf>
    <xf numFmtId="0" fontId="9" fillId="7" borderId="0" xfId="0" applyFont="1" applyFill="1" applyAlignment="1">
      <alignment horizontal="center" vertical="center"/>
    </xf>
    <xf numFmtId="0" fontId="9" fillId="13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 wrapText="1"/>
    </xf>
    <xf numFmtId="0" fontId="9" fillId="24" borderId="0" xfId="0" applyFont="1" applyFill="1" applyAlignment="1">
      <alignment horizontal="center" vertical="center" wrapText="1"/>
    </xf>
    <xf numFmtId="0" fontId="9" fillId="4" borderId="0" xfId="0" applyFont="1" applyFill="1" applyAlignment="1">
      <alignment horizontal="center" vertical="center" wrapText="1"/>
    </xf>
    <xf numFmtId="0" fontId="63" fillId="7" borderId="0" xfId="0" applyFont="1" applyFill="1" applyAlignment="1">
      <alignment horizontal="center" vertical="center" wrapText="1"/>
    </xf>
    <xf numFmtId="0" fontId="63" fillId="7" borderId="0" xfId="0" applyNumberFormat="1" applyFont="1" applyFill="1" applyAlignment="1">
      <alignment horizontal="center" vertical="center" wrapText="1"/>
    </xf>
    <xf numFmtId="0" fontId="9" fillId="9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57" fillId="9" borderId="0" xfId="0" applyFont="1" applyFill="1"/>
    <xf numFmtId="0" fontId="9" fillId="7" borderId="0" xfId="0" applyFont="1" applyFill="1"/>
    <xf numFmtId="0" fontId="9" fillId="7" borderId="0" xfId="0" applyNumberFormat="1" applyFont="1" applyFill="1" applyAlignment="1">
      <alignment horizontal="center"/>
    </xf>
    <xf numFmtId="0" fontId="9" fillId="7" borderId="0" xfId="0" applyNumberFormat="1" applyFont="1" applyFill="1"/>
    <xf numFmtId="0" fontId="9" fillId="9" borderId="0" xfId="0" applyFont="1" applyFill="1"/>
    <xf numFmtId="0" fontId="9" fillId="19" borderId="0" xfId="0" applyFont="1" applyFill="1"/>
    <xf numFmtId="0" fontId="9" fillId="0" borderId="0" xfId="0" applyNumberFormat="1" applyFont="1" applyAlignment="1">
      <alignment horizontal="center"/>
    </xf>
    <xf numFmtId="0" fontId="9" fillId="0" borderId="0" xfId="0" applyNumberFormat="1" applyFont="1"/>
    <xf numFmtId="0" fontId="9" fillId="0" borderId="0" xfId="0" applyFont="1" applyFill="1" applyAlignment="1">
      <alignment horizontal="center"/>
    </xf>
    <xf numFmtId="0" fontId="9" fillId="9" borderId="0" xfId="0" applyFont="1" applyFill="1" applyAlignment="1">
      <alignment horizontal="center"/>
    </xf>
    <xf numFmtId="0" fontId="9" fillId="9" borderId="0" xfId="0" applyNumberFormat="1" applyFont="1" applyFill="1" applyAlignment="1">
      <alignment horizontal="center"/>
    </xf>
    <xf numFmtId="0" fontId="9" fillId="9" borderId="0" xfId="0" applyNumberFormat="1" applyFont="1" applyFill="1"/>
    <xf numFmtId="0" fontId="9" fillId="24" borderId="0" xfId="0" applyFont="1" applyFill="1"/>
    <xf numFmtId="0" fontId="9" fillId="22" borderId="0" xfId="5" applyNumberFormat="1" applyFont="1" applyFill="1" applyAlignment="1">
      <alignment horizontal="center" vertical="center"/>
    </xf>
    <xf numFmtId="0" fontId="9" fillId="23" borderId="0" xfId="0" applyNumberFormat="1" applyFont="1" applyFill="1" applyAlignment="1">
      <alignment horizontal="center"/>
    </xf>
    <xf numFmtId="0" fontId="9" fillId="21" borderId="0" xfId="0" applyNumberFormat="1" applyFont="1" applyFill="1" applyAlignment="1">
      <alignment horizontal="center"/>
    </xf>
    <xf numFmtId="0" fontId="9" fillId="7" borderId="0" xfId="5" applyNumberFormat="1" applyFont="1" applyFill="1">
      <alignment vertical="center"/>
    </xf>
    <xf numFmtId="0" fontId="79" fillId="7" borderId="0" xfId="0" applyFont="1" applyFill="1" applyAlignment="1">
      <alignment horizontal="right"/>
    </xf>
    <xf numFmtId="0" fontId="79" fillId="9" borderId="0" xfId="0" applyFont="1" applyFill="1" applyAlignment="1">
      <alignment horizontal="right"/>
    </xf>
    <xf numFmtId="0" fontId="9" fillId="25" borderId="0" xfId="0" applyFont="1" applyFill="1"/>
    <xf numFmtId="9" fontId="80" fillId="0" borderId="0" xfId="0" applyNumberFormat="1" applyFont="1"/>
    <xf numFmtId="0" fontId="9" fillId="0" borderId="0" xfId="0" applyNumberFormat="1" applyFont="1" applyAlignment="1">
      <alignment horizontal="right"/>
    </xf>
    <xf numFmtId="9" fontId="9" fillId="0" borderId="0" xfId="0" applyNumberFormat="1" applyFont="1"/>
    <xf numFmtId="9" fontId="78" fillId="0" borderId="0" xfId="0" applyNumberFormat="1" applyFont="1"/>
    <xf numFmtId="9" fontId="78" fillId="0" borderId="0" xfId="0" applyNumberFormat="1" applyFont="1" applyAlignment="1">
      <alignment horizontal="left"/>
    </xf>
    <xf numFmtId="9" fontId="78" fillId="9" borderId="0" xfId="0" applyNumberFormat="1" applyFont="1" applyFill="1" applyAlignment="1">
      <alignment horizontal="left"/>
    </xf>
    <xf numFmtId="0" fontId="9" fillId="0" borderId="0" xfId="0" applyFont="1" applyAlignment="1">
      <alignment horizontal="right"/>
    </xf>
    <xf numFmtId="9" fontId="9" fillId="0" borderId="0" xfId="0" applyNumberFormat="1" applyFont="1" applyAlignment="1">
      <alignment horizontal="center"/>
    </xf>
    <xf numFmtId="0" fontId="81" fillId="24" borderId="0" xfId="0" applyFont="1" applyFill="1" applyAlignment="1">
      <alignment horizontal="center"/>
    </xf>
    <xf numFmtId="0" fontId="81" fillId="24" borderId="0" xfId="0" applyFont="1" applyFill="1"/>
    <xf numFmtId="0" fontId="9" fillId="2" borderId="0" xfId="0" applyFont="1" applyFill="1"/>
    <xf numFmtId="0" fontId="9" fillId="22" borderId="0" xfId="0" applyFont="1" applyFill="1"/>
    <xf numFmtId="0" fontId="9" fillId="22" borderId="0" xfId="0" applyFont="1" applyFill="1" applyAlignment="1">
      <alignment horizontal="center"/>
    </xf>
    <xf numFmtId="9" fontId="9" fillId="22" borderId="0" xfId="0" applyNumberFormat="1" applyFont="1" applyFill="1"/>
    <xf numFmtId="0" fontId="57" fillId="2" borderId="0" xfId="0" applyFont="1" applyFill="1"/>
    <xf numFmtId="0" fontId="9" fillId="0" borderId="0" xfId="0" applyFont="1" applyFill="1"/>
    <xf numFmtId="0" fontId="20" fillId="19" borderId="0" xfId="0" applyFont="1" applyFill="1" applyAlignment="1">
      <alignment horizontal="center" vertical="center"/>
    </xf>
    <xf numFmtId="0" fontId="20" fillId="19" borderId="0" xfId="0" applyFont="1" applyFill="1" applyAlignment="1">
      <alignment vertical="center"/>
    </xf>
    <xf numFmtId="0" fontId="61" fillId="19" borderId="0" xfId="0" applyFont="1" applyFill="1"/>
    <xf numFmtId="0" fontId="20" fillId="19" borderId="0" xfId="0" applyFont="1" applyFill="1"/>
    <xf numFmtId="0" fontId="20" fillId="9" borderId="0" xfId="0" applyFont="1" applyFill="1"/>
    <xf numFmtId="0" fontId="20" fillId="0" borderId="0" xfId="0" applyFont="1"/>
    <xf numFmtId="0" fontId="4" fillId="7" borderId="0" xfId="0" applyFont="1" applyFill="1" applyAlignment="1">
      <alignment vertical="top"/>
    </xf>
    <xf numFmtId="0" fontId="4" fillId="13" borderId="0" xfId="0" applyFont="1" applyFill="1" applyAlignment="1">
      <alignment vertical="top"/>
    </xf>
    <xf numFmtId="0" fontId="4" fillId="13" borderId="0" xfId="0" applyNumberFormat="1" applyFont="1" applyFill="1" applyAlignment="1">
      <alignment vertical="top"/>
    </xf>
    <xf numFmtId="0" fontId="4" fillId="24" borderId="0" xfId="0" applyFont="1" applyFill="1" applyAlignment="1">
      <alignment vertical="top"/>
    </xf>
    <xf numFmtId="0" fontId="4" fillId="24" borderId="0" xfId="0" applyNumberFormat="1" applyFont="1" applyFill="1" applyAlignment="1">
      <alignment vertical="top"/>
    </xf>
    <xf numFmtId="0" fontId="4" fillId="11" borderId="0" xfId="0" applyFont="1" applyFill="1" applyAlignment="1">
      <alignment horizontal="center" vertical="top" wrapText="1"/>
    </xf>
    <xf numFmtId="0" fontId="4" fillId="11" borderId="0" xfId="0" applyNumberFormat="1" applyFont="1" applyFill="1" applyAlignment="1">
      <alignment vertical="top"/>
    </xf>
    <xf numFmtId="0" fontId="4" fillId="25" borderId="0" xfId="0" applyFont="1" applyFill="1" applyAlignment="1">
      <alignment horizontal="center" vertical="top" wrapText="1"/>
    </xf>
    <xf numFmtId="0" fontId="4" fillId="25" borderId="0" xfId="0" applyNumberFormat="1" applyFont="1" applyFill="1" applyAlignment="1">
      <alignment vertical="top"/>
    </xf>
    <xf numFmtId="0" fontId="4" fillId="2" borderId="0" xfId="0" applyFont="1" applyFill="1" applyAlignment="1">
      <alignment horizontal="center" vertical="top" wrapText="1"/>
    </xf>
    <xf numFmtId="0" fontId="4" fillId="2" borderId="0" xfId="0" applyNumberFormat="1" applyFont="1" applyFill="1" applyAlignment="1">
      <alignment vertical="top"/>
    </xf>
    <xf numFmtId="0" fontId="9" fillId="2" borderId="0" xfId="0" applyFont="1" applyFill="1" applyAlignment="1">
      <alignment vertical="center"/>
    </xf>
    <xf numFmtId="0" fontId="9" fillId="24" borderId="0" xfId="0" applyFont="1" applyFill="1" applyAlignment="1">
      <alignment horizontal="center" vertical="center"/>
    </xf>
    <xf numFmtId="0" fontId="9" fillId="24" borderId="0" xfId="0" applyFont="1" applyFill="1" applyAlignment="1">
      <alignment vertical="center"/>
    </xf>
    <xf numFmtId="0" fontId="57" fillId="24" borderId="0" xfId="0" applyFont="1" applyFill="1"/>
    <xf numFmtId="0" fontId="57" fillId="7" borderId="0" xfId="0" applyFont="1" applyFill="1"/>
    <xf numFmtId="0" fontId="9" fillId="13" borderId="0" xfId="0" applyFont="1" applyFill="1" applyAlignment="1">
      <alignment vertical="center"/>
    </xf>
    <xf numFmtId="0" fontId="57" fillId="13" borderId="0" xfId="0" applyFont="1" applyFill="1"/>
    <xf numFmtId="0" fontId="9" fillId="25" borderId="0" xfId="0" applyFont="1" applyFill="1" applyAlignment="1">
      <alignment vertical="center"/>
    </xf>
    <xf numFmtId="0" fontId="57" fillId="25" borderId="0" xfId="0" applyFont="1" applyFill="1"/>
    <xf numFmtId="0" fontId="9" fillId="11" borderId="0" xfId="0" applyFont="1" applyFill="1" applyAlignment="1">
      <alignment horizontal="center" vertical="center" wrapText="1"/>
    </xf>
    <xf numFmtId="0" fontId="9" fillId="11" borderId="0" xfId="0" applyFont="1" applyFill="1" applyAlignment="1">
      <alignment vertical="center"/>
    </xf>
    <xf numFmtId="0" fontId="57" fillId="11" borderId="0" xfId="0" applyFont="1" applyFill="1"/>
    <xf numFmtId="0" fontId="9" fillId="11" borderId="0" xfId="0" applyFont="1" applyFill="1"/>
    <xf numFmtId="0" fontId="9" fillId="25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178" fontId="9" fillId="22" borderId="0" xfId="5" applyNumberFormat="1" applyFont="1" applyFill="1">
      <alignment vertical="center"/>
    </xf>
    <xf numFmtId="178" fontId="20" fillId="19" borderId="0" xfId="5" applyNumberFormat="1" applyFont="1" applyFill="1">
      <alignment vertical="center"/>
    </xf>
    <xf numFmtId="178" fontId="9" fillId="0" borderId="0" xfId="5" applyNumberFormat="1" applyFont="1">
      <alignment vertical="center"/>
    </xf>
    <xf numFmtId="14" fontId="67" fillId="21" borderId="1" xfId="0" applyNumberFormat="1" applyFont="1" applyFill="1" applyBorder="1" applyAlignment="1">
      <alignment horizontal="center" vertical="top" wrapText="1"/>
    </xf>
    <xf numFmtId="14" fontId="67" fillId="0" borderId="0" xfId="0" applyNumberFormat="1" applyFont="1" applyAlignment="1">
      <alignment horizontal="center" vertical="top"/>
    </xf>
    <xf numFmtId="14" fontId="67" fillId="9" borderId="0" xfId="0" applyNumberFormat="1" applyFont="1" applyFill="1" applyAlignment="1">
      <alignment horizontal="center" vertical="top"/>
    </xf>
    <xf numFmtId="0" fontId="20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4" fillId="0" borderId="0" xfId="0" applyNumberFormat="1" applyFont="1" applyFill="1" applyAlignment="1">
      <alignment vertical="top"/>
    </xf>
    <xf numFmtId="180" fontId="9" fillId="0" borderId="0" xfId="0" applyNumberFormat="1" applyFont="1"/>
    <xf numFmtId="180" fontId="78" fillId="0" borderId="0" xfId="0" applyNumberFormat="1" applyFont="1"/>
    <xf numFmtId="49" fontId="4" fillId="0" borderId="0" xfId="0" applyNumberFormat="1" applyFont="1" applyAlignment="1">
      <alignment horizontal="center" vertical="top" wrapText="1"/>
    </xf>
    <xf numFmtId="180" fontId="83" fillId="0" borderId="0" xfId="0" applyNumberFormat="1" applyFont="1"/>
    <xf numFmtId="0" fontId="4" fillId="11" borderId="0" xfId="0" applyFont="1" applyFill="1" applyAlignment="1">
      <alignment vertical="top"/>
    </xf>
    <xf numFmtId="0" fontId="4" fillId="25" borderId="0" xfId="0" applyFont="1" applyFill="1" applyAlignment="1">
      <alignment vertical="top"/>
    </xf>
    <xf numFmtId="14" fontId="57" fillId="0" borderId="0" xfId="0" applyNumberFormat="1" applyFont="1"/>
    <xf numFmtId="10" fontId="4" fillId="0" borderId="0" xfId="0" applyNumberFormat="1" applyFont="1" applyAlignment="1">
      <alignment vertical="top"/>
    </xf>
    <xf numFmtId="14" fontId="84" fillId="0" borderId="0" xfId="0" applyNumberFormat="1" applyFont="1" applyAlignment="1">
      <alignment horizontal="left"/>
    </xf>
    <xf numFmtId="14" fontId="10" fillId="15" borderId="0" xfId="0" applyNumberFormat="1" applyFont="1" applyFill="1" applyAlignment="1">
      <alignment horizontal="center"/>
    </xf>
    <xf numFmtId="176" fontId="10" fillId="15" borderId="0" xfId="0" applyNumberFormat="1" applyFont="1" applyFill="1" applyAlignment="1">
      <alignment horizontal="center"/>
    </xf>
    <xf numFmtId="0" fontId="4" fillId="15" borderId="0" xfId="0" applyFont="1" applyFill="1" applyAlignment="1">
      <alignment horizontal="center" vertical="top"/>
    </xf>
    <xf numFmtId="176" fontId="55" fillId="15" borderId="0" xfId="0" applyNumberFormat="1" applyFont="1" applyFill="1" applyAlignment="1">
      <alignment horizontal="center"/>
    </xf>
    <xf numFmtId="0" fontId="4" fillId="15" borderId="0" xfId="0" applyFont="1" applyFill="1" applyAlignment="1">
      <alignment horizontal="left" vertical="top"/>
    </xf>
    <xf numFmtId="0" fontId="10" fillId="15" borderId="0" xfId="0" applyNumberFormat="1" applyFont="1" applyFill="1" applyAlignment="1">
      <alignment horizontal="center"/>
    </xf>
    <xf numFmtId="0" fontId="28" fillId="0" borderId="0" xfId="0" applyFont="1" applyAlignment="1">
      <alignment horizontal="center" vertical="center"/>
    </xf>
    <xf numFmtId="0" fontId="28" fillId="0" borderId="0" xfId="0" applyFont="1" applyFill="1" applyAlignment="1">
      <alignment horizontal="center" vertical="center"/>
    </xf>
    <xf numFmtId="0" fontId="28" fillId="0" borderId="0" xfId="0" applyFont="1" applyFill="1" applyAlignment="1">
      <alignment vertical="center"/>
    </xf>
    <xf numFmtId="0" fontId="28" fillId="0" borderId="0" xfId="0" applyFont="1" applyFill="1" applyAlignment="1">
      <alignment vertical="center" wrapText="1"/>
    </xf>
    <xf numFmtId="14" fontId="28" fillId="0" borderId="0" xfId="0" applyNumberFormat="1" applyFont="1" applyFill="1" applyAlignment="1">
      <alignment horizontal="center" vertical="center"/>
    </xf>
    <xf numFmtId="0" fontId="85" fillId="0" borderId="0" xfId="0" applyFont="1"/>
    <xf numFmtId="14" fontId="28" fillId="0" borderId="0" xfId="0" applyNumberFormat="1" applyFont="1"/>
    <xf numFmtId="180" fontId="4" fillId="0" borderId="0" xfId="0" applyNumberFormat="1" applyFont="1" applyAlignment="1">
      <alignment horizontal="center" vertical="top"/>
    </xf>
    <xf numFmtId="0" fontId="11" fillId="0" borderId="0" xfId="0" applyFont="1" applyAlignment="1">
      <alignment vertical="top" wrapText="1"/>
    </xf>
    <xf numFmtId="0" fontId="9" fillId="4" borderId="0" xfId="0" applyFont="1" applyFill="1"/>
    <xf numFmtId="14" fontId="67" fillId="17" borderId="0" xfId="0" applyNumberFormat="1" applyFont="1" applyFill="1" applyAlignment="1">
      <alignment horizontal="center" vertical="top"/>
    </xf>
    <xf numFmtId="0" fontId="4" fillId="7" borderId="0" xfId="0" applyNumberFormat="1" applyFont="1" applyFill="1" applyAlignment="1">
      <alignment vertical="top"/>
    </xf>
    <xf numFmtId="0" fontId="5" fillId="0" borderId="0" xfId="0" applyFont="1" applyFill="1" applyAlignment="1">
      <alignment vertical="top"/>
    </xf>
    <xf numFmtId="0" fontId="9" fillId="24" borderId="0" xfId="0" applyFont="1" applyFill="1" applyAlignment="1">
      <alignment horizontal="right"/>
    </xf>
    <xf numFmtId="0" fontId="9" fillId="22" borderId="0" xfId="0" applyFont="1" applyFill="1" applyAlignment="1">
      <alignment horizontal="right"/>
    </xf>
    <xf numFmtId="14" fontId="87" fillId="13" borderId="0" xfId="0" applyNumberFormat="1" applyFont="1" applyFill="1" applyAlignment="1">
      <alignment horizontal="left" vertical="center"/>
    </xf>
    <xf numFmtId="14" fontId="58" fillId="13" borderId="0" xfId="0" applyNumberFormat="1" applyFont="1" applyFill="1" applyAlignment="1">
      <alignment horizontal="left" vertical="center"/>
    </xf>
    <xf numFmtId="0" fontId="28" fillId="0" borderId="0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89" fillId="0" borderId="0" xfId="0" applyFont="1"/>
    <xf numFmtId="0" fontId="28" fillId="0" borderId="0" xfId="0" applyFont="1" applyAlignment="1">
      <alignment horizontal="left" vertical="center"/>
    </xf>
    <xf numFmtId="14" fontId="28" fillId="0" borderId="0" xfId="0" applyNumberFormat="1" applyFont="1" applyAlignment="1">
      <alignment horizontal="right" vertical="center"/>
    </xf>
    <xf numFmtId="0" fontId="28" fillId="0" borderId="0" xfId="0" applyFont="1" applyAlignment="1">
      <alignment horizontal="center" vertical="center"/>
    </xf>
    <xf numFmtId="0" fontId="90" fillId="0" borderId="0" xfId="0" applyFont="1" applyAlignment="1">
      <alignment horizontal="center"/>
    </xf>
    <xf numFmtId="0" fontId="10" fillId="0" borderId="0" xfId="0" pivotButton="1" applyFont="1"/>
    <xf numFmtId="0" fontId="10" fillId="0" borderId="0" xfId="0" applyNumberFormat="1" applyFont="1"/>
    <xf numFmtId="0" fontId="10" fillId="0" borderId="0" xfId="0" pivotButton="1" applyFont="1" applyAlignment="1"/>
    <xf numFmtId="0" fontId="10" fillId="0" borderId="0" xfId="0" pivotButton="1" applyFont="1" applyAlignment="1">
      <alignment horizontal="right"/>
    </xf>
    <xf numFmtId="14" fontId="10" fillId="0" borderId="0" xfId="0" pivotButton="1" applyNumberFormat="1" applyFont="1"/>
    <xf numFmtId="0" fontId="4" fillId="0" borderId="0" xfId="0" applyNumberFormat="1" applyFont="1" applyAlignment="1">
      <alignment horizontal="center" vertical="top"/>
    </xf>
    <xf numFmtId="49" fontId="28" fillId="0" borderId="0" xfId="0" applyNumberFormat="1" applyFont="1" applyBorder="1" applyAlignment="1">
      <alignment horizontal="center" vertical="center"/>
    </xf>
    <xf numFmtId="0" fontId="4" fillId="16" borderId="0" xfId="0" applyNumberFormat="1" applyFont="1" applyFill="1" applyAlignment="1">
      <alignment vertical="top"/>
    </xf>
    <xf numFmtId="0" fontId="28" fillId="0" borderId="0" xfId="0" applyFont="1" applyAlignment="1">
      <alignment horizontal="center" vertical="center"/>
    </xf>
    <xf numFmtId="14" fontId="95" fillId="13" borderId="0" xfId="5" applyNumberFormat="1" applyFont="1" applyFill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14" fontId="29" fillId="0" borderId="0" xfId="0" applyNumberFormat="1" applyFont="1" applyAlignment="1">
      <alignment horizontal="center" vertical="top"/>
    </xf>
    <xf numFmtId="14" fontId="28" fillId="0" borderId="0" xfId="0" applyNumberFormat="1" applyFont="1" applyAlignment="1">
      <alignment vertical="top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41" fillId="5" borderId="0" xfId="0" applyFont="1" applyFill="1" applyAlignment="1">
      <alignment horizontal="center" vertical="top"/>
    </xf>
    <xf numFmtId="0" fontId="96" fillId="0" borderId="0" xfId="0" applyFont="1" applyAlignment="1">
      <alignment vertical="top" wrapText="1"/>
    </xf>
    <xf numFmtId="14" fontId="30" fillId="0" borderId="0" xfId="0" applyNumberFormat="1" applyFont="1" applyAlignment="1">
      <alignment horizontal="center" vertical="top" wrapText="1"/>
    </xf>
    <xf numFmtId="9" fontId="10" fillId="0" borderId="0" xfId="5" applyFont="1" applyFill="1" applyAlignment="1">
      <alignment horizontal="center"/>
    </xf>
    <xf numFmtId="0" fontId="97" fillId="0" borderId="0" xfId="0" applyFont="1" applyAlignment="1">
      <alignment horizontal="center" vertical="top"/>
    </xf>
    <xf numFmtId="0" fontId="97" fillId="0" borderId="0" xfId="0" applyFont="1" applyAlignment="1">
      <alignment vertical="top"/>
    </xf>
    <xf numFmtId="14" fontId="67" fillId="0" borderId="0" xfId="0" applyNumberFormat="1" applyFont="1" applyAlignment="1">
      <alignment horizontal="left" vertical="top"/>
    </xf>
    <xf numFmtId="14" fontId="67" fillId="0" borderId="0" xfId="0" applyNumberFormat="1" applyFont="1" applyAlignment="1">
      <alignment vertical="top"/>
    </xf>
    <xf numFmtId="0" fontId="72" fillId="21" borderId="0" xfId="0" applyFont="1" applyFill="1" applyAlignment="1">
      <alignment horizontal="center" vertical="top" wrapText="1"/>
    </xf>
    <xf numFmtId="0" fontId="76" fillId="21" borderId="0" xfId="0" applyFont="1" applyFill="1" applyAlignment="1">
      <alignment horizontal="center" vertical="top" wrapText="1"/>
    </xf>
    <xf numFmtId="0" fontId="27" fillId="5" borderId="2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27" fillId="5" borderId="2" xfId="0" applyFont="1" applyFill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27" fillId="9" borderId="2" xfId="0" applyFont="1" applyFill="1" applyBorder="1" applyAlignment="1">
      <alignment horizontal="center" vertical="center"/>
    </xf>
    <xf numFmtId="14" fontId="27" fillId="5" borderId="2" xfId="0" applyNumberFormat="1" applyFont="1" applyFill="1" applyBorder="1" applyAlignment="1">
      <alignment horizontal="center" vertical="center"/>
    </xf>
    <xf numFmtId="0" fontId="0" fillId="0" borderId="21" xfId="0" applyBorder="1"/>
    <xf numFmtId="0" fontId="0" fillId="0" borderId="11" xfId="0" applyBorder="1"/>
    <xf numFmtId="0" fontId="27" fillId="8" borderId="4" xfId="0" applyFont="1" applyFill="1" applyBorder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0" fillId="0" borderId="23" xfId="0" applyBorder="1"/>
  </cellXfs>
  <cellStyles count="90">
    <cellStyle name="一般" xfId="0" builtinId="0"/>
    <cellStyle name="一般 10" xfId="13" xr:uid="{00000000-0005-0000-0000-000001000000}"/>
    <cellStyle name="一般 10 2" xfId="33" xr:uid="{00000000-0005-0000-0000-000002000000}"/>
    <cellStyle name="一般 10 2 2" xfId="87" xr:uid="{00000000-0005-0000-0000-000003000000}"/>
    <cellStyle name="一般 10 3" xfId="73" xr:uid="{00000000-0005-0000-0000-000004000000}"/>
    <cellStyle name="一般 10 4" xfId="53" xr:uid="{00000000-0005-0000-0000-000005000000}"/>
    <cellStyle name="一般 11" xfId="14" xr:uid="{00000000-0005-0000-0000-000006000000}"/>
    <cellStyle name="一般 11 2" xfId="74" xr:uid="{00000000-0005-0000-0000-000007000000}"/>
    <cellStyle name="一般 11 3" xfId="55" xr:uid="{00000000-0005-0000-0000-000008000000}"/>
    <cellStyle name="一般 12" xfId="35" xr:uid="{00000000-0005-0000-0000-000009000000}"/>
    <cellStyle name="一般 12 2" xfId="89" xr:uid="{00000000-0005-0000-0000-00000A000000}"/>
    <cellStyle name="一般 12 3" xfId="56" xr:uid="{00000000-0005-0000-0000-00000B000000}"/>
    <cellStyle name="一般 13" xfId="57" xr:uid="{00000000-0005-0000-0000-00000C000000}"/>
    <cellStyle name="一般 14" xfId="58" xr:uid="{00000000-0005-0000-0000-00000D000000}"/>
    <cellStyle name="一般 15" xfId="67" xr:uid="{00000000-0005-0000-0000-00000E000000}"/>
    <cellStyle name="一般 2" xfId="2" xr:uid="{00000000-0005-0000-0000-00000F000000}"/>
    <cellStyle name="一般 2 2" xfId="7" xr:uid="{00000000-0005-0000-0000-000010000000}"/>
    <cellStyle name="一般 2 2 2" xfId="25" xr:uid="{00000000-0005-0000-0000-000011000000}"/>
    <cellStyle name="一般 2 2 2 2" xfId="79" xr:uid="{00000000-0005-0000-0000-000012000000}"/>
    <cellStyle name="一般 2 2 2 3" xfId="45" xr:uid="{00000000-0005-0000-0000-000013000000}"/>
    <cellStyle name="一般 2 2 3" xfId="18" xr:uid="{00000000-0005-0000-0000-000014000000}"/>
    <cellStyle name="一般 2 2 3 2" xfId="61" xr:uid="{00000000-0005-0000-0000-000015000000}"/>
    <cellStyle name="一般 2 2 4" xfId="39" xr:uid="{00000000-0005-0000-0000-000016000000}"/>
    <cellStyle name="一般 2 3" xfId="31" xr:uid="{00000000-0005-0000-0000-000017000000}"/>
    <cellStyle name="一般 2 3 2" xfId="85" xr:uid="{00000000-0005-0000-0000-000018000000}"/>
    <cellStyle name="一般 2 3 3" xfId="51" xr:uid="{00000000-0005-0000-0000-000019000000}"/>
    <cellStyle name="一般 2 4" xfId="36" xr:uid="{00000000-0005-0000-0000-00001A000000}"/>
    <cellStyle name="一般 3" xfId="8" xr:uid="{00000000-0005-0000-0000-00001B000000}"/>
    <cellStyle name="一般 3 2" xfId="4" xr:uid="{00000000-0005-0000-0000-00001C000000}"/>
    <cellStyle name="一般 3 3" xfId="17" xr:uid="{00000000-0005-0000-0000-00001D000000}"/>
    <cellStyle name="一般 3 3 2" xfId="75" xr:uid="{00000000-0005-0000-0000-00001E000000}"/>
    <cellStyle name="一般 3 3 3" xfId="62" xr:uid="{00000000-0005-0000-0000-00001F000000}"/>
    <cellStyle name="一般 3 4" xfId="69" xr:uid="{00000000-0005-0000-0000-000020000000}"/>
    <cellStyle name="一般 4" xfId="9" xr:uid="{00000000-0005-0000-0000-000021000000}"/>
    <cellStyle name="一般 4 2" xfId="16" xr:uid="{00000000-0005-0000-0000-000022000000}"/>
    <cellStyle name="一般 4 2 2" xfId="34" xr:uid="{00000000-0005-0000-0000-000023000000}"/>
    <cellStyle name="一般 4 2 2 2" xfId="88" xr:uid="{00000000-0005-0000-0000-000024000000}"/>
    <cellStyle name="一般 4 2 3" xfId="38" xr:uid="{00000000-0005-0000-0000-000025000000}"/>
    <cellStyle name="一般 4 2 4" xfId="63" xr:uid="{00000000-0005-0000-0000-000026000000}"/>
    <cellStyle name="一般 4 3" xfId="19" xr:uid="{00000000-0005-0000-0000-000027000000}"/>
    <cellStyle name="一般 4 4" xfId="37" xr:uid="{00000000-0005-0000-0000-000028000000}"/>
    <cellStyle name="一般 4 4 2" xfId="70" xr:uid="{00000000-0005-0000-0000-000029000000}"/>
    <cellStyle name="一般 5" xfId="1" xr:uid="{00000000-0005-0000-0000-00002A000000}"/>
    <cellStyle name="一般 5 2" xfId="26" xr:uid="{00000000-0005-0000-0000-00002B000000}"/>
    <cellStyle name="一般 5 2 2" xfId="80" xr:uid="{00000000-0005-0000-0000-00002C000000}"/>
    <cellStyle name="一般 5 2 3" xfId="46" xr:uid="{00000000-0005-0000-0000-00002D000000}"/>
    <cellStyle name="一般 5 3" xfId="20" xr:uid="{00000000-0005-0000-0000-00002E000000}"/>
    <cellStyle name="一般 5 3 2" xfId="59" xr:uid="{00000000-0005-0000-0000-00002F000000}"/>
    <cellStyle name="一般 5 4" xfId="15" xr:uid="{00000000-0005-0000-0000-000030000000}"/>
    <cellStyle name="一般 5 5" xfId="40" xr:uid="{00000000-0005-0000-0000-000031000000}"/>
    <cellStyle name="一般 6" xfId="3" xr:uid="{00000000-0005-0000-0000-000032000000}"/>
    <cellStyle name="一般 6 2" xfId="23" xr:uid="{00000000-0005-0000-0000-000033000000}"/>
    <cellStyle name="一般 6 2 2" xfId="29" xr:uid="{00000000-0005-0000-0000-000034000000}"/>
    <cellStyle name="一般 6 2 2 2" xfId="83" xr:uid="{00000000-0005-0000-0000-000035000000}"/>
    <cellStyle name="一般 6 2 2 3" xfId="49" xr:uid="{00000000-0005-0000-0000-000036000000}"/>
    <cellStyle name="一般 6 2 3" xfId="77" xr:uid="{00000000-0005-0000-0000-000037000000}"/>
    <cellStyle name="一般 6 2 4" xfId="43" xr:uid="{00000000-0005-0000-0000-000038000000}"/>
    <cellStyle name="一般 6 3" xfId="27" xr:uid="{00000000-0005-0000-0000-000039000000}"/>
    <cellStyle name="一般 6 3 2" xfId="81" xr:uid="{00000000-0005-0000-0000-00003A000000}"/>
    <cellStyle name="一般 6 3 3" xfId="47" xr:uid="{00000000-0005-0000-0000-00003B000000}"/>
    <cellStyle name="一般 6 4" xfId="21" xr:uid="{00000000-0005-0000-0000-00003C000000}"/>
    <cellStyle name="一般 6 4 2" xfId="60" xr:uid="{00000000-0005-0000-0000-00003D000000}"/>
    <cellStyle name="一般 6 5" xfId="41" xr:uid="{00000000-0005-0000-0000-00003E000000}"/>
    <cellStyle name="一般 7" xfId="10" xr:uid="{00000000-0005-0000-0000-00003F000000}"/>
    <cellStyle name="一般 7 2" xfId="28" xr:uid="{00000000-0005-0000-0000-000040000000}"/>
    <cellStyle name="一般 7 2 2" xfId="82" xr:uid="{00000000-0005-0000-0000-000041000000}"/>
    <cellStyle name="一般 7 2 3" xfId="48" xr:uid="{00000000-0005-0000-0000-000042000000}"/>
    <cellStyle name="一般 7 3" xfId="22" xr:uid="{00000000-0005-0000-0000-000043000000}"/>
    <cellStyle name="一般 7 3 2" xfId="76" xr:uid="{00000000-0005-0000-0000-000044000000}"/>
    <cellStyle name="一般 7 3 3" xfId="64" xr:uid="{00000000-0005-0000-0000-000045000000}"/>
    <cellStyle name="一般 7 4" xfId="71" xr:uid="{00000000-0005-0000-0000-000046000000}"/>
    <cellStyle name="一般 7 5" xfId="42" xr:uid="{00000000-0005-0000-0000-000047000000}"/>
    <cellStyle name="一般 8" xfId="11" xr:uid="{00000000-0005-0000-0000-000048000000}"/>
    <cellStyle name="一般 8 2" xfId="30" xr:uid="{00000000-0005-0000-0000-000049000000}"/>
    <cellStyle name="一般 8 2 2" xfId="84" xr:uid="{00000000-0005-0000-0000-00004A000000}"/>
    <cellStyle name="一般 8 2 3" xfId="65" xr:uid="{00000000-0005-0000-0000-00004B000000}"/>
    <cellStyle name="一般 8 3" xfId="50" xr:uid="{00000000-0005-0000-0000-00004C000000}"/>
    <cellStyle name="一般 9" xfId="12" xr:uid="{00000000-0005-0000-0000-00004D000000}"/>
    <cellStyle name="一般 9 2" xfId="32" xr:uid="{00000000-0005-0000-0000-00004E000000}"/>
    <cellStyle name="一般 9 2 2" xfId="86" xr:uid="{00000000-0005-0000-0000-00004F000000}"/>
    <cellStyle name="一般 9 2 3" xfId="66" xr:uid="{00000000-0005-0000-0000-000050000000}"/>
    <cellStyle name="一般 9 3" xfId="72" xr:uid="{00000000-0005-0000-0000-000051000000}"/>
    <cellStyle name="一般 9 4" xfId="52" xr:uid="{00000000-0005-0000-0000-000052000000}"/>
    <cellStyle name="百分比" xfId="5" builtinId="5"/>
    <cellStyle name="百分比 2" xfId="24" xr:uid="{00000000-0005-0000-0000-000054000000}"/>
    <cellStyle name="百分比 2 2" xfId="78" xr:uid="{00000000-0005-0000-0000-000055000000}"/>
    <cellStyle name="百分比 2 3" xfId="54" xr:uid="{00000000-0005-0000-0000-000056000000}"/>
    <cellStyle name="百分比 3" xfId="68" xr:uid="{00000000-0005-0000-0000-000057000000}"/>
    <cellStyle name="百分比 4" xfId="44" xr:uid="{00000000-0005-0000-0000-000058000000}"/>
    <cellStyle name="超連結" xfId="6" builtinId="8"/>
  </cellStyles>
  <dxfs count="183"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rgb="FFFFFF00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name val="Candara"/>
      </font>
      <fill>
        <patternFill>
          <fgColor indexed="64"/>
          <bgColor theme="9" tint="-0.249977111117893"/>
        </patternFill>
      </fill>
      <alignment vertical="center"/>
    </dxf>
    <dxf>
      <font>
        <strike val="0"/>
        <outline val="0"/>
        <shadow val="0"/>
        <vertAlign val="baseline"/>
        <sz val="11"/>
        <color indexed="8"/>
        <name val="微軟正黑體"/>
      </font>
      <numFmt numFmtId="0" formatCode="General"/>
    </dxf>
    <dxf>
      <font>
        <strike val="0"/>
        <outline val="0"/>
        <shadow val="0"/>
        <vertAlign val="baseline"/>
        <sz val="11"/>
        <color indexed="8"/>
        <name val="微軟正黑體"/>
      </font>
      <numFmt numFmtId="0" formatCode="General"/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indexed="8"/>
        <name val="微軟正黑體"/>
      </font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rgb="FF000000"/>
        <name val="微軟正黑體"/>
      </font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numFmt numFmtId="19" formatCode="yyyy/m/d"/>
    </dxf>
    <dxf>
      <numFmt numFmtId="19" formatCode="yyyy/m/d"/>
    </dxf>
    <dxf>
      <numFmt numFmtId="19" formatCode="yyyy/m/d"/>
    </dxf>
    <dxf>
      <alignment horizontal="right"/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alignment horizontal="right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general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rgb="FFFFFF00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5" tint="0.5999938962981048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0" tint="-0.14999847407452621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fill>
        <patternFill>
          <fgColor indexed="64"/>
          <bgColor theme="4" tint="0.79998168889431442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7" tint="0.79998168889431442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81" formatCode="yyyy/mm/dd;@"/>
      <fill>
        <patternFill>
          <fgColor indexed="64"/>
          <bgColor theme="4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81" formatCode="yyyy/mm/dd;@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auto="1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righ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30" formatCode="@"/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u val="none"/>
        <vertAlign val="baseline"/>
        <sz val="8"/>
        <color auto="1"/>
        <name val="標楷體"/>
        <scheme val="none"/>
      </font>
      <numFmt numFmtId="19" formatCode="yyyy/m/d"/>
      <fill>
        <patternFill>
          <fgColor indexed="64"/>
          <bgColor auto="1"/>
        </patternFill>
      </fill>
      <alignment horizontal="center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8"/>
        <color theme="1"/>
        <name val="Candara"/>
      </font>
      <numFmt numFmtId="178" formatCode="0.0%"/>
      <alignment horizontal="general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color auto="1"/>
        <name val="Candara"/>
      </font>
      <fill>
        <patternFill patternType="solid">
          <fgColor indexed="64"/>
          <bgColor theme="9" tint="0.39997558519241921"/>
        </patternFill>
      </fill>
      <alignment vertical="center"/>
    </dxf>
  </dxfs>
  <tableStyles count="1" defaultTableStyle="TableStyleMedium2" defaultPivotStyle="PivotStyleLight16">
    <tableStyle name="樞紐分析表樣式 1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externalLink" Target="externalLinks/externalLink5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externalLink" Target="externalLinks/externalLink8.xml"/><Relationship Id="rId47" Type="http://schemas.openxmlformats.org/officeDocument/2006/relationships/pivotCacheDefinition" Target="pivotCache/pivotCacheDefinition4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externalLink" Target="externalLinks/externalLink3.xml"/><Relationship Id="rId40" Type="http://schemas.openxmlformats.org/officeDocument/2006/relationships/externalLink" Target="externalLinks/externalLink6.xml"/><Relationship Id="rId45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externalLink" Target="externalLinks/externalLink2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pivotCacheDefinition" Target="pivotCache/pivotCacheDefinition1.xml"/><Relationship Id="rId52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externalLink" Target="externalLinks/externalLink1.xml"/><Relationship Id="rId43" Type="http://schemas.openxmlformats.org/officeDocument/2006/relationships/externalLink" Target="externalLinks/externalLink9.xml"/><Relationship Id="rId48" Type="http://schemas.openxmlformats.org/officeDocument/2006/relationships/pivotCacheDefinition" Target="pivotCache/pivotCacheDefinition5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externalLink" Target="externalLinks/externalLink4.xml"/><Relationship Id="rId46" Type="http://schemas.openxmlformats.org/officeDocument/2006/relationships/pivotCacheDefinition" Target="pivotCache/pivotCacheDefinition3.xml"/><Relationship Id="rId20" Type="http://schemas.openxmlformats.org/officeDocument/2006/relationships/worksheet" Target="worksheets/sheet20.xml"/><Relationship Id="rId41" Type="http://schemas.openxmlformats.org/officeDocument/2006/relationships/externalLink" Target="externalLinks/externalLink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esktop/Presentation/0.&#33836;&#20107;&#23452;&#36890;&#35338;&#3763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ocuments/0.&#33836;&#20107;&#23452;&#36890;&#35338;&#37636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yah12\Desktop\&#37325;&#35201;\URS&#30906;&#35469;&#25490;&#31243;20211209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ocuments/SKL-URS&#20132;&#23529;-20211005(&#21407;SKL-URS&#20132;&#20184;&#31805;&#26680;-20211001_v20211005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esktop/SIT&#28204;&#35430;&#21151;&#33021;&#28165;&#21934;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esktop/SIT&#28204;&#35430;&#21151;&#33021;&#28165;&#21934;-20210906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4050;&#20462;&#24489;&#30340;&#22806;&#37096;&#36899;&#32080;1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ownloads/URS&#30906;&#35469;&#25490;&#31243;20210720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v06v2\Documents\SKL-SIT&#28204;&#35430;&#28165;&#21934;-202112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會議回覆追蹤"/>
      <sheetName val="統計表2.1"/>
      <sheetName val="統計表2"/>
      <sheetName val="業務統計20211206"/>
      <sheetName val="統計表"/>
      <sheetName val="統計tmp"/>
      <sheetName val="業務統計 (原始)"/>
      <sheetName val="業務統計"/>
      <sheetName val="URS確認"/>
      <sheetName val="取消交易"/>
      <sheetName val="討論項目"/>
      <sheetName val="後續討論"/>
      <sheetName val="待辦事項"/>
      <sheetName val="工作表3"/>
      <sheetName val="需二審tmp"/>
      <sheetName val="L4完成進度"/>
      <sheetName val="L_tmp"/>
      <sheetName val="上線注意事項"/>
      <sheetName val="追蹤議題備註"/>
      <sheetName val="備註"/>
      <sheetName val="SKL放款"/>
      <sheetName val="URS確認tmp"/>
      <sheetName val="討論項目tmp"/>
      <sheetName val="待辦事項tmp"/>
      <sheetName val="EricOK_20211105"/>
      <sheetName val="討論待辦tmp"/>
      <sheetName val="Menu"/>
      <sheetName val="L4_tmp"/>
      <sheetName val="工作表1"/>
      <sheetName val="20211105匯出"/>
      <sheetName val="統計表 (2)"/>
      <sheetName val="下週會議"/>
      <sheetName val="會議回覆追蹤tmp"/>
      <sheetName val="URS確認排程2021120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">
          <cell r="A1" t="str">
            <v>交易</v>
          </cell>
        </row>
      </sheetData>
      <sheetData sheetId="11"/>
      <sheetData sheetId="12"/>
      <sheetData sheetId="13">
        <row r="1">
          <cell r="E1" t="str">
            <v>待二審</v>
          </cell>
        </row>
      </sheetData>
      <sheetData sheetId="14">
        <row r="1">
          <cell r="A1" t="str">
            <v>會議記錄</v>
          </cell>
        </row>
      </sheetData>
      <sheetData sheetId="15"/>
      <sheetData sheetId="16"/>
      <sheetData sheetId="17"/>
      <sheetData sheetId="18"/>
      <sheetData sheetId="19"/>
      <sheetData sheetId="20">
        <row r="1">
          <cell r="A1" t="str">
            <v>放款部人員聯絡電話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001"/>
    </sheetNames>
    <sheetDataSet>
      <sheetData sheetId="0" refreshError="1">
        <row r="1">
          <cell r="A1" t="str">
            <v>功能代號</v>
          </cell>
          <cell r="B1" t="str">
            <v>功能名稱</v>
          </cell>
          <cell r="C1" t="str">
            <v>檔案名稱</v>
          </cell>
          <cell r="D1" t="str">
            <v>ST1負責人</v>
          </cell>
          <cell r="E1" t="str">
            <v>IT</v>
          </cell>
          <cell r="F1" t="str">
            <v>User1</v>
          </cell>
          <cell r="G1" t="str">
            <v>User2</v>
          </cell>
          <cell r="H1" t="str">
            <v>AS400入口</v>
          </cell>
          <cell r="I1" t="str">
            <v>AS400 程式名稱</v>
          </cell>
          <cell r="J1" t="str">
            <v>刪除/整併說明</v>
          </cell>
        </row>
        <row r="2">
          <cell r="A2" t="str">
            <v>L1101</v>
          </cell>
          <cell r="B2" t="str">
            <v>顧客基本資料維護-自然人</v>
          </cell>
          <cell r="C2" t="str">
            <v>PJ2011800012_URS1顧客管理作業_v1.4.docx</v>
          </cell>
          <cell r="D2" t="str">
            <v>張金龍/張嘉榮</v>
          </cell>
          <cell r="E2" t="str">
            <v>吳承憲</v>
          </cell>
          <cell r="F2" t="str">
            <v>李珮君</v>
          </cell>
          <cell r="G2" t="str">
            <v/>
          </cell>
          <cell r="H2" t="str">
            <v>1-1</v>
          </cell>
          <cell r="I2" t="str">
            <v>顧客基本資料維護(新增)</v>
          </cell>
          <cell r="J2">
            <v>0</v>
          </cell>
        </row>
        <row r="3">
          <cell r="A3" t="str">
            <v>L1102</v>
          </cell>
          <cell r="B3" t="str">
            <v>顧客基本資料維護-法人</v>
          </cell>
          <cell r="C3" t="str">
            <v>PJ2011800012_URS1顧客管理作業_v1.4.docx</v>
          </cell>
          <cell r="D3" t="str">
            <v>張金龍/張嘉榮</v>
          </cell>
          <cell r="E3" t="str">
            <v>吳承憲</v>
          </cell>
          <cell r="F3" t="str">
            <v>陳俞辛</v>
          </cell>
          <cell r="G3" t="str">
            <v/>
          </cell>
          <cell r="H3" t="str">
            <v>1-1</v>
          </cell>
          <cell r="I3" t="str">
            <v>顧客基本資料維護(新增)</v>
          </cell>
          <cell r="J3">
            <v>0</v>
          </cell>
        </row>
        <row r="4">
          <cell r="A4" t="str">
            <v>L1103</v>
          </cell>
          <cell r="B4" t="str">
            <v>顧客基本資料變更-自然人</v>
          </cell>
          <cell r="C4" t="str">
            <v>PJ2011800012_URS1顧客管理作業_v1.4.docx</v>
          </cell>
          <cell r="D4" t="str">
            <v>張金龍/張嘉榮</v>
          </cell>
          <cell r="E4" t="str">
            <v>吳承憲</v>
          </cell>
          <cell r="F4" t="str">
            <v>李珮君</v>
          </cell>
          <cell r="G4" t="str">
            <v/>
          </cell>
          <cell r="H4" t="str">
            <v>1-2</v>
          </cell>
          <cell r="I4" t="str">
            <v>顧客基本資料維護(修改)</v>
          </cell>
          <cell r="J4">
            <v>0</v>
          </cell>
        </row>
        <row r="5">
          <cell r="A5" t="str">
            <v>L1104</v>
          </cell>
          <cell r="B5" t="str">
            <v>顧客基本資料變更-法人</v>
          </cell>
          <cell r="C5" t="str">
            <v>PJ2011800012_URS1顧客管理作業_v1.4.docx</v>
          </cell>
          <cell r="D5" t="str">
            <v>張金龍/張嘉榮</v>
          </cell>
          <cell r="E5" t="str">
            <v>吳承憲</v>
          </cell>
          <cell r="F5" t="str">
            <v>陳俞辛</v>
          </cell>
          <cell r="G5" t="str">
            <v/>
          </cell>
          <cell r="H5" t="str">
            <v>1-2</v>
          </cell>
          <cell r="I5" t="str">
            <v>顧客基本資料維護(修改)</v>
          </cell>
          <cell r="J5">
            <v>0</v>
          </cell>
        </row>
        <row r="6">
          <cell r="A6" t="str">
            <v>L1111</v>
          </cell>
          <cell r="B6" t="str">
            <v>顧客基本資料維護-身份證號／統一編號變更</v>
          </cell>
          <cell r="C6" t="str">
            <v>PJ2011800012_URS1顧客管理作業_v1.4.docx</v>
          </cell>
          <cell r="D6" t="str">
            <v>張金龍/張嘉榮</v>
          </cell>
          <cell r="E6" t="str">
            <v>吳承憲</v>
          </cell>
          <cell r="F6" t="str">
            <v>李珮君</v>
          </cell>
          <cell r="G6" t="str">
            <v/>
          </cell>
          <cell r="H6" t="str">
            <v>1-E</v>
          </cell>
          <cell r="I6" t="str">
            <v>顧客基本資料維護(編號變更)</v>
          </cell>
          <cell r="J6">
            <v>0</v>
          </cell>
        </row>
        <row r="7">
          <cell r="A7" t="str">
            <v>L1001</v>
          </cell>
          <cell r="B7" t="str">
            <v>顧客明細資料查詢</v>
          </cell>
          <cell r="C7" t="str">
            <v>PJ2011800012_URS1顧客管理作業_v1.4.docx</v>
          </cell>
          <cell r="D7" t="str">
            <v>張金龍/張嘉榮</v>
          </cell>
          <cell r="E7" t="str">
            <v>吳承憲</v>
          </cell>
          <cell r="F7" t="str">
            <v>李珮君</v>
          </cell>
          <cell r="G7" t="str">
            <v/>
          </cell>
          <cell r="H7">
            <v>1</v>
          </cell>
          <cell r="I7" t="str">
            <v>顧客管理作業</v>
          </cell>
          <cell r="J7">
            <v>0</v>
          </cell>
        </row>
        <row r="8">
          <cell r="A8" t="str">
            <v>L1105</v>
          </cell>
          <cell r="B8" t="str">
            <v>顧客聯絡電話維護</v>
          </cell>
          <cell r="C8" t="str">
            <v>PJ2011800012_URS1顧客管理作業_v1.4.docx</v>
          </cell>
          <cell r="D8" t="str">
            <v>張金龍/張嘉榮</v>
          </cell>
          <cell r="E8" t="str">
            <v>吳承憲</v>
          </cell>
          <cell r="F8" t="str">
            <v>陳俞辛</v>
          </cell>
          <cell r="G8" t="str">
            <v/>
          </cell>
          <cell r="H8">
            <v>0</v>
          </cell>
          <cell r="I8" t="str">
            <v>1-1欄位拆出新交易</v>
          </cell>
          <cell r="J8">
            <v>0</v>
          </cell>
        </row>
        <row r="9">
          <cell r="A9" t="str">
            <v>L1905</v>
          </cell>
          <cell r="B9" t="str">
            <v>顧客聯絡電話查詢</v>
          </cell>
          <cell r="C9" t="str">
            <v>PJ2011800012_URS1顧客管理作業_v1.4.docx</v>
          </cell>
          <cell r="D9" t="str">
            <v>張金龍/張嘉榮</v>
          </cell>
          <cell r="E9" t="str">
            <v>吳承憲</v>
          </cell>
          <cell r="F9" t="str">
            <v>陳俞辛</v>
          </cell>
          <cell r="G9" t="str">
            <v/>
          </cell>
          <cell r="H9">
            <v>0</v>
          </cell>
          <cell r="I9" t="str">
            <v>1-1欄位拆出新交易</v>
          </cell>
          <cell r="J9">
            <v>0</v>
          </cell>
        </row>
        <row r="10">
          <cell r="A10" t="str">
            <v>L1107</v>
          </cell>
          <cell r="B10" t="str">
            <v>公司戶財務狀況管理</v>
          </cell>
          <cell r="C10" t="str">
            <v>PJ2011800012_URS1顧客管理作業_v1.4.docx</v>
          </cell>
          <cell r="D10" t="str">
            <v>張金龍/張嘉榮</v>
          </cell>
          <cell r="E10" t="str">
            <v>吳承憲</v>
          </cell>
          <cell r="F10" t="str">
            <v>施美娟</v>
          </cell>
          <cell r="G10" t="str">
            <v>程慧娟</v>
          </cell>
          <cell r="H10" t="str">
            <v>2-5</v>
          </cell>
          <cell r="I10" t="str">
            <v>公司戶財務狀況管理</v>
          </cell>
          <cell r="J10">
            <v>0</v>
          </cell>
        </row>
        <row r="11">
          <cell r="A11" t="str">
            <v>L1907</v>
          </cell>
          <cell r="B11" t="str">
            <v>公司戶財務狀況明細資料查詢</v>
          </cell>
          <cell r="C11" t="str">
            <v>PJ2011800012_URS1顧客管理作業_v1.4.docx</v>
          </cell>
          <cell r="D11" t="str">
            <v>張金龍/張嘉榮</v>
          </cell>
          <cell r="E11" t="str">
            <v>吳承憲</v>
          </cell>
          <cell r="F11" t="str">
            <v>施美娟</v>
          </cell>
          <cell r="G11" t="str">
            <v>程慧娟</v>
          </cell>
          <cell r="H11" t="str">
            <v>2-5</v>
          </cell>
          <cell r="I11" t="str">
            <v>公司戶財務狀況明細資料查詢</v>
          </cell>
          <cell r="J11">
            <v>0</v>
          </cell>
        </row>
        <row r="12">
          <cell r="A12" t="str">
            <v>L1108</v>
          </cell>
          <cell r="B12" t="str">
            <v>申請不列印書面通知書維護</v>
          </cell>
          <cell r="C12" t="str">
            <v>PJ2011800012_URS1顧客管理作業_v1.4.docx</v>
          </cell>
          <cell r="D12" t="str">
            <v>張金龍/張嘉榮</v>
          </cell>
          <cell r="E12" t="str">
            <v>涂宇欣</v>
          </cell>
          <cell r="F12" t="str">
            <v>陳政皓</v>
          </cell>
          <cell r="G12" t="str">
            <v/>
          </cell>
          <cell r="H12" t="str">
            <v>5-22-04</v>
          </cell>
          <cell r="I12" t="str">
            <v>申請不列印書面通知書控管報表</v>
          </cell>
          <cell r="J12">
            <v>0</v>
          </cell>
        </row>
        <row r="13">
          <cell r="A13" t="str">
            <v>L1908</v>
          </cell>
          <cell r="B13" t="str">
            <v>申請不列印書面通知書查詢</v>
          </cell>
          <cell r="C13" t="str">
            <v>PJ2011800012_URS1顧客管理作業_v1.4.docx</v>
          </cell>
          <cell r="D13" t="str">
            <v>張金龍/張嘉榮</v>
          </cell>
          <cell r="E13" t="str">
            <v>涂宇欣</v>
          </cell>
          <cell r="F13" t="str">
            <v>陳政皓</v>
          </cell>
          <cell r="G13" t="str">
            <v/>
          </cell>
          <cell r="H13" t="str">
            <v>5-22-04</v>
          </cell>
          <cell r="I13" t="str">
            <v>申請不列印書面通知書控管報表</v>
          </cell>
          <cell r="J13">
            <v>0</v>
          </cell>
        </row>
        <row r="14">
          <cell r="A14" t="str">
            <v>L1109</v>
          </cell>
          <cell r="B14" t="str">
            <v>客戶交互運用維護</v>
          </cell>
          <cell r="C14" t="str">
            <v>PJ2011800012_URS1顧客管理作業_v1.4.docx</v>
          </cell>
          <cell r="D14" t="str">
            <v>張金龍/張嘉榮</v>
          </cell>
          <cell r="E14" t="str">
            <v>吳承憲</v>
          </cell>
          <cell r="F14" t="str">
            <v>李珮君</v>
          </cell>
          <cell r="G14" t="str">
            <v/>
          </cell>
          <cell r="H14">
            <v>0</v>
          </cell>
          <cell r="I14" t="str">
            <v>1-1欄位拆出新交易</v>
          </cell>
          <cell r="J14">
            <v>0</v>
          </cell>
        </row>
        <row r="15">
          <cell r="A15" t="str">
            <v>L190A</v>
          </cell>
          <cell r="B15" t="str">
            <v>員工檔資料查詢</v>
          </cell>
          <cell r="C15" t="str">
            <v>PJ2011800012_URS1顧客管理作業_v1.4.docx</v>
          </cell>
          <cell r="D15" t="str">
            <v>張金龍/張嘉榮</v>
          </cell>
          <cell r="E15" t="str">
            <v>吳承憲</v>
          </cell>
          <cell r="F15" t="str">
            <v>蔡珮瑜</v>
          </cell>
          <cell r="G15" t="str">
            <v/>
          </cell>
          <cell r="H15" t="str">
            <v>4-3-2</v>
          </cell>
          <cell r="I15" t="str">
            <v>在職員工明細檔查詢</v>
          </cell>
          <cell r="J15">
            <v>0</v>
          </cell>
        </row>
        <row r="16">
          <cell r="A16" t="str">
            <v>L1106</v>
          </cell>
          <cell r="B16" t="str">
            <v>關聯戶資料維護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 t="str">
            <v>取消交易，併入L2306</v>
          </cell>
        </row>
        <row r="17">
          <cell r="A17" t="str">
            <v>L1906</v>
          </cell>
          <cell r="B17" t="str">
            <v>關聯戶資料查詢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 t="str">
            <v>取消交易，併入L2035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3"/>
      <sheetName val="交易清單"/>
      <sheetName val="外部輸出入介面"/>
      <sheetName val="報表清單"/>
      <sheetName val="統計202111"/>
      <sheetName val="取消交易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/>
      <sheetData sheetId="1" refreshError="1"/>
      <sheetData sheetId="2" refreshError="1"/>
      <sheetData sheetId="3" refreshError="1">
        <row r="1">
          <cell r="C1" t="str">
            <v>功能項目/代號</v>
          </cell>
          <cell r="D1" t="str">
            <v>功能名稱/說明</v>
          </cell>
          <cell r="E1" t="str">
            <v>User
負責人</v>
          </cell>
          <cell r="F1" t="str">
            <v>IT
負責人</v>
          </cell>
        </row>
        <row r="2">
          <cell r="C2" t="str">
            <v>L7022</v>
          </cell>
          <cell r="D2" t="str">
            <v>違約損失率查詢LGD(違約損失率)</v>
          </cell>
          <cell r="E2" t="str">
            <v>張舜雯</v>
          </cell>
          <cell r="F2" t="str">
            <v>林清河</v>
          </cell>
        </row>
        <row r="3">
          <cell r="C3" t="str">
            <v>L7202</v>
          </cell>
          <cell r="D3" t="str">
            <v>違約損失率登錄</v>
          </cell>
          <cell r="E3" t="str">
            <v>張舜雯</v>
          </cell>
          <cell r="F3" t="str">
            <v>林清河</v>
          </cell>
        </row>
        <row r="4">
          <cell r="C4" t="str">
            <v>L7903</v>
          </cell>
          <cell r="D4" t="str">
            <v>商品分類資料查詢</v>
          </cell>
          <cell r="E4" t="str">
            <v>張舜雯</v>
          </cell>
          <cell r="F4" t="str">
            <v>林清河</v>
          </cell>
        </row>
        <row r="5">
          <cell r="C5" t="str">
            <v>L7210</v>
          </cell>
          <cell r="D5" t="str">
            <v>商品分類資料維護</v>
          </cell>
          <cell r="E5" t="str">
            <v>張舜雯</v>
          </cell>
          <cell r="F5" t="str">
            <v>林清河</v>
          </cell>
        </row>
        <row r="6">
          <cell r="C6" t="str">
            <v>L7904</v>
          </cell>
          <cell r="D6" t="str">
            <v>特殊客觀減損狀況查詢</v>
          </cell>
          <cell r="E6" t="str">
            <v>張舜雯</v>
          </cell>
          <cell r="F6" t="str">
            <v>林清河</v>
          </cell>
        </row>
        <row r="7">
          <cell r="C7" t="str">
            <v>L7204</v>
          </cell>
          <cell r="D7" t="str">
            <v>特殊客觀減損狀況維護</v>
          </cell>
          <cell r="E7" t="str">
            <v>張舜雯</v>
          </cell>
          <cell r="F7" t="str">
            <v>林清河</v>
          </cell>
        </row>
        <row r="8">
          <cell r="C8" t="str">
            <v>L7203</v>
          </cell>
          <cell r="D8" t="str">
            <v>IAS39 利息法帳面資料上傳作業</v>
          </cell>
          <cell r="E8" t="str">
            <v>蔡珮瑜</v>
          </cell>
          <cell r="F8" t="str">
            <v>林清河</v>
          </cell>
        </row>
        <row r="9">
          <cell r="C9" t="str">
            <v>L7901</v>
          </cell>
          <cell r="D9" t="str">
            <v>IAS39 34號公報A檔</v>
          </cell>
          <cell r="E9" t="str">
            <v>張舜雯</v>
          </cell>
          <cell r="F9" t="str">
            <v>林清河</v>
          </cell>
        </row>
        <row r="10">
          <cell r="C10" t="str">
            <v>L7901</v>
          </cell>
          <cell r="D10" t="str">
            <v>IAS39 34號公報B檔</v>
          </cell>
          <cell r="E10" t="str">
            <v>張舜雯</v>
          </cell>
          <cell r="F10" t="str">
            <v>林清河</v>
          </cell>
        </row>
        <row r="11">
          <cell r="C11" t="str">
            <v>L7901</v>
          </cell>
          <cell r="D11" t="str">
            <v>IAS39 34號公報C檔</v>
          </cell>
          <cell r="E11" t="str">
            <v>張舜雯</v>
          </cell>
          <cell r="F11" t="str">
            <v>林清河</v>
          </cell>
        </row>
        <row r="12">
          <cell r="C12" t="str">
            <v>L7901</v>
          </cell>
          <cell r="D12" t="str">
            <v>IAS39 34號公報D檔</v>
          </cell>
          <cell r="E12" t="str">
            <v>張舜雯</v>
          </cell>
          <cell r="F12" t="str">
            <v>林清河</v>
          </cell>
        </row>
        <row r="13">
          <cell r="C13" t="str">
            <v>L7901</v>
          </cell>
          <cell r="D13" t="str">
            <v>IAS39 34號公報E檔</v>
          </cell>
          <cell r="E13" t="str">
            <v>張舜雯</v>
          </cell>
          <cell r="F13" t="str">
            <v>林清河</v>
          </cell>
        </row>
        <row r="14">
          <cell r="C14" t="str">
            <v>L7901</v>
          </cell>
          <cell r="D14" t="str">
            <v>IAS39 34號公報G檔</v>
          </cell>
          <cell r="E14" t="str">
            <v>張舜雯</v>
          </cell>
          <cell r="F14" t="str">
            <v>林清河</v>
          </cell>
        </row>
        <row r="15">
          <cell r="C15" t="str">
            <v>L7902</v>
          </cell>
          <cell r="D15" t="str">
            <v>IFRS9介面檔產生作業清單1：(表內放款與應收帳款-資產基本資料與計算原始有效利率用)。</v>
          </cell>
          <cell r="E15" t="str">
            <v>蔡珮瑜</v>
          </cell>
          <cell r="F15" t="str">
            <v>林清河</v>
          </cell>
        </row>
        <row r="16">
          <cell r="C16" t="str">
            <v>L7902</v>
          </cell>
          <cell r="D16" t="str">
            <v xml:space="preserve">IFRS9介面檔產生作業清單2：(台幣放款-計算原始有效利率用)。                    </v>
          </cell>
          <cell r="E16" t="str">
            <v>蔡珮瑜</v>
          </cell>
          <cell r="F16" t="str">
            <v>林清河</v>
          </cell>
        </row>
        <row r="17">
          <cell r="C17" t="str">
            <v>L7902</v>
          </cell>
          <cell r="D17" t="str">
            <v xml:space="preserve">IFRS9介面檔產生作業清單3：(台幣放款-計算原始有效利率用)。            </v>
          </cell>
          <cell r="E17" t="str">
            <v>蔡珮瑜</v>
          </cell>
          <cell r="F17" t="str">
            <v>林清河</v>
          </cell>
        </row>
        <row r="18">
          <cell r="C18" t="str">
            <v>L7902</v>
          </cell>
          <cell r="D18" t="str">
            <v xml:space="preserve">IFRS9介面檔產生作業清單4：(放款與AR-估計回收率用)。                          </v>
          </cell>
          <cell r="E18" t="str">
            <v>蔡珮瑜</v>
          </cell>
          <cell r="F18" t="str">
            <v>林清河</v>
          </cell>
        </row>
        <row r="19">
          <cell r="C19" t="str">
            <v>L7902</v>
          </cell>
          <cell r="D19" t="str">
            <v xml:space="preserve">IFRS9介面檔產生作業清單6：(放款與應收帳款-協商戶用)。                         </v>
          </cell>
          <cell r="E19" t="str">
            <v>蔡珮瑜</v>
          </cell>
          <cell r="F19" t="str">
            <v>林清河</v>
          </cell>
        </row>
        <row r="20">
          <cell r="C20" t="str">
            <v>L7902</v>
          </cell>
          <cell r="D20" t="str">
            <v xml:space="preserve">IFRS9介面檔產生作業清單7：(放款與應收帳款-stage轉換用)。                         </v>
          </cell>
          <cell r="E20" t="str">
            <v>蔡珮瑜</v>
          </cell>
          <cell r="F20" t="str">
            <v>林清河</v>
          </cell>
        </row>
        <row r="21">
          <cell r="C21" t="str">
            <v>L7902</v>
          </cell>
          <cell r="D21" t="str">
            <v xml:space="preserve">IFRS9介面檔產生作業清單8：(放款與應收帳款-風險參數用)。                          </v>
          </cell>
          <cell r="E21" t="str">
            <v>蔡珮瑜</v>
          </cell>
          <cell r="F21" t="str">
            <v>林清河</v>
          </cell>
        </row>
        <row r="22">
          <cell r="C22" t="str">
            <v>L7902</v>
          </cell>
          <cell r="D22" t="str">
            <v>IFRS9介面檔產生作業清單9：(表外放款與應收帳款-資產基本資料與計算原始有效利率用)。</v>
          </cell>
          <cell r="E22" t="str">
            <v>蔡珮瑜</v>
          </cell>
          <cell r="F22" t="str">
            <v>林清河</v>
          </cell>
        </row>
        <row r="23">
          <cell r="C23" t="str">
            <v>L7902</v>
          </cell>
          <cell r="D23" t="str">
            <v xml:space="preserve">IFRS9介面檔產生作業清單10：借新還舊。                                            </v>
          </cell>
          <cell r="E23" t="str">
            <v>蔡珮瑜</v>
          </cell>
          <cell r="F23" t="str">
            <v>林清河</v>
          </cell>
        </row>
        <row r="24">
          <cell r="C24" t="str">
            <v>L7911</v>
          </cell>
          <cell r="D24" t="str">
            <v>戶號查詢(eloan)</v>
          </cell>
          <cell r="E24" t="str">
            <v>蔡珮瑜</v>
          </cell>
          <cell r="F24" t="str">
            <v>吳承憲</v>
          </cell>
        </row>
        <row r="25">
          <cell r="C25" t="str">
            <v>L7912</v>
          </cell>
          <cell r="D25" t="str">
            <v>戶號額度查詢(eloan)</v>
          </cell>
          <cell r="E25" t="str">
            <v>蔡珮瑜</v>
          </cell>
          <cell r="F25" t="str">
            <v>吳承憲</v>
          </cell>
        </row>
        <row r="26">
          <cell r="C26" t="str">
            <v>L7913</v>
          </cell>
          <cell r="D26" t="str">
            <v xml:space="preserve">eLoan評級資訊查詢                                                                                                                                                                                                                                               </v>
          </cell>
          <cell r="E26">
            <v>0</v>
          </cell>
          <cell r="F26" t="str">
            <v>吳承憲</v>
          </cell>
        </row>
        <row r="27">
          <cell r="C27" t="str">
            <v>銀行授權媒體檔/提回出檔</v>
          </cell>
          <cell r="D27" t="str">
            <v>銀行授權媒體檔/提回出檔(新光銀行/其他銀行)</v>
          </cell>
          <cell r="E27" t="str">
            <v>許慧玉</v>
          </cell>
          <cell r="F27" t="str">
            <v>林清河</v>
          </cell>
        </row>
        <row r="28">
          <cell r="C28" t="str">
            <v>銀行授權媒體檔/提回出檔</v>
          </cell>
          <cell r="D28" t="str">
            <v>郵局</v>
          </cell>
          <cell r="E28" t="str">
            <v>許慧玉</v>
          </cell>
          <cell r="F28" t="str">
            <v>林清河</v>
          </cell>
        </row>
        <row r="29">
          <cell r="C29" t="str">
            <v>銀行授權媒體檔/回應檔</v>
          </cell>
          <cell r="D29" t="str">
            <v>銀行授權媒體檔/回應檔(新光銀行/其他銀行)</v>
          </cell>
          <cell r="E29" t="str">
            <v>許慧玉</v>
          </cell>
          <cell r="F29" t="str">
            <v>林清河</v>
          </cell>
        </row>
        <row r="30">
          <cell r="C30" t="str">
            <v>郵局授權媒體檔/提回應檔</v>
          </cell>
          <cell r="D30" t="str">
            <v>郵局授權媒體檔/提回應檔
A.1.期款、帳管費及契變手續費  2.火險費 
B.新授權、舊檔</v>
          </cell>
          <cell r="E30" t="str">
            <v>尹少玄</v>
          </cell>
          <cell r="F30" t="str">
            <v>林清河</v>
          </cell>
        </row>
        <row r="31">
          <cell r="C31" t="str">
            <v>銀行(郵局)扣款媒體檔/提出檔</v>
          </cell>
          <cell r="D31" t="str">
            <v>1.檔案分:新光銀、其他銀行、郵局
2.含火險、期款、帳管費、手續費</v>
          </cell>
          <cell r="E31" t="str">
            <v>許慧玉</v>
          </cell>
          <cell r="F31" t="str">
            <v>林清河</v>
          </cell>
        </row>
        <row r="32">
          <cell r="C32" t="str">
            <v>銀行扣款媒體檔/回應檔</v>
          </cell>
          <cell r="D32" t="str">
            <v>T</v>
          </cell>
          <cell r="E32" t="str">
            <v>許慧玉</v>
          </cell>
          <cell r="F32" t="str">
            <v>林清河</v>
          </cell>
        </row>
        <row r="33">
          <cell r="C33" t="str">
            <v>郵局扣款媒體檔/回應檔</v>
          </cell>
          <cell r="D33" t="str">
            <v>1.期款、帳管費及契變手續費  
2.火險費</v>
          </cell>
          <cell r="E33" t="str">
            <v>尹少玄</v>
          </cell>
          <cell r="F33" t="str">
            <v>林清河</v>
          </cell>
        </row>
        <row r="34">
          <cell r="C34" t="str">
            <v>員工扣薪媒體檔/提出檔</v>
          </cell>
          <cell r="D34" t="str">
            <v>區分15日薪、非15日薪</v>
          </cell>
          <cell r="E34" t="str">
            <v>邵淑微</v>
          </cell>
          <cell r="F34" t="str">
            <v>林清河</v>
          </cell>
        </row>
        <row r="35">
          <cell r="C35" t="str">
            <v>員工扣薪媒體檔/回應檔</v>
          </cell>
          <cell r="D35" t="str">
            <v>區分15日薪、非15日薪</v>
          </cell>
          <cell r="E35" t="str">
            <v>邵淑微</v>
          </cell>
          <cell r="F35" t="str">
            <v>林清河</v>
          </cell>
        </row>
        <row r="36">
          <cell r="C36" t="str">
            <v>員工資料檔</v>
          </cell>
          <cell r="D36" t="str">
            <v>CSV--&gt;CDEMP</v>
          </cell>
          <cell r="E36" t="str">
            <v>林清河</v>
          </cell>
          <cell r="F36" t="str">
            <v>林清河</v>
          </cell>
        </row>
        <row r="37">
          <cell r="C37" t="str">
            <v>銀行扣款前簡訊通知</v>
          </cell>
          <cell r="D37" t="str">
            <v>銀行扣款作業</v>
          </cell>
          <cell r="E37" t="str">
            <v>許慧玉</v>
          </cell>
          <cell r="F37" t="str">
            <v>林清河</v>
          </cell>
        </row>
        <row r="38">
          <cell r="C38" t="str">
            <v>扣款不成功簡訊通知</v>
          </cell>
          <cell r="D38" t="str">
            <v>銀行扣款作業</v>
          </cell>
          <cell r="E38" t="str">
            <v>尹少玄</v>
          </cell>
          <cell r="F38" t="str">
            <v>林清河</v>
          </cell>
        </row>
        <row r="39">
          <cell r="C39" t="str">
            <v>核心傳票媒體檔</v>
          </cell>
          <cell r="D39" t="str">
            <v>支票繳款作業 - 轉出納票據資料</v>
          </cell>
          <cell r="E39" t="str">
            <v>邵淑微</v>
          </cell>
          <cell r="F39" t="str">
            <v>林清河</v>
          </cell>
        </row>
        <row r="40">
          <cell r="C40" t="str">
            <v>票據媒體檔</v>
          </cell>
          <cell r="D40" t="str">
            <v>支票繳款作業 - 轉出納票據資料</v>
          </cell>
          <cell r="E40" t="str">
            <v>邵淑微</v>
          </cell>
          <cell r="F40" t="str">
            <v>林清河</v>
          </cell>
        </row>
        <row r="41">
          <cell r="C41" t="str">
            <v>支票兌現檔</v>
          </cell>
          <cell r="D41" t="str">
            <v>支票兌現作業</v>
          </cell>
          <cell r="E41" t="str">
            <v>邵淑微</v>
          </cell>
          <cell r="F41" t="str">
            <v>林清河</v>
          </cell>
        </row>
        <row r="42">
          <cell r="C42" t="str">
            <v>核心傳票媒體</v>
          </cell>
          <cell r="D42" t="str">
            <v>會計關帳作業</v>
          </cell>
          <cell r="E42" t="str">
            <v>蔡珮瑜</v>
          </cell>
          <cell r="F42" t="str">
            <v>林清河</v>
          </cell>
        </row>
        <row r="43">
          <cell r="C43" t="str">
            <v>火險到期檔</v>
          </cell>
          <cell r="D43" t="str">
            <v>火險作業</v>
          </cell>
          <cell r="E43" t="str">
            <v>邵淑微</v>
          </cell>
          <cell r="F43" t="str">
            <v>林清河</v>
          </cell>
        </row>
        <row r="44">
          <cell r="C44" t="str">
            <v>火險詢價檔</v>
          </cell>
          <cell r="D44" t="str">
            <v>火險作業</v>
          </cell>
          <cell r="E44" t="str">
            <v>邵淑微</v>
          </cell>
          <cell r="F44" t="str">
            <v>林清河</v>
          </cell>
        </row>
        <row r="45">
          <cell r="C45" t="str">
            <v>火險通知單</v>
          </cell>
          <cell r="D45" t="str">
            <v>傳檔請郵局產出</v>
          </cell>
          <cell r="E45" t="str">
            <v>邵淑微</v>
          </cell>
          <cell r="F45" t="str">
            <v>林清河</v>
          </cell>
        </row>
        <row r="46">
          <cell r="C46" t="str">
            <v>火險最終保單檔</v>
          </cell>
          <cell r="D46" t="str">
            <v>火險作業</v>
          </cell>
          <cell r="E46" t="str">
            <v>邵淑微</v>
          </cell>
          <cell r="F46" t="str">
            <v>林清河</v>
          </cell>
        </row>
        <row r="47">
          <cell r="C47" t="str">
            <v>火險佣金媒體檔</v>
          </cell>
          <cell r="D47" t="str">
            <v>火險作業</v>
          </cell>
          <cell r="E47" t="str">
            <v>邵淑微</v>
          </cell>
          <cell r="F47" t="str">
            <v>林清河</v>
          </cell>
        </row>
        <row r="48">
          <cell r="C48" t="str">
            <v>火險佣金發放媒體檔</v>
          </cell>
          <cell r="D48" t="str">
            <v>火險作業</v>
          </cell>
          <cell r="E48" t="str">
            <v>邵淑微</v>
          </cell>
          <cell r="F48" t="str">
            <v>林清河</v>
          </cell>
        </row>
        <row r="49">
          <cell r="C49" t="str">
            <v>匯款轉帳檔</v>
          </cell>
          <cell r="D49" t="str">
            <v>經辦下傳媒體檔改為串接核心整批匯款作業</v>
          </cell>
          <cell r="E49" t="str">
            <v>宋育宏</v>
          </cell>
          <cell r="F49" t="str">
            <v>林清河</v>
          </cell>
        </row>
        <row r="50">
          <cell r="C50" t="str">
            <v>資料倉儲</v>
          </cell>
          <cell r="D50" t="str">
            <v>Informatica方式</v>
          </cell>
          <cell r="E50" t="str">
            <v>林清河</v>
          </cell>
          <cell r="F50" t="str">
            <v>林清河</v>
          </cell>
        </row>
        <row r="51">
          <cell r="C51" t="str">
            <v>L8030</v>
          </cell>
          <cell r="D51" t="str">
            <v>消債條列JCIC報送資料(共37檔)</v>
          </cell>
          <cell r="E51" t="str">
            <v>邱怡婷</v>
          </cell>
          <cell r="F51" t="str">
            <v>林清河</v>
          </cell>
        </row>
        <row r="52">
          <cell r="C52" t="str">
            <v>L8031</v>
          </cell>
          <cell r="D52" t="str">
            <v>歷程查詢(40)前置協商受理申請暨請求償權通知資料(歷程)</v>
          </cell>
          <cell r="E52" t="str">
            <v>邱怡婷</v>
          </cell>
          <cell r="F52" t="str">
            <v>林清河</v>
          </cell>
        </row>
        <row r="53">
          <cell r="C53" t="str">
            <v>L8032</v>
          </cell>
          <cell r="D53" t="str">
            <v>歷程查詢(41)協商開始暨停催通知資料(歷程)</v>
          </cell>
          <cell r="E53" t="str">
            <v>邱怡婷</v>
          </cell>
          <cell r="F53" t="str">
            <v>林清河</v>
          </cell>
        </row>
        <row r="54">
          <cell r="C54" t="str">
            <v>L8033</v>
          </cell>
          <cell r="D54" t="str">
            <v>歷程查詢(42)回報無擔保債權金額資料(歷程)</v>
          </cell>
          <cell r="E54" t="str">
            <v>邱怡婷</v>
          </cell>
          <cell r="F54" t="str">
            <v>林清河</v>
          </cell>
        </row>
        <row r="55">
          <cell r="C55" t="str">
            <v>L8034</v>
          </cell>
          <cell r="D55" t="str">
            <v>歷程查詢(43)回報有擔保債權金額資料(歷程)</v>
          </cell>
          <cell r="E55" t="str">
            <v>邱怡婷</v>
          </cell>
          <cell r="F55" t="str">
            <v>林清河</v>
          </cell>
        </row>
        <row r="56">
          <cell r="C56" t="str">
            <v>L8035</v>
          </cell>
          <cell r="D56" t="str">
            <v>歷程查詢(44)請求同意債務清償方案通知資料(歷程)</v>
          </cell>
          <cell r="E56" t="str">
            <v>邱怡婷</v>
          </cell>
          <cell r="F56" t="str">
            <v>林清河</v>
          </cell>
        </row>
        <row r="57">
          <cell r="C57" t="str">
            <v>L8036</v>
          </cell>
          <cell r="D57" t="str">
            <v>歷程查詢(45)回報是否同意債務清償方案資料(歷程)</v>
          </cell>
          <cell r="E57" t="str">
            <v>邱怡婷</v>
          </cell>
          <cell r="F57" t="str">
            <v>林清河</v>
          </cell>
        </row>
        <row r="58">
          <cell r="C58" t="str">
            <v>L8037</v>
          </cell>
          <cell r="D58" t="str">
            <v>歷程查詢(46)結案通知資料檔案格式(歷程)</v>
          </cell>
          <cell r="E58" t="str">
            <v>邱怡婷</v>
          </cell>
          <cell r="F58" t="str">
            <v>林清河</v>
          </cell>
        </row>
        <row r="59">
          <cell r="C59" t="str">
            <v>L8038</v>
          </cell>
          <cell r="D59" t="str">
            <v>歷程查詢(47)金融機構無擔保債務協議資料檔案(歷程)</v>
          </cell>
          <cell r="E59" t="str">
            <v>邱怡婷</v>
          </cell>
          <cell r="F59" t="str">
            <v>林清河</v>
          </cell>
        </row>
        <row r="60">
          <cell r="C60" t="str">
            <v>L8039</v>
          </cell>
          <cell r="D60" t="str">
            <v>歷程查詢(48)債務人基本資料(歷程)</v>
          </cell>
          <cell r="E60" t="str">
            <v>邱怡婷</v>
          </cell>
          <cell r="F60" t="str">
            <v>林清河</v>
          </cell>
        </row>
        <row r="61">
          <cell r="C61" t="str">
            <v>L8040</v>
          </cell>
          <cell r="D61" t="str">
            <v>歷程查詢(49)債務清償方案法院認可資料檔案(歷程)</v>
          </cell>
          <cell r="E61" t="str">
            <v>邱怡婷</v>
          </cell>
          <cell r="F61" t="str">
            <v>林清河</v>
          </cell>
        </row>
        <row r="62">
          <cell r="C62" t="str">
            <v>L8041</v>
          </cell>
          <cell r="D62" t="str">
            <v>歷程查詢(50)債務人繳款資料檔案(歷程)</v>
          </cell>
          <cell r="E62" t="str">
            <v>邱怡婷</v>
          </cell>
          <cell r="F62" t="str">
            <v>林清河</v>
          </cell>
        </row>
        <row r="63">
          <cell r="C63" t="str">
            <v>L8042</v>
          </cell>
          <cell r="D63" t="str">
            <v>歷程查詢(51)延期繳款（喘息期）資料檔案(歷程)</v>
          </cell>
          <cell r="E63" t="str">
            <v>邱怡婷</v>
          </cell>
          <cell r="F63" t="str">
            <v>林清河</v>
          </cell>
        </row>
        <row r="64">
          <cell r="C64" t="str">
            <v>L8043</v>
          </cell>
          <cell r="D64" t="str">
            <v>歷程查詢(52)前置協商相關資料報送例外處理(歷程)</v>
          </cell>
          <cell r="E64" t="str">
            <v>邱怡婷</v>
          </cell>
          <cell r="F64" t="str">
            <v>林清河</v>
          </cell>
        </row>
        <row r="65">
          <cell r="C65" t="str">
            <v>L8044</v>
          </cell>
          <cell r="D65" t="str">
            <v>歷程查詢(53)同意報送例外處理檔案(歷程)</v>
          </cell>
          <cell r="E65" t="str">
            <v>邱怡婷</v>
          </cell>
          <cell r="F65" t="str">
            <v>林清河</v>
          </cell>
        </row>
        <row r="66">
          <cell r="C66" t="str">
            <v>L8045</v>
          </cell>
          <cell r="D66" t="str">
            <v>歷程查詢(54)單獨全數受清償資料檔案(歷程)</v>
          </cell>
          <cell r="E66" t="str">
            <v>邱怡婷</v>
          </cell>
          <cell r="F66" t="str">
            <v>林清河</v>
          </cell>
        </row>
        <row r="67">
          <cell r="C67" t="str">
            <v>L8046</v>
          </cell>
          <cell r="D67" t="str">
            <v>歷程查詢(55)消債條例更生案件資料報送(歷程)</v>
          </cell>
          <cell r="E67" t="str">
            <v>邱怡婷</v>
          </cell>
          <cell r="F67" t="str">
            <v>林清河</v>
          </cell>
        </row>
        <row r="68">
          <cell r="C68" t="str">
            <v>L8047</v>
          </cell>
          <cell r="D68" t="str">
            <v>歷程查詢(56)消債條例清算資料報送(歷程)</v>
          </cell>
          <cell r="E68" t="str">
            <v>邱怡婷</v>
          </cell>
          <cell r="F68" t="str">
            <v>林清河</v>
          </cell>
        </row>
        <row r="69">
          <cell r="C69" t="str">
            <v>L8048</v>
          </cell>
          <cell r="D69" t="str">
            <v>歷程查詢(60)前置協商受理變更還款條件申請暨請求回報剩餘債權(歷程)</v>
          </cell>
          <cell r="E69" t="str">
            <v>邱怡婷</v>
          </cell>
          <cell r="F69" t="str">
            <v>林清河</v>
          </cell>
        </row>
        <row r="70">
          <cell r="C70" t="str">
            <v>L8049</v>
          </cell>
          <cell r="D70" t="str">
            <v>歷程查詢(61)回報協商剩餘債權金額資料(歷程)</v>
          </cell>
          <cell r="E70" t="str">
            <v>邱怡婷</v>
          </cell>
          <cell r="F70" t="str">
            <v>林清河</v>
          </cell>
        </row>
        <row r="71">
          <cell r="C71" t="str">
            <v>L8050</v>
          </cell>
          <cell r="D71" t="str">
            <v>歷程查詢(62)金融機構無擔保債務變更還款條件協議資料(歷程)</v>
          </cell>
          <cell r="E71" t="str">
            <v>邱怡婷</v>
          </cell>
          <cell r="F71" t="str">
            <v>林清河</v>
          </cell>
        </row>
        <row r="72">
          <cell r="C72" t="str">
            <v>L8051</v>
          </cell>
          <cell r="D72" t="str">
            <v>歷程查詢(63)變更還款方案結案通知資料(歷程)</v>
          </cell>
          <cell r="E72" t="str">
            <v>邱怡婷</v>
          </cell>
          <cell r="F72" t="str">
            <v>林清河</v>
          </cell>
        </row>
        <row r="73">
          <cell r="C73" t="str">
            <v>L8052</v>
          </cell>
          <cell r="D73" t="str">
            <v>歷程查詢(440)前置調解受理申請暨請求回報債權通知資料(歷程)</v>
          </cell>
          <cell r="E73" t="str">
            <v>邱怡婷</v>
          </cell>
          <cell r="F73" t="str">
            <v>林清河</v>
          </cell>
        </row>
        <row r="74">
          <cell r="C74" t="str">
            <v>L8053</v>
          </cell>
          <cell r="D74" t="str">
            <v>歷程查詢(442)前置調解回報無擔保債權金額資料(歷程)</v>
          </cell>
          <cell r="E74" t="str">
            <v>邱怡婷</v>
          </cell>
          <cell r="F74" t="str">
            <v>林清河</v>
          </cell>
        </row>
        <row r="75">
          <cell r="C75" t="str">
            <v>L8054</v>
          </cell>
          <cell r="D75" t="str">
            <v>歷程查詢(443)前置調解回報有擔保債權金額資料(歷程)</v>
          </cell>
          <cell r="E75" t="str">
            <v>邱怡婷</v>
          </cell>
          <cell r="F75" t="str">
            <v>林清河</v>
          </cell>
        </row>
        <row r="76">
          <cell r="C76" t="str">
            <v>L8055</v>
          </cell>
          <cell r="D76" t="str">
            <v>歷程查詢(444)前置調解債務人基本資料(歷程)</v>
          </cell>
          <cell r="E76" t="str">
            <v>邱怡婷</v>
          </cell>
          <cell r="F76" t="str">
            <v>林清河</v>
          </cell>
        </row>
        <row r="77">
          <cell r="C77" t="str">
            <v>L8056</v>
          </cell>
          <cell r="D77" t="str">
            <v>歷程查詢(446)前置調解結案通知資料(歷程)</v>
          </cell>
          <cell r="E77" t="str">
            <v>邱怡婷</v>
          </cell>
          <cell r="F77" t="str">
            <v>林清河</v>
          </cell>
        </row>
        <row r="78">
          <cell r="C78" t="str">
            <v>L8057</v>
          </cell>
          <cell r="D78" t="str">
            <v>歷程查詢(447)前置調解金融機構無擔保債務協議資料(歷程)</v>
          </cell>
          <cell r="E78" t="str">
            <v>邱怡婷</v>
          </cell>
          <cell r="F78" t="str">
            <v>林清河</v>
          </cell>
        </row>
        <row r="79">
          <cell r="C79" t="str">
            <v>L8058</v>
          </cell>
          <cell r="D79" t="str">
            <v>歷程查詢(448)前置調解無擔保債務分配表資料(歷程)</v>
          </cell>
          <cell r="E79" t="str">
            <v>邱怡婷</v>
          </cell>
          <cell r="F79" t="str">
            <v>林清河</v>
          </cell>
        </row>
        <row r="80">
          <cell r="C80" t="str">
            <v>L8059</v>
          </cell>
          <cell r="D80" t="str">
            <v>歷程查詢(450)前置調解債務人繳款資料(歷程)</v>
          </cell>
          <cell r="E80" t="str">
            <v>邱怡婷</v>
          </cell>
          <cell r="F80" t="str">
            <v>林清河</v>
          </cell>
        </row>
        <row r="81">
          <cell r="C81" t="str">
            <v>L8060</v>
          </cell>
          <cell r="D81" t="str">
            <v>歷程查詢(451)前置調解延期繳款資料(歷程)</v>
          </cell>
          <cell r="E81" t="str">
            <v>邱怡婷</v>
          </cell>
          <cell r="F81" t="str">
            <v>林清河</v>
          </cell>
        </row>
        <row r="82">
          <cell r="C82" t="str">
            <v>L8061</v>
          </cell>
          <cell r="D82" t="str">
            <v>歷程查詢(454)前置調解單獨全數受清償資料(歷程)</v>
          </cell>
          <cell r="E82" t="str">
            <v>邱怡婷</v>
          </cell>
          <cell r="F82" t="str">
            <v>林清河</v>
          </cell>
        </row>
        <row r="83">
          <cell r="C83" t="str">
            <v>L8062</v>
          </cell>
          <cell r="D83" t="str">
            <v>歷程查詢(570)受理更生款項統一收付通知(歷程)</v>
          </cell>
          <cell r="E83" t="str">
            <v>邱怡婷</v>
          </cell>
          <cell r="F83" t="str">
            <v>林清河</v>
          </cell>
        </row>
        <row r="84">
          <cell r="C84" t="str">
            <v>L8063</v>
          </cell>
          <cell r="D84" t="str">
            <v>歷程查詢(571)更生款項統一收付回報債權資料(歷程)</v>
          </cell>
          <cell r="E84" t="str">
            <v>邱怡婷</v>
          </cell>
          <cell r="F84" t="str">
            <v>林清河</v>
          </cell>
        </row>
        <row r="85">
          <cell r="C85" t="str">
            <v>L8064</v>
          </cell>
          <cell r="D85" t="str">
            <v>歷程查詢(572)更生款項統一收付分配表資料(歷程)</v>
          </cell>
          <cell r="E85" t="str">
            <v>邱怡婷</v>
          </cell>
          <cell r="F85" t="str">
            <v>林清河</v>
          </cell>
        </row>
        <row r="86">
          <cell r="C86" t="str">
            <v>L8065</v>
          </cell>
          <cell r="D86" t="str">
            <v>歷程查詢(573)更生債務人繳款資料(歷程)</v>
          </cell>
          <cell r="E86" t="str">
            <v>邱怡婷</v>
          </cell>
          <cell r="F86" t="str">
            <v>林清河</v>
          </cell>
        </row>
        <row r="87">
          <cell r="C87" t="str">
            <v>L8066</v>
          </cell>
          <cell r="D87" t="str">
            <v>歷程查詢(574)更生款項統一收付結案通知資料(歷程)</v>
          </cell>
          <cell r="E87" t="str">
            <v>邱怡婷</v>
          </cell>
          <cell r="F87" t="str">
            <v>林清河</v>
          </cell>
        </row>
        <row r="88">
          <cell r="C88" t="str">
            <v>L8067</v>
          </cell>
          <cell r="D88" t="str">
            <v>歷程查詢(575)更生債權金額異動通知資料(歷程)</v>
          </cell>
          <cell r="E88" t="str">
            <v>邱怡婷</v>
          </cell>
          <cell r="F88" t="str">
            <v>林清河</v>
          </cell>
        </row>
        <row r="89">
          <cell r="C89" t="str">
            <v>L8301</v>
          </cell>
          <cell r="D89" t="str">
            <v>(40)前置協商受理申請暨請求償權通知資料</v>
          </cell>
          <cell r="E89" t="str">
            <v>邱怡婷</v>
          </cell>
          <cell r="F89" t="str">
            <v>林清河</v>
          </cell>
        </row>
        <row r="90">
          <cell r="C90" t="str">
            <v>L8302</v>
          </cell>
          <cell r="D90" t="str">
            <v>(41)協商開始暨停催通知資料</v>
          </cell>
          <cell r="E90" t="str">
            <v>邱怡婷</v>
          </cell>
          <cell r="F90" t="str">
            <v>林清河</v>
          </cell>
        </row>
        <row r="91">
          <cell r="C91" t="str">
            <v>L8303</v>
          </cell>
          <cell r="D91" t="str">
            <v>(42)回報無擔保債權金額資料</v>
          </cell>
          <cell r="E91" t="str">
            <v>邱怡婷</v>
          </cell>
          <cell r="F91" t="str">
            <v>林清河</v>
          </cell>
        </row>
        <row r="92">
          <cell r="C92" t="str">
            <v>L8304</v>
          </cell>
          <cell r="D92" t="str">
            <v>(43)回報有擔保債權金額資料</v>
          </cell>
          <cell r="E92" t="str">
            <v>邱怡婷</v>
          </cell>
          <cell r="F92" t="str">
            <v>林清河</v>
          </cell>
        </row>
        <row r="93">
          <cell r="C93" t="str">
            <v>L8305</v>
          </cell>
          <cell r="D93" t="str">
            <v>(44)請求同意債務清償方案通知資料</v>
          </cell>
          <cell r="E93" t="str">
            <v>邱怡婷</v>
          </cell>
          <cell r="F93" t="str">
            <v>林清河</v>
          </cell>
        </row>
        <row r="94">
          <cell r="C94" t="str">
            <v>L8306</v>
          </cell>
          <cell r="D94" t="str">
            <v>(45)回報是否同意債務清償方案資料</v>
          </cell>
          <cell r="E94" t="str">
            <v>邱怡婷</v>
          </cell>
          <cell r="F94" t="str">
            <v>林清河</v>
          </cell>
        </row>
        <row r="95">
          <cell r="C95" t="str">
            <v>L8307</v>
          </cell>
          <cell r="D95" t="str">
            <v>(46)結案通知資料檔案格式</v>
          </cell>
          <cell r="E95" t="str">
            <v>邱怡婷</v>
          </cell>
          <cell r="F95" t="str">
            <v>林清河</v>
          </cell>
        </row>
        <row r="96">
          <cell r="C96" t="str">
            <v>L8308</v>
          </cell>
          <cell r="D96" t="str">
            <v>(47)金融機構無擔保債務協議資料檔案</v>
          </cell>
          <cell r="E96" t="str">
            <v>邱怡婷</v>
          </cell>
          <cell r="F96" t="str">
            <v>林清河</v>
          </cell>
        </row>
        <row r="97">
          <cell r="C97" t="str">
            <v>L8309</v>
          </cell>
          <cell r="D97" t="str">
            <v>(48)債務人基本資料</v>
          </cell>
          <cell r="E97" t="str">
            <v>邱怡婷</v>
          </cell>
          <cell r="F97" t="str">
            <v>林清河</v>
          </cell>
        </row>
        <row r="98">
          <cell r="C98" t="str">
            <v>L8310</v>
          </cell>
          <cell r="D98" t="str">
            <v>(49)債務清償方案法院認可資料檔案</v>
          </cell>
          <cell r="E98" t="str">
            <v>邱怡婷</v>
          </cell>
          <cell r="F98" t="str">
            <v>林清河</v>
          </cell>
        </row>
        <row r="99">
          <cell r="C99" t="str">
            <v>L8311</v>
          </cell>
          <cell r="D99" t="str">
            <v>(50)債務人繳款資料檔案</v>
          </cell>
          <cell r="E99" t="str">
            <v>邱怡婷</v>
          </cell>
          <cell r="F99" t="str">
            <v>林清河</v>
          </cell>
        </row>
        <row r="100">
          <cell r="C100" t="str">
            <v>L8312</v>
          </cell>
          <cell r="D100" t="str">
            <v>(51)延期繳款（喘息期）資料檔案</v>
          </cell>
          <cell r="E100" t="str">
            <v>邱怡婷</v>
          </cell>
          <cell r="F100" t="str">
            <v>林清河</v>
          </cell>
        </row>
        <row r="101">
          <cell r="C101" t="str">
            <v>L8313</v>
          </cell>
          <cell r="D101" t="str">
            <v>(52)前置協商相關資料報送例外處理</v>
          </cell>
          <cell r="E101" t="str">
            <v>邱怡婷</v>
          </cell>
          <cell r="F101" t="str">
            <v>林清河</v>
          </cell>
        </row>
        <row r="102">
          <cell r="C102" t="str">
            <v>L8314</v>
          </cell>
          <cell r="D102" t="str">
            <v>(53)同意報送例外處理檔案</v>
          </cell>
          <cell r="E102" t="str">
            <v>邱怡婷</v>
          </cell>
          <cell r="F102" t="str">
            <v>林清河</v>
          </cell>
        </row>
        <row r="103">
          <cell r="C103" t="str">
            <v>L8315</v>
          </cell>
          <cell r="D103" t="str">
            <v>(54)單獨全數受清償資料檔案</v>
          </cell>
          <cell r="E103" t="str">
            <v>邱怡婷</v>
          </cell>
          <cell r="F103" t="str">
            <v>林清河</v>
          </cell>
        </row>
        <row r="104">
          <cell r="C104" t="str">
            <v>L8316</v>
          </cell>
          <cell r="D104" t="str">
            <v>(55)消債條例更生案件資料報送</v>
          </cell>
          <cell r="E104" t="str">
            <v>邱怡婷</v>
          </cell>
          <cell r="F104" t="str">
            <v>林清河</v>
          </cell>
        </row>
        <row r="105">
          <cell r="C105" t="str">
            <v>L8317</v>
          </cell>
          <cell r="D105" t="str">
            <v>(56)消債條例清算資料報送</v>
          </cell>
          <cell r="E105" t="str">
            <v>邱怡婷</v>
          </cell>
          <cell r="F105" t="str">
            <v>林清河</v>
          </cell>
        </row>
        <row r="106">
          <cell r="C106" t="str">
            <v>L8318</v>
          </cell>
          <cell r="D106" t="str">
            <v>(60)前置協商受理變更還款條件申請暨請求回報剩餘債權</v>
          </cell>
          <cell r="E106" t="str">
            <v>邱怡婷</v>
          </cell>
          <cell r="F106" t="str">
            <v>林清河</v>
          </cell>
        </row>
        <row r="107">
          <cell r="C107" t="str">
            <v>L8319</v>
          </cell>
          <cell r="D107" t="str">
            <v>(61)回報協商剩餘債權金額資料</v>
          </cell>
          <cell r="E107" t="str">
            <v>邱怡婷</v>
          </cell>
          <cell r="F107" t="str">
            <v>林清河</v>
          </cell>
        </row>
        <row r="108">
          <cell r="C108" t="str">
            <v>L8320</v>
          </cell>
          <cell r="D108" t="str">
            <v>(62)金融機構無擔保債務變更還款條件協議資料</v>
          </cell>
          <cell r="E108" t="str">
            <v>邱怡婷</v>
          </cell>
          <cell r="F108" t="str">
            <v>林清河</v>
          </cell>
        </row>
        <row r="109">
          <cell r="C109" t="str">
            <v>L8321</v>
          </cell>
          <cell r="D109" t="str">
            <v>(63)變更還款方案結案通知資料</v>
          </cell>
          <cell r="E109" t="str">
            <v>邱怡婷</v>
          </cell>
          <cell r="F109" t="str">
            <v>林清河</v>
          </cell>
        </row>
        <row r="110">
          <cell r="C110" t="str">
            <v>L8322</v>
          </cell>
          <cell r="D110" t="str">
            <v>(440)前置調解受理申請暨請求回報債權通知資料</v>
          </cell>
          <cell r="E110" t="str">
            <v>邱怡婷</v>
          </cell>
          <cell r="F110" t="str">
            <v>林清河</v>
          </cell>
        </row>
        <row r="111">
          <cell r="C111" t="str">
            <v>L8323</v>
          </cell>
          <cell r="D111" t="str">
            <v>(442)前置調解回報無擔保債權金額資料</v>
          </cell>
          <cell r="E111" t="str">
            <v>邱怡婷</v>
          </cell>
          <cell r="F111" t="str">
            <v>林清河</v>
          </cell>
        </row>
        <row r="112">
          <cell r="C112" t="str">
            <v>L8324</v>
          </cell>
          <cell r="D112" t="str">
            <v>(443)前置調解回報有擔保債權金額資料</v>
          </cell>
          <cell r="E112" t="str">
            <v>邱怡婷</v>
          </cell>
          <cell r="F112" t="str">
            <v>林清河</v>
          </cell>
        </row>
        <row r="113">
          <cell r="C113" t="str">
            <v>L8325</v>
          </cell>
          <cell r="D113" t="str">
            <v>(444)前置調解債務人基本資料</v>
          </cell>
          <cell r="E113" t="str">
            <v>邱怡婷</v>
          </cell>
          <cell r="F113" t="str">
            <v>林清河</v>
          </cell>
        </row>
        <row r="114">
          <cell r="C114" t="str">
            <v>L8326</v>
          </cell>
          <cell r="D114" t="str">
            <v>(446)前置調解結案通知資料</v>
          </cell>
          <cell r="E114" t="str">
            <v>邱怡婷</v>
          </cell>
          <cell r="F114" t="str">
            <v>林清河</v>
          </cell>
        </row>
        <row r="115">
          <cell r="C115" t="str">
            <v>L8327</v>
          </cell>
          <cell r="D115" t="str">
            <v>(447)前置調解金融機構無擔保債務協議資料</v>
          </cell>
          <cell r="E115" t="str">
            <v>邱怡婷</v>
          </cell>
          <cell r="F115" t="str">
            <v>林清河</v>
          </cell>
        </row>
        <row r="116">
          <cell r="C116" t="str">
            <v>L8328</v>
          </cell>
          <cell r="D116" t="str">
            <v>(448)前置調解無擔保債務分配表資料</v>
          </cell>
          <cell r="E116" t="str">
            <v>邱怡婷</v>
          </cell>
          <cell r="F116" t="str">
            <v>林清河</v>
          </cell>
        </row>
        <row r="117">
          <cell r="C117" t="str">
            <v>L8329</v>
          </cell>
          <cell r="D117" t="str">
            <v>(450)前置調解債務人繳款資料</v>
          </cell>
          <cell r="E117" t="str">
            <v>邱怡婷</v>
          </cell>
          <cell r="F117" t="str">
            <v>林清河</v>
          </cell>
        </row>
        <row r="118">
          <cell r="C118" t="str">
            <v>L8330</v>
          </cell>
          <cell r="D118" t="str">
            <v>(451)前置調解延期繳款資料</v>
          </cell>
          <cell r="E118" t="str">
            <v>邱怡婷</v>
          </cell>
          <cell r="F118" t="str">
            <v>林清河</v>
          </cell>
        </row>
        <row r="119">
          <cell r="C119" t="str">
            <v>L8331</v>
          </cell>
          <cell r="D119" t="str">
            <v>(454)前置調解單獨全數受清償資料</v>
          </cell>
          <cell r="E119" t="str">
            <v>邱怡婷</v>
          </cell>
          <cell r="F119" t="str">
            <v>林清河</v>
          </cell>
        </row>
        <row r="120">
          <cell r="C120" t="str">
            <v>L8332</v>
          </cell>
          <cell r="D120" t="str">
            <v>(570)受理更生款項統一收付通知</v>
          </cell>
          <cell r="E120" t="str">
            <v>邱怡婷</v>
          </cell>
          <cell r="F120" t="str">
            <v>林清河</v>
          </cell>
        </row>
        <row r="121">
          <cell r="C121" t="str">
            <v>L8333</v>
          </cell>
          <cell r="D121" t="str">
            <v>(571)更生款項統一收付回報債權資料</v>
          </cell>
          <cell r="E121" t="str">
            <v>邱怡婷</v>
          </cell>
          <cell r="F121" t="str">
            <v>林清河</v>
          </cell>
        </row>
        <row r="122">
          <cell r="C122" t="str">
            <v>L8334</v>
          </cell>
          <cell r="D122" t="str">
            <v>(572)更生款項統一收付分配表資料</v>
          </cell>
          <cell r="E122" t="str">
            <v>邱怡婷</v>
          </cell>
          <cell r="F122" t="str">
            <v>林清河</v>
          </cell>
        </row>
        <row r="123">
          <cell r="C123" t="str">
            <v>L8335</v>
          </cell>
          <cell r="D123" t="str">
            <v>(573)更生債務人繳款資料</v>
          </cell>
          <cell r="E123" t="str">
            <v>邱怡婷</v>
          </cell>
          <cell r="F123" t="str">
            <v>林清河</v>
          </cell>
        </row>
        <row r="124">
          <cell r="C124" t="str">
            <v>L8336</v>
          </cell>
          <cell r="D124" t="str">
            <v>(574)更生款項統一收付結案通知資料</v>
          </cell>
          <cell r="E124" t="str">
            <v>邱怡婷</v>
          </cell>
          <cell r="F124" t="str">
            <v>林清河</v>
          </cell>
        </row>
        <row r="125">
          <cell r="C125" t="str">
            <v>L8337</v>
          </cell>
          <cell r="D125" t="str">
            <v>(575)更生債權金額異動通知資料</v>
          </cell>
          <cell r="E125" t="str">
            <v>邱怡婷</v>
          </cell>
          <cell r="F125" t="str">
            <v>林清河</v>
          </cell>
        </row>
        <row r="126">
          <cell r="C126" t="str">
            <v>L8401</v>
          </cell>
          <cell r="D126" t="str">
            <v>聯徵日報
產生JCIC日報媒體檔 ; 共2檔案
B204.txt聯徵授信餘額日報檔 / B211.txt</v>
          </cell>
          <cell r="E126" t="str">
            <v>許高政</v>
          </cell>
          <cell r="F126" t="str">
            <v>林清河</v>
          </cell>
        </row>
        <row r="127">
          <cell r="C127" t="str">
            <v>L8402</v>
          </cell>
          <cell r="D127" t="str">
            <v>聯徵月報
產生JCIC月報媒體檔 ; 共12檔案
B201.txt聯徵授信餘額月報檔, B207.txt授信戶基本資料檔, B080.txt授信額度資料檔, B085.txt帳號轉換資料檔, B087.txt聯貸案首次動撥後６個月內發生違約之實際主導金融機構註記檔, B090.txt擔保品關聯檔資料檔, B092.txt不動產擔保品明細檔, B093.txt動產及貴重物品擔保品明細檔, B094.txt股票擔保品明細檔, B095.txt不動產擔保品明細-建號附加檔, B096.txt不動產擔保品明細-地號附加檔, B680.txt貸款餘額扣除擔保品鑑估值之金額資料檔</v>
          </cell>
          <cell r="E127" t="str">
            <v>許高政</v>
          </cell>
          <cell r="F127" t="str">
            <v>林清河</v>
          </cell>
        </row>
        <row r="128">
          <cell r="C128" t="str">
            <v>L8403</v>
          </cell>
          <cell r="D128" t="str">
            <v>JCIC檔案匯出作業(040)</v>
          </cell>
          <cell r="E128" t="str">
            <v>邱怡婷</v>
          </cell>
          <cell r="F128" t="str">
            <v>林清河</v>
          </cell>
        </row>
        <row r="129">
          <cell r="C129" t="str">
            <v>L8404</v>
          </cell>
          <cell r="D129" t="str">
            <v>JCIC檔案匯出作業(041)</v>
          </cell>
          <cell r="E129" t="str">
            <v>邱怡婷</v>
          </cell>
          <cell r="F129" t="str">
            <v>林清河</v>
          </cell>
        </row>
        <row r="130">
          <cell r="C130" t="str">
            <v>L8405</v>
          </cell>
          <cell r="D130" t="str">
            <v>JCIC檔案匯出作業(042)</v>
          </cell>
          <cell r="E130" t="str">
            <v>邱怡婷</v>
          </cell>
          <cell r="F130" t="str">
            <v>林清河</v>
          </cell>
        </row>
        <row r="131">
          <cell r="C131" t="str">
            <v>L8406</v>
          </cell>
          <cell r="D131" t="str">
            <v>JCIC檔案匯出作業(043)</v>
          </cell>
          <cell r="E131" t="str">
            <v>邱怡婷</v>
          </cell>
          <cell r="F131" t="str">
            <v>林清河</v>
          </cell>
        </row>
        <row r="132">
          <cell r="C132" t="str">
            <v>L8407</v>
          </cell>
          <cell r="D132" t="str">
            <v>JCIC檔案匯出作業(044)</v>
          </cell>
          <cell r="E132" t="str">
            <v>邱怡婷</v>
          </cell>
          <cell r="F132" t="str">
            <v>林清河</v>
          </cell>
        </row>
        <row r="133">
          <cell r="C133" t="str">
            <v>L8408</v>
          </cell>
          <cell r="D133" t="str">
            <v>JCIC檔案匯出作業(045)</v>
          </cell>
          <cell r="E133" t="str">
            <v>邱怡婷</v>
          </cell>
          <cell r="F133" t="str">
            <v>林清河</v>
          </cell>
        </row>
        <row r="134">
          <cell r="C134" t="str">
            <v>L8409</v>
          </cell>
          <cell r="D134" t="str">
            <v>JCIC檔案匯出作業(046)</v>
          </cell>
          <cell r="E134" t="str">
            <v>邱怡婷</v>
          </cell>
          <cell r="F134" t="str">
            <v>林清河</v>
          </cell>
        </row>
        <row r="135">
          <cell r="C135" t="str">
            <v>L8410</v>
          </cell>
          <cell r="D135" t="str">
            <v>JCIC檔案匯出作業(047)</v>
          </cell>
          <cell r="E135" t="str">
            <v>邱怡婷</v>
          </cell>
          <cell r="F135" t="str">
            <v>林清河</v>
          </cell>
        </row>
        <row r="136">
          <cell r="C136" t="str">
            <v>L8411</v>
          </cell>
          <cell r="D136" t="str">
            <v>JCIC檔案匯出作業(048)</v>
          </cell>
          <cell r="E136" t="str">
            <v>邱怡婷</v>
          </cell>
          <cell r="F136" t="str">
            <v>林清河</v>
          </cell>
        </row>
        <row r="137">
          <cell r="C137" t="str">
            <v>L8412</v>
          </cell>
          <cell r="D137" t="str">
            <v>JCIC檔案匯出作業(049)</v>
          </cell>
          <cell r="E137" t="str">
            <v>邱怡婷</v>
          </cell>
          <cell r="F137" t="str">
            <v>林清河</v>
          </cell>
        </row>
        <row r="138">
          <cell r="C138" t="str">
            <v>L8413</v>
          </cell>
          <cell r="D138" t="str">
            <v>JCIC檔案匯出作業(050)</v>
          </cell>
          <cell r="E138" t="str">
            <v>邱怡婷</v>
          </cell>
          <cell r="F138" t="str">
            <v>林清河</v>
          </cell>
        </row>
        <row r="139">
          <cell r="C139" t="str">
            <v>L8414</v>
          </cell>
          <cell r="D139" t="str">
            <v>JCIC檔案匯出作業(051)</v>
          </cell>
          <cell r="E139" t="str">
            <v>邱怡婷</v>
          </cell>
          <cell r="F139" t="str">
            <v>林清河</v>
          </cell>
        </row>
        <row r="140">
          <cell r="C140" t="str">
            <v>L8415</v>
          </cell>
          <cell r="D140" t="str">
            <v>JCIC檔案匯出作業(052)</v>
          </cell>
          <cell r="E140" t="str">
            <v>邱怡婷</v>
          </cell>
          <cell r="F140" t="str">
            <v>林清河</v>
          </cell>
        </row>
        <row r="141">
          <cell r="C141" t="str">
            <v>L8416</v>
          </cell>
          <cell r="D141" t="str">
            <v>JCIC檔案匯出作業(053)</v>
          </cell>
          <cell r="E141" t="str">
            <v>邱怡婷</v>
          </cell>
          <cell r="F141" t="str">
            <v>林清河</v>
          </cell>
        </row>
        <row r="142">
          <cell r="C142" t="str">
            <v>L8417</v>
          </cell>
          <cell r="D142" t="str">
            <v>JCIC檔案匯出作業(054)</v>
          </cell>
          <cell r="E142" t="str">
            <v>邱怡婷</v>
          </cell>
          <cell r="F142" t="str">
            <v>林清河</v>
          </cell>
        </row>
        <row r="143">
          <cell r="C143" t="str">
            <v>L8418</v>
          </cell>
          <cell r="D143" t="str">
            <v>JCIC檔案匯出作業(055)</v>
          </cell>
          <cell r="E143" t="str">
            <v>邱怡婷</v>
          </cell>
          <cell r="F143" t="str">
            <v>林清河</v>
          </cell>
        </row>
        <row r="144">
          <cell r="C144" t="str">
            <v>L8419</v>
          </cell>
          <cell r="D144" t="str">
            <v>JCIC檔案匯出作業(056)</v>
          </cell>
          <cell r="E144" t="str">
            <v>邱怡婷</v>
          </cell>
          <cell r="F144" t="str">
            <v>林清河</v>
          </cell>
        </row>
        <row r="145">
          <cell r="C145" t="str">
            <v>L8420</v>
          </cell>
          <cell r="D145" t="str">
            <v>JCIC檔案匯出作業(060)</v>
          </cell>
          <cell r="E145" t="str">
            <v>邱怡婷</v>
          </cell>
          <cell r="F145" t="str">
            <v>林清河</v>
          </cell>
        </row>
        <row r="146">
          <cell r="C146" t="str">
            <v>L8421</v>
          </cell>
          <cell r="D146" t="str">
            <v>JCIC檔案匯出作業(061)</v>
          </cell>
          <cell r="E146" t="str">
            <v>邱怡婷</v>
          </cell>
          <cell r="F146" t="str">
            <v>林清河</v>
          </cell>
        </row>
        <row r="147">
          <cell r="C147" t="str">
            <v>L8422</v>
          </cell>
          <cell r="D147" t="str">
            <v>JCIC檔案匯出作業(062)</v>
          </cell>
          <cell r="E147" t="str">
            <v>邱怡婷</v>
          </cell>
          <cell r="F147" t="str">
            <v>林清河</v>
          </cell>
        </row>
        <row r="148">
          <cell r="C148" t="str">
            <v>L8423</v>
          </cell>
          <cell r="D148" t="str">
            <v>JCIC檔案匯出作業(063)</v>
          </cell>
          <cell r="E148" t="str">
            <v>邱怡婷</v>
          </cell>
          <cell r="F148" t="str">
            <v>林清河</v>
          </cell>
        </row>
        <row r="149">
          <cell r="C149" t="str">
            <v>L8424</v>
          </cell>
          <cell r="D149" t="str">
            <v>JCIC檔案匯出作業(440)</v>
          </cell>
          <cell r="E149" t="str">
            <v>邱怡婷</v>
          </cell>
          <cell r="F149" t="str">
            <v>林清河</v>
          </cell>
        </row>
        <row r="150">
          <cell r="C150" t="str">
            <v>L8425</v>
          </cell>
          <cell r="D150" t="str">
            <v>JCIC檔案匯出作業(442)</v>
          </cell>
          <cell r="E150" t="str">
            <v>邱怡婷</v>
          </cell>
          <cell r="F150" t="str">
            <v>林清河</v>
          </cell>
        </row>
        <row r="151">
          <cell r="C151" t="str">
            <v>L8426</v>
          </cell>
          <cell r="D151" t="str">
            <v>JCIC檔案匯出作業(443)</v>
          </cell>
          <cell r="E151" t="str">
            <v>邱怡婷</v>
          </cell>
          <cell r="F151" t="str">
            <v>林清河</v>
          </cell>
        </row>
        <row r="152">
          <cell r="C152" t="str">
            <v>L8427</v>
          </cell>
          <cell r="D152" t="str">
            <v>JCIC檔案匯出作業(444)</v>
          </cell>
          <cell r="E152" t="str">
            <v>邱怡婷</v>
          </cell>
          <cell r="F152" t="str">
            <v>林清河</v>
          </cell>
        </row>
        <row r="153">
          <cell r="C153" t="str">
            <v>L8428</v>
          </cell>
          <cell r="D153" t="str">
            <v>JCIC檔案匯出作業(446)</v>
          </cell>
          <cell r="E153" t="str">
            <v>邱怡婷</v>
          </cell>
          <cell r="F153" t="str">
            <v>林清河</v>
          </cell>
        </row>
        <row r="154">
          <cell r="C154" t="str">
            <v>L8429</v>
          </cell>
          <cell r="D154" t="str">
            <v>JCIC檔案匯出作業(447)</v>
          </cell>
          <cell r="E154" t="str">
            <v>邱怡婷</v>
          </cell>
          <cell r="F154" t="str">
            <v>林清河</v>
          </cell>
        </row>
        <row r="155">
          <cell r="C155" t="str">
            <v>L8430</v>
          </cell>
          <cell r="D155" t="str">
            <v>JCIC檔案匯出作業(448)</v>
          </cell>
          <cell r="E155" t="str">
            <v>邱怡婷</v>
          </cell>
          <cell r="F155" t="str">
            <v>林清河</v>
          </cell>
        </row>
        <row r="156">
          <cell r="C156" t="str">
            <v>L8431</v>
          </cell>
          <cell r="D156" t="str">
            <v>JCIC檔案匯出作業(450)</v>
          </cell>
          <cell r="E156" t="str">
            <v>邱怡婷</v>
          </cell>
          <cell r="F156" t="str">
            <v>林清河</v>
          </cell>
        </row>
        <row r="157">
          <cell r="C157" t="str">
            <v>L8432</v>
          </cell>
          <cell r="D157" t="str">
            <v>JCIC檔案匯出作業(451)</v>
          </cell>
          <cell r="E157" t="str">
            <v>邱怡婷</v>
          </cell>
          <cell r="F157" t="str">
            <v>林清河</v>
          </cell>
        </row>
        <row r="158">
          <cell r="C158" t="str">
            <v>L8433</v>
          </cell>
          <cell r="D158" t="str">
            <v>JCIC檔案匯出作業(454)</v>
          </cell>
          <cell r="E158" t="str">
            <v>邱怡婷</v>
          </cell>
          <cell r="F158" t="str">
            <v>林清河</v>
          </cell>
        </row>
        <row r="159">
          <cell r="C159" t="str">
            <v>L8434</v>
          </cell>
          <cell r="D159" t="str">
            <v>JCIC檔案匯出作業(570)</v>
          </cell>
          <cell r="E159" t="str">
            <v>邱怡婷</v>
          </cell>
          <cell r="F159" t="str">
            <v>林清河</v>
          </cell>
        </row>
        <row r="160">
          <cell r="C160" t="str">
            <v>L8435</v>
          </cell>
          <cell r="D160" t="str">
            <v>JCIC檔案匯出作業(571)</v>
          </cell>
          <cell r="E160" t="str">
            <v>邱怡婷</v>
          </cell>
          <cell r="F160" t="str">
            <v>林清河</v>
          </cell>
        </row>
        <row r="161">
          <cell r="C161" t="str">
            <v>L8436</v>
          </cell>
          <cell r="D161" t="str">
            <v>JCIC檔案匯出作業(572)</v>
          </cell>
          <cell r="E161" t="str">
            <v>邱怡婷</v>
          </cell>
          <cell r="F161" t="str">
            <v>林清河</v>
          </cell>
        </row>
        <row r="162">
          <cell r="C162" t="str">
            <v>L8437</v>
          </cell>
          <cell r="D162" t="str">
            <v>JCIC檔案匯出作業(573)</v>
          </cell>
          <cell r="E162" t="str">
            <v>邱怡婷</v>
          </cell>
          <cell r="F162" t="str">
            <v>林清河</v>
          </cell>
        </row>
        <row r="163">
          <cell r="C163" t="str">
            <v>L8438</v>
          </cell>
          <cell r="D163" t="str">
            <v>JCIC檔案匯出作業(574)</v>
          </cell>
          <cell r="E163" t="str">
            <v>邱怡婷</v>
          </cell>
          <cell r="F163" t="str">
            <v>林清河</v>
          </cell>
        </row>
        <row r="164">
          <cell r="C164" t="str">
            <v>L8439</v>
          </cell>
          <cell r="D164" t="str">
            <v>JCIC檔案匯出作業(575)</v>
          </cell>
          <cell r="E164" t="str">
            <v>邱怡婷</v>
          </cell>
          <cell r="F164" t="str">
            <v>林清河</v>
          </cell>
        </row>
        <row r="165">
          <cell r="C165" t="str">
            <v>L8950</v>
          </cell>
          <cell r="D165" t="str">
            <v>MU1人員名冊查詢</v>
          </cell>
          <cell r="E165" t="str">
            <v>程慧娟</v>
          </cell>
          <cell r="F165" t="str">
            <v>林清河</v>
          </cell>
        </row>
        <row r="166">
          <cell r="C166" t="str">
            <v>L8350</v>
          </cell>
          <cell r="D166" t="str">
            <v>查詢人員名冊報送</v>
          </cell>
          <cell r="E166" t="str">
            <v>許高政</v>
          </cell>
          <cell r="F166" t="str">
            <v>林清河</v>
          </cell>
        </row>
        <row r="167">
          <cell r="C167" t="str">
            <v>L8351</v>
          </cell>
          <cell r="D167" t="str">
            <v>聯徵產品檔案匯出作業</v>
          </cell>
          <cell r="E167" t="str">
            <v>邱怡婷</v>
          </cell>
          <cell r="F167" t="str">
            <v>林清河</v>
          </cell>
        </row>
        <row r="168">
          <cell r="C168" t="str">
            <v>公司利害關係人</v>
          </cell>
          <cell r="D168" t="str">
            <v xml:space="preserve">案件申請用_公司利害關係人
BankRelationCompany 金控利害關係人_關係企業資料
BankRelationSelf  金控利害關係人_關係人員工資料
BankRelationFamily 金控利害關係人_關係人員工之親屬資料
報表用_公司利害關係人
RptRelationCompany 報表用_金控利害關係人_關係人公司資料
RptRelationSelf  報表用_金控利害關係人_關係人資料
RptRelationFamily 報表用_金控利害關係人_關係人親屬資料
</v>
          </cell>
          <cell r="E168" t="str">
            <v>張舜雯</v>
          </cell>
          <cell r="F168" t="str">
            <v>林清河</v>
          </cell>
        </row>
        <row r="172">
          <cell r="C172" t="str">
            <v>商品檔</v>
          </cell>
          <cell r="D172">
            <v>0</v>
          </cell>
          <cell r="E172" t="str">
            <v>已提供eLoan交易電文，eLoan是否以電文或informatica寫入?</v>
          </cell>
          <cell r="F172">
            <v>0</v>
          </cell>
        </row>
        <row r="173">
          <cell r="C173" t="str">
            <v>指標利率檔</v>
          </cell>
          <cell r="D173">
            <v>0</v>
          </cell>
          <cell r="E173" t="str">
            <v>已提供eLoan交易電文，eLoan是否以電文或informatica寫入?</v>
          </cell>
          <cell r="F173">
            <v>0</v>
          </cell>
        </row>
        <row r="174">
          <cell r="C174" t="str">
            <v>客戶AML評級資料檔</v>
          </cell>
          <cell r="D174">
            <v>0</v>
          </cell>
          <cell r="E174" t="str">
            <v>eLoan定時寫入 for 金檢查核放款餘額資料Q53撈件</v>
          </cell>
          <cell r="F174">
            <v>0</v>
          </cell>
        </row>
        <row r="175">
          <cell r="C175" t="str">
            <v xml:space="preserve">員工資料檔CdEmp </v>
          </cell>
          <cell r="D175">
            <v>0</v>
          </cell>
          <cell r="E175">
            <v>0</v>
          </cell>
          <cell r="F175">
            <v>0</v>
          </cell>
        </row>
        <row r="176">
          <cell r="C176" t="str">
            <v>假日檔 TxHoliday</v>
          </cell>
          <cell r="D176">
            <v>0</v>
          </cell>
          <cell r="E176" t="str">
            <v>年底前</v>
          </cell>
          <cell r="F176">
            <v>0</v>
          </cell>
        </row>
        <row r="177">
          <cell r="C177" t="str">
            <v>股票收盤價導入</v>
          </cell>
          <cell r="D177">
            <v>0</v>
          </cell>
          <cell r="E177" t="str">
            <v>每日批次，更新擔保品股票檔(陳志嵩待確認是否可使用該資料)</v>
          </cell>
          <cell r="F177">
            <v>0</v>
          </cell>
        </row>
        <row r="178">
          <cell r="C178" t="str">
            <v>AML定審資料</v>
          </cell>
          <cell r="D178">
            <v>0</v>
          </cell>
          <cell r="E178">
            <v>0</v>
          </cell>
          <cell r="F178">
            <v>0</v>
          </cell>
        </row>
        <row r="179">
          <cell r="C179" t="str">
            <v>(核心)傳票媒體檔</v>
          </cell>
          <cell r="D179">
            <v>0</v>
          </cell>
          <cell r="E179" t="str">
            <v>傳送給會計資訊系統(新格式)</v>
          </cell>
          <cell r="F179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交易清單"/>
      <sheetName val="外部輸出入介面"/>
      <sheetName val="報表清單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取消交易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>
        <row r="1">
          <cell r="E1" t="str">
            <v>功能項目
/代號</v>
          </cell>
        </row>
        <row r="2">
          <cell r="E2" t="str">
            <v>L2001</v>
          </cell>
        </row>
        <row r="3">
          <cell r="E3" t="str">
            <v>L2101</v>
          </cell>
        </row>
        <row r="4">
          <cell r="E4" t="str">
            <v>L3901</v>
          </cell>
        </row>
        <row r="5">
          <cell r="E5" t="str">
            <v>L1906</v>
          </cell>
        </row>
        <row r="6">
          <cell r="E6" t="str">
            <v>L1106</v>
          </cell>
        </row>
        <row r="7">
          <cell r="E7" t="str">
            <v>L1907</v>
          </cell>
        </row>
        <row r="8">
          <cell r="E8" t="str">
            <v>L1107</v>
          </cell>
        </row>
        <row r="9">
          <cell r="E9" t="str">
            <v>L1001</v>
          </cell>
        </row>
        <row r="10">
          <cell r="E10" t="str">
            <v>L1101</v>
          </cell>
        </row>
        <row r="11">
          <cell r="E11" t="str">
            <v>L1102</v>
          </cell>
        </row>
        <row r="12">
          <cell r="E12" t="str">
            <v>L1109</v>
          </cell>
        </row>
        <row r="13">
          <cell r="E13" t="str">
            <v>L1103</v>
          </cell>
        </row>
        <row r="14">
          <cell r="E14" t="str">
            <v>L1104</v>
          </cell>
        </row>
        <row r="15">
          <cell r="E15" t="str">
            <v>L1905</v>
          </cell>
        </row>
        <row r="16">
          <cell r="E16" t="str">
            <v>L1105</v>
          </cell>
        </row>
        <row r="17">
          <cell r="E17" t="str">
            <v>L190A</v>
          </cell>
        </row>
        <row r="18">
          <cell r="E18" t="str">
            <v>L3001</v>
          </cell>
        </row>
        <row r="19">
          <cell r="E19" t="str">
            <v>L6070</v>
          </cell>
        </row>
        <row r="20">
          <cell r="E20" t="str">
            <v>L6700</v>
          </cell>
        </row>
        <row r="21">
          <cell r="E21" t="str">
            <v>L2921</v>
          </cell>
        </row>
        <row r="22">
          <cell r="E22" t="str">
            <v>L2801</v>
          </cell>
        </row>
        <row r="23">
          <cell r="E23" t="str">
            <v>L2020</v>
          </cell>
        </row>
        <row r="24">
          <cell r="E24" t="str">
            <v>L2250</v>
          </cell>
        </row>
        <row r="25">
          <cell r="E25" t="str">
            <v>L2902</v>
          </cell>
        </row>
        <row r="26">
          <cell r="E26" t="str">
            <v>L2035</v>
          </cell>
        </row>
        <row r="27">
          <cell r="E27" t="str">
            <v>L2306</v>
          </cell>
        </row>
        <row r="28">
          <cell r="E28" t="str">
            <v>L2039</v>
          </cell>
        </row>
        <row r="29">
          <cell r="E29" t="str">
            <v>L2480</v>
          </cell>
        </row>
        <row r="30">
          <cell r="E30" t="str">
            <v>L2038</v>
          </cell>
        </row>
        <row r="31">
          <cell r="E31" t="str">
            <v>L2018</v>
          </cell>
        </row>
        <row r="32">
          <cell r="E32" t="str">
            <v>L2118</v>
          </cell>
        </row>
        <row r="33">
          <cell r="E33" t="str">
            <v>L291A</v>
          </cell>
        </row>
        <row r="34">
          <cell r="E34" t="str">
            <v>L2019</v>
          </cell>
        </row>
        <row r="35">
          <cell r="E35" t="str">
            <v>L2119</v>
          </cell>
        </row>
        <row r="36">
          <cell r="E36" t="str">
            <v>L291B</v>
          </cell>
        </row>
        <row r="37">
          <cell r="E37" t="str">
            <v>L2021</v>
          </cell>
        </row>
        <row r="38">
          <cell r="E38" t="str">
            <v>L2221</v>
          </cell>
        </row>
        <row r="39">
          <cell r="E39" t="str">
            <v>L2010</v>
          </cell>
        </row>
        <row r="40">
          <cell r="E40" t="str">
            <v>L2111</v>
          </cell>
        </row>
        <row r="41">
          <cell r="E41" t="str">
            <v>L2153</v>
          </cell>
        </row>
        <row r="42">
          <cell r="E42" t="str">
            <v>L2151</v>
          </cell>
        </row>
        <row r="43">
          <cell r="E43" t="str">
            <v>L2112</v>
          </cell>
        </row>
        <row r="44">
          <cell r="E44" t="str">
            <v>L2015</v>
          </cell>
        </row>
        <row r="45">
          <cell r="E45" t="str">
            <v>L2154</v>
          </cell>
        </row>
        <row r="46">
          <cell r="E46" t="str">
            <v>L3915</v>
          </cell>
        </row>
        <row r="47">
          <cell r="E47" t="str">
            <v>L2016</v>
          </cell>
        </row>
        <row r="48">
          <cell r="E48" t="str">
            <v>L2061</v>
          </cell>
        </row>
        <row r="49">
          <cell r="E49" t="str">
            <v>L2670</v>
          </cell>
        </row>
        <row r="50">
          <cell r="E50" t="str">
            <v>L2062</v>
          </cell>
        </row>
        <row r="51">
          <cell r="E51" t="str">
            <v>L2911</v>
          </cell>
        </row>
        <row r="52">
          <cell r="E52" t="str">
            <v>L2411</v>
          </cell>
        </row>
        <row r="53">
          <cell r="E53" t="str">
            <v>L2412</v>
          </cell>
        </row>
        <row r="54">
          <cell r="E54" t="str">
            <v>L2413</v>
          </cell>
        </row>
        <row r="55">
          <cell r="E55" t="str">
            <v>L2414</v>
          </cell>
        </row>
        <row r="56">
          <cell r="E56" t="str">
            <v>L2912</v>
          </cell>
        </row>
        <row r="57">
          <cell r="E57" t="str">
            <v>L2913</v>
          </cell>
        </row>
        <row r="58">
          <cell r="E58" t="str">
            <v>L2914</v>
          </cell>
        </row>
        <row r="59">
          <cell r="E59" t="str">
            <v>L2041</v>
          </cell>
        </row>
        <row r="60">
          <cell r="E60" t="str">
            <v>L2415</v>
          </cell>
        </row>
        <row r="61">
          <cell r="E61" t="str">
            <v>L2042</v>
          </cell>
        </row>
        <row r="62">
          <cell r="E62" t="str">
            <v>L2416</v>
          </cell>
        </row>
        <row r="63">
          <cell r="E63" t="str">
            <v>L2919</v>
          </cell>
        </row>
        <row r="64">
          <cell r="E64" t="str">
            <v>L2922</v>
          </cell>
        </row>
        <row r="65">
          <cell r="E65" t="str">
            <v>L2049</v>
          </cell>
        </row>
        <row r="66">
          <cell r="E66" t="str">
            <v>L2047</v>
          </cell>
        </row>
        <row r="67">
          <cell r="E67" t="str">
            <v>L4060</v>
          </cell>
        </row>
        <row r="68">
          <cell r="E68" t="str">
            <v>L4610</v>
          </cell>
        </row>
        <row r="69">
          <cell r="E69" t="str">
            <v>L2017</v>
          </cell>
        </row>
        <row r="70">
          <cell r="E70" t="str">
            <v>L2417</v>
          </cell>
        </row>
        <row r="71">
          <cell r="E71" t="str">
            <v>L2903</v>
          </cell>
        </row>
        <row r="72">
          <cell r="E72" t="str">
            <v>L2915</v>
          </cell>
        </row>
        <row r="73">
          <cell r="E73" t="str">
            <v>L2916</v>
          </cell>
        </row>
        <row r="74">
          <cell r="E74" t="str">
            <v>L2918</v>
          </cell>
        </row>
        <row r="75">
          <cell r="E75" t="str">
            <v>L2418</v>
          </cell>
        </row>
        <row r="76">
          <cell r="E76" t="str">
            <v>L8080</v>
          </cell>
        </row>
        <row r="77">
          <cell r="E77" t="str">
            <v>L8100</v>
          </cell>
        </row>
        <row r="78">
          <cell r="E78" t="str">
            <v>L8081</v>
          </cell>
        </row>
        <row r="79">
          <cell r="E79" t="str">
            <v>L8101</v>
          </cell>
        </row>
        <row r="80">
          <cell r="E80" t="str">
            <v>L8110</v>
          </cell>
        </row>
        <row r="81">
          <cell r="E81" t="str">
            <v>L4611</v>
          </cell>
        </row>
        <row r="82">
          <cell r="E82" t="str">
            <v>L4600</v>
          </cell>
        </row>
        <row r="83">
          <cell r="E83" t="str">
            <v>L4601</v>
          </cell>
        </row>
        <row r="84">
          <cell r="E84" t="str">
            <v>L4603</v>
          </cell>
        </row>
        <row r="85">
          <cell r="E85" t="str">
            <v>L4960</v>
          </cell>
        </row>
        <row r="86">
          <cell r="E86" t="str">
            <v>L4961</v>
          </cell>
        </row>
        <row r="87">
          <cell r="E87" t="str">
            <v>L4602</v>
          </cell>
        </row>
        <row r="88">
          <cell r="E88" t="str">
            <v>L4604</v>
          </cell>
        </row>
        <row r="89">
          <cell r="E89" t="str">
            <v>L4605</v>
          </cell>
        </row>
        <row r="90">
          <cell r="E90" t="str">
            <v>L4606</v>
          </cell>
        </row>
        <row r="91">
          <cell r="E91" t="str">
            <v>L4962</v>
          </cell>
        </row>
        <row r="92">
          <cell r="E92" t="str">
            <v>L4965</v>
          </cell>
        </row>
        <row r="93">
          <cell r="E93" t="str">
            <v>L4964</v>
          </cell>
        </row>
        <row r="94">
          <cell r="E94" t="str">
            <v>L3010</v>
          </cell>
        </row>
        <row r="95">
          <cell r="E95" t="str">
            <v>L3600</v>
          </cell>
        </row>
        <row r="96">
          <cell r="E96" t="str">
            <v>L9110</v>
          </cell>
        </row>
        <row r="97">
          <cell r="E97" t="str">
            <v>L6063</v>
          </cell>
        </row>
        <row r="98">
          <cell r="E98" t="str">
            <v>L6603</v>
          </cell>
        </row>
        <row r="99">
          <cell r="E99" t="str">
            <v>L6079</v>
          </cell>
        </row>
        <row r="100">
          <cell r="E100" t="str">
            <v>L6709</v>
          </cell>
        </row>
        <row r="101">
          <cell r="E101" t="str">
            <v>L6082</v>
          </cell>
        </row>
        <row r="102">
          <cell r="E102" t="str">
            <v>L6752</v>
          </cell>
        </row>
        <row r="103">
          <cell r="E103" t="str">
            <v>L6754</v>
          </cell>
        </row>
        <row r="104">
          <cell r="E104" t="str">
            <v>L6084</v>
          </cell>
        </row>
        <row r="105">
          <cell r="E105" t="str">
            <v>L4042</v>
          </cell>
        </row>
        <row r="106">
          <cell r="E106" t="str">
            <v>L4410</v>
          </cell>
        </row>
        <row r="107">
          <cell r="E107" t="str">
            <v>L4040</v>
          </cell>
        </row>
        <row r="108">
          <cell r="E108" t="str">
            <v>L4043</v>
          </cell>
        </row>
        <row r="109">
          <cell r="E109" t="str">
            <v>L4412</v>
          </cell>
        </row>
        <row r="110">
          <cell r="E110" t="str">
            <v>L4041</v>
          </cell>
        </row>
        <row r="111">
          <cell r="E111" t="str">
            <v>L4414</v>
          </cell>
        </row>
        <row r="112">
          <cell r="E112" t="str">
            <v>L4940</v>
          </cell>
        </row>
        <row r="113">
          <cell r="E113" t="str">
            <v>L4451</v>
          </cell>
        </row>
        <row r="114">
          <cell r="E114" t="str">
            <v>L4943</v>
          </cell>
        </row>
        <row r="115">
          <cell r="E115" t="str">
            <v>L4452</v>
          </cell>
        </row>
        <row r="116">
          <cell r="E116" t="str">
            <v>L4453</v>
          </cell>
        </row>
        <row r="117">
          <cell r="E117" t="str">
            <v>L4454</v>
          </cell>
        </row>
        <row r="118">
          <cell r="E118" t="str">
            <v>L4450</v>
          </cell>
        </row>
        <row r="119">
          <cell r="E119" t="str">
            <v>L3003</v>
          </cell>
        </row>
        <row r="120">
          <cell r="E120" t="str">
            <v>L3110</v>
          </cell>
        </row>
        <row r="121">
          <cell r="E121" t="str">
            <v>L3120</v>
          </cell>
        </row>
        <row r="122">
          <cell r="E122" t="str">
            <v>L6984</v>
          </cell>
        </row>
        <row r="123">
          <cell r="E123" t="str">
            <v>L3100</v>
          </cell>
        </row>
        <row r="124">
          <cell r="E124" t="str">
            <v>L3002</v>
          </cell>
        </row>
        <row r="125">
          <cell r="E125" t="str">
            <v>L3916</v>
          </cell>
        </row>
        <row r="126">
          <cell r="E126" t="str">
            <v>L4101</v>
          </cell>
        </row>
        <row r="127">
          <cell r="E127" t="str">
            <v>L4001</v>
          </cell>
        </row>
        <row r="128">
          <cell r="E128" t="str">
            <v>L4901</v>
          </cell>
        </row>
        <row r="129">
          <cell r="E129" t="str">
            <v>L6201</v>
          </cell>
        </row>
        <row r="130">
          <cell r="E130" t="str">
            <v>L4500</v>
          </cell>
        </row>
        <row r="131">
          <cell r="E131" t="str">
            <v>L4950</v>
          </cell>
        </row>
        <row r="132">
          <cell r="E132" t="str">
            <v>L4510</v>
          </cell>
        </row>
        <row r="133">
          <cell r="E133" t="str">
            <v>L4511</v>
          </cell>
        </row>
        <row r="134">
          <cell r="E134" t="str">
            <v>L4951</v>
          </cell>
        </row>
        <row r="135">
          <cell r="E135" t="str">
            <v>L4512</v>
          </cell>
        </row>
        <row r="136">
          <cell r="E136" t="str">
            <v>L4200</v>
          </cell>
        </row>
        <row r="137">
          <cell r="E137" t="str">
            <v>L4920</v>
          </cell>
        </row>
        <row r="138">
          <cell r="E138" t="str">
            <v>L4002</v>
          </cell>
        </row>
        <row r="139">
          <cell r="E139" t="str">
            <v>L420A</v>
          </cell>
        </row>
        <row r="140">
          <cell r="E140" t="str">
            <v>L420B</v>
          </cell>
        </row>
        <row r="141">
          <cell r="E141" t="str">
            <v>L4925</v>
          </cell>
        </row>
        <row r="142">
          <cell r="E142" t="str">
            <v>L4520</v>
          </cell>
        </row>
        <row r="143">
          <cell r="E143" t="str">
            <v>L6101</v>
          </cell>
        </row>
        <row r="144">
          <cell r="E144" t="str">
            <v>L4701</v>
          </cell>
        </row>
        <row r="145">
          <cell r="E145" t="str">
            <v>L3410</v>
          </cell>
        </row>
        <row r="146">
          <cell r="E146" t="str">
            <v>L3420</v>
          </cell>
        </row>
        <row r="147">
          <cell r="E147" t="str">
            <v>L3210</v>
          </cell>
        </row>
        <row r="148">
          <cell r="E148" t="str">
            <v>L3007</v>
          </cell>
        </row>
        <row r="149">
          <cell r="E149" t="str">
            <v>L3008</v>
          </cell>
        </row>
        <row r="150">
          <cell r="E150" t="str">
            <v>L3009</v>
          </cell>
        </row>
        <row r="151">
          <cell r="E151" t="str">
            <v>L3220</v>
          </cell>
        </row>
        <row r="152">
          <cell r="E152" t="str">
            <v>L3230</v>
          </cell>
        </row>
        <row r="153">
          <cell r="E153" t="str">
            <v>L4210</v>
          </cell>
        </row>
        <row r="154">
          <cell r="E154" t="str">
            <v>L4921</v>
          </cell>
        </row>
        <row r="155">
          <cell r="E155" t="str">
            <v>L4930</v>
          </cell>
        </row>
        <row r="156">
          <cell r="E156" t="str">
            <v>L4201</v>
          </cell>
        </row>
        <row r="157">
          <cell r="E157" t="str">
            <v>L4202</v>
          </cell>
        </row>
        <row r="158">
          <cell r="E158" t="str">
            <v>L4203</v>
          </cell>
        </row>
        <row r="159">
          <cell r="E159" t="str">
            <v>L4204</v>
          </cell>
        </row>
        <row r="160">
          <cell r="E160" t="str">
            <v>L4205</v>
          </cell>
        </row>
        <row r="161">
          <cell r="E161" t="str">
            <v>L4702</v>
          </cell>
        </row>
        <row r="162">
          <cell r="E162" t="str">
            <v>L4703</v>
          </cell>
        </row>
        <row r="163">
          <cell r="E163" t="str">
            <v>L3921</v>
          </cell>
        </row>
        <row r="164">
          <cell r="E164" t="str">
            <v>L3200</v>
          </cell>
        </row>
        <row r="165">
          <cell r="E165" t="str">
            <v>L3911</v>
          </cell>
        </row>
        <row r="166">
          <cell r="E166" t="str">
            <v>L3912</v>
          </cell>
        </row>
        <row r="167">
          <cell r="E167" t="str">
            <v>L3005</v>
          </cell>
        </row>
        <row r="168">
          <cell r="E168" t="str">
            <v>L6901</v>
          </cell>
        </row>
        <row r="169">
          <cell r="E169" t="str">
            <v>L3925</v>
          </cell>
        </row>
        <row r="170">
          <cell r="E170" t="str">
            <v>L3926</v>
          </cell>
        </row>
        <row r="171">
          <cell r="E171" t="str">
            <v>L3004</v>
          </cell>
        </row>
        <row r="172">
          <cell r="E172" t="str">
            <v>L3130</v>
          </cell>
        </row>
        <row r="173">
          <cell r="E173" t="str">
            <v>L6902</v>
          </cell>
        </row>
        <row r="174">
          <cell r="E174" t="str">
            <v>L6903</v>
          </cell>
        </row>
        <row r="175">
          <cell r="E175" t="str">
            <v>L6904</v>
          </cell>
        </row>
        <row r="176">
          <cell r="E176" t="str">
            <v>L6905</v>
          </cell>
        </row>
        <row r="177">
          <cell r="E177" t="str">
            <v>L6907</v>
          </cell>
        </row>
        <row r="178">
          <cell r="E178" t="str">
            <v>L6908</v>
          </cell>
        </row>
        <row r="179">
          <cell r="E179" t="str">
            <v>L6906</v>
          </cell>
        </row>
        <row r="180">
          <cell r="E180" t="str">
            <v>L6001</v>
          </cell>
        </row>
        <row r="181">
          <cell r="E181" t="str">
            <v>L492A</v>
          </cell>
        </row>
        <row r="182">
          <cell r="E182" t="str">
            <v>L3943</v>
          </cell>
        </row>
        <row r="183">
          <cell r="E183" t="str">
            <v>L3922</v>
          </cell>
        </row>
        <row r="184">
          <cell r="E184" t="str">
            <v>L2631</v>
          </cell>
        </row>
        <row r="185">
          <cell r="E185" t="str">
            <v>L2931</v>
          </cell>
        </row>
        <row r="186">
          <cell r="E186" t="str">
            <v>L6982</v>
          </cell>
        </row>
        <row r="187">
          <cell r="E187" t="str">
            <v>L6983</v>
          </cell>
        </row>
        <row r="188">
          <cell r="E188" t="str">
            <v>L3924</v>
          </cell>
        </row>
        <row r="189">
          <cell r="E189" t="str">
            <v>L3440</v>
          </cell>
        </row>
        <row r="190">
          <cell r="E190" t="str">
            <v>L2077</v>
          </cell>
        </row>
        <row r="191">
          <cell r="E191" t="str">
            <v>L2932</v>
          </cell>
        </row>
        <row r="192">
          <cell r="E192" t="str">
            <v>L2632</v>
          </cell>
        </row>
        <row r="193">
          <cell r="E193" t="str">
            <v>L2076</v>
          </cell>
        </row>
        <row r="194">
          <cell r="E194" t="str">
            <v>L6981</v>
          </cell>
        </row>
        <row r="195">
          <cell r="E195" t="str">
            <v>L4322</v>
          </cell>
        </row>
        <row r="196">
          <cell r="E196" t="str">
            <v>L6031</v>
          </cell>
        </row>
        <row r="197">
          <cell r="E197" t="str">
            <v>L6032</v>
          </cell>
        </row>
        <row r="198">
          <cell r="E198" t="str">
            <v>L6301</v>
          </cell>
        </row>
        <row r="199">
          <cell r="E199" t="str">
            <v>L6302</v>
          </cell>
        </row>
        <row r="200">
          <cell r="E200" t="str">
            <v>L4320</v>
          </cell>
        </row>
        <row r="201">
          <cell r="E201" t="str">
            <v>L4031</v>
          </cell>
        </row>
        <row r="202">
          <cell r="E202" t="str">
            <v>L4321</v>
          </cell>
        </row>
        <row r="203">
          <cell r="E203" t="str">
            <v>L4325</v>
          </cell>
        </row>
        <row r="204">
          <cell r="E204" t="str">
            <v>L3932</v>
          </cell>
        </row>
        <row r="205">
          <cell r="E205" t="str">
            <v>L3721</v>
          </cell>
        </row>
        <row r="206">
          <cell r="E206" t="str">
            <v>L4931</v>
          </cell>
        </row>
        <row r="207">
          <cell r="E207" t="str">
            <v>L4721</v>
          </cell>
        </row>
        <row r="208">
          <cell r="E208" t="str">
            <v>L4030</v>
          </cell>
        </row>
        <row r="209">
          <cell r="E209" t="str">
            <v>L2980</v>
          </cell>
        </row>
        <row r="210">
          <cell r="E210" t="str">
            <v>L3923</v>
          </cell>
        </row>
        <row r="211">
          <cell r="E211" t="str">
            <v>L3711</v>
          </cell>
        </row>
        <row r="212">
          <cell r="E212" t="str">
            <v>L3712</v>
          </cell>
        </row>
        <row r="213">
          <cell r="E213" t="str">
            <v>L3701</v>
          </cell>
        </row>
        <row r="214">
          <cell r="E214" t="str">
            <v>L2079</v>
          </cell>
        </row>
        <row r="215">
          <cell r="E215" t="str">
            <v>L2702</v>
          </cell>
        </row>
        <row r="216">
          <cell r="E216" t="str">
            <v>L2072</v>
          </cell>
        </row>
        <row r="217">
          <cell r="E217" t="str">
            <v>L2073</v>
          </cell>
        </row>
        <row r="218">
          <cell r="E218" t="str">
            <v>L2703</v>
          </cell>
        </row>
        <row r="219">
          <cell r="E219" t="str">
            <v>L1908</v>
          </cell>
        </row>
        <row r="220">
          <cell r="E220" t="str">
            <v>L1108</v>
          </cell>
        </row>
        <row r="221">
          <cell r="E221" t="str">
            <v>L5060</v>
          </cell>
        </row>
        <row r="222">
          <cell r="E222" t="str">
            <v>L5960</v>
          </cell>
        </row>
        <row r="223">
          <cell r="E223" t="str">
            <v>L5961</v>
          </cell>
        </row>
        <row r="224">
          <cell r="E224" t="str">
            <v>L5601</v>
          </cell>
        </row>
        <row r="225">
          <cell r="E225" t="str">
            <v>L5962</v>
          </cell>
        </row>
        <row r="226">
          <cell r="E226" t="str">
            <v>L5602</v>
          </cell>
        </row>
        <row r="227">
          <cell r="E227" t="str">
            <v>L5963</v>
          </cell>
        </row>
        <row r="228">
          <cell r="E228" t="str">
            <v>L5603</v>
          </cell>
        </row>
        <row r="229">
          <cell r="E229" t="str">
            <v>L5964</v>
          </cell>
        </row>
        <row r="230">
          <cell r="E230" t="str">
            <v>L5604</v>
          </cell>
        </row>
        <row r="231">
          <cell r="E231" t="str">
            <v>L5605</v>
          </cell>
        </row>
        <row r="232">
          <cell r="E232" t="str">
            <v>L5965</v>
          </cell>
        </row>
        <row r="233">
          <cell r="E233" t="str">
            <v>L5061</v>
          </cell>
        </row>
        <row r="234">
          <cell r="E234" t="str">
            <v>L2078</v>
          </cell>
        </row>
        <row r="235">
          <cell r="E235" t="str">
            <v>L2601</v>
          </cell>
        </row>
        <row r="236">
          <cell r="E236" t="str">
            <v>L2602</v>
          </cell>
        </row>
        <row r="237">
          <cell r="E237" t="str">
            <v>L2941</v>
          </cell>
        </row>
        <row r="238">
          <cell r="E238" t="str">
            <v>L2942</v>
          </cell>
        </row>
        <row r="239">
          <cell r="E239" t="str">
            <v>L2603</v>
          </cell>
        </row>
        <row r="240">
          <cell r="E240" t="str">
            <v>L2605</v>
          </cell>
        </row>
        <row r="241">
          <cell r="E241" t="str">
            <v>L2613</v>
          </cell>
        </row>
        <row r="242">
          <cell r="E242" t="str">
            <v>L2614</v>
          </cell>
        </row>
        <row r="243">
          <cell r="E243" t="str">
            <v>L5705</v>
          </cell>
        </row>
        <row r="244">
          <cell r="E244" t="str">
            <v>L5706</v>
          </cell>
        </row>
        <row r="245">
          <cell r="E245" t="str">
            <v>L5071</v>
          </cell>
        </row>
        <row r="246">
          <cell r="E246" t="str">
            <v>L5971</v>
          </cell>
        </row>
        <row r="247">
          <cell r="E247" t="str">
            <v>L5972</v>
          </cell>
        </row>
        <row r="248">
          <cell r="E248" t="str">
            <v>L5973</v>
          </cell>
        </row>
        <row r="249">
          <cell r="E249" t="str">
            <v>L5707</v>
          </cell>
        </row>
        <row r="250">
          <cell r="E250" t="str">
            <v>L5708</v>
          </cell>
        </row>
        <row r="251">
          <cell r="E251" t="str">
            <v>L5709</v>
          </cell>
        </row>
        <row r="252">
          <cell r="E252" t="str">
            <v>L5975</v>
          </cell>
        </row>
        <row r="253">
          <cell r="E253" t="str">
            <v>L5075</v>
          </cell>
        </row>
        <row r="254">
          <cell r="E254" t="str">
            <v>L5701</v>
          </cell>
        </row>
        <row r="255">
          <cell r="E255" t="str">
            <v>L5981</v>
          </cell>
        </row>
        <row r="256">
          <cell r="E256" t="str">
            <v>L5974</v>
          </cell>
        </row>
        <row r="257">
          <cell r="E257" t="str">
            <v>L5703</v>
          </cell>
        </row>
        <row r="258">
          <cell r="E258" t="str">
            <v>L5970</v>
          </cell>
        </row>
        <row r="259">
          <cell r="E259" t="str">
            <v>L5704</v>
          </cell>
        </row>
        <row r="260">
          <cell r="E260" t="str">
            <v>L5073</v>
          </cell>
        </row>
        <row r="261">
          <cell r="E261" t="str">
            <v>L5074</v>
          </cell>
        </row>
        <row r="262">
          <cell r="E262" t="str">
            <v>L5702</v>
          </cell>
        </row>
        <row r="263">
          <cell r="E263" t="str">
            <v>L5710</v>
          </cell>
        </row>
        <row r="264">
          <cell r="E264" t="str">
            <v>L597A</v>
          </cell>
        </row>
        <row r="265">
          <cell r="E265" t="str">
            <v>L5511</v>
          </cell>
        </row>
        <row r="266">
          <cell r="E266" t="str">
            <v>L5512</v>
          </cell>
        </row>
        <row r="267">
          <cell r="E267" t="str">
            <v>L6081</v>
          </cell>
        </row>
        <row r="268">
          <cell r="E268" t="str">
            <v>L6751</v>
          </cell>
        </row>
        <row r="269">
          <cell r="E269" t="str">
            <v>L5402</v>
          </cell>
        </row>
        <row r="270">
          <cell r="E270" t="str">
            <v>L5021</v>
          </cell>
        </row>
        <row r="271">
          <cell r="E271" t="str">
            <v>L5401</v>
          </cell>
        </row>
        <row r="272">
          <cell r="E272" t="str">
            <v>L5024</v>
          </cell>
        </row>
        <row r="273">
          <cell r="E273" t="str">
            <v>L5405</v>
          </cell>
        </row>
        <row r="274">
          <cell r="E274" t="str">
            <v>L5022</v>
          </cell>
        </row>
        <row r="275">
          <cell r="E275" t="str">
            <v>L5407</v>
          </cell>
        </row>
        <row r="276">
          <cell r="E276" t="str">
            <v>L6085</v>
          </cell>
        </row>
        <row r="277">
          <cell r="E277" t="str">
            <v>L6755</v>
          </cell>
        </row>
        <row r="278">
          <cell r="E278" t="str">
            <v>L5023</v>
          </cell>
        </row>
        <row r="279">
          <cell r="E279" t="str">
            <v>L5406</v>
          </cell>
        </row>
        <row r="280">
          <cell r="E280" t="str">
            <v>L5908</v>
          </cell>
        </row>
        <row r="281">
          <cell r="E281" t="str">
            <v>L5909</v>
          </cell>
        </row>
        <row r="282">
          <cell r="E282" t="str">
            <v>L5910</v>
          </cell>
        </row>
        <row r="283">
          <cell r="E283" t="str">
            <v>L5911</v>
          </cell>
        </row>
        <row r="284">
          <cell r="E284" t="str">
            <v>L5912</v>
          </cell>
        </row>
        <row r="285">
          <cell r="E285" t="str">
            <v>L5051</v>
          </cell>
        </row>
        <row r="286">
          <cell r="E286" t="str">
            <v>L5501</v>
          </cell>
        </row>
        <row r="287">
          <cell r="E287" t="str">
            <v>L5052</v>
          </cell>
        </row>
        <row r="288">
          <cell r="E288" t="str">
            <v>L5502</v>
          </cell>
        </row>
        <row r="289">
          <cell r="E289" t="str">
            <v>L5053</v>
          </cell>
        </row>
        <row r="290">
          <cell r="E290" t="str">
            <v>L5503</v>
          </cell>
        </row>
        <row r="291">
          <cell r="E291" t="str">
            <v>L5054</v>
          </cell>
        </row>
        <row r="292">
          <cell r="E292" t="str">
            <v>L5504</v>
          </cell>
        </row>
        <row r="293">
          <cell r="E293" t="str">
            <v>L6932</v>
          </cell>
        </row>
        <row r="294">
          <cell r="E294" t="str">
            <v>L5951</v>
          </cell>
        </row>
        <row r="295">
          <cell r="E295" t="str">
            <v>L5510</v>
          </cell>
        </row>
        <row r="296">
          <cell r="E296" t="str">
            <v>L5952</v>
          </cell>
        </row>
        <row r="297">
          <cell r="E297" t="str">
            <v>L5953</v>
          </cell>
        </row>
        <row r="298">
          <cell r="E298" t="str">
            <v>L5959</v>
          </cell>
        </row>
        <row r="299">
          <cell r="E299" t="str">
            <v>L6087</v>
          </cell>
        </row>
        <row r="300">
          <cell r="E300" t="str">
            <v>L6787</v>
          </cell>
        </row>
        <row r="301">
          <cell r="E301" t="str">
            <v>L6994</v>
          </cell>
        </row>
        <row r="302">
          <cell r="E302" t="str">
            <v>L6757</v>
          </cell>
        </row>
        <row r="303">
          <cell r="E303" t="str">
            <v>L5500</v>
          </cell>
        </row>
        <row r="304">
          <cell r="E304" t="str">
            <v>L6503</v>
          </cell>
        </row>
        <row r="305">
          <cell r="E305" t="str">
            <v>L5903</v>
          </cell>
        </row>
        <row r="306">
          <cell r="E306" t="str">
            <v>L5103</v>
          </cell>
        </row>
        <row r="307">
          <cell r="E307" t="str">
            <v>L5104</v>
          </cell>
        </row>
        <row r="308">
          <cell r="E308" t="str">
            <v>L5901</v>
          </cell>
        </row>
        <row r="309">
          <cell r="E309" t="str">
            <v>L5101</v>
          </cell>
        </row>
        <row r="310">
          <cell r="E310" t="str">
            <v>L5902</v>
          </cell>
        </row>
        <row r="311">
          <cell r="E311" t="str">
            <v>L5102</v>
          </cell>
        </row>
        <row r="312">
          <cell r="E312" t="str">
            <v>L5905</v>
          </cell>
        </row>
        <row r="313">
          <cell r="E313" t="str">
            <v>L5105</v>
          </cell>
        </row>
        <row r="314">
          <cell r="E314" t="str">
            <v>L5106</v>
          </cell>
        </row>
        <row r="315">
          <cell r="E315" t="str">
            <v>L6077</v>
          </cell>
        </row>
        <row r="316">
          <cell r="E316" t="str">
            <v>L6707</v>
          </cell>
        </row>
        <row r="317">
          <cell r="E317" t="str">
            <v>L5906</v>
          </cell>
        </row>
        <row r="318">
          <cell r="E318" t="str">
            <v>L5116</v>
          </cell>
        </row>
        <row r="319">
          <cell r="E319" t="str">
            <v>L8921</v>
          </cell>
        </row>
        <row r="320">
          <cell r="E320" t="str">
            <v>L8201</v>
          </cell>
        </row>
        <row r="321">
          <cell r="E321" t="str">
            <v>L8924</v>
          </cell>
        </row>
        <row r="322">
          <cell r="E322" t="str">
            <v>L8202</v>
          </cell>
        </row>
        <row r="323">
          <cell r="E323" t="str">
            <v>L8922</v>
          </cell>
        </row>
        <row r="324">
          <cell r="E324" t="str">
            <v>L8203</v>
          </cell>
        </row>
        <row r="325">
          <cell r="E325" t="str">
            <v>L8923</v>
          </cell>
        </row>
        <row r="326">
          <cell r="E326" t="str">
            <v>L8204</v>
          </cell>
        </row>
        <row r="327">
          <cell r="E327" t="str">
            <v>L6030</v>
          </cell>
        </row>
        <row r="328">
          <cell r="E328" t="str">
            <v>L6310</v>
          </cell>
        </row>
        <row r="329">
          <cell r="E329" t="str">
            <v>L6041</v>
          </cell>
        </row>
        <row r="330">
          <cell r="E330" t="str">
            <v>L6401</v>
          </cell>
        </row>
        <row r="331">
          <cell r="E331" t="str">
            <v>L6042</v>
          </cell>
        </row>
        <row r="332">
          <cell r="E332" t="str">
            <v>L6402</v>
          </cell>
        </row>
        <row r="333">
          <cell r="E333" t="str">
            <v>L6043</v>
          </cell>
        </row>
        <row r="334">
          <cell r="E334" t="str">
            <v>L6403</v>
          </cell>
        </row>
        <row r="335">
          <cell r="E335" t="str">
            <v>L6044</v>
          </cell>
        </row>
        <row r="336">
          <cell r="E336" t="str">
            <v>L6501</v>
          </cell>
        </row>
        <row r="337">
          <cell r="E337" t="str">
            <v>L6061</v>
          </cell>
        </row>
        <row r="338">
          <cell r="E338" t="str">
            <v>L6601</v>
          </cell>
        </row>
        <row r="339">
          <cell r="E339" t="str">
            <v>L6062</v>
          </cell>
        </row>
        <row r="340">
          <cell r="E340" t="str">
            <v>L6602</v>
          </cell>
        </row>
        <row r="341">
          <cell r="E341" t="str">
            <v>L6064</v>
          </cell>
        </row>
        <row r="342">
          <cell r="E342" t="str">
            <v>L6604</v>
          </cell>
        </row>
        <row r="343">
          <cell r="E343" t="str">
            <v>L6065</v>
          </cell>
        </row>
        <row r="344">
          <cell r="E344" t="str">
            <v>L6605</v>
          </cell>
        </row>
        <row r="345">
          <cell r="E345" t="str">
            <v>L6066</v>
          </cell>
        </row>
        <row r="346">
          <cell r="E346" t="str">
            <v>L6606</v>
          </cell>
        </row>
        <row r="347">
          <cell r="E347" t="str">
            <v>L6067</v>
          </cell>
        </row>
        <row r="348">
          <cell r="E348" t="str">
            <v>L6607</v>
          </cell>
        </row>
        <row r="349">
          <cell r="E349" t="str">
            <v>L6071</v>
          </cell>
        </row>
        <row r="350">
          <cell r="E350" t="str">
            <v>L6701</v>
          </cell>
        </row>
        <row r="351">
          <cell r="E351" t="str">
            <v>L6072</v>
          </cell>
        </row>
        <row r="352">
          <cell r="E352" t="str">
            <v>L6702</v>
          </cell>
        </row>
        <row r="353">
          <cell r="E353" t="str">
            <v>L6073</v>
          </cell>
        </row>
        <row r="354">
          <cell r="E354" t="str">
            <v>L6703</v>
          </cell>
        </row>
        <row r="355">
          <cell r="E355" t="str">
            <v>L6074</v>
          </cell>
        </row>
        <row r="356">
          <cell r="E356" t="str">
            <v>L6704</v>
          </cell>
        </row>
        <row r="357">
          <cell r="E357" t="str">
            <v>L6075</v>
          </cell>
        </row>
        <row r="358">
          <cell r="E358" t="str">
            <v>L6705</v>
          </cell>
        </row>
        <row r="359">
          <cell r="E359" t="str">
            <v>L6078</v>
          </cell>
        </row>
        <row r="360">
          <cell r="E360" t="str">
            <v>L6708</v>
          </cell>
        </row>
        <row r="361">
          <cell r="E361" t="str">
            <v>L6083</v>
          </cell>
        </row>
        <row r="362">
          <cell r="E362" t="str">
            <v>L6753</v>
          </cell>
        </row>
        <row r="363">
          <cell r="E363" t="str">
            <v>L6052</v>
          </cell>
        </row>
        <row r="364">
          <cell r="E364" t="str">
            <v>L6502</v>
          </cell>
        </row>
        <row r="365">
          <cell r="E365" t="str">
            <v>L6103</v>
          </cell>
        </row>
        <row r="366">
          <cell r="E366" t="str">
            <v>L6068</v>
          </cell>
        </row>
        <row r="367">
          <cell r="E367" t="str">
            <v>L6608</v>
          </cell>
        </row>
        <row r="368">
          <cell r="E368" t="str">
            <v>L6104</v>
          </cell>
        </row>
        <row r="369">
          <cell r="E369" t="str">
            <v>L6086</v>
          </cell>
        </row>
        <row r="370">
          <cell r="E370" t="str">
            <v>L8112</v>
          </cell>
        </row>
        <row r="371">
          <cell r="E371" t="str">
            <v>L8701</v>
          </cell>
        </row>
        <row r="372">
          <cell r="E372" t="str">
            <v>L5801</v>
          </cell>
        </row>
        <row r="373">
          <cell r="E373" t="str">
            <v>L5811</v>
          </cell>
        </row>
        <row r="374">
          <cell r="E374" t="str">
            <v>L5812</v>
          </cell>
        </row>
        <row r="375">
          <cell r="E375" t="str">
            <v>L5982</v>
          </cell>
        </row>
        <row r="376">
          <cell r="E376" t="str">
            <v>L5813</v>
          </cell>
        </row>
        <row r="377">
          <cell r="E377" t="str">
            <v>L3731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已修復的外部連結1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1"/>
      <sheetName val="討論項目"/>
      <sheetName val="備註"/>
      <sheetName val="放款部"/>
      <sheetName val="PivotTable"/>
      <sheetName val="統計表"/>
    </sheetNames>
    <sheetDataSet>
      <sheetData sheetId="0">
        <row r="1">
          <cell r="D1" t="str">
            <v>功能代號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T-LAB-20211230"/>
      <sheetName val="工作表5"/>
      <sheetName val="SIT_1"/>
      <sheetName val="SIT_LAB2_20220131"/>
      <sheetName val="CASE"/>
      <sheetName val="UT_QA"/>
      <sheetName val="URS確認"/>
      <sheetName val="工作表4"/>
    </sheetNames>
    <sheetDataSet>
      <sheetData sheetId="0">
        <row r="1">
          <cell r="B1" t="str">
            <v>功能代號</v>
          </cell>
        </row>
        <row r="2">
          <cell r="B2" t="str">
            <v>L2001</v>
          </cell>
        </row>
        <row r="3">
          <cell r="B3" t="str">
            <v>L2101</v>
          </cell>
        </row>
        <row r="4">
          <cell r="B4" t="str">
            <v>L6302</v>
          </cell>
        </row>
        <row r="5">
          <cell r="B5" t="str">
            <v>L6032</v>
          </cell>
        </row>
        <row r="6">
          <cell r="B6" t="str">
            <v>L6031</v>
          </cell>
        </row>
        <row r="7">
          <cell r="B7" t="str">
            <v>L6301</v>
          </cell>
        </row>
        <row r="8">
          <cell r="B8" t="str">
            <v>L6069</v>
          </cell>
        </row>
        <row r="9">
          <cell r="B9" t="str">
            <v>L6064</v>
          </cell>
        </row>
        <row r="10">
          <cell r="B10" t="str">
            <v>L6604</v>
          </cell>
        </row>
        <row r="11">
          <cell r="B11" t="str">
            <v>L6062</v>
          </cell>
        </row>
        <row r="12">
          <cell r="B12" t="str">
            <v>L6602</v>
          </cell>
        </row>
        <row r="13">
          <cell r="B13" t="str">
            <v>L6065</v>
          </cell>
        </row>
        <row r="14">
          <cell r="B14" t="str">
            <v>L6605</v>
          </cell>
        </row>
        <row r="15">
          <cell r="B15" t="str">
            <v>L6066</v>
          </cell>
        </row>
        <row r="16">
          <cell r="B16" t="str">
            <v>L6606</v>
          </cell>
        </row>
        <row r="17">
          <cell r="B17" t="str">
            <v>L6071</v>
          </cell>
        </row>
        <row r="18">
          <cell r="B18" t="str">
            <v>L6701</v>
          </cell>
        </row>
        <row r="19">
          <cell r="B19" t="str">
            <v>L6073</v>
          </cell>
        </row>
        <row r="20">
          <cell r="B20" t="str">
            <v>L6703</v>
          </cell>
        </row>
        <row r="21">
          <cell r="B21" t="str">
            <v>L6022</v>
          </cell>
        </row>
        <row r="22">
          <cell r="B22" t="str">
            <v>L6202</v>
          </cell>
        </row>
        <row r="23">
          <cell r="B23" t="str">
            <v>L6074</v>
          </cell>
        </row>
        <row r="24">
          <cell r="B24" t="str">
            <v>L6704</v>
          </cell>
        </row>
        <row r="25">
          <cell r="B25" t="str">
            <v>L6075</v>
          </cell>
        </row>
        <row r="26">
          <cell r="B26" t="str">
            <v>L6705</v>
          </cell>
        </row>
        <row r="27">
          <cell r="B27" t="str">
            <v>L6078</v>
          </cell>
        </row>
        <row r="28">
          <cell r="B28" t="str">
            <v>L6708</v>
          </cell>
        </row>
        <row r="29">
          <cell r="B29" t="str">
            <v>L6077</v>
          </cell>
        </row>
        <row r="30">
          <cell r="B30" t="str">
            <v>L6707</v>
          </cell>
        </row>
        <row r="31">
          <cell r="B31" t="str">
            <v>L6601</v>
          </cell>
        </row>
        <row r="32">
          <cell r="B32" t="str">
            <v>L5901</v>
          </cell>
        </row>
        <row r="33">
          <cell r="B33" t="str">
            <v>L5101</v>
          </cell>
        </row>
        <row r="34">
          <cell r="B34" t="str">
            <v>L6072</v>
          </cell>
        </row>
        <row r="35">
          <cell r="B35" t="str">
            <v>L6702</v>
          </cell>
        </row>
        <row r="36">
          <cell r="B36" t="str">
            <v>L6042</v>
          </cell>
        </row>
        <row r="37">
          <cell r="B37" t="str">
            <v>L6402</v>
          </cell>
        </row>
        <row r="38">
          <cell r="B38" t="str">
            <v>L6943</v>
          </cell>
        </row>
        <row r="39">
          <cell r="B39" t="str">
            <v>L6043</v>
          </cell>
        </row>
        <row r="40">
          <cell r="B40" t="str">
            <v>L6403</v>
          </cell>
        </row>
        <row r="41">
          <cell r="B41" t="str">
            <v>L190A</v>
          </cell>
        </row>
        <row r="42">
          <cell r="B42" t="str">
            <v>L6030</v>
          </cell>
        </row>
        <row r="43">
          <cell r="B43" t="str">
            <v>L6310</v>
          </cell>
        </row>
        <row r="44">
          <cell r="B44" t="str">
            <v>L6085</v>
          </cell>
        </row>
        <row r="45">
          <cell r="B45" t="str">
            <v>L6755</v>
          </cell>
        </row>
        <row r="46">
          <cell r="B46" t="str">
            <v>L6086</v>
          </cell>
        </row>
        <row r="47">
          <cell r="B47" t="str">
            <v>L5022</v>
          </cell>
        </row>
        <row r="48">
          <cell r="B48" t="str">
            <v>L5407</v>
          </cell>
        </row>
        <row r="49">
          <cell r="B49" t="str">
            <v>L6932</v>
          </cell>
        </row>
        <row r="50">
          <cell r="B50" t="str">
            <v>L6501</v>
          </cell>
        </row>
        <row r="51">
          <cell r="B51" t="str">
            <v>L6068</v>
          </cell>
        </row>
        <row r="52">
          <cell r="B52" t="str">
            <v>L6608</v>
          </cell>
        </row>
        <row r="53">
          <cell r="B53" t="str">
            <v>L6502</v>
          </cell>
        </row>
        <row r="54">
          <cell r="B54" t="str">
            <v>L6052</v>
          </cell>
        </row>
        <row r="55">
          <cell r="B55" t="str">
            <v>L6082</v>
          </cell>
        </row>
        <row r="56">
          <cell r="B56" t="str">
            <v>L6752</v>
          </cell>
        </row>
        <row r="57">
          <cell r="B57" t="str">
            <v>L5402</v>
          </cell>
        </row>
        <row r="58">
          <cell r="B58" t="str">
            <v>L5021</v>
          </cell>
        </row>
        <row r="59">
          <cell r="B59" t="str">
            <v>L5401</v>
          </cell>
        </row>
        <row r="60">
          <cell r="B60" t="str">
            <v>L5023</v>
          </cell>
        </row>
        <row r="61">
          <cell r="B61" t="str">
            <v>L5406</v>
          </cell>
        </row>
        <row r="62">
          <cell r="B62" t="str">
            <v>L5024</v>
          </cell>
        </row>
        <row r="63">
          <cell r="B63" t="str">
            <v>L5405</v>
          </cell>
        </row>
        <row r="64">
          <cell r="B64" t="str">
            <v>L5914</v>
          </cell>
        </row>
        <row r="65">
          <cell r="B65" t="str">
            <v>L6751</v>
          </cell>
        </row>
        <row r="66">
          <cell r="B66" t="str">
            <v>L6081</v>
          </cell>
        </row>
        <row r="67">
          <cell r="B67" t="str">
            <v>L6087</v>
          </cell>
        </row>
        <row r="68">
          <cell r="B68" t="str">
            <v>L6787</v>
          </cell>
        </row>
        <row r="69">
          <cell r="B69" t="str">
            <v>L6084</v>
          </cell>
        </row>
        <row r="70">
          <cell r="B70" t="str">
            <v>L6754</v>
          </cell>
        </row>
        <row r="71">
          <cell r="B71" t="str">
            <v>L6757</v>
          </cell>
        </row>
        <row r="72">
          <cell r="B72" t="str">
            <v>L6994</v>
          </cell>
        </row>
        <row r="73">
          <cell r="B73" t="str">
            <v>L650C</v>
          </cell>
        </row>
        <row r="74">
          <cell r="B74" t="str">
            <v>L650A</v>
          </cell>
        </row>
        <row r="75">
          <cell r="B75" t="str">
            <v>L650B</v>
          </cell>
        </row>
        <row r="76">
          <cell r="B76" t="str">
            <v>L650D</v>
          </cell>
        </row>
        <row r="77">
          <cell r="B77" t="str">
            <v>L1907</v>
          </cell>
        </row>
        <row r="78">
          <cell r="B78" t="str">
            <v>L1107</v>
          </cell>
        </row>
        <row r="79">
          <cell r="B79" t="str">
            <v>L1908</v>
          </cell>
        </row>
        <row r="80">
          <cell r="B80" t="str">
            <v>L1108</v>
          </cell>
        </row>
        <row r="81">
          <cell r="B81" t="str">
            <v>L1109</v>
          </cell>
        </row>
        <row r="82">
          <cell r="B82" t="str">
            <v>L1909</v>
          </cell>
        </row>
        <row r="83">
          <cell r="B83" t="str">
            <v>L1001</v>
          </cell>
        </row>
        <row r="84">
          <cell r="B84" t="str">
            <v>L1103</v>
          </cell>
        </row>
        <row r="85">
          <cell r="B85" t="str">
            <v>L1104</v>
          </cell>
        </row>
        <row r="86">
          <cell r="B86" t="str">
            <v>L1101</v>
          </cell>
        </row>
        <row r="87">
          <cell r="B87" t="str">
            <v>L1111</v>
          </cell>
        </row>
        <row r="88">
          <cell r="B88" t="str">
            <v>L1102</v>
          </cell>
        </row>
        <row r="89">
          <cell r="B89" t="str">
            <v>L1110</v>
          </cell>
        </row>
        <row r="90">
          <cell r="B90" t="str">
            <v>L1905</v>
          </cell>
        </row>
        <row r="91">
          <cell r="B91" t="str">
            <v>L1105</v>
          </cell>
        </row>
        <row r="92">
          <cell r="B92" t="str">
            <v>L2072</v>
          </cell>
        </row>
        <row r="93">
          <cell r="B93" t="str">
            <v>L2702</v>
          </cell>
        </row>
        <row r="94">
          <cell r="B94" t="str">
            <v>L2073</v>
          </cell>
        </row>
        <row r="95">
          <cell r="B95" t="str">
            <v>L2703</v>
          </cell>
        </row>
        <row r="96">
          <cell r="B96" t="str">
            <v>LC009</v>
          </cell>
        </row>
        <row r="97">
          <cell r="B97" t="str">
            <v>L5116</v>
          </cell>
        </row>
        <row r="98">
          <cell r="B98" t="str">
            <v>L5906</v>
          </cell>
        </row>
        <row r="99">
          <cell r="B99" t="str">
            <v>L6907</v>
          </cell>
        </row>
        <row r="100">
          <cell r="B100" t="str">
            <v>L6901</v>
          </cell>
        </row>
        <row r="101">
          <cell r="B101" t="str">
            <v>L6906</v>
          </cell>
        </row>
        <row r="102">
          <cell r="B102" t="str">
            <v>L6061</v>
          </cell>
        </row>
        <row r="103">
          <cell r="B103" t="str">
            <v>L6903</v>
          </cell>
        </row>
        <row r="104">
          <cell r="B104" t="str">
            <v>L6902</v>
          </cell>
        </row>
        <row r="105">
          <cell r="B105" t="str">
            <v>L6908</v>
          </cell>
        </row>
        <row r="106">
          <cell r="B106" t="str">
            <v>L6044</v>
          </cell>
        </row>
        <row r="107">
          <cell r="B107" t="str">
            <v>L6104</v>
          </cell>
        </row>
        <row r="108">
          <cell r="B108" t="str">
            <v>L6041</v>
          </cell>
        </row>
        <row r="109">
          <cell r="B109" t="str">
            <v>L6401</v>
          </cell>
        </row>
        <row r="110">
          <cell r="B110" t="str">
            <v>L6103</v>
          </cell>
        </row>
        <row r="111">
          <cell r="B111" t="str">
            <v>L2010</v>
          </cell>
        </row>
        <row r="112">
          <cell r="B112" t="str">
            <v>L2111</v>
          </cell>
        </row>
        <row r="113">
          <cell r="B113" t="str">
            <v>L2112</v>
          </cell>
        </row>
        <row r="114">
          <cell r="B114" t="str">
            <v>L2060</v>
          </cell>
        </row>
        <row r="115">
          <cell r="B115" t="str">
            <v>L2600</v>
          </cell>
        </row>
        <row r="116">
          <cell r="B116" t="str">
            <v>L2151</v>
          </cell>
        </row>
        <row r="117">
          <cell r="B117" t="str">
            <v>L5902</v>
          </cell>
        </row>
        <row r="118">
          <cell r="B118" t="str">
            <v>L5102</v>
          </cell>
        </row>
        <row r="119">
          <cell r="B119" t="str">
            <v>L6063</v>
          </cell>
        </row>
        <row r="120">
          <cell r="B120" t="str">
            <v>L6603</v>
          </cell>
        </row>
        <row r="121">
          <cell r="B121" t="str">
            <v>L6067</v>
          </cell>
        </row>
        <row r="122">
          <cell r="B122" t="str">
            <v>L6607</v>
          </cell>
        </row>
        <row r="123">
          <cell r="B123" t="str">
            <v>L2015</v>
          </cell>
        </row>
        <row r="124">
          <cell r="B124" t="str">
            <v>L2154</v>
          </cell>
        </row>
        <row r="125">
          <cell r="B125" t="str">
            <v>L2153</v>
          </cell>
        </row>
        <row r="126">
          <cell r="B126" t="str">
            <v>L4410</v>
          </cell>
        </row>
        <row r="127">
          <cell r="B127" t="str">
            <v>L4042</v>
          </cell>
        </row>
        <row r="128">
          <cell r="B128" t="str">
            <v>L4941</v>
          </cell>
        </row>
        <row r="129">
          <cell r="B129" t="str">
            <v>L4940</v>
          </cell>
        </row>
        <row r="130">
          <cell r="B130" t="str">
            <v>L4040</v>
          </cell>
        </row>
        <row r="131">
          <cell r="B131" t="str">
            <v>L4041</v>
          </cell>
        </row>
        <row r="132">
          <cell r="B132" t="str">
            <v>L4412</v>
          </cell>
        </row>
        <row r="133">
          <cell r="B133" t="str">
            <v>L4043</v>
          </cell>
        </row>
        <row r="134">
          <cell r="B134" t="str">
            <v>L4942</v>
          </cell>
        </row>
        <row r="135">
          <cell r="B135" t="str">
            <v>L3001</v>
          </cell>
        </row>
        <row r="136">
          <cell r="B136" t="str">
            <v>L3120</v>
          </cell>
        </row>
        <row r="137">
          <cell r="B137" t="str">
            <v>L6984</v>
          </cell>
        </row>
        <row r="138">
          <cell r="B138" t="str">
            <v>L3003</v>
          </cell>
        </row>
        <row r="139">
          <cell r="B139" t="str">
            <v>L3916</v>
          </cell>
        </row>
        <row r="140">
          <cell r="B140" t="str">
            <v>L3002</v>
          </cell>
        </row>
        <row r="141">
          <cell r="B141" t="str">
            <v>L6001</v>
          </cell>
        </row>
        <row r="142">
          <cell r="B142" t="str">
            <v>L3912</v>
          </cell>
        </row>
        <row r="143">
          <cell r="B143" t="str">
            <v>L4101</v>
          </cell>
        </row>
        <row r="144">
          <cell r="B144" t="str">
            <v>L4102</v>
          </cell>
        </row>
        <row r="145">
          <cell r="B145" t="str">
            <v>L4001</v>
          </cell>
        </row>
        <row r="146">
          <cell r="B146" t="str">
            <v>L4901</v>
          </cell>
        </row>
        <row r="147">
          <cell r="B147" t="str">
            <v>LC003</v>
          </cell>
        </row>
        <row r="148">
          <cell r="B148" t="str">
            <v>L2916</v>
          </cell>
        </row>
        <row r="149">
          <cell r="B149" t="str">
            <v>L2416</v>
          </cell>
        </row>
        <row r="150">
          <cell r="B150" t="str">
            <v>L2915</v>
          </cell>
        </row>
        <row r="151">
          <cell r="B151" t="str">
            <v>L2415</v>
          </cell>
        </row>
        <row r="152">
          <cell r="B152" t="str">
            <v>L2911</v>
          </cell>
        </row>
        <row r="153">
          <cell r="B153" t="str">
            <v>L2411</v>
          </cell>
        </row>
        <row r="154">
          <cell r="B154" t="str">
            <v>L2914</v>
          </cell>
        </row>
        <row r="155">
          <cell r="B155" t="str">
            <v>L2414</v>
          </cell>
        </row>
        <row r="156">
          <cell r="B156" t="str">
            <v>L2913</v>
          </cell>
        </row>
        <row r="157">
          <cell r="B157" t="str">
            <v>L2413</v>
          </cell>
        </row>
        <row r="158">
          <cell r="B158" t="str">
            <v>L4965</v>
          </cell>
        </row>
        <row r="159">
          <cell r="B159" t="str">
            <v>L2016</v>
          </cell>
        </row>
        <row r="160">
          <cell r="B160" t="str">
            <v>L2912</v>
          </cell>
        </row>
        <row r="161">
          <cell r="B161" t="str">
            <v>L2412</v>
          </cell>
        </row>
        <row r="162">
          <cell r="B162" t="str">
            <v>L2918</v>
          </cell>
        </row>
        <row r="163">
          <cell r="B163" t="str">
            <v>L2418</v>
          </cell>
        </row>
        <row r="164">
          <cell r="B164" t="str">
            <v>L2038</v>
          </cell>
        </row>
        <row r="165">
          <cell r="B165" t="str">
            <v>L2017</v>
          </cell>
        </row>
        <row r="166">
          <cell r="B166" t="str">
            <v>L2417</v>
          </cell>
        </row>
        <row r="167">
          <cell r="B167" t="str">
            <v>L4060</v>
          </cell>
        </row>
        <row r="168">
          <cell r="B168" t="str">
            <v>LC700</v>
          </cell>
        </row>
        <row r="169">
          <cell r="B169" t="str">
            <v>L2039</v>
          </cell>
        </row>
        <row r="170">
          <cell r="B170" t="str">
            <v>L2480</v>
          </cell>
        </row>
        <row r="171">
          <cell r="B171" t="str">
            <v>L2020</v>
          </cell>
        </row>
        <row r="172">
          <cell r="B172" t="str">
            <v>L2902</v>
          </cell>
        </row>
        <row r="173">
          <cell r="B173" t="str">
            <v>L2250</v>
          </cell>
        </row>
        <row r="174">
          <cell r="B174" t="str">
            <v>L4600</v>
          </cell>
        </row>
        <row r="175">
          <cell r="B175" t="str">
            <v>L4610</v>
          </cell>
        </row>
        <row r="176">
          <cell r="B176" t="str">
            <v>L4964</v>
          </cell>
        </row>
        <row r="177">
          <cell r="B177" t="str">
            <v>L4611</v>
          </cell>
        </row>
        <row r="178">
          <cell r="B178" t="str">
            <v>L6905</v>
          </cell>
        </row>
        <row r="179">
          <cell r="B179" t="str">
            <v>L6904</v>
          </cell>
        </row>
        <row r="180">
          <cell r="B180" t="str">
            <v>L6079</v>
          </cell>
        </row>
        <row r="181">
          <cell r="B181" t="str">
            <v>L6709</v>
          </cell>
        </row>
        <row r="182">
          <cell r="B182" t="str">
            <v>LC800</v>
          </cell>
        </row>
        <row r="183">
          <cell r="B183" t="str">
            <v>L2021</v>
          </cell>
        </row>
        <row r="184">
          <cell r="B184" t="str">
            <v>L2221</v>
          </cell>
        </row>
        <row r="185">
          <cell r="B185" t="str">
            <v>L2022</v>
          </cell>
        </row>
        <row r="186">
          <cell r="B186" t="str">
            <v>L2036</v>
          </cell>
        </row>
        <row r="187">
          <cell r="B187" t="str">
            <v>L2035</v>
          </cell>
        </row>
        <row r="188">
          <cell r="B188" t="str">
            <v>L2305</v>
          </cell>
        </row>
        <row r="189">
          <cell r="B189" t="str">
            <v>L2222</v>
          </cell>
        </row>
        <row r="190">
          <cell r="B190" t="str">
            <v>L2903</v>
          </cell>
        </row>
        <row r="191">
          <cell r="B191" t="str">
            <v>L4414</v>
          </cell>
        </row>
        <row r="192">
          <cell r="B192" t="str">
            <v>L6982</v>
          </cell>
        </row>
        <row r="193">
          <cell r="B193" t="str">
            <v>L3943</v>
          </cell>
        </row>
        <row r="194">
          <cell r="B194" t="str">
            <v>L3009</v>
          </cell>
        </row>
        <row r="195">
          <cell r="B195" t="str">
            <v>L4701</v>
          </cell>
        </row>
        <row r="196">
          <cell r="B196" t="str">
            <v>L6101</v>
          </cell>
        </row>
        <row r="197">
          <cell r="B197" t="str">
            <v>L3007</v>
          </cell>
        </row>
        <row r="198">
          <cell r="B198" t="str">
            <v>L3210</v>
          </cell>
        </row>
        <row r="199">
          <cell r="B199" t="str">
            <v>L3005</v>
          </cell>
        </row>
        <row r="200">
          <cell r="B200" t="str">
            <v>L4210</v>
          </cell>
        </row>
        <row r="201">
          <cell r="B201" t="str">
            <v>L4921</v>
          </cell>
        </row>
        <row r="202">
          <cell r="B202" t="str">
            <v>L3913</v>
          </cell>
        </row>
        <row r="203">
          <cell r="B203" t="str">
            <v>L4200</v>
          </cell>
        </row>
        <row r="204">
          <cell r="B204" t="str">
            <v>L4205</v>
          </cell>
        </row>
        <row r="205">
          <cell r="B205" t="str">
            <v>L4103</v>
          </cell>
        </row>
        <row r="206">
          <cell r="B206" t="str">
            <v>L3220</v>
          </cell>
        </row>
        <row r="207">
          <cell r="B207" t="str">
            <v>L8100</v>
          </cell>
        </row>
        <row r="208">
          <cell r="B208" t="str">
            <v>L8080</v>
          </cell>
        </row>
        <row r="209">
          <cell r="B209" t="str">
            <v>L4450</v>
          </cell>
        </row>
        <row r="210">
          <cell r="B210" t="str">
            <v>L4453</v>
          </cell>
        </row>
        <row r="211">
          <cell r="B211" t="str">
            <v>L4452</v>
          </cell>
        </row>
        <row r="212">
          <cell r="B212" t="str">
            <v>L4943</v>
          </cell>
        </row>
        <row r="213">
          <cell r="B213" t="str">
            <v>L4451</v>
          </cell>
        </row>
        <row r="214">
          <cell r="B214" t="str">
            <v>L4002</v>
          </cell>
        </row>
        <row r="215">
          <cell r="B215" t="str">
            <v>L4920</v>
          </cell>
        </row>
        <row r="216">
          <cell r="B216" t="str">
            <v>L420B</v>
          </cell>
        </row>
        <row r="217">
          <cell r="B217" t="str">
            <v>L420A</v>
          </cell>
        </row>
        <row r="218">
          <cell r="B218" t="str">
            <v>L698A</v>
          </cell>
        </row>
        <row r="219">
          <cell r="B219" t="str">
            <v>L4604</v>
          </cell>
        </row>
        <row r="220">
          <cell r="B220" t="str">
            <v>L4961</v>
          </cell>
        </row>
        <row r="221">
          <cell r="B221" t="str">
            <v>L4960</v>
          </cell>
        </row>
        <row r="222">
          <cell r="B222" t="str">
            <v>L4605</v>
          </cell>
        </row>
        <row r="223">
          <cell r="B223" t="str">
            <v>L3721</v>
          </cell>
        </row>
        <row r="224">
          <cell r="B224" t="str">
            <v>L4030</v>
          </cell>
        </row>
        <row r="225">
          <cell r="B225" t="str">
            <v>L2980</v>
          </cell>
        </row>
        <row r="226">
          <cell r="B226" t="str">
            <v>L3921</v>
          </cell>
        </row>
        <row r="227">
          <cell r="B227" t="str">
            <v>L4201</v>
          </cell>
        </row>
        <row r="228">
          <cell r="B228" t="str">
            <v>L4602</v>
          </cell>
        </row>
        <row r="229">
          <cell r="B229" t="str">
            <v>L4601</v>
          </cell>
        </row>
        <row r="230">
          <cell r="B230" t="str">
            <v>L4962</v>
          </cell>
        </row>
        <row r="231">
          <cell r="B231" t="str">
            <v>L4607</v>
          </cell>
        </row>
        <row r="232">
          <cell r="B232" t="str">
            <v>L2605</v>
          </cell>
        </row>
        <row r="233">
          <cell r="B233" t="str">
            <v>L2078</v>
          </cell>
        </row>
        <row r="234">
          <cell r="B234" t="str">
            <v>L2941</v>
          </cell>
        </row>
        <row r="235">
          <cell r="B235" t="str">
            <v>L2942</v>
          </cell>
        </row>
        <row r="236">
          <cell r="B236" t="str">
            <v>L2603</v>
          </cell>
        </row>
        <row r="237">
          <cell r="B237" t="str">
            <v>L2601</v>
          </cell>
        </row>
        <row r="238">
          <cell r="B238" t="str">
            <v>L2602</v>
          </cell>
        </row>
        <row r="239">
          <cell r="B239" t="str">
            <v>L2613</v>
          </cell>
        </row>
        <row r="240">
          <cell r="B240" t="str">
            <v>L2614</v>
          </cell>
        </row>
        <row r="241">
          <cell r="B241" t="str">
            <v>L6070</v>
          </cell>
        </row>
        <row r="242">
          <cell r="B242" t="str">
            <v>L6700</v>
          </cell>
        </row>
        <row r="243">
          <cell r="B243" t="str">
            <v>L2921</v>
          </cell>
        </row>
        <row r="244">
          <cell r="B244" t="str">
            <v>L2801</v>
          </cell>
        </row>
        <row r="245">
          <cell r="B245" t="str">
            <v>LC011</v>
          </cell>
        </row>
        <row r="246">
          <cell r="B246" t="str">
            <v>LC001</v>
          </cell>
        </row>
        <row r="247">
          <cell r="B247" t="str">
            <v>L9110</v>
          </cell>
        </row>
        <row r="248">
          <cell r="B248" t="str">
            <v>LC002</v>
          </cell>
        </row>
        <row r="249">
          <cell r="B249" t="str">
            <v>LC005</v>
          </cell>
        </row>
        <row r="250">
          <cell r="B250" t="str">
            <v>L3901</v>
          </cell>
        </row>
        <row r="251">
          <cell r="B251" t="str">
            <v>L3110</v>
          </cell>
        </row>
        <row r="252">
          <cell r="B252" t="str">
            <v>L3100</v>
          </cell>
        </row>
        <row r="253">
          <cell r="B253" t="str">
            <v>L4322</v>
          </cell>
        </row>
        <row r="254">
          <cell r="B254" t="str">
            <v>L4031</v>
          </cell>
        </row>
        <row r="255">
          <cell r="B255" t="str">
            <v>L4321</v>
          </cell>
        </row>
        <row r="256">
          <cell r="B256" t="str">
            <v>L4931</v>
          </cell>
        </row>
        <row r="257">
          <cell r="B257" t="str">
            <v>L3932</v>
          </cell>
        </row>
        <row r="258">
          <cell r="B258" t="str">
            <v>L4320</v>
          </cell>
        </row>
        <row r="259">
          <cell r="B259" t="str">
            <v>L4721</v>
          </cell>
        </row>
        <row r="260">
          <cell r="B260" t="str">
            <v>L5912</v>
          </cell>
        </row>
        <row r="261">
          <cell r="B261" t="str">
            <v>L5910</v>
          </cell>
        </row>
        <row r="262">
          <cell r="B262" t="str">
            <v>L2064</v>
          </cell>
        </row>
        <row r="263">
          <cell r="B263" t="str">
            <v>L3230</v>
          </cell>
        </row>
        <row r="264">
          <cell r="B264" t="str">
            <v>L4603</v>
          </cell>
        </row>
        <row r="265">
          <cell r="B265" t="str">
            <v>L4606</v>
          </cell>
        </row>
        <row r="266">
          <cell r="B266" t="str">
            <v>L492A</v>
          </cell>
        </row>
        <row r="267">
          <cell r="B267" t="str">
            <v>L4966</v>
          </cell>
        </row>
        <row r="268">
          <cell r="B268" t="str">
            <v>L6023</v>
          </cell>
        </row>
        <row r="269">
          <cell r="B269" t="str">
            <v>L6203</v>
          </cell>
        </row>
        <row r="270">
          <cell r="B270"/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58.535893749999" createdVersion="7" refreshedVersion="7" minRefreshableVersion="3" recordCount="93" xr:uid="{00000000-000A-0000-FFFF-FFFF04000000}">
  <cacheSource type="worksheet">
    <worksheetSource ref="A1:I1048576" sheet="待辦事項"/>
  </cacheSource>
  <cacheFields count="9">
    <cacheField name="會議日期" numFmtId="0">
      <sharedItems containsNonDate="0" containsDate="1" containsString="0" containsBlank="1" minDate="2021-07-19T00:00:00" maxDate="2021-11-30T00:00:00" count="35">
        <d v="2021-07-22T00:00:00"/>
        <d v="2021-07-20T00:00:00"/>
        <d v="2021-07-21T00:00:00"/>
        <d v="2021-07-23T00:00:00"/>
        <d v="2021-07-26T00:00:00"/>
        <d v="2021-07-28T00:00:00"/>
        <d v="2021-07-27T00:00:00"/>
        <d v="2021-07-19T00:00:00"/>
        <d v="2021-08-23T00:00:00"/>
        <d v="2021-08-24T00:00:00"/>
        <d v="2021-08-25T00:00:00"/>
        <d v="2021-08-30T00:00:00"/>
        <d v="2021-08-31T00:00:00"/>
        <d v="2021-09-13T00:00:00"/>
        <d v="2021-09-16T00:00:00"/>
        <d v="2021-09-23T00:00:00"/>
        <d v="2021-09-24T00:00:00"/>
        <d v="2021-09-28T00:00:00"/>
        <d v="2021-09-29T00:00:00"/>
        <d v="2021-10-12T00:00:00"/>
        <d v="2021-10-15T00:00:00"/>
        <d v="2021-10-18T00:00:00"/>
        <d v="2021-10-19T00:00:00"/>
        <d v="2021-10-21T00:00:00"/>
        <d v="2021-10-22T00:00:00"/>
        <d v="2021-10-25T00:00:00"/>
        <d v="2021-10-27T00:00:00"/>
        <d v="2021-11-03T00:00:00"/>
        <d v="2021-11-04T00:00:00"/>
        <d v="2021-11-17T00:00:00"/>
        <d v="2021-10-29T00:00:00"/>
        <d v="2021-11-24T00:00:00"/>
        <d v="2021-11-25T00:00:00"/>
        <d v="2021-11-29T00:00:00"/>
        <m/>
      </sharedItems>
    </cacheField>
    <cacheField name="seq" numFmtId="0">
      <sharedItems containsString="0" containsBlank="1" containsNumber="1" containsInteger="1" minValue="1" maxValue="9"/>
    </cacheField>
    <cacheField name="待辦事項" numFmtId="0">
      <sharedItems containsBlank="1"/>
    </cacheField>
    <cacheField name="負責人" numFmtId="0">
      <sharedItems containsBlank="1"/>
    </cacheField>
    <cacheField name="參考" numFmtId="0">
      <sharedItems containsBlank="1"/>
    </cacheField>
    <cacheField name="協助" numFmtId="0">
      <sharedItems containsBlank="1"/>
    </cacheField>
    <cacheField name="預計完工日" numFmtId="14">
      <sharedItems containsDate="1" containsBlank="1" containsMixedTypes="1" minDate="2021-02-28T00:00:00" maxDate="2022-03-01T00:00:00" count="42">
        <d v="2021-07-26T00:00:00"/>
        <d v="2021-07-30T00:00:00"/>
        <d v="2021-08-06T00:00:00"/>
        <d v="2021-08-11T00:00:00"/>
        <d v="2021-08-13T00:00:00"/>
        <d v="2021-08-20T00:00:00"/>
        <d v="2021-02-28T00:00:00"/>
        <d v="2021-08-31T00:00:00"/>
        <s v="於業績討論時提出"/>
        <d v="2021-09-15T00:00:00"/>
        <d v="2021-09-03T00:00:00"/>
        <d v="2021-12-30T00:00:00"/>
        <d v="2022-01-31T00:00:00"/>
        <d v="2021-08-27T00:00:00"/>
        <d v="2021-12-17T00:00:00"/>
        <d v="2021-09-10T00:00:00"/>
        <d v="2021-09-30T00:00:00"/>
        <d v="2021-09-27T00:00:00"/>
        <d v="2021-10-05T00:00:00"/>
        <d v="2021-09-28T00:00:00"/>
        <d v="2021-10-08T00:00:00"/>
        <d v="2021-10-06T00:00:00"/>
        <d v="2021-10-18T00:00:00"/>
        <d v="2021-10-29T00:00:00"/>
        <d v="2021-10-22T00:00:00"/>
        <d v="2021-10-27T00:00:00"/>
        <d v="2021-10-26T00:00:00"/>
        <d v="2021-11-01T00:00:00"/>
        <d v="2021-10-25T00:00:00"/>
        <d v="2022-02-28T00:00:00"/>
        <d v="2021-11-30T00:00:00"/>
        <d v="2021-11-26T00:00:00"/>
        <s v="請盡速與負責人確認"/>
        <d v="2021-11-05T00:00:00"/>
        <m/>
        <d v="2021-11-15T00:00:00"/>
        <d v="2021-12-31T00:00:00"/>
        <d v="2021-11-29T00:00:00"/>
        <s v="請盡速提供完成時間" u="1"/>
        <d v="2021-08-30T00:00:00" u="1"/>
        <d v="2021-11-19T00:00:00" u="1"/>
        <d v="2021-07-21T00:00:00" u="1"/>
      </sharedItems>
    </cacheField>
    <cacheField name="執行狀況" numFmtId="0">
      <sharedItems containsBlank="1" longText="1"/>
    </cacheField>
    <cacheField name="實際完工日" numFmtId="0">
      <sharedItems containsDate="1" containsBlank="1" containsMixedTypes="1" minDate="2021-07-23T00:00:00" maxDate="2021-12-24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58.535895138892" createdVersion="7" refreshedVersion="7" minRefreshableVersion="3" recordCount="627" xr:uid="{00000000-000A-0000-FFFF-FFFF03000000}">
  <cacheSource type="worksheet">
    <worksheetSource ref="A1:G1048576" sheet="討論項目"/>
  </cacheSource>
  <cacheFields count="7">
    <cacheField name="交易" numFmtId="0">
      <sharedItems containsBlank="1" count="270">
        <m/>
        <s v="L6082"/>
        <s v="L6752"/>
        <s v="L5402"/>
        <s v="L5021"/>
        <s v="L5401"/>
        <s v="L5405"/>
        <s v="L5023"/>
        <s v="L5406"/>
        <s v="L5022"/>
        <s v="L5407"/>
        <s v="L6751"/>
        <s v="L6787"/>
        <s v="L6501"/>
        <s v="L6994"/>
        <s v="L6754"/>
        <s v="L6757"/>
        <s v="L5500"/>
        <s v="L3100"/>
        <s v="L5951"/>
        <s v="L5952"/>
        <s v="LD006"/>
        <s v="LD007"/>
        <s v="L1001"/>
        <s v="L1101"/>
        <s v="L1103"/>
        <s v="L1105"/>
        <s v="L2017"/>
        <s v="L190A"/>
        <s v="L1908"/>
        <s v="L1108"/>
        <s v="L1102"/>
        <s v="L1104"/>
        <s v="L1106"/>
        <s v="L9726"/>
        <s v="L6301"/>
        <s v="L6302"/>
        <s v="L2101"/>
        <s v="L2010"/>
        <s v="L2111"/>
        <s v="L2153"/>
        <s v="L2112"/>
        <s v="L2015"/>
        <s v="L2154"/>
        <s v="L2016"/>
        <s v="LC011"/>
        <s v="L6700"/>
        <s v="L2921"/>
        <s v="L2801"/>
        <s v="L2020"/>
        <s v="L2250"/>
        <s v="L2902"/>
        <s v="L2221"/>
        <s v="L2038"/>
        <s v="L2411"/>
        <s v="L2415"/>
        <s v="L2911"/>
        <s v="L2041"/>
        <s v="L2042"/>
        <s v="L2412"/>
        <s v="L2049"/>
        <s v="L2919"/>
        <s v="L2922"/>
        <s v="L2047"/>
        <s v="L2413"/>
        <s v="L2913"/>
        <s v="L2414"/>
        <s v="L2702"/>
        <s v="L2072"/>
        <s v="L9110"/>
        <s v="L3002"/>
        <s v="L3916"/>
        <s v="L4101"/>
        <s v="L8080"/>
        <s v="L3110"/>
        <s v="L6984"/>
        <s v="L3912"/>
        <s v="L3005"/>
        <s v="L3721"/>
        <s v="L2060"/>
        <s v="L2600"/>
        <s v="L4042"/>
        <s v="L4410"/>
        <s v="L4940"/>
        <s v="L4941"/>
        <s v="L4043"/>
        <s v="L4412"/>
        <s v="L3220"/>
        <s v="L6101"/>
        <s v="L3007"/>
        <s v="L3008"/>
        <s v="L3009"/>
        <s v="L3943"/>
        <s v="L3230"/>
        <s v="L2061"/>
        <s v="L2670"/>
        <s v="L2062"/>
        <s v="L6908"/>
        <s v="L4600"/>
        <s v="L4611"/>
        <s v="L4601"/>
        <s v="L4603"/>
        <s v="L4450"/>
        <s v="L4451"/>
        <s v="L4452"/>
        <s v="L4453"/>
        <s v="L4943"/>
        <s v="L698A"/>
        <s v="L5701"/>
        <s v="L5075"/>
        <s v="L5071"/>
        <s v="L5970"/>
        <s v="L597A"/>
        <s v="L5709"/>
        <s v="L5710"/>
        <s v="L5971"/>
        <s v="L6755"/>
        <s v="L6085"/>
        <s v="L6086"/>
        <s v="L6064"/>
        <s v="L6604"/>
        <s v="L6030"/>
        <s v="L6074"/>
        <s v="L6704"/>
        <s v="L6075"/>
        <s v="L6705"/>
        <s v="L6401"/>
        <s v="L6703"/>
        <s v="L6052"/>
        <s v="L6502"/>
        <s v="L4510"/>
        <s v="L4200"/>
        <s v="L4511"/>
        <s v="L4520"/>
        <s v="L6905"/>
        <s v="L6001"/>
        <s v="L2078"/>
        <s v="L3130"/>
        <s v="L4002"/>
        <s v="L4210"/>
        <s v="L4201"/>
        <s v="L4920"/>
        <s v="L4702"/>
        <s v="L4703"/>
        <s v="L4"/>
        <s v="L8204"/>
        <s v="L3926"/>
        <s v="L8032"/>
        <s v="L8038"/>
        <s v="L8039"/>
        <s v="L8062"/>
        <s v="L4454"/>
        <s v="L4930"/>
        <s v="L4925"/>
        <s v="L3731"/>
        <s v="L9133"/>
        <s v="L6102"/>
        <s v="L4965"/>
        <s v="L4604"/>
        <s v="L4606"/>
        <s v="L6985"/>
        <s v="L6031"/>
        <s v="L6032"/>
        <s v="L4320"/>
        <s v="L4031"/>
        <s v="L4931"/>
        <s v="L4321"/>
        <s v="L4030"/>
        <s v="L2980"/>
        <s v="L3911"/>
        <s v="L3913"/>
        <s v="L2631"/>
        <s v="L2023"/>
        <s v="L2703"/>
        <s v="L2039"/>
        <s v="L2480"/>
        <s v="L5060"/>
        <s v="L5961"/>
        <s v="L5962"/>
        <s v="L5963"/>
        <s v="L5964"/>
        <s v="L5965"/>
        <s v="L5601"/>
        <s v="L5602"/>
        <s v="L5603"/>
        <s v="L5604"/>
        <s v="L5605"/>
        <s v="L5061"/>
        <s v="L5902"/>
        <s v="L5102"/>
        <s v="L5905"/>
        <s v="L5105"/>
        <s v="L8201"/>
        <s v="L8202"/>
        <s v="L8203"/>
        <s v="L8923"/>
        <s v="L8924"/>
        <s v="L5811"/>
        <s v="L5982"/>
        <s v="L5812"/>
        <s v="L5813"/>
        <s v="L8701"/>
        <s v="L5101"/>
        <s v="L5903"/>
        <s v="L5103"/>
        <s v="L5104"/>
        <s v="LC003"/>
        <s v="L2076"/>
        <s v="L8336"/>
        <s v="L8301~L8337"/>
        <s v="L7202"/>
        <s v="L7210"/>
        <s v="L7204"/>
        <s v="L7904"/>
        <s v="L7203"/>
        <s v="L7901"/>
        <s v="L7902"/>
        <s v="L8401"/>
        <s v="L8402"/>
        <s v="L2418"/>
        <s v="L2632"/>
        <s v="L2077"/>
        <s v="L8350"/>
        <s v="L8351"/>
        <s v="L8950"/>
        <s v="L5801"/>
        <s v="L5051"/>
        <s v="L5501"/>
        <s v="L5052"/>
        <s v="L5502"/>
        <s v="LC012"/>
        <s v="L6041"/>
        <s v="L6608"/>
        <s v="L6044"/>
        <s v="L6932"/>
        <s v="L6403"/>
        <s v="L6943"/>
        <s v="L6103"/>
        <s v="L6104"/>
        <s v="L8101"/>
        <s v="L8084"/>
        <s v="L8084 " u="1"/>
        <s v="L5952 " u="1"/>
        <s v="L8351 " u="1"/>
        <s v="L2632 " u="1"/>
        <s v="L5502 " u="1"/>
        <s v="L6041 " u="1"/>
        <s v="LC012 " u="1"/>
        <s v="L6943 " u="1"/>
        <s v="L2077 " u="1"/>
        <s v="LD007 " u="1"/>
        <s v="L6103 " u="1"/>
        <s v="L6403 " u="1"/>
        <s v="L6401 " u="1"/>
        <s v="L8336  " u="1"/>
        <s v="L6932 " u="1"/>
        <s v="L5951 " u="1"/>
        <s v="L8350 " u="1"/>
        <s v="L8950 " u="1"/>
        <s v="L2631 " u="1"/>
        <s v="L6044 " u="1"/>
        <s v="L5501 " u="1"/>
        <s v="L5801 " u="1"/>
        <s v="L2418 " u="1"/>
        <s v="L2076 " u="1"/>
        <s v="LD006 " u="1"/>
        <s v="L6608 " u="1"/>
        <s v="L6104 " u="1"/>
        <s v="L3230 " u="1"/>
        <s v="L5052 " u="1"/>
      </sharedItems>
    </cacheField>
    <cacheField name="交易說明" numFmtId="0">
      <sharedItems containsBlank="1"/>
    </cacheField>
    <cacheField name="序_x000a_號" numFmtId="0">
      <sharedItems containsString="0" containsBlank="1" containsNumber="1" containsInteger="1" minValue="1" maxValue="20"/>
    </cacheField>
    <cacheField name="調整說明" numFmtId="0">
      <sharedItems containsBlank="1" longText="1"/>
    </cacheField>
    <cacheField name="會議日期" numFmtId="0">
      <sharedItems containsNonDate="0" containsDate="1" containsString="0" containsBlank="1" minDate="2021-07-19T00:00:00" maxDate="2021-12-04T00:00:00" count="52">
        <m/>
        <d v="2021-07-19T00:00:00"/>
        <d v="2021-07-20T00:00:00"/>
        <d v="2021-07-21T00:00:00"/>
        <d v="2021-07-22T00:00:00"/>
        <d v="2021-07-23T00:00:00"/>
        <d v="2021-07-26T00:00:00"/>
        <d v="2021-07-27T00:00:00"/>
        <d v="2021-07-28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8T00:00:00"/>
        <d v="2021-09-09T00:00:00"/>
        <d v="2021-09-13T00:00:00"/>
        <d v="2021-09-14T00:00:00"/>
        <d v="2021-09-16T00:00:00"/>
        <d v="2021-09-17T00:00:00"/>
        <d v="2021-09-23T00:00:00"/>
        <d v="2021-09-24T00:00:00"/>
        <d v="2021-09-27T00:00:00"/>
        <d v="2021-09-28T00:00:00"/>
        <d v="2021-09-29T00:00:00"/>
        <d v="2021-10-01T00:00:00"/>
        <d v="2021-10-06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1T00:00:00"/>
        <d v="2021-10-22T00:00:00"/>
        <d v="2021-10-25T00:00:00"/>
        <d v="2021-10-27T00:00:00"/>
        <d v="2021-10-29T00:00:00"/>
        <d v="2021-11-03T00:00:00"/>
        <d v="2021-11-05T00:00:00"/>
        <d v="2021-11-17T00:00:00"/>
        <d v="2021-11-30T00:00:00"/>
        <d v="2021-11-25T00:00:00"/>
        <d v="2021-11-24T00:00:00"/>
        <d v="2021-11-18T00:00:00"/>
        <d v="2021-12-03T00:00:00"/>
        <d v="2021-11-29T00:00:00"/>
        <d v="2021-11-26T00:00:00"/>
        <d v="2021-11-04T00:00:00" u="1"/>
      </sharedItems>
    </cacheField>
    <cacheField name="預定完成日" numFmtId="0">
      <sharedItems containsDate="1" containsBlank="1" containsMixedTypes="1" minDate="2021-07-22T00:00:00" maxDate="2022-03-01T00:00:00"/>
    </cacheField>
    <cacheField name="完成日期" numFmtId="0">
      <sharedItems containsDate="1" containsBlank="1" containsMixedTypes="1" minDate="2021-07-21T00:00:00" maxDate="2021-12-23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58.535895601854" createdVersion="7" refreshedVersion="7" minRefreshableVersion="3" recordCount="552" xr:uid="{00000000-000A-0000-FFFF-FFFF02000000}">
  <cacheSource type="worksheet">
    <worksheetSource ref="A1:V1048576" sheet="URS確認"/>
  </cacheSource>
  <cacheFields count="22">
    <cacheField name="URS程式預計完成時間" numFmtId="14">
      <sharedItems containsNonDate="0" containsDate="1" containsString="0" containsBlank="1" minDate="2021-12-22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11-29T00:00:00"/>
        <d v="2021-07-20T00:00:00"/>
        <d v="2021-07-19T00:00:00"/>
        <d v="2021-07-21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11-18T00:00:00"/>
        <d v="2021-11-17T00:00:00"/>
        <d v="2021-11-23T00:00:00"/>
        <d v="2021-11-19T00:00:00"/>
        <d v="2021-11-30T00:00:00"/>
        <d v="2021-12-03T00:00:00"/>
        <m/>
      </sharedItems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Date="1" containsBlank="1" containsMixedTypes="1" minDate="2021-06-25T00:00:00" maxDate="2021-12-2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1899-12-31T04:01:03" maxDate="2021-12-04T00:00:00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58.535896643516" createdVersion="7" refreshedVersion="7" minRefreshableVersion="3" recordCount="552" xr:uid="{00000000-000A-0000-FFFF-FFFF01000000}">
  <cacheSource type="worksheet">
    <worksheetSource ref="A1:AN1048576" sheet="URS確認"/>
  </cacheSource>
  <cacheFields count="40">
    <cacheField name="URS程式預計完成時間" numFmtId="14">
      <sharedItems containsNonDate="0" containsDate="1" containsString="0" containsBlank="1" minDate="2021-12-22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11-29T00:00:00"/>
        <d v="2021-07-20T00:00:00"/>
        <d v="2021-07-19T00:00:00"/>
        <d v="2021-07-21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11-18T00:00:00"/>
        <d v="2021-11-17T00:00:00"/>
        <d v="2021-11-23T00:00:00"/>
        <d v="2021-11-19T00:00:00"/>
        <d v="2021-11-30T00:00:00"/>
        <d v="2021-12-03T00:00:00"/>
        <m/>
      </sharedItems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Date="1" containsBlank="1" containsMixedTypes="1" minDate="2021-06-25T00:00:00" maxDate="2021-12-2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1899-12-31T04:01:03" maxDate="2021-12-04T00:00:00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程式完成" numFmtId="0">
      <sharedItems containsDate="1" containsBlank="1" containsMixedTypes="1" minDate="2021-07-25T00:00:00" maxDate="2021-12-21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7-20T00:00:00" maxDate="2021-12-21T00:00:00"/>
    </cacheField>
    <cacheField name="二審實際" numFmtId="0">
      <sharedItems containsNonDate="0" containsDate="1" containsString="0" containsBlank="1" minDate="2021-07-19T00:00:00" maxDate="2021-12-21T00:00:00"/>
    </cacheField>
    <cacheField name="正式_x000a_交付審查" numFmtId="0">
      <sharedItems containsDate="1" containsBlank="1" containsMixedTypes="1" minDate="2021-10-01T00:00:00" maxDate="2021-12-21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Blank="1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 longText="1"/>
    </cacheField>
    <cacheField name="需二審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58.535898495371" createdVersion="7" refreshedVersion="7" minRefreshableVersion="3" recordCount="552" xr:uid="{00000000-000A-0000-FFFF-FFFF00000000}">
  <cacheSource type="worksheet">
    <worksheetSource ref="A1:AO1048576" sheet="URS確認"/>
  </cacheSource>
  <cacheFields count="42">
    <cacheField name="URS程式預計完成時間" numFmtId="14">
      <sharedItems containsNonDate="0" containsDate="1" containsString="0" containsBlank="1" minDate="2021-12-22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11-29T00:00:00"/>
        <d v="2021-07-20T00:00:00"/>
        <d v="2021-07-19T00:00:00"/>
        <d v="2021-07-21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11-18T00:00:00"/>
        <d v="2021-11-17T00:00:00"/>
        <d v="2021-11-23T00:00:00"/>
        <d v="2021-11-19T00:00:00"/>
        <d v="2021-11-30T00:00:00"/>
        <d v="2021-12-03T00:00:00"/>
        <m/>
      </sharedItems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Date="1" containsBlank="1" containsMixedTypes="1" minDate="2021-06-25T00:00:00" maxDate="2021-12-2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1899-12-31T04:01:03" maxDate="2021-12-04T00:00:00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程式完成" numFmtId="0">
      <sharedItems containsDate="1" containsBlank="1" containsMixedTypes="1" minDate="2021-07-25T00:00:00" maxDate="2021-12-21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7-20T00:00:00" maxDate="2021-12-21T00:00:00"/>
    </cacheField>
    <cacheField name="二審實際" numFmtId="0">
      <sharedItems containsNonDate="0" containsDate="1" containsString="0" containsBlank="1" minDate="2021-07-19T00:00:00" maxDate="2021-12-21T00:00:00"/>
    </cacheField>
    <cacheField name="正式_x000a_交付審查" numFmtId="0">
      <sharedItems containsDate="1" containsBlank="1" containsMixedTypes="1" minDate="2021-10-01T00:00:00" maxDate="2021-12-21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Blank="1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 longText="1"/>
    </cacheField>
    <cacheField name="需二審" numFmtId="0">
      <sharedItems containsBlank="1"/>
    </cacheField>
    <cacheField name="2021/11/26OK" numFmtId="181">
      <sharedItems containsNonDate="0" containsDate="1" containsString="0" containsBlank="1" minDate="2021-10-01T00:00:00" maxDate="2021-12-07T00:00:00" count="10">
        <d v="2021-10-01T00:00:00"/>
        <d v="2021-11-15T00:00:00"/>
        <d v="2021-10-18T00:00:00"/>
        <d v="2021-11-23T00:00:00"/>
        <d v="2021-11-26T00:00:00"/>
        <d v="2021-11-12T00:00:00"/>
        <d v="2021-12-03T00:00:00"/>
        <m/>
        <d v="2021-10-20T00:00:00"/>
        <d v="2021-12-06T00:00:00"/>
      </sharedItems>
      <fieldGroup par="41" base="40">
        <rangePr groupBy="days" startDate="2021-10-01T00:00:00" endDate="2021-12-07T00:00:00"/>
        <groupItems count="368">
          <s v="(空白)"/>
          <s v="1月1日"/>
          <s v="1月2日"/>
          <s v="1月3日"/>
          <s v="1月4日"/>
          <s v="1月5日"/>
          <s v="1月6日"/>
          <s v="1月7日"/>
          <s v="1月8日"/>
          <s v="1月9日"/>
          <s v="1月10日"/>
          <s v="1月11日"/>
          <s v="1月12日"/>
          <s v="1月13日"/>
          <s v="1月14日"/>
          <s v="1月15日"/>
          <s v="1月16日"/>
          <s v="1月17日"/>
          <s v="1月18日"/>
          <s v="1月19日"/>
          <s v="1月20日"/>
          <s v="1月21日"/>
          <s v="1月22日"/>
          <s v="1月23日"/>
          <s v="1月24日"/>
          <s v="1月25日"/>
          <s v="1月26日"/>
          <s v="1月27日"/>
          <s v="1月28日"/>
          <s v="1月29日"/>
          <s v="1月30日"/>
          <s v="1月31日"/>
          <s v="2月1日"/>
          <s v="2月2日"/>
          <s v="2月3日"/>
          <s v="2月4日"/>
          <s v="2月5日"/>
          <s v="2月6日"/>
          <s v="2月7日"/>
          <s v="2月8日"/>
          <s v="2月9日"/>
          <s v="2月10日"/>
          <s v="2月11日"/>
          <s v="2月12日"/>
          <s v="2月13日"/>
          <s v="2月14日"/>
          <s v="2月15日"/>
          <s v="2月16日"/>
          <s v="2月17日"/>
          <s v="2月18日"/>
          <s v="2月19日"/>
          <s v="2月20日"/>
          <s v="2月21日"/>
          <s v="2月22日"/>
          <s v="2月23日"/>
          <s v="2月24日"/>
          <s v="2月25日"/>
          <s v="2月26日"/>
          <s v="2月27日"/>
          <s v="2月28日"/>
          <s v="2月29日"/>
          <s v="3月1日"/>
          <s v="3月2日"/>
          <s v="3月3日"/>
          <s v="3月4日"/>
          <s v="3月5日"/>
          <s v="3月6日"/>
          <s v="3月7日"/>
          <s v="3月8日"/>
          <s v="3月9日"/>
          <s v="3月10日"/>
          <s v="3月11日"/>
          <s v="3月12日"/>
          <s v="3月13日"/>
          <s v="3月14日"/>
          <s v="3月15日"/>
          <s v="3月16日"/>
          <s v="3月17日"/>
          <s v="3月18日"/>
          <s v="3月19日"/>
          <s v="3月20日"/>
          <s v="3月21日"/>
          <s v="3月22日"/>
          <s v="3月23日"/>
          <s v="3月24日"/>
          <s v="3月25日"/>
          <s v="3月26日"/>
          <s v="3月27日"/>
          <s v="3月28日"/>
          <s v="3月29日"/>
          <s v="3月30日"/>
          <s v="3月31日"/>
          <s v="4月1日"/>
          <s v="4月2日"/>
          <s v="4月3日"/>
          <s v="4月4日"/>
          <s v="4月5日"/>
          <s v="4月6日"/>
          <s v="4月7日"/>
          <s v="4月8日"/>
          <s v="4月9日"/>
          <s v="4月10日"/>
          <s v="4月11日"/>
          <s v="4月12日"/>
          <s v="4月13日"/>
          <s v="4月14日"/>
          <s v="4月15日"/>
          <s v="4月16日"/>
          <s v="4月17日"/>
          <s v="4月18日"/>
          <s v="4月19日"/>
          <s v="4月20日"/>
          <s v="4月21日"/>
          <s v="4月22日"/>
          <s v="4月23日"/>
          <s v="4月24日"/>
          <s v="4月25日"/>
          <s v="4月26日"/>
          <s v="4月27日"/>
          <s v="4月28日"/>
          <s v="4月29日"/>
          <s v="4月30日"/>
          <s v="5月1日"/>
          <s v="5月2日"/>
          <s v="5月3日"/>
          <s v="5月4日"/>
          <s v="5月5日"/>
          <s v="5月6日"/>
          <s v="5月7日"/>
          <s v="5月8日"/>
          <s v="5月9日"/>
          <s v="5月10日"/>
          <s v="5月11日"/>
          <s v="5月12日"/>
          <s v="5月13日"/>
          <s v="5月14日"/>
          <s v="5月15日"/>
          <s v="5月16日"/>
          <s v="5月17日"/>
          <s v="5月18日"/>
          <s v="5月19日"/>
          <s v="5月20日"/>
          <s v="5月21日"/>
          <s v="5月22日"/>
          <s v="5月23日"/>
          <s v="5月24日"/>
          <s v="5月25日"/>
          <s v="5月26日"/>
          <s v="5月27日"/>
          <s v="5月28日"/>
          <s v="5月29日"/>
          <s v="5月30日"/>
          <s v="5月31日"/>
          <s v="6月1日"/>
          <s v="6月2日"/>
          <s v="6月3日"/>
          <s v="6月4日"/>
          <s v="6月5日"/>
          <s v="6月6日"/>
          <s v="6月7日"/>
          <s v="6月8日"/>
          <s v="6月9日"/>
          <s v="6月10日"/>
          <s v="6月11日"/>
          <s v="6月12日"/>
          <s v="6月13日"/>
          <s v="6月14日"/>
          <s v="6月15日"/>
          <s v="6月16日"/>
          <s v="6月17日"/>
          <s v="6月18日"/>
          <s v="6月19日"/>
          <s v="6月20日"/>
          <s v="6月21日"/>
          <s v="6月22日"/>
          <s v="6月23日"/>
          <s v="6月24日"/>
          <s v="6月25日"/>
          <s v="6月26日"/>
          <s v="6月27日"/>
          <s v="6月28日"/>
          <s v="6月29日"/>
          <s v="6月30日"/>
          <s v="7月1日"/>
          <s v="7月2日"/>
          <s v="7月3日"/>
          <s v="7月4日"/>
          <s v="7月5日"/>
          <s v="7月6日"/>
          <s v="7月7日"/>
          <s v="7月8日"/>
          <s v="7月9日"/>
          <s v="7月10日"/>
          <s v="7月11日"/>
          <s v="7月12日"/>
          <s v="7月13日"/>
          <s v="7月14日"/>
          <s v="7月15日"/>
          <s v="7月16日"/>
          <s v="7月17日"/>
          <s v="7月18日"/>
          <s v="7月19日"/>
          <s v="7月20日"/>
          <s v="7月21日"/>
          <s v="7月22日"/>
          <s v="7月23日"/>
          <s v="7月24日"/>
          <s v="7月25日"/>
          <s v="7月26日"/>
          <s v="7月27日"/>
          <s v="7月28日"/>
          <s v="7月29日"/>
          <s v="7月30日"/>
          <s v="7月31日"/>
          <s v="8月1日"/>
          <s v="8月2日"/>
          <s v="8月3日"/>
          <s v="8月4日"/>
          <s v="8月5日"/>
          <s v="8月6日"/>
          <s v="8月7日"/>
          <s v="8月8日"/>
          <s v="8月9日"/>
          <s v="8月10日"/>
          <s v="8月11日"/>
          <s v="8月12日"/>
          <s v="8月13日"/>
          <s v="8月14日"/>
          <s v="8月15日"/>
          <s v="8月16日"/>
          <s v="8月17日"/>
          <s v="8月18日"/>
          <s v="8月19日"/>
          <s v="8月20日"/>
          <s v="8月21日"/>
          <s v="8月22日"/>
          <s v="8月23日"/>
          <s v="8月24日"/>
          <s v="8月25日"/>
          <s v="8月26日"/>
          <s v="8月27日"/>
          <s v="8月28日"/>
          <s v="8月29日"/>
          <s v="8月30日"/>
          <s v="8月31日"/>
          <s v="9月1日"/>
          <s v="9月2日"/>
          <s v="9月3日"/>
          <s v="9月4日"/>
          <s v="9月5日"/>
          <s v="9月6日"/>
          <s v="9月7日"/>
          <s v="9月8日"/>
          <s v="9月9日"/>
          <s v="9月10日"/>
          <s v="9月11日"/>
          <s v="9月12日"/>
          <s v="9月13日"/>
          <s v="9月14日"/>
          <s v="9月15日"/>
          <s v="9月16日"/>
          <s v="9月17日"/>
          <s v="9月18日"/>
          <s v="9月19日"/>
          <s v="9月20日"/>
          <s v="9月21日"/>
          <s v="9月22日"/>
          <s v="9月23日"/>
          <s v="9月24日"/>
          <s v="9月25日"/>
          <s v="9月26日"/>
          <s v="9月27日"/>
          <s v="9月28日"/>
          <s v="9月29日"/>
          <s v="9月30日"/>
          <s v="10月1日"/>
          <s v="10月2日"/>
          <s v="10月3日"/>
          <s v="10月4日"/>
          <s v="10月5日"/>
          <s v="10月6日"/>
          <s v="10月7日"/>
          <s v="10月8日"/>
          <s v="10月9日"/>
          <s v="10月10日"/>
          <s v="10月11日"/>
          <s v="10月12日"/>
          <s v="10月13日"/>
          <s v="10月14日"/>
          <s v="10月15日"/>
          <s v="10月16日"/>
          <s v="10月17日"/>
          <s v="10月18日"/>
          <s v="10月19日"/>
          <s v="10月20日"/>
          <s v="10月21日"/>
          <s v="10月22日"/>
          <s v="10月23日"/>
          <s v="10月24日"/>
          <s v="10月25日"/>
          <s v="10月26日"/>
          <s v="10月27日"/>
          <s v="10月28日"/>
          <s v="10月29日"/>
          <s v="10月30日"/>
          <s v="10月31日"/>
          <s v="11月1日"/>
          <s v="11月2日"/>
          <s v="11月3日"/>
          <s v="11月4日"/>
          <s v="11月5日"/>
          <s v="11月6日"/>
          <s v="11月7日"/>
          <s v="11月8日"/>
          <s v="11月9日"/>
          <s v="11月10日"/>
          <s v="11月11日"/>
          <s v="11月12日"/>
          <s v="11月13日"/>
          <s v="11月14日"/>
          <s v="11月15日"/>
          <s v="11月16日"/>
          <s v="11月17日"/>
          <s v="11月18日"/>
          <s v="11月19日"/>
          <s v="11月20日"/>
          <s v="11月21日"/>
          <s v="11月22日"/>
          <s v="11月23日"/>
          <s v="11月24日"/>
          <s v="11月25日"/>
          <s v="11月26日"/>
          <s v="11月27日"/>
          <s v="11月28日"/>
          <s v="11月29日"/>
          <s v="11月30日"/>
          <s v="12月1日"/>
          <s v="12月2日"/>
          <s v="12月3日"/>
          <s v="12月4日"/>
          <s v="12月5日"/>
          <s v="12月6日"/>
          <s v="12月7日"/>
          <s v="12月8日"/>
          <s v="12月9日"/>
          <s v="12月10日"/>
          <s v="12月11日"/>
          <s v="12月12日"/>
          <s v="12月13日"/>
          <s v="12月14日"/>
          <s v="12月15日"/>
          <s v="12月16日"/>
          <s v="12月17日"/>
          <s v="12月18日"/>
          <s v="12月19日"/>
          <s v="12月20日"/>
          <s v="12月21日"/>
          <s v="12月22日"/>
          <s v="12月23日"/>
          <s v="12月24日"/>
          <s v="12月25日"/>
          <s v="12月26日"/>
          <s v="12月27日"/>
          <s v="12月28日"/>
          <s v="12月29日"/>
          <s v="12月30日"/>
          <s v="12月31日"/>
          <s v="&gt;2021/12/7"/>
        </groupItems>
      </fieldGroup>
    </cacheField>
    <cacheField name="月" numFmtId="0" databaseField="0">
      <fieldGroup base="40">
        <rangePr groupBy="months" startDate="2021-10-01T00:00:00" endDate="2021-12-07T00:00:00"/>
        <groupItems count="14">
          <s v="&lt;2021/10/1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21/12/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3">
  <r>
    <x v="0"/>
    <n v="1"/>
    <s v="[企金別]值為&quot;2&quot;(企金自然人)時,是否控制不可為&quot;060000&quot;(個人),待與陳俞辛確認"/>
    <s v="張金龍"/>
    <m/>
    <m/>
    <x v="0"/>
    <s v="2021/7/26已確認,並記錄當日會議紀錄"/>
    <d v="2021-07-26T00:00:00"/>
  </r>
  <r>
    <x v="1"/>
    <n v="1"/>
    <s v="L6083房貸專員所屬業務部室查詢:AS400使用確認"/>
    <s v="葛展宇經理"/>
    <m/>
    <m/>
    <x v="1"/>
    <s v="暫停開發 2021/10/5 email"/>
    <d v="2021-10-05T00:00:00"/>
  </r>
  <r>
    <x v="1"/>
    <n v="2"/>
    <s v="L6753房貸專員所屬業務部室維護:AS400使用確認"/>
    <s v="葛展宇經理"/>
    <m/>
    <m/>
    <x v="1"/>
    <s v="暫停開發 2021/10/5 email"/>
    <d v="2021-10-05T00:00:00"/>
  </r>
  <r>
    <x v="2"/>
    <n v="3"/>
    <s v="L6754 業績件數及金額核算標準設定交易, 數字欄位輸入小數位數標準"/>
    <s v="張淑遠"/>
    <m/>
    <m/>
    <x v="1"/>
    <s v="2021/7/30 EMAIL:_x000a_1. 【介紹單位 / 撥款業績比例】小數點欄位調整為兩位，另增加百分比符號。_x000a_2. 【房貸專員 / 撥款業績比例】小數點欄位調整為兩位，另增加百分比符號。"/>
    <d v="2021-07-30T00:00:00"/>
  </r>
  <r>
    <x v="0"/>
    <n v="2"/>
    <s v="L1101增加[是否為金控類似準利害關係人]欄位,提供顯示邏輯"/>
    <s v="吳承憲"/>
    <m/>
    <m/>
    <x v="1"/>
    <s v="2021/7/23 email 已提供「金控疑似準利害關係人」做法參考附件需求規格"/>
    <d v="2021-07-23T00:00:00"/>
  </r>
  <r>
    <x v="0"/>
    <n v="3"/>
    <s v="L1101增加[客戶交互運用維護]欄位(同【L1109交互運用輸入】交易機制),提供eLoan輸入控制供設計參考"/>
    <s v="吳承憲"/>
    <m/>
    <m/>
    <x v="1"/>
    <s v="2021/7/23 email 已提供"/>
    <d v="2021-07-23T00:00:00"/>
  </r>
  <r>
    <x v="3"/>
    <n v="1"/>
    <s v="提供「客戶申請合約」最新範本"/>
    <s v="陳政皓經理"/>
    <m/>
    <m/>
    <x v="1"/>
    <s v="110/07/30下午email回覆：貸款借據暨授信合約書"/>
    <d v="2021-07-30T00:00:00"/>
  </r>
  <r>
    <x v="4"/>
    <n v="6"/>
    <s v="更新「L2111 案件申請登錄」規格供ELOAN調整程式"/>
    <s v="張金龍"/>
    <m/>
    <m/>
    <x v="2"/>
    <m/>
    <d v="2021-10-12T00:00:00"/>
  </r>
  <r>
    <x v="2"/>
    <n v="1"/>
    <s v="查詢輸出表格，標題二層式顯示(廠商註:因涉及匯出EXCEL功能,待技術評估後,提方案說明)"/>
    <s v="張金龍"/>
    <m/>
    <m/>
    <x v="2"/>
    <s v="以多層標題處理_x000a_以L6994為例"/>
    <d v="2021-08-05T00:00:00"/>
  </r>
  <r>
    <x v="2"/>
    <n v="2"/>
    <s v="依據「放款部業績件數及金額核算標準表-1090327修訂.xls」提供建檔說明範例"/>
    <s v="楊智誠"/>
    <m/>
    <m/>
    <x v="2"/>
    <s v="已完成"/>
    <d v="2021-08-05T00:00:00"/>
  </r>
  <r>
    <x v="4"/>
    <n v="7"/>
    <s v="更新「L2111 案件申請登錄」調整後畫面供BU確認"/>
    <s v="張金龍"/>
    <m/>
    <m/>
    <x v="2"/>
    <m/>
    <d v="2021-10-12T00:00:00"/>
  </r>
  <r>
    <x v="2"/>
    <n v="5"/>
    <s v="[L5951 房貸介紹人業績明細查詢]和[L5051房貸介紹人業績處理清單]交易整併,廠商另提設計"/>
    <s v="張金龍"/>
    <m/>
    <m/>
    <x v="2"/>
    <s v="確定整併,於業績討論時說明"/>
    <d v="2021-08-05T00:00:00"/>
  </r>
  <r>
    <x v="2"/>
    <n v="6"/>
    <s v="[L5952 房貸專員業績明細查詢]與[L5052 房貸專員業績處理清單]交易整併,廠商另提設計"/>
    <s v="張金龍"/>
    <m/>
    <m/>
    <x v="2"/>
    <s v="確定整併,於業績討論時說明"/>
    <d v="2021-08-05T00:00:00"/>
  </r>
  <r>
    <x v="4"/>
    <n v="1"/>
    <s v="客戶資料[企金別]值為&quot;2&quot;(企金自然人)時,申報處理"/>
    <s v="陳俞辛"/>
    <m/>
    <m/>
    <x v="2"/>
    <s v="[陳俞辛2021.7.29回覆] [企金別]值為&quot;2&quot;(企金自然人)時，預設值為&quot;060000&quot;(個人),不可修改"/>
    <d v="2021-07-29T00:00:00"/>
  </r>
  <r>
    <x v="4"/>
    <n v="2"/>
    <s v="【L1105顧客聯絡電話維護】確認[與借款人關係]選項"/>
    <s v="陳俞辛"/>
    <m/>
    <m/>
    <x v="2"/>
    <s v="2021/8/9 email回覆：[與借款人關係]太多職稱，請新增空白欄位，讓企金人員可自由鍵入"/>
    <d v="2021-08-09T00:00:00"/>
  </r>
  <r>
    <x v="4"/>
    <n v="3"/>
    <s v="提供「企金業績統計表」現有[放款性質]"/>
    <s v="陳俞辛"/>
    <m/>
    <m/>
    <x v="2"/>
    <s v="2021/7/27 (週二) 下午 12:30 已mail 檔案"/>
    <d v="2021-07-27T00:00:00"/>
  </r>
  <r>
    <x v="4"/>
    <n v="5"/>
    <s v="提供&quot;核決層級&quot;輸入欄位ELOAN作法"/>
    <s v="吳承憲"/>
    <m/>
    <m/>
    <x v="2"/>
    <s v="email回覆"/>
    <d v="2021-08-04T00:00:00"/>
  </r>
  <r>
    <x v="5"/>
    <n v="3"/>
    <s v="更新「L2801 未齊案件管理」開發規格"/>
    <s v="張金龍"/>
    <m/>
    <m/>
    <x v="3"/>
    <m/>
    <d v="2021-10-12T00:00:00"/>
  </r>
  <r>
    <x v="5"/>
    <n v="4"/>
    <s v="未齊件代碼維護,目前ELOAN亦需提供經辦維護機制，提供新貸中系統資料格式供ELOAN參考"/>
    <s v="張金龍"/>
    <m/>
    <m/>
    <x v="3"/>
    <m/>
    <d v="2021-10-12T00:00:00"/>
  </r>
  <r>
    <x v="5"/>
    <n v="5"/>
    <s v="提供未齊件資料於[齊件訖日]到期前3工作日,通知EMAIL範例"/>
    <s v="張金龍"/>
    <m/>
    <m/>
    <x v="3"/>
    <m/>
    <d v="2021-12-17T00:00:00"/>
  </r>
  <r>
    <x v="5"/>
    <n v="1"/>
    <s v="補提供未齊件報表樣張"/>
    <s v="陳政皓經理"/>
    <m/>
    <m/>
    <x v="3"/>
    <s v="2021/7/28 EMAIL提供"/>
    <d v="2021-07-28T00:00:00"/>
  </r>
  <r>
    <x v="5"/>
    <n v="2"/>
    <s v="「L2801 未齊案件管理」待確認[齊件代碼]是否可修改"/>
    <s v="徐名弘"/>
    <m/>
    <m/>
    <x v="3"/>
    <s v="2021/8/11 email：_x000a_未齊件管理須代碼可以_x000a_(1)新增-配合未來有新類型或者之前未定義可以進行新增_x000a_(2)修改-配合未來名稱修改進行維護_x000a_(3)刪除-無該項文件時刪除，或者配合日後相關作業辦理_x000a_"/>
    <d v="2021-08-11T00:00:00"/>
  </r>
  <r>
    <x v="5"/>
    <n v="6"/>
    <s v="提供&quot;貸借款申請書&quot;之&quot;擔保品提供人&quot;填寫資料,並註記必須填寫及不必填寫的項目"/>
    <s v="陳政皓經理"/>
    <m/>
    <m/>
    <x v="3"/>
    <s v="110/07/30下午email回覆"/>
    <d v="2021-07-30T00:00:00"/>
  </r>
  <r>
    <x v="0"/>
    <n v="4"/>
    <s v="L1105增加聯絡電話[異動原因]代碼"/>
    <s v="陳政皓經理"/>
    <m/>
    <m/>
    <x v="4"/>
    <s v="[吳承憲2021.7.23回覆] 此項應由服務課跟催收人員那邊統整_x000a_[政皓經理2021/08/12回覆]關於增加聯絡電話[異動原因]代碼，除1.客戶提出申請以外，請新增2.催收人員新增。"/>
    <d v="2021-08-12T00:00:00"/>
  </r>
  <r>
    <x v="6"/>
    <n v="3"/>
    <s v="請企金提供[指標利率種類],供廠商協助建檔參考"/>
    <s v="陳俞辛"/>
    <m/>
    <m/>
    <x v="4"/>
    <s v="[陳俞辛2021.7.29回覆]"/>
    <d v="2021-07-29T00:00:00"/>
  </r>
  <r>
    <x v="6"/>
    <n v="4"/>
    <s v="提供各[未齊件代碼]的[齊件日期計算日]的工作日數，供廠商建檔參考"/>
    <s v="徐名弘"/>
    <m/>
    <m/>
    <x v="4"/>
    <s v="2021/8/11 email ：_x000a_1.規範_x000a_依撥款案件審核作業SOP辦理，依規八個工作日內，另控管「信貸、保貸、信用卡」之還款水單13個工作日內完成，特殊個案以核准批覆條件為準。_x000a_(1)原則=8個工作日。(如代償後謄本+火險單)_x000a_(2)控管「信貸、保貸、信用卡」之還款水單=13個工作日。_x000a_基本上13個工作日，但_x000a_A.客戶沒馬上要撥_x000a_B.(3)特例_x000a_C其他文件:資金用途文件等等各種情形_x000a_(3)特例=以核准批覆條件為準。(工作日不一定)_x000a_2.計算起始日_x000a_計算方式自撥款日起算，為工作日不含假日_x000a_以110年8月為準，撥款日為8/2者，控管8個工作日之案件，含撥款當日計算，即8/11為最後一日。_x000a_3.提醒日的日期及計算方式已提過，不另贅述。_x000a_"/>
    <d v="2021-08-11T00:00:00"/>
  </r>
  <r>
    <x v="3"/>
    <n v="2"/>
    <s v="依據「客戶申請合約」最新範本,說明新客戶建檔相關規劃"/>
    <s v="張金龍"/>
    <m/>
    <m/>
    <x v="5"/>
    <m/>
    <d v="2021-09-17T00:00:00"/>
  </r>
  <r>
    <x v="4"/>
    <n v="9"/>
    <s v="&quot;聯貸案件&quot;於額度查詢顯示,規劃和&quot;共用額度&quot;一起說明"/>
    <s v="賴文育"/>
    <m/>
    <m/>
    <x v="5"/>
    <s v="8/4安排說明後仍須調整，預計8/13調整後再安排說明。_x000a_2021/8/16 陸續會議中確認。"/>
    <d v="2021-08-24T00:00:00"/>
  </r>
  <r>
    <x v="7"/>
    <n v="1"/>
    <s v="提供下載&quot;上傳資料最新範本&quot;機制規劃說明"/>
    <s v="張金龍"/>
    <m/>
    <m/>
    <x v="6"/>
    <m/>
    <d v="2021-12-17T00:00:00"/>
  </r>
  <r>
    <x v="2"/>
    <n v="4"/>
    <s v="L5500工作日業績結算,人工啟動時,如何再同步資料上傳內網系統"/>
    <s v="葛展宇經理"/>
    <s v="L5500"/>
    <s v="張金龍"/>
    <x v="7"/>
    <s v="2021/12/23email提醒。"/>
    <m/>
  </r>
  <r>
    <x v="4"/>
    <n v="4"/>
    <s v="台北金融業拆款定盤利率匯入利率的流程討論"/>
    <s v="賴文育"/>
    <s v=""/>
    <s v="陳昱衡"/>
    <x v="7"/>
    <s v="無來源資料"/>
    <s v="無來源資料"/>
  </r>
  <r>
    <x v="4"/>
    <n v="8"/>
    <s v="「L2111 案件申請登錄」確認企金需另設計輸入畫面或共用輸入畫面"/>
    <s v="陳俞辛"/>
    <s v="L2111"/>
    <s v="余家興"/>
    <x v="7"/>
    <s v="2021/8/9回覆：此「L2111 案件申請登錄」會另與企金同仁再做討論。"/>
    <d v="2021-12-23T00:00:00"/>
  </r>
  <r>
    <x v="6"/>
    <n v="2"/>
    <s v="撥款後調整[貸款期間(月)][追蹤事項]於「L3701放款內容變更」討論"/>
    <s v="賴文育"/>
    <s v="L3701"/>
    <s v="余家興"/>
    <x v="7"/>
    <m/>
    <d v="2021-12-23T00:00:00"/>
  </r>
  <r>
    <x v="6"/>
    <n v="1"/>
    <s v="於撥款後,於L2154 額度資料維護,修改業績介紹人,房貸專員,協辦人員"/>
    <s v="張金龍"/>
    <m/>
    <m/>
    <x v="8"/>
    <m/>
    <d v="2021-12-17T00:00:00"/>
  </r>
  <r>
    <x v="8"/>
    <n v="1"/>
    <s v="廠商提供L2111調整電文供ELOAN開發"/>
    <s v="張金龍"/>
    <m/>
    <m/>
    <x v="9"/>
    <m/>
    <d v="2021-11-19T00:00:00"/>
  </r>
  <r>
    <x v="8"/>
    <n v="2"/>
    <s v="廠商提供L2221電文供ELOAN開發"/>
    <s v="張金龍"/>
    <m/>
    <m/>
    <x v="9"/>
    <m/>
    <d v="2021-11-19T00:00:00"/>
  </r>
  <r>
    <x v="9"/>
    <n v="1"/>
    <s v="提供企金件擔保品EXCEL表,供整批匯入設計參考"/>
    <s v="陳政皓經理"/>
    <m/>
    <m/>
    <x v="10"/>
    <s v="2021/08/25 下午3:15 email主旨：OO_新壽擔保品分配表-企金餘屋貸款新壽擔保品分配表-企金餘屋貸款，附件：_x000a_OO_新壽擔保品分配表-企金餘屋貸款.xlsx"/>
    <d v="2021-08-25T00:00:00"/>
  </r>
  <r>
    <x v="9"/>
    <n v="2"/>
    <s v="可分配金額(計算公式、轉換作業、應用層面)、塗銷作法、處分作法說明"/>
    <s v="賴文育"/>
    <s v=""/>
    <s v="余家興"/>
    <x v="11"/>
    <s v="2021/12/23 18:09 email主旨：SKL-待辦事項-20210824-2_擔保品之可分配金額、塗銷作法、處分作法，附件：擔保品額度.pdf"/>
    <d v="2021-12-23T00:00:00"/>
  </r>
  <r>
    <x v="9"/>
    <n v="3"/>
    <s v="整理參考原AS400主管刷卡原因,供BU確認"/>
    <s v="張金龍"/>
    <s v=""/>
    <s v=""/>
    <x v="12"/>
    <m/>
    <m/>
  </r>
  <r>
    <x v="9"/>
    <n v="4"/>
    <s v="更新L2038 URS輸出說明文件,提供使用者確認"/>
    <s v="張金龍"/>
    <m/>
    <m/>
    <x v="13"/>
    <s v="2021/11/19提供"/>
    <d v="2021-11-19T00:00:00"/>
  </r>
  <r>
    <x v="9"/>
    <n v="5"/>
    <s v="L2221 交易關係人維護,廠商提供必須輸入基本資料欄位的整理表格,供BU確認"/>
    <s v="張金龍"/>
    <m/>
    <m/>
    <x v="13"/>
    <s v="2021/09/17提供"/>
    <d v="2021-09-17T00:00:00"/>
  </r>
  <r>
    <x v="9"/>
    <n v="6"/>
    <s v="廠商提供案件相關人員登錄的交易整理"/>
    <s v="張金龍"/>
    <s v=""/>
    <s v=""/>
    <x v="12"/>
    <m/>
    <m/>
  </r>
  <r>
    <x v="10"/>
    <n v="1"/>
    <s v="整理目前資料欄位的使用狀態(報表、塗銷證明),調整必須輸入的控制"/>
    <s v="張金龍"/>
    <s v=""/>
    <s v=""/>
    <x v="12"/>
    <m/>
    <m/>
  </r>
  <r>
    <x v="10"/>
    <n v="2"/>
    <s v="於清償作業討論時，再重新檢視功能是否需調整"/>
    <s v="張金龍"/>
    <s v=""/>
    <s v=""/>
    <x v="14"/>
    <m/>
    <d v="2021-12-17T00:00:00"/>
  </r>
  <r>
    <x v="11"/>
    <n v="1"/>
    <s v="放款金額是否檢查擔保品&quot;可分配金額"/>
    <s v="陳政皓經理_x000a_賴文育"/>
    <m/>
    <m/>
    <x v="15"/>
    <s v="2021/9/23 Line回覆：放款金額是否檢查擔保品可分配金額，主要企金多筆擔保品能夠清楚建檔與部分塗銷就可檢查"/>
    <d v="2021-09-23T00:00:00"/>
  </r>
  <r>
    <x v="11"/>
    <n v="2"/>
    <s v="[計件代碼2]、[計件代碼2金額]新增功能是否保留待議_x000a_vs.討論項目2021/7/27-1 "/>
    <s v="陳政皓經理_x000a_賴文育"/>
    <m/>
    <m/>
    <x v="15"/>
    <s v="2021/9/23 Line回覆：撥款檔增加計件代碼2控管已經決定不做_x000a_2021.09.23 星期四_x000a_12:01 SKL-陳政皓經理 1.企金餘屋貸款excel表給過_x000a_2.放款金額是否檢查擔保品可分配金額，主要企金多筆擔保品能夠清楚建檔與部分塗銷就可檢查_x000a_3.撥款檔增加計件代碼2控管已經決定不做_x000a_4.整批匯款樣章再提供"/>
    <d v="2021-09-23T00:00:00"/>
  </r>
  <r>
    <x v="11"/>
    <n v="3"/>
    <s v="待和負責核心IT單位確認[撥款匯款媒體檔]上傳核心系統作法"/>
    <s v="葛展宇經理"/>
    <s v=""/>
    <s v="余家興"/>
    <x v="16"/>
    <s v="2021.09.13回覆(L4101 撥款匯款作業)"/>
    <d v="2021-09-13T00:00:00"/>
  </r>
  <r>
    <x v="11"/>
    <n v="4"/>
    <s v="提供整批匯款單格式及列印樣張"/>
    <s v="陳政皓經理"/>
    <s v=""/>
    <s v="Eric"/>
    <x v="15"/>
    <s v="2021/9/23 Line回覆：整批匯款樣張再提供_x000a_2021/11/24完成二審(L4101 撥款匯款作業)"/>
    <d v="2021-11-24T00:00:00"/>
  </r>
  <r>
    <x v="12"/>
    <n v="1"/>
    <s v="交易L3005,[暫收抵繳]表示方式,調整後再說明"/>
    <s v="賴文育"/>
    <m/>
    <m/>
    <x v="16"/>
    <m/>
    <d v="2021-10-25T00:00:00"/>
  </r>
  <r>
    <x v="12"/>
    <n v="2"/>
    <s v="「聯貸案訂約登錄」作業流程"/>
    <s v="企金_x000a_陳政皓經理_x000a_"/>
    <m/>
    <m/>
    <x v="15"/>
    <s v="​Susan 2021/08/27上午10:19 email主旨：放款帳務系統-需求審查確認會議 會議記錄 2021/8/24-補充-擔保品現行輸行&quot;聯貸案&quot;"/>
    <d v="2021-08-27T00:00:00"/>
  </r>
  <r>
    <x v="13"/>
    <n v="1"/>
    <s v="[L3220 暫收款退還]退票時,需列印會計傳票,廠商另提設計"/>
    <s v="賴文育"/>
    <s v="L3220"/>
    <s v="余家興"/>
    <x v="16"/>
    <s v="新增L4103交易(2021.11.24審)"/>
    <d v="2021-11-24T00:00:00"/>
  </r>
  <r>
    <x v="13"/>
    <n v="2"/>
    <s v="暫收款退還及整批撥款的整批匯款作業，與如何連結核心匯款系統機制有關，請IT了解並與放款部順過作業流程後，再行討論"/>
    <s v="賴文育"/>
    <s v=""/>
    <s v="余家興"/>
    <x v="16"/>
    <s v="2021/12/24 清河email回覆：看一下上次提供的檔案有沒有回銷檔的內容。1.付款摘要欄位放摘要就好。2.FTP Address: 10.11.100.1 port:21。3.暫收款退還及整批撥款的整批匯款作業=&gt;清河再與放款確認_x000a_2021/12/23 email提醒_x000a_程式(L6101 業務關帳作業)已按新規格撰寫(付款摘要欄規格待確認),待新壽提供FTP Address_x000a_"/>
    <m/>
  </r>
  <r>
    <x v="14"/>
    <n v="1"/>
    <s v="[應處理清單]火險續保簡訊檔內容待確認(L6001)"/>
    <s v="邵淑微_x000a_林清河"/>
    <s v="L6001"/>
    <s v="陳昱衡"/>
    <x v="17"/>
    <s v="暫緩處理，未收到User調整需求。_x000a_待User提供產出明細後再調整。_x000a_2021/12/23email提醒。"/>
    <m/>
  </r>
  <r>
    <x v="14"/>
    <n v="2"/>
    <s v="待淑微提供火險續保通知單email之樣張"/>
    <s v="邵淑微"/>
    <m/>
    <m/>
    <x v="17"/>
    <s v="1.9/24 email (火險通知單相關範本) 已提供_x000a_2.範本中第一頁寄送地址頁面不需提供"/>
    <d v="2021-09-24T00:00:00"/>
  </r>
  <r>
    <x v="14"/>
    <n v="3"/>
    <s v="[保單險種不足明細表]計算公式"/>
    <s v="吳承憲"/>
    <m/>
    <m/>
    <x v="17"/>
    <s v="2021/9/29已提供"/>
    <d v="2021-09-29T00:00:00"/>
  </r>
  <r>
    <x v="14"/>
    <n v="4"/>
    <s v="[保單險種不足明細表]待提供樣張"/>
    <s v="邵淑微"/>
    <s v=""/>
    <s v=""/>
    <x v="18"/>
    <s v="2021/10/6已提供"/>
    <d v="2021-10-06T00:00:00"/>
  </r>
  <r>
    <x v="15"/>
    <n v="1"/>
    <s v="L5075債務協商滯繳/應繳明細查詢:未曾繳款時繳息迄日值為何?"/>
    <s v="邱怡婷"/>
    <m/>
    <m/>
    <x v="19"/>
    <s v="2021/9/24會議中確認：其值為[協商申請日]"/>
    <d v="2021-09-24T00:00:00"/>
  </r>
  <r>
    <x v="16"/>
    <n v="1"/>
    <s v="新壽內部討論後再決定L597A的整批入帳方式"/>
    <s v="邱怡婷"/>
    <m/>
    <m/>
    <x v="16"/>
    <s v="2021/9/30清河提供資訊"/>
    <d v="2021-09-30T00:00:00"/>
  </r>
  <r>
    <x v="16"/>
    <n v="2"/>
    <s v="一般債權匯款檔"/>
    <s v="林清河"/>
    <m/>
    <m/>
    <x v="16"/>
    <s v="2021/9/30清河提供資訊"/>
    <d v="2021-09-30T00:00:00"/>
  </r>
  <r>
    <x v="17"/>
    <n v="1"/>
    <s v="確認AS400/ L6605逾期新增減少原因維護資料,使用狀況"/>
    <s v="李珮琪"/>
    <m/>
    <m/>
    <x v="20"/>
    <s v="已完成"/>
    <d v="2021-09-29T00:00:00"/>
  </r>
  <r>
    <x v="18"/>
    <n v="1"/>
    <s v="逾期時併入員工扣薪作業處理，請清河確認有關逾期處理及應扣金額計算方式"/>
    <s v="邵淑微_x000a_林清河"/>
    <s v=""/>
    <s v="陳昱衡"/>
    <x v="21"/>
    <s v="暫緩處理，未收到IT調整需求。_x000a_待IT確認後，再調整程式邏輯。_x000a_2021/12/23email提醒。"/>
    <m/>
  </r>
  <r>
    <x v="19"/>
    <n v="1"/>
    <s v="L4703滯繳通知單及L4702繳息通知單依用途列印不同字樣，待提供"/>
    <s v="宋郁宏"/>
    <m/>
    <m/>
    <x v="22"/>
    <s v="2021/10/14已取得"/>
    <d v="2021-10-14T00:00:00"/>
  </r>
  <r>
    <x v="20"/>
    <n v="1"/>
    <s v="原AS400待確認功能：_x000a_1.待確認功能：_x000a_4-8-73連續扣款失敗明細＆通知_x000a_4-8-83銀扣戶實際繳款方式檔產生作業_x000a_2.4-8-75銀扣火險成功期款失敗通知_x000a_(1)L4454產生銀扣失敗通知，需列印繳_x000a_息通知單。_x000a_(2)大宗掛號列印 &amp; 存款單列印：_x000a_待確認功能"/>
    <s v="許慧玉"/>
    <s v="L4454"/>
    <s v="陳昱衡"/>
    <x v="23"/>
    <s v="2021/10/27許慧玉回覆：_x000a_*4-8-73為連續扣款失敗明細及通知單，保留此功能_x000a_*4-8-83銀扣戶實際繳款方式檔產生作業，程式清單無此功能_x000a_*4-8-75銀扣火險成功期款失敗通知_x000a_(1.大宗掛號列印：需列印出郵局大宗掛號單(郵局掛號單格式如附件)_x000a_(2.存款單列印：目前系統會自行判斷是否為約定自行匯款，自動列印"/>
    <d v="2021-10-27T00:00:00"/>
  </r>
  <r>
    <x v="21"/>
    <n v="1"/>
    <s v=" L3731是否新增[核決層級]"/>
    <s v="張舜雯"/>
    <m/>
    <m/>
    <x v="22"/>
    <s v="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d v="2021-10-25T00:00:00"/>
  </r>
  <r>
    <x v="22"/>
    <n v="1"/>
    <s v="L4605火險最終保單上傳作業：_x000a_檔案上傳後之錯誤保單，待淑微提供錯誤清單後核對"/>
    <s v="邵淑微"/>
    <m/>
    <m/>
    <x v="24"/>
    <s v="2021/10/21已回覆：_x000a_請確認我們上傳檔案的佣金負數資料是否有處理，目前我們系統會判斷txt內為負數的資料並排除寫入LN$CMTP_x000a_"/>
    <d v="2021-10-21T00:00:00"/>
  </r>
  <r>
    <x v="22"/>
    <n v="2"/>
    <s v="火險佣金未發明細表/火險佣金發放明細表：_x000a_是否以[戶名]取代[火險服務ID]欄位，待淑微確認。"/>
    <s v="邵淑微"/>
    <m/>
    <m/>
    <x v="24"/>
    <s v="2021/10/21已回覆：_x000a_保經回覆可移除電腦編號但需保留火險服務人ID"/>
    <d v="2021-10-21T00:00:00"/>
  </r>
  <r>
    <x v="22"/>
    <n v="3"/>
    <s v="[AS400]4-96-2佣金換算作業：_x000a_原系統功能待珮琪提供"/>
    <s v="李珮琪"/>
    <m/>
    <m/>
    <x v="24"/>
    <s v="2021/10/21已回覆：_x000a_依據《LN$CMTP火險佣金媒體檔》選資料出來，算出《LN$CMDP火險佣金發放檔》的【應領金額】"/>
    <d v="2021-10-21T00:00:00"/>
  </r>
  <r>
    <x v="22"/>
    <n v="4"/>
    <s v="新增火險佣金查詢交易，內容待淑微提供"/>
    <s v="邵淑微"/>
    <m/>
    <m/>
    <x v="24"/>
    <s v="2021/10/21已回覆：_x000a_查詢條件需可依據借款人ID、戶號及業務員統編、員編進行查詢，且查詢內容須增加顯示借款人姓名"/>
    <d v="2021-10-21T00:00:00"/>
  </r>
  <r>
    <x v="22"/>
    <n v="5"/>
    <s v="[AS400]4-96-2佣金換算作業：_x000a_待提供[應領金額]計算公式"/>
    <s v="李珮琪"/>
    <s v=""/>
    <s v=""/>
    <x v="25"/>
    <s v="2021/11/4,18:46 email主旨：RE: 4-96火險佣金作業_x000a_【CMT04險別】=1_x000a_Case1 【險種CMT11】=11→【應領金額CMT20】=【保費CMT12】*【佣金率(0.11)】_x000a_Case2 【險種CMT11】=12、13→【應領金額CMT20】=【佣金CMT13】*【佣金率(0.65)】_x000a_Case3【險種CMT11】=15→【應領金額CMT20】=【保費CMT12】*【佣金率(0.04)】_x000a_不符合Case1、Case2、Case3的則為0_x000a__x000a_*佣金率_x000a_險種     新佣金率_x000a_11       0.11   _x000a_15       0.04   _x000a_12       0.65   _x000a_13       0.65 "/>
    <d v="2021-11-04T00:00:00"/>
  </r>
  <r>
    <x v="22"/>
    <n v="6"/>
    <s v="作業項目[08.收回呆帳]時是否新增核決層級:待回覆"/>
    <s v="張舜雯"/>
    <m/>
    <m/>
    <x v="26"/>
    <s v="2021/10/26張舜雯已回覆:_x000a_(如遇董事會核決，輸入轄最高主管，備註董事會)_x000a_不新增核決層級"/>
    <d v="2021-10-26T00:00:00"/>
  </r>
  <r>
    <x v="23"/>
    <n v="1"/>
    <s v="L4030調整員工利率作業_x000a_挑選條件待與IT確認：_x000a_1.員工利率產品比對不符清單_x000a_2.客戶檔客戶別與員工檔比對不符清單"/>
    <s v="林清河"/>
    <s v="L4030"/>
    <s v="陳昱衡"/>
    <x v="23"/>
    <m/>
    <d v="2021-12-01T00:00:00"/>
  </r>
  <r>
    <x v="24"/>
    <n v="1"/>
    <s v="L6042交易控制檔:提供清單給SKL填寫 交易控制檔 結清戶個資控管及顧客控管警訊"/>
    <s v="余家興"/>
    <s v="L6042"/>
    <s v="楊智誠"/>
    <x v="27"/>
    <s v="2021/11/1 18:46 email主旨：SKL-結清戶個資控管及顧客控管警訊之交易清單_x000a_附件：結清戶個資控管及顧客控管警訊之交易清單.xlsx"/>
    <d v="2021-11-01T00:00:00"/>
  </r>
  <r>
    <x v="24"/>
    <n v="2"/>
    <s v="L1905:確認簡訊抓取模式"/>
    <s v="賴文育"/>
    <s v="L1905"/>
    <s v="張金龍"/>
    <x v="28"/>
    <s v="2021/10/25 12:36 email主旨：簡訊、報表的電話號碼抓取優先序_x000a_簡訊的電話號碼優先序：_x000a_(排除停用)_x000a_1.電話種類 05: 簡訊_x000a_2.電話種類無簡訊=&gt;電話種類03:手機_x000a_3.相同電話種類_x000a_ 1).本人優先_x000a_ 2).先建檔優先(依建檔日期、時間排序(同 L1905]顧客聯絡電話查詢)_x000a__x000a_報表的電話號碼優先序：_x000a_(排除停用)_x000a_1.依報表內容挑選電話種類_x000a_2.相同電話種類_x000a_ 1).本人優先_x000a_ 2).先建檔優先(依建檔日期、時間排序(同 L1905]顧客聯絡電話查詢)_x000a_"/>
    <d v="2021-10-25T00:00:00"/>
  </r>
  <r>
    <x v="25"/>
    <n v="1"/>
    <s v="透過Informatica將&quot;借款戶關係人/關係企業&quot;資料,由eloan匯入新貸中系統"/>
    <s v="張金龍"/>
    <m/>
    <m/>
    <x v="23"/>
    <m/>
    <d v="2021-12-17T00:00:00"/>
  </r>
  <r>
    <x v="25"/>
    <n v="2"/>
    <s v="L2222 與授信戶關係登錄交易權限確認"/>
    <s v="張金龍"/>
    <m/>
    <m/>
    <x v="29"/>
    <m/>
    <d v="2021-12-17T00:00:00"/>
  </r>
  <r>
    <x v="25"/>
    <n v="1"/>
    <s v="L2480 擔保品重評資料登錄.重評原因代碼,請放款部提供"/>
    <s v="放款部"/>
    <s v="L2480"/>
    <s v="陳昱衡"/>
    <x v="30"/>
    <m/>
    <d v="2021-11-25T00:00:00"/>
  </r>
  <r>
    <x v="26"/>
    <n v="1"/>
    <s v="存證信函底稿版本,前置協商逾期繳款通知函繳款期限"/>
    <s v="邱怡婷"/>
    <m/>
    <m/>
    <x v="31"/>
    <s v="2021/11/4 怡婷email存證信函底稿版本。_x000a_2021/11/5 怡婷電聯通知：繳款期限資訊。_x000a_2021/11/24怡婷電聯討論調整為產製txt檔並增加繳款明細6筆_x000a_2021/12/7 email怡婷:txt檔內容確認"/>
    <d v="2021-12-09T00:00:00"/>
  </r>
  <r>
    <x v="26"/>
    <n v="2"/>
    <s v="法定代理人與地址"/>
    <s v="林清河"/>
    <m/>
    <m/>
    <x v="32"/>
    <m/>
    <d v="2021-11-05T00:00:00"/>
  </r>
  <r>
    <x v="27"/>
    <n v="1"/>
    <s v="[戶別]欄位名稱變更，待使用者提供"/>
    <s v="施美娟"/>
    <s v=""/>
    <s v="張嘉榮"/>
    <x v="33"/>
    <s v="2021/11/5施美娟回覆：_x000a_戶別改為事項_x000a_1- 授信案件-董事會_x000a_2- 授信案件-董事長_x000a_3- 授信案件-總經理_x000a_4- 內部規章-董事會_x000a_5- 內部規章-董事長_x000a_6- 內部規章-總經理_x000a_7- 逾放報告_x000a_9-其他"/>
    <d v="2021-12-22T00:00:00"/>
  </r>
  <r>
    <x v="27"/>
    <n v="2"/>
    <s v="[當日累積件數]欄位，待使用者提供"/>
    <s v="施美娟"/>
    <s v=""/>
    <s v="張嘉榮"/>
    <x v="33"/>
    <s v="2021/11/5施美娟回覆：_x000a_改為項次，欄位改置最左邊(下載及系統相同)"/>
    <d v="2021-12-22T00:00:00"/>
  </r>
  <r>
    <x v="27"/>
    <n v="3"/>
    <s v="附件上傳功能"/>
    <s v="張嘉榮"/>
    <m/>
    <m/>
    <x v="34"/>
    <s v="2021/11/5施美娟回覆：**可上傳多筆** (之後提供)"/>
    <d v="2021-12-17T00:00:00"/>
  </r>
  <r>
    <x v="28"/>
    <n v="1"/>
    <s v="提供指定覆審機制"/>
    <s v="張嘉榮"/>
    <s v=""/>
    <s v=""/>
    <x v="35"/>
    <s v="已完成"/>
    <d v="2021-12-10T00:00:00"/>
  </r>
  <r>
    <x v="28"/>
    <n v="2"/>
    <s v="[追蹤記號][1.免追蹤]、[3.不追蹤]字眼是否需要更改"/>
    <s v="邱怡婷"/>
    <s v=""/>
    <s v="張嘉榮"/>
    <x v="36"/>
    <s v="已完成"/>
    <d v="2021-12-22T00:00:00"/>
  </r>
  <r>
    <x v="29"/>
    <n v="1"/>
    <s v="提供「受理調解機構代號」可輸入縣市代碼，並依照輸入內容帶出法院名稱或縣市名稱"/>
    <s v="張嘉榮"/>
    <s v=""/>
    <s v=""/>
    <x v="31"/>
    <s v="已完成"/>
    <d v="2021-12-10T00:00:00"/>
  </r>
  <r>
    <x v="30"/>
    <n v="1"/>
    <s v="[L8203疑似洗錢交易合理性]洗錢合理性、延遲交易, Excel及報表樣張"/>
    <s v="邵淑微"/>
    <m/>
    <m/>
    <x v="23"/>
    <s v="已完成"/>
    <d v="2021-11-04T00:00:00"/>
  </r>
  <r>
    <x v="30"/>
    <n v="2"/>
    <s v="[L8204疑似洗錢交易訪談]洗錢交易訪談報表樣張"/>
    <s v="邵淑微"/>
    <m/>
    <m/>
    <x v="23"/>
    <s v="已完成"/>
    <d v="2021-11-04T00:00:00"/>
  </r>
  <r>
    <x v="27"/>
    <n v="1"/>
    <s v="L5813申報媒體檔格式與上傳官網之檔案格式"/>
    <s v="邵淑微_x000a_林清河"/>
    <m/>
    <m/>
    <x v="31"/>
    <s v="已完成"/>
    <d v="2021-11-29T00:00:00"/>
  </r>
  <r>
    <x v="30"/>
    <n v="1"/>
    <s v="請蔡珮瑜提供縣市、地政、收件字EXCEL"/>
    <s v="蔡珮瑜"/>
    <s v="L"/>
    <s v=""/>
    <x v="27"/>
    <s v="2021/11/1 蔡珮瑜已回覆"/>
    <d v="2021-11-01T00:00:00"/>
  </r>
  <r>
    <x v="31"/>
    <n v="1"/>
    <s v="提供由L1001查詢寬限控管結果"/>
    <s v="張嘉榮"/>
    <m/>
    <m/>
    <x v="31"/>
    <s v="已完成"/>
    <d v="2021-11-26T00:00:00"/>
  </r>
  <r>
    <x v="29"/>
    <n v="1"/>
    <s v="提供「受理調解機構代號」可輸入縣市代碼，並依照輸入內容帶出法院名稱或縣市名稱"/>
    <s v="張嘉榮"/>
    <s v=""/>
    <s v=""/>
    <x v="31"/>
    <s v="已完成"/>
    <d v="2021-12-10T00:00:00"/>
  </r>
  <r>
    <x v="32"/>
    <n v="1"/>
    <s v="異動聯絡人資訊需修改之程式清單"/>
    <s v="蘇曉玲"/>
    <m/>
    <m/>
    <x v="37"/>
    <s v="調整程式,13支JCIC媒體檔中有聯絡人資訊,統一由單一支程式控制,已完成"/>
    <d v="2021-11-29T00:00:00"/>
  </r>
  <r>
    <x v="33"/>
    <n v="1"/>
    <s v="L6608：管理科確認，客戶有逾期繳款時,則各項通知項目是否一律通知"/>
    <s v="張舜雯"/>
    <s v="L6608"/>
    <s v="楊智誠"/>
    <x v="36"/>
    <s v="2021/12/23 email：查看目前測試系統已完成設定有『寄送記號』之報表，倘若遇到逾期案件時，各項通知可一律寄出。_x000a_惟，爾後倘有『新增』系統如何檢核或確定逾期件可否寄出….."/>
    <d v="2021-12-23T00:00:00"/>
  </r>
  <r>
    <x v="34"/>
    <m/>
    <m/>
    <m/>
    <m/>
    <m/>
    <x v="34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27">
  <r>
    <x v="0"/>
    <m/>
    <m/>
    <m/>
    <x v="0"/>
    <m/>
    <m/>
  </r>
  <r>
    <x v="0"/>
    <m/>
    <m/>
    <m/>
    <x v="0"/>
    <m/>
    <m/>
  </r>
  <r>
    <x v="1"/>
    <s v="放款業績工作月查詢"/>
    <n v="1"/>
    <s v="調整輸出結果,由原先每年度顯示13筆月份資料,改為只顯示年一筆年度資料"/>
    <x v="1"/>
    <d v="2021-07-30T00:00:00"/>
    <d v="2021-07-27T00:00:00"/>
  </r>
  <r>
    <x v="1"/>
    <s v="放款業績工作月查詢"/>
    <n v="2"/>
    <s v="配合上項調整,增加[查詢]按鈕,連結[L6752]查詢工作月資料"/>
    <x v="1"/>
    <d v="2021-07-30T00:00:00"/>
    <d v="2021-07-27T00:00:00"/>
  </r>
  <r>
    <x v="1"/>
    <s v="放款業績工作月查詢"/>
    <n v="3"/>
    <s v="增加工作月年度&lt;=日曆日年度時,資枓不可刪除管控"/>
    <x v="1"/>
    <d v="2021-07-30T00:00:00"/>
    <d v="2021-07-27T00:00:00"/>
  </r>
  <r>
    <x v="2"/>
    <s v="放款業績工作月維護"/>
    <n v="1"/>
    <s v="增加&quot;查詢&quot;功能(配合L6082,[查詢]按鈕連結)"/>
    <x v="1"/>
    <d v="2021-07-30T00:00:00"/>
    <d v="2021-07-27T00:00:00"/>
  </r>
  <r>
    <x v="3"/>
    <s v="年度業績目標更新                    "/>
    <n v="1"/>
    <s v="增加上傳資料,區部、部室代號檢查"/>
    <x v="1"/>
    <d v="2021-07-30T00:00:00"/>
    <d v="2021-07-30T00:00:00"/>
  </r>
  <r>
    <x v="3"/>
    <s v="年度業績目標更新                    "/>
    <n v="2"/>
    <s v="提供下載&quot;上傳資料最新範本&quot;機制 (另提共同作法)"/>
    <x v="1"/>
    <s v="上線後2個月內"/>
    <d v="2021-12-17T00:00:00"/>
  </r>
  <r>
    <x v="4"/>
    <s v="房貸專員明細資料查詢                "/>
    <n v="1"/>
    <s v="新增&quot;員工代碼&quot;查詢條件"/>
    <x v="1"/>
    <d v="2021-07-30T00:00:00"/>
    <d v="2021-07-28T00:00:00"/>
  </r>
  <r>
    <x v="5"/>
    <s v="房貸專員資料維護                    "/>
    <n v="1"/>
    <s v="調整排版:名稱相關欄位向右移動 "/>
    <x v="1"/>
    <d v="2021-07-30T00:00:00"/>
    <d v="2021-07-30T00:00:00"/>
  </r>
  <r>
    <x v="5"/>
    <s v="房貸專員資料維護                    "/>
    <n v="2"/>
    <s v="新增&quot;區域中心&quot;維護機制:於[共用代碼檔(CdCode)]新增[代碼檔代碼]:AreaCenterCode,利用[L6041]及[L6401]交易維護"/>
    <x v="1"/>
    <d v="2021-07-30T00:00:00"/>
    <d v="2021-07-28T00:00:00"/>
  </r>
  <r>
    <x v="5"/>
    <s v="房貸專員資料維護                    "/>
    <n v="3"/>
    <s v="新增&quot;員工代碼&quot;檢查,必須存在[員工檔(CdEmp)]"/>
    <x v="1"/>
    <d v="2021-07-30T00:00:00"/>
    <d v="2021-07-30T00:00:00"/>
  </r>
  <r>
    <x v="5"/>
    <s v="房貸專員資料維護                    "/>
    <n v="4"/>
    <s v="複製功能調整:預設值為複製對象,欄位控制比照新增"/>
    <x v="1"/>
    <d v="2021-07-30T00:00:00"/>
    <d v="2021-07-30T00:00:00"/>
  </r>
  <r>
    <x v="6"/>
    <s v="更改目標金額、累計目標金額          "/>
    <n v="1"/>
    <s v="提供整批更新機制(來源檔為excel),另提供下載最新範本機制"/>
    <x v="1"/>
    <d v="2022-02-28T00:00:00"/>
    <d v="2021-12-17T00:00:00"/>
  </r>
  <r>
    <x v="6"/>
    <s v="更改目標金額、累計目標金額          "/>
    <n v="2"/>
    <s v="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"/>
    <x v="1"/>
    <d v="2022-02-28T00:00:00"/>
    <m/>
  </r>
  <r>
    <x v="6"/>
    <s v="更改目標金額、累計目標金額          "/>
    <n v="3"/>
    <s v="增加輸入畫面說明:三階架構下各階目標設定[單位代號]、[區部代號]、[部室代號]輸入說明"/>
    <x v="1"/>
    <d v="2021-08-31T00:00:00"/>
    <d v="2021-09-08T00:00:00"/>
  </r>
  <r>
    <x v="6"/>
    <s v="更改目標金額、累計目標金額          "/>
    <n v="4"/>
    <s v="增加[處長主任別]輸入說明:D.部室,B.區部,M.單位"/>
    <x v="1"/>
    <d v="2021-07-30T00:00:00"/>
    <d v="2021-07-30T00:00:00"/>
  </r>
  <r>
    <x v="7"/>
    <s v="晤談人員明細資料查詢                "/>
    <n v="1"/>
    <s v="增加&quot;案件編號&quot;查詢條件"/>
    <x v="2"/>
    <d v="2021-07-30T00:00:00"/>
    <d v="2021-07-30T00:00:00"/>
  </r>
  <r>
    <x v="7"/>
    <s v="晤談人員明細資料查詢                "/>
    <n v="2"/>
    <s v="增加&quot;戶名&quot;顯示(二審新增-2021/12/3)"/>
    <x v="2"/>
    <d v="2021-12-03T00:00:00"/>
    <d v="2021-12-03T00:00:00"/>
  </r>
  <r>
    <x v="8"/>
    <s v="晤談人員資料維護                    "/>
    <n v="1"/>
    <s v=" [晤談人員1]、[晤談人員2]改為非必要輸入欄位,可為空白"/>
    <x v="2"/>
    <d v="2021-07-30T00:00:00"/>
    <d v="2021-07-30T00:00:00"/>
  </r>
  <r>
    <x v="9"/>
    <s v="協辦人員等級明細資料查詢            "/>
    <n v="1"/>
    <s v="增加輸出欄位&quot;目前狀態&quot;:含以下狀態_x000a_已生效：[生效日]&lt;=日曆日且符合下列三項條件:_x000a_(1).[停效日期]=0_x000a_(2).[停效日期]&gt;日曆日_x000a_(3).同一協辦人員,未有其他[生效日]更接近日曆日已生效的資料_x000a_已停效：[停效日期]&lt;=日曆日_x000a_待生效：[生效日]&gt;日曆日"/>
    <x v="2"/>
    <d v="2021-08-31T00:00:00"/>
    <d v="2021-09-22T00:00:00"/>
  </r>
  <r>
    <x v="9"/>
    <s v="協辦人員等級明細資料查詢            "/>
    <n v="2"/>
    <s v="增加查詢條件[狀態]及[生效日期]，新增二項條件只能擇一輸入:_x000a_(1).狀態:限輸入選單(1.已生效,2已停效,3.待生效,9.全部)_x000a_[註]判斷方式參考1說明_x000a_(2).生效日期:可輸入起訖期間,查詢指定期間生效的資料"/>
    <x v="2"/>
    <d v="2021-08-31T00:00:00"/>
    <d v="2021-09-22T00:00:00"/>
  </r>
  <r>
    <x v="9"/>
    <s v="協辦人員等級明細資料查詢            "/>
    <n v="3"/>
    <s v="增加[歷程]查詢機制"/>
    <x v="2"/>
    <d v="2021-08-31T00:00:00"/>
    <d v="2021-09-29T00:00:00"/>
  </r>
  <r>
    <x v="10"/>
    <s v="房貸協辦人員等級維護                "/>
    <n v="1"/>
    <s v="增加資料異動[歷程]記錄，配合[L5022]查詢[歷程]使用"/>
    <x v="2"/>
    <d v="2021-08-31T00:00:00"/>
    <d v="2021-09-29T00:00:00"/>
  </r>
  <r>
    <x v="11"/>
    <s v="介紹人加碼獎勵津貼標準設定"/>
    <n v="1"/>
    <s v="增加輸入排除條件,如下_x000a_(1).排除部門別(可輸入多筆),移至L650A_x000a_(2).是否&quot;排除15日薪非業績人員&quot;選項,移至L650C"/>
    <x v="2"/>
    <d v="2021-08-11T00:00:00"/>
    <d v="2021-08-11T00:00:00"/>
  </r>
  <r>
    <x v="11"/>
    <s v="介紹人加碼獎勵津貼標準設定"/>
    <n v="2"/>
    <s v="由原&quot;生效工作月&quot;設計,改成&quot;工作月期間&quot;,判斷設定有效期間"/>
    <x v="2"/>
    <d v="2021-08-31T00:00:00"/>
    <d v="2021-08-27T00:00:00"/>
  </r>
  <r>
    <x v="11"/>
    <s v="介紹人加碼獎勵津貼標準設定"/>
    <n v="3"/>
    <s v="已生效資料,不可異動"/>
    <x v="2"/>
    <d v="2021-08-31T00:00:00"/>
    <d v="2021-08-27T00:00:00"/>
  </r>
  <r>
    <x v="12"/>
    <s v="協辦獎勵津貼標準設定"/>
    <n v="1"/>
    <s v="已生效資料,不可異動"/>
    <x v="2"/>
    <d v="2021-08-31T00:00:00"/>
    <d v="2021-09-15T00:00:00"/>
  </r>
  <r>
    <x v="12"/>
    <s v="協辦獎勵津貼標準設定"/>
    <n v="2"/>
    <s v="增加輸入[專業獎勵金]欄位,供經辦新增協辦”專業獎勵金&quot;預設值使用"/>
    <x v="2"/>
    <d v="2021-08-31T00:00:00"/>
    <d v="2021-09-15T00:00:00"/>
  </r>
  <r>
    <x v="12"/>
    <s v="協辦獎勵津貼標準設定"/>
    <n v="3"/>
    <s v="[計件代碼]輸入畫面調整"/>
    <x v="2"/>
    <d v="2021-08-31T00:00:00"/>
    <d v="2021-09-15T00:00:00"/>
  </r>
  <r>
    <x v="13"/>
    <s v="系統變數及系統值設定"/>
    <n v="1"/>
    <s v="針對&quot;業績追回之起止期數&quot;於DB Layout及URS加運用說明"/>
    <x v="2"/>
    <d v="2021-07-30T00:00:00"/>
    <d v="2021-07-30T00:00:00"/>
  </r>
  <r>
    <x v="13"/>
    <s v="系統變數及系統值設定"/>
    <n v="2"/>
    <s v="[擔保放款年限]輸入欄位,增加以下說明_x000a_(1).&quot;中期[]年~[]年&quot;改成&quot;中期[]年以上~[]年&quot;_x000a_(2).&quot;長期[]年~[]年&quot;改成&quot;長期[]年以上~[]年&quot;"/>
    <x v="2"/>
    <d v="2021-07-30T00:00:00"/>
    <d v="2021-07-27T00:00:00"/>
  </r>
  <r>
    <x v="13"/>
    <s v="系統變數及系統值設定"/>
    <n v="3"/>
    <s v="增加[業績追回通知員工代碼清單]輸入欄位,系統並於業績追回案例發生時,依據設定員工代碼，由[員工檔(CdEmp)]記錄email信箱,主動發送email通知相關經辦。"/>
    <x v="2"/>
    <d v="2022-01-31T00:00:00"/>
    <m/>
  </r>
  <r>
    <x v="14"/>
    <s v="業績件數及金額核算標準設定查詢"/>
    <n v="1"/>
    <s v="查詢輸出表格，標題二層式顯示(廠商註:因涉及匯出EXCEL功能,待技術評估後,提方案說明)"/>
    <x v="3"/>
    <d v="2021-07-31T00:00:00"/>
    <d v="2021-07-31T00:00:00"/>
  </r>
  <r>
    <x v="15"/>
    <s v="業績件數及金額核算標準設定"/>
    <n v="1"/>
    <s v="增加新增&quot;計件代碼&quot;流程說明"/>
    <x v="3"/>
    <d v="2021-08-13T00:00:00"/>
    <d v="2021-08-20T00:00:00"/>
  </r>
  <r>
    <x v="15"/>
    <s v="業績件數及金額核算標準設定"/>
    <n v="2"/>
    <s v="允許[新增]當工作月資料或[修改]已生效資料，需主管放行,系統於夜間批次需自動計算當工作月資料"/>
    <x v="3"/>
    <d v="2021-08-31T00:00:00"/>
    <d v="2021-08-27T00:00:00"/>
  </r>
  <r>
    <x v="15"/>
    <s v="業績件數及金額核算標準設定"/>
    <n v="3"/>
    <s v="依據「放款部業績件數及金額核算標準表-1090327修訂.xls」提供建檔說明範例"/>
    <x v="3"/>
    <d v="2021-08-04T00:00:00"/>
    <d v="2021-08-04T00:00:00"/>
  </r>
  <r>
    <x v="15"/>
    <s v="業績件數及金額核算標準設定"/>
    <n v="4"/>
    <s v="調整數字欄位輸入小數位數標準"/>
    <x v="3"/>
    <d v="2021-08-09T00:00:00"/>
    <d v="2021-08-09T00:00:00"/>
  </r>
  <r>
    <x v="16"/>
    <s v="業績件數及金額核算標準設定(整月)"/>
    <n v="1"/>
    <s v="允許複製[新增]當工作月資料，需主管放行,系統於夜間批次需自動計算當工作月資料"/>
    <x v="3"/>
    <d v="2021-09-30T00:00:00"/>
    <d v="2021-09-23T00:00:00"/>
  </r>
  <r>
    <x v="17"/>
    <s v="工作日業績結算"/>
    <n v="1"/>
    <s v="1.調整交易畫面說明文字"/>
    <x v="3"/>
    <d v="2021-07-23T00:00:00"/>
    <d v="2021-07-21T00:00:00"/>
  </r>
  <r>
    <x v="17"/>
    <s v="工作日業績結算"/>
    <n v="2"/>
    <s v="2.人工啟動時,如何再同步資料上傳內網系統[[待辦事項4]]葛經理協調相關IT單位確認"/>
    <x v="3"/>
    <s v="改列待辦事項"/>
    <m/>
  </r>
  <r>
    <x v="18"/>
    <s v="撥款                     "/>
    <n v="1"/>
    <s v=" [計件代碼]改成可輸入欄位"/>
    <x v="3"/>
    <d v="2021-08-04T00:00:00"/>
    <d v="2021-08-04T00:00:00"/>
  </r>
  <r>
    <x v="19"/>
    <e v="#N/A"/>
    <n v="1"/>
    <s v="增加[介紹人]、[戶號]查詢條件,為非必要輸入條件"/>
    <x v="3"/>
    <d v="2021-08-31T00:00:00"/>
    <d v="2021-11-18T00:00:00"/>
  </r>
  <r>
    <x v="19"/>
    <e v="#N/A"/>
    <n v="2"/>
    <s v="和[L5051房貸介紹人業績處理清單]交易整併[待辦事項5]廠商另提設計"/>
    <x v="3"/>
    <d v="2021-08-31T00:00:00"/>
    <d v="2021-11-18T00:00:00"/>
  </r>
  <r>
    <x v="20"/>
    <e v="#N/A"/>
    <n v="1"/>
    <s v="增加[房貸專員]、[戶號]查詢條件,為非必要輸入條件"/>
    <x v="3"/>
    <d v="2021-08-31T00:00:00"/>
    <d v="2021-11-18T00:00:00"/>
  </r>
  <r>
    <x v="20"/>
    <e v="#N/A"/>
    <n v="2"/>
    <s v="與[L5052 房貸專員業績處理清單]交易整併[[待辦事項6]廠商另提設計"/>
    <x v="3"/>
    <d v="2021-08-31T00:00:00"/>
    <d v="2021-11-18T00:00:00"/>
  </r>
  <r>
    <x v="21"/>
    <s v="三階放款明細統計"/>
    <n v="1"/>
    <s v="輸入條件改為[工作月],預設當日曆日工作月"/>
    <x v="3"/>
    <d v="2021-07-22T00:00:00"/>
    <d v="2021-07-22T00:00:00"/>
  </r>
  <r>
    <x v="22"/>
    <s v="放款專員明細統計"/>
    <n v="1"/>
    <s v="輸入條件改為[工作月],預設當日曆日工作月"/>
    <x v="3"/>
    <d v="2021-07-22T00:00:00"/>
    <d v="2021-07-22T00:00:00"/>
  </r>
  <r>
    <x v="23"/>
    <s v="顧客明細資料查詢"/>
    <n v="1"/>
    <s v="增加&quot;按鈕標題&quot;,其他類似查詢交易,比照辦理,[廠商註]L1001已調整"/>
    <x v="4"/>
    <d v="2021-07-22T00:00:00"/>
    <d v="2021-07-22T00:00:00"/>
  </r>
  <r>
    <x v="24"/>
    <s v="顧客基本資料維護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02T00:00:00"/>
    <d v="2021-08-02T00:00:00"/>
  </r>
  <r>
    <x v="24"/>
    <s v="顧客基本資料維護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不可修改"/>
    <x v="4"/>
    <d v="2021-08-02T00:00:00"/>
    <d v="2021-08-02T00:00:00"/>
  </r>
  <r>
    <x v="24"/>
    <s v="顧客基本資料維護-自然人"/>
    <n v="3"/>
    <s v="[國籍]欄位處理如下:_x000a_(1).預設為&quot;TW&quot;,不可修改_x000a_(2).轉換時&quot;自然人&quot;資料不為&quot;TW&quot;時,亦改值為&quot;TW&quot;,有異動&quot;自然人&quot;資料,需並陳述於&quot;轉換資調值異動報表&quot;[廠商註]列入資料轉換共同處理事項"/>
    <x v="4"/>
    <d v="2021-08-02T00:00:00"/>
    <d v="2021-08-02T00:00:00"/>
  </r>
  <r>
    <x v="24"/>
    <s v="顧客基本資料維護-自然人"/>
    <n v="4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02T00:00:00"/>
    <d v="2021-08-02T00:00:00"/>
  </r>
  <r>
    <x v="24"/>
    <s v="顧客基本資料維護-自然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02T00:00:00"/>
    <d v="2021-08-02T00:00:00"/>
  </r>
  <r>
    <x v="24"/>
    <s v="顧客基本資料維護-自然人"/>
    <n v="6"/>
    <s v="修正[戶籍-地址]及[通訊-地址]無法正確顯示&quot;輸入提示&quot;問題,_x000a_[廠商註]因展示過程,有放大瀏覽器顯示比例造成,_x000a_會適度調整放大訊息顯示區因應"/>
    <x v="4"/>
    <d v="2021-08-02T00:00:00"/>
    <d v="2021-08-02T00:00:00"/>
  </r>
  <r>
    <x v="24"/>
    <s v="顧客基本資料維護-自然人"/>
    <n v="7"/>
    <s v="增加[電子信箱]基本格式檢查"/>
    <x v="4"/>
    <d v="2021-08-02T00:00:00"/>
    <d v="2021-08-02T00:00:00"/>
  </r>
  <r>
    <x v="24"/>
    <s v="顧客基本資料維護-自然人"/>
    <n v="8"/>
    <s v="[教育程度代號]改為必須輸入"/>
    <x v="4"/>
    <d v="2021-08-02T00:00:00"/>
    <d v="2021-08-02T00:00:00"/>
  </r>
  <r>
    <x v="24"/>
    <s v="顧客基本資料維護-自然人"/>
    <n v="9"/>
    <s v="[自有住宅有無]改為必須輸入"/>
    <x v="4"/>
    <d v="2021-08-02T00:00:00"/>
    <d v="2021-08-02T00:00:00"/>
  </r>
  <r>
    <x v="24"/>
    <s v="顧客基本資料維護-自然人"/>
    <n v="10"/>
    <s v="[是否為授信限制對象]、[是否為利害關係人] 、[是否為準利害關係人]_x000a_於目前顯示狀態後,增加&quot;資料日期&quot;資訊"/>
    <x v="4"/>
    <d v="2021-08-31T00:00:00"/>
    <d v="2021-08-31T00:00:00"/>
  </r>
  <r>
    <x v="24"/>
    <s v="顧客基本資料維護-自然人"/>
    <n v="11"/>
    <s v="增加[是否為金控類似準利害關係人]欄位[註]_x000a_由吳承憲提供顯示邏輯"/>
    <x v="4"/>
    <d v="2021-08-31T00:00:00"/>
    <d v="2021-08-31T00:00:00"/>
  </r>
  <r>
    <x v="24"/>
    <s v="顧客基本資料維護-自然人"/>
    <n v="12"/>
    <s v="增加[客戶交互運用維護]欄位(同【L1109交互運用輸入】交易機制)[註]吳承憲提供eLoan輸入控制供設計參考"/>
    <x v="4"/>
    <d v="2021-08-02T00:00:00"/>
    <d v="2021-08-02T00:00:00"/>
  </r>
  <r>
    <x v="24"/>
    <s v="顧客基本資料維護-自然人"/>
    <n v="13"/>
    <s v="新增資料成功處,自動連結【L1105顧客聯絡電話維護】,_x000a_並控制必須輸入一組聯絡電話"/>
    <x v="4"/>
    <d v="2021-08-02T00:00:00"/>
    <d v="2021-08-01T00:00:00"/>
  </r>
  <r>
    <x v="25"/>
    <s v="顧客基本資料修改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11T00:00:00"/>
    <d v="2021-08-01T00:00:00"/>
  </r>
  <r>
    <x v="25"/>
    <s v="顧客基本資料修改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待與陳俞辛確認[已確認],不可修改"/>
    <x v="4"/>
    <d v="2021-08-13T00:00:00"/>
    <d v="2021-08-31T00:00:00"/>
  </r>
  <r>
    <x v="25"/>
    <s v="顧客基本資料修改-自然人"/>
    <n v="3"/>
    <s v="[國籍]改為不可修改欄位[李珮君2021.7.27回覆]預設值為&quot;TW&quot;,有修改功能"/>
    <x v="4"/>
    <d v="2021-08-13T00:00:00"/>
    <d v="2021-08-31T00:00:00"/>
  </r>
  <r>
    <x v="25"/>
    <s v="顧客基本資料修改-自然人"/>
    <n v="4"/>
    <s v="[戶籍-地址]輸入參考L1101設計並列輸入"/>
    <x v="4"/>
    <d v="2021-08-30T00:00:00"/>
    <d v="2021-08-31T00:00:00"/>
  </r>
  <r>
    <x v="25"/>
    <s v="顧客基本資料修改-自然人"/>
    <n v="5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30T00:00:00"/>
    <d v="2021-08-31T00:00:00"/>
  </r>
  <r>
    <x v="25"/>
    <s v="顧客基本資料修改-自然人"/>
    <n v="6"/>
    <s v="[通訊-地址]輸入參考L1101設計並列輸入"/>
    <x v="4"/>
    <d v="2021-08-30T00:00:00"/>
    <d v="2021-08-31T00:00:00"/>
  </r>
  <r>
    <x v="25"/>
    <s v="顧客基本資料修改-自然人"/>
    <n v="7"/>
    <s v="增加[同戶籍地圵]按鈕,處理參考L1101交易"/>
    <x v="4"/>
    <d v="2021-08-20T00:00:00"/>
    <d v="2021-08-31T00:00:00"/>
  </r>
  <r>
    <x v="25"/>
    <s v="顧客基本資料修改-自然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30T00:00:00"/>
    <d v="2021-08-31T00:00:00"/>
  </r>
  <r>
    <x v="25"/>
    <s v="顧客基本資料修改-自然人"/>
    <n v="9"/>
    <s v="增加[電子信箱]基本格式檢查"/>
    <x v="4"/>
    <d v="2021-08-06T00:00:00"/>
    <d v="2021-08-01T00:00:00"/>
  </r>
  <r>
    <x v="25"/>
    <s v="顧客基本資料修改-自然人"/>
    <n v="10"/>
    <s v="10. 刪除[是否為授信限制對象]、[是否為利害關係人] 、_x000a_[是否為準利害關係人]欄位"/>
    <x v="4"/>
    <d v="2021-08-06T00:00:00"/>
    <d v="2021-08-01T00:00:00"/>
  </r>
  <r>
    <x v="26"/>
    <s v="顧客聯絡電話維護"/>
    <n v="1"/>
    <s v="增加[異動原因]代碼,請吳承憲提供[吳承憲2021.7.23回覆]此項應由服務課跟催收人員那邊統整"/>
    <x v="4"/>
    <d v="2021-08-31T00:00:00"/>
    <d v="2021-08-23T00:00:00"/>
  </r>
  <r>
    <x v="26"/>
    <s v="顧客聯絡電話維護"/>
    <n v="2"/>
    <s v="新增聯絡電話時,[啟用]預設值為Y"/>
    <x v="4"/>
    <d v="2021-08-06T00:00:00"/>
    <d v="2021-08-01T00:00:00"/>
  </r>
  <r>
    <x v="27"/>
    <s v="額度與擔保品關聯查詢 "/>
    <n v="1"/>
    <s v="目前同一擔保品項下額度,均顯示該擔保品的最後 [設定金額],_x000a_需改為顯示各額度於設定當時該擔保品的[設定金額][廠商註]_x000a_轉換需同步調整,會於L2017說明前處理完畢"/>
    <x v="4"/>
    <d v="2021-08-06T00:00:00"/>
    <d v="2021-08-01T00:00:00"/>
  </r>
  <r>
    <x v="28"/>
    <e v="#N/A"/>
    <n v="1"/>
    <s v="調整查詢條件[員工姓名]為模糊比對"/>
    <x v="5"/>
    <d v="2021-08-04T00:00:00"/>
    <d v="2021-08-04T00:00:00"/>
  </r>
  <r>
    <x v="28"/>
    <e v="#N/A"/>
    <n v="2"/>
    <s v="增加輸出欄位[資料日期]"/>
    <x v="5"/>
    <d v="2021-08-04T00:00:00"/>
    <d v="2021-08-04T00:00:00"/>
  </r>
  <r>
    <x v="29"/>
    <s v="申請不列印書面通知書查詢"/>
    <n v="1"/>
    <s v="提供[戶號-額度]全部&quot;書面通知書&quot;複製功能"/>
    <x v="5"/>
    <d v="2021-08-31T00:00:00"/>
    <d v="2021-08-23T00:00:00"/>
  </r>
  <r>
    <x v="29"/>
    <s v="申請不列印書面通知書查詢"/>
    <n v="2"/>
    <s v="增加輸出欄位[異動者]、[異動日期]"/>
    <x v="5"/>
    <d v="2021-08-31T00:00:00"/>
    <d v="2021-08-16T00:00:00"/>
  </r>
  <r>
    <x v="30"/>
    <s v="申請不列印書面通知書維護"/>
    <n v="1"/>
    <s v="新增時[客戶額度]改為必須輸入欄位,在判斷客戶&quot;書面通知書&quot;是否列印時,也必須以[戶號-額度]申請為依據"/>
    <x v="5"/>
    <d v="2021-08-31T00:00:00"/>
    <d v="2021-08-16T00:00:00"/>
  </r>
  <r>
    <x v="30"/>
    <s v="申請不列印書面通知書維護"/>
    <n v="2"/>
    <s v="單一通知書,必須依據【L6608報表代號對照檔維護】的[寄送記號]設定值,檢查申請內容:_x000a_(1).值為[ 1.依利率調整通知方式]時,[寄送書面]、[發送簡訊]、[發送EMAIL]不可全部申請不寄送_x000a_(2).值為[2.依設定優先順序]時,[寄送書面]、[發送簡訊]、[發送EMAIL]可以申請全部不寄送"/>
    <x v="5"/>
    <d v="2021-08-31T00:00:00"/>
    <d v="2021-08-23T00:00:00"/>
  </r>
  <r>
    <x v="24"/>
    <s v="顧客基本資料維護-自然人"/>
    <n v="1"/>
    <s v="原2021.7.22會議,討論項目修改如下紅字_x000a_[企金別]移至[行業別]前面輸入,並控制如下:_x000a_(1).[企金別]值為&quot;0&quot;(個金)時,[行業別]預設值為&quot;060000&quot;(個人),不可修改_x000a_(2).[企金別]值為&quot;2&quot;(企金自然人)時,預設為&quot;060000&quot;(個人),可修改_x000a_[待辦事項]陳俞辛確認報送方式[陳俞辛2021.7.29回覆] [企金別]值為&quot;2&quot;(企金自然人)時，預設值為&quot;060000&quot;(個人),不可修改_x000a_"/>
    <x v="6"/>
    <d v="2021-08-13T00:00:00"/>
    <d v="2021-08-01T00:00:00"/>
  </r>
  <r>
    <x v="24"/>
    <s v="顧客基本資料維護-自然人"/>
    <n v="2"/>
    <s v="[英文名稱]移至[姓名]後輸入,長度由20位放大為50位"/>
    <x v="6"/>
    <d v="2021-08-13T00:00:00"/>
    <d v="2021-08-01T00:00:00"/>
  </r>
  <r>
    <x v="24"/>
    <s v="顧客基本資料維護-自然人"/>
    <n v="3"/>
    <s v="[客戶別]預設值為&quot;00.一般&quot;,可修改"/>
    <x v="6"/>
    <d v="2021-08-13T00:00:00"/>
    <d v="2021-08-01T00:00:00"/>
  </r>
  <r>
    <x v="24"/>
    <s v="顧客基本資料維護-自然人"/>
    <n v="4"/>
    <s v="比對ELOAN於[身分證字號]前加[是否為護照/居留證]欄位,當值為&quot;Y&quot;(是)時,將[身分證字號]長度由10位放大20位,並不檢查格式_x000a_[註]於8/2說明,為符合聯徵報送,外國人只可輸入&quot;統一證號&quot;及&quot;稅籍編號&quot;格式,需加加檢查機制,輸入&quot;稅籍編號&quot;時,需輸入&quot;護照號號&quot;"/>
    <x v="6"/>
    <d v="2021-08-13T00:00:00"/>
    <d v="2021-08-01T00:00:00"/>
  </r>
  <r>
    <x v="31"/>
    <s v="顧客基本資料維護-法人"/>
    <n v="1"/>
    <s v="[英文名稱]移至[姓名]後輸入,長度由20位放大為50位"/>
    <x v="6"/>
    <d v="2021-08-13T00:00:00"/>
    <d v="2021-09-13T00:00:00"/>
  </r>
  <r>
    <x v="31"/>
    <s v="顧客基本資料維護-法人"/>
    <n v="2"/>
    <s v="[客戶別]預設值為&quot;00.一般&quot;,可修改"/>
    <x v="6"/>
    <d v="2021-08-13T00:00:00"/>
    <d v="2021-09-14T00:00:00"/>
  </r>
  <r>
    <x v="31"/>
    <s v="顧客基本資料維護-法人"/>
    <n v="3"/>
    <s v="[行業別]不可輸入&quot;060000&quot;(個人)"/>
    <x v="6"/>
    <d v="2021-08-13T00:00:00"/>
    <d v="2021-09-15T00:00:00"/>
  </r>
  <r>
    <x v="31"/>
    <s v="顧客基本資料維護-法人"/>
    <n v="4"/>
    <s v=" [國籍]改標題為[公司註冊地],預設值&quot;TW&quot;,可修改,不可空白"/>
    <x v="6"/>
    <d v="2021-08-13T00:00:00"/>
    <d v="2021-09-16T00:00:00"/>
  </r>
  <r>
    <x v="31"/>
    <s v="顧客基本資料維護-法人"/>
    <n v="5"/>
    <s v="[負責人身分證字號]當[公司註冊地]為&quot;TW&quot;時,必須輸入"/>
    <x v="6"/>
    <d v="2021-08-13T00:00:00"/>
    <d v="2021-09-17T00:00:00"/>
  </r>
  <r>
    <x v="31"/>
    <s v="顧客基本資料維護-法人"/>
    <n v="6"/>
    <s v="[負責人姓名]改為必須輸入"/>
    <x v="6"/>
    <d v="2021-08-13T00:00:00"/>
    <d v="2021-09-18T00:00:00"/>
  </r>
  <r>
    <x v="31"/>
    <s v="顧客基本資料維護-法人"/>
    <n v="7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9T00:00:00"/>
  </r>
  <r>
    <x v="31"/>
    <s v="顧客基本資料維護-法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_x000a_"/>
    <x v="6"/>
    <d v="2021-08-13T00:00:00"/>
    <d v="2021-09-20T00:00:00"/>
  </r>
  <r>
    <x v="31"/>
    <s v="顧客基本資料維護-法人"/>
    <n v="9"/>
    <s v="增加[客戶交互運用維護]欄位(同【L1109交互運用輸入】交易機制)參考eLoan設計輸入控制"/>
    <x v="6"/>
    <d v="2021-08-13T00:00:00"/>
    <d v="2021-09-21T00:00:00"/>
  </r>
  <r>
    <x v="31"/>
    <s v="顧客基本資料維護-法人"/>
    <n v="10"/>
    <s v="增加[是否為金控類似準利害關係人]欄位"/>
    <x v="6"/>
    <d v="2021-08-13T00:00:00"/>
    <d v="2021-09-22T00:00:00"/>
  </r>
  <r>
    <x v="31"/>
    <s v="顧客基本資料維護-法人"/>
    <n v="11"/>
    <s v="新增資料成功處,自動連結【L1105顧客聯絡電話維護】,並控制必須輸入一組聯絡電話"/>
    <x v="6"/>
    <d v="2021-08-13T00:00:00"/>
    <d v="2021-09-23T00:00:00"/>
  </r>
  <r>
    <x v="32"/>
    <s v="顧客基本資料修改-法人"/>
    <n v="1"/>
    <s v="[戶籍-地址]輸入參考L1102設計並列輸入"/>
    <x v="6"/>
    <d v="2021-08-13T00:00:00"/>
    <d v="2021-09-10T00:00:00"/>
  </r>
  <r>
    <x v="32"/>
    <s v="顧客基本資料修改-法人"/>
    <n v="2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0T00:00:00"/>
  </r>
  <r>
    <x v="32"/>
    <s v="顧客基本資料修改-法人"/>
    <n v="3"/>
    <s v="[通訊-地址]輸入參考L1102設計並列輸入"/>
    <x v="6"/>
    <d v="2021-08-13T00:00:00"/>
    <d v="2021-09-10T00:00:00"/>
  </r>
  <r>
    <x v="32"/>
    <s v="顧客基本資料修改-法人"/>
    <n v="4"/>
    <s v="增加[同戶籍地圵]按鈕,處理參考L1102交易"/>
    <x v="6"/>
    <d v="2021-08-13T00:00:00"/>
    <d v="2021-09-10T00:00:00"/>
  </r>
  <r>
    <x v="32"/>
    <s v="顧客基本資料修改-法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6"/>
    <d v="2021-08-13T00:00:00"/>
    <d v="2021-09-10T00:00:00"/>
  </r>
  <r>
    <x v="32"/>
    <s v="顧客基本資料修改-法人"/>
    <n v="6"/>
    <s v="增加[電子信箱]基本格式檢查"/>
    <x v="6"/>
    <d v="2021-08-13T00:00:00"/>
    <d v="2021-08-01T00:00:00"/>
  </r>
  <r>
    <x v="32"/>
    <s v="顧客基本資料修改-法人"/>
    <n v="7"/>
    <s v="刪除[是否為授信限制對象]、[是否為利害關係人] 、[是否為準利害關係人]欄位"/>
    <x v="6"/>
    <d v="2021-08-13T00:00:00"/>
    <d v="2021-08-01T00:00:00"/>
  </r>
  <r>
    <x v="33"/>
    <e v="#N/A"/>
    <n v="1"/>
    <s v="加[客戶查詢]按鈕,可查詢客戶身份證字號及帶回戶名_x000a_[廠商註]併入L2306 借款戶關係人/關係企業維護"/>
    <x v="6"/>
    <d v="2021-08-31T00:00:00"/>
    <d v="2021-09-17T00:00:00"/>
  </r>
  <r>
    <x v="33"/>
    <e v="#N/A"/>
    <n v="2"/>
    <s v="增加客戶[統一編號]必須存在[客戶檔CustMain],並自動顯示[客戶姓名][廠商註]併入L2306 借款戶關係人/關係企業維護"/>
    <x v="6"/>
    <d v="2021-08-31T00:00:00"/>
    <d v="2021-09-17T00:00:00"/>
  </r>
  <r>
    <x v="33"/>
    <e v="#N/A"/>
    <n v="3"/>
    <s v="[關係人統編]如為既有客戶,則自動顯示[關係人姓名]不可修改_x000a_[廠商註]併入L2306 借款戶關係人/關係企業維護"/>
    <x v="6"/>
    <d v="2021-08-31T00:00:00"/>
    <d v="2021-09-17T00:00:00"/>
  </r>
  <r>
    <x v="34"/>
    <s v="企金往來客戶統計表"/>
    <n v="1"/>
    <s v="包含&quot;企金&quot;及&quot;企金自然人&quot;放款明細資料"/>
    <x v="6"/>
    <d v="2021-08-31T00:00:00"/>
    <d v="2021-09-01T00:00:00"/>
  </r>
  <r>
    <x v="34"/>
    <s v="企金往來客戶統計表"/>
    <n v="2"/>
    <s v="為年度報表(由每年度啟始工作月之啟始日,開始出表)"/>
    <x v="6"/>
    <d v="2021-08-31T00:00:00"/>
    <d v="2021-09-01T00:00:00"/>
  </r>
  <r>
    <x v="34"/>
    <s v="企金往來客戶統計表"/>
    <n v="3"/>
    <s v="每筆明細只需顯示[戶號]-[額度]"/>
    <x v="6"/>
    <d v="2021-08-31T00:00:00"/>
    <d v="2021-09-01T00:00:00"/>
  </r>
  <r>
    <x v="34"/>
    <s v="企金往來客戶統計表"/>
    <n v="4"/>
    <s v="[放款日期]放[首撥日期]"/>
    <x v="6"/>
    <d v="2021-08-31T00:00:00"/>
    <d v="2021-09-01T00:00:00"/>
  </r>
  <r>
    <x v="34"/>
    <s v="企金往來客戶統計表"/>
    <n v="5"/>
    <s v="提供[放款性質]說明,[待辦事項3]陳俞辛,供廠商依據[擔保品類別]等欄位判斷 "/>
    <x v="6"/>
    <s v="改列待辦事項"/>
    <d v="2021-09-01T00:00:00"/>
  </r>
  <r>
    <x v="35"/>
    <s v="指標利率種類維護"/>
    <n v="1"/>
    <s v="異動需主管放行"/>
    <x v="6"/>
    <d v="2021-08-31T00:00:00"/>
    <d v="2021-08-27T00:00:00"/>
  </r>
  <r>
    <x v="36"/>
    <s v="指標利率登錄/維護"/>
    <n v="1"/>
    <s v="維持需主管放行[註]於2021.7.27確認"/>
    <x v="6"/>
    <d v="2021-08-05T00:00:00"/>
    <d v="2021-08-05T00:00:00"/>
  </r>
  <r>
    <x v="37"/>
    <s v="商品參數維護"/>
    <n v="1"/>
    <s v="[是否為協議商品]預設值&quot;N&quot;"/>
    <x v="6"/>
    <d v="2021-08-04T00:00:00"/>
    <d v="2021-08-04T00:00:00"/>
  </r>
  <r>
    <x v="37"/>
    <s v="商品參數維護"/>
    <n v="2"/>
    <s v="隱藏[加碼是否依合約]標題,將值顯示於[商品加碼利率]後,顯示Y/N"/>
    <x v="6"/>
    <d v="2021-08-04T00:00:00"/>
    <d v="2021-08-04T00:00:00"/>
  </r>
  <r>
    <x v="37"/>
    <s v="商品參數維護"/>
    <n v="3"/>
    <s v="已生效,但額度尚未有使用該商品,可以修改[生效日]"/>
    <x v="6"/>
    <d v="2021-09-20T00:00:00"/>
    <d v="2021-08-23T00:00:00"/>
  </r>
  <r>
    <x v="37"/>
    <s v="商品參數維護"/>
    <n v="4"/>
    <s v="增加[手續費],參考[帳管費]設計"/>
    <x v="6"/>
    <d v="2021-09-20T00:00:00"/>
    <d v="2021-09-28T00:00:00"/>
  </r>
  <r>
    <x v="37"/>
    <s v="商品參數維護"/>
    <n v="5"/>
    <s v="增加[清償說明]輸入欄位,供「L2153 核准額度登錄」顯示"/>
    <x v="6"/>
    <d v="2021-09-20T00:00:00"/>
    <d v="2021-09-28T00:00:00"/>
  </r>
  <r>
    <x v="38"/>
    <s v="申請案件明細資料查詢                    "/>
    <n v="1"/>
    <s v="增加[團體戶統編]查詢條件及輸出欄位"/>
    <x v="6"/>
    <d v="2021-07-28T00:00:00"/>
    <d v="2021-07-28T00:00:00"/>
  </r>
  <r>
    <x v="38"/>
    <s v="申請案件明細資料查詢                    "/>
    <n v="2"/>
    <s v="[准駁查詢]連結交易「L2151 駁回額度登錄」交易標題改為「L2151額度登錄准駁查詢」"/>
    <x v="6"/>
    <d v="2021-07-28T00:00:00"/>
    <d v="2021-07-28T00:00:00"/>
  </r>
  <r>
    <x v="39"/>
    <s v="案件申請登錄"/>
    <n v="1"/>
    <s v="增加[是否為金控類似準利害關係人]欄位"/>
    <x v="6"/>
    <d v="2021-08-31T00:00:00"/>
    <d v="2021-09-29T00:00:00"/>
  </r>
  <r>
    <x v="39"/>
    <s v="案件申請登錄"/>
    <n v="2"/>
    <s v="[授信人員]改未必填"/>
    <x v="6"/>
    <d v="2021-07-28T00:00:00"/>
    <d v="2021-07-28T00:00:00"/>
  </r>
  <r>
    <x v="40"/>
    <s v="核准額度登錄"/>
    <n v="3"/>
    <s v="增加&quot;核決層級&quot;輸入欄位[註1]吳承憲提供ELOAN作法[註2]廠商轉換資料時放空白處理"/>
    <x v="6"/>
    <d v="2021-09-20T00:00:00"/>
    <d v="2021-09-29T00:00:00"/>
  </r>
  <r>
    <x v="40"/>
    <s v="核准額度登錄"/>
    <n v="4"/>
    <s v="新增時參考[核決層級]控制是否需輸入[核決主管],[註]已知董事會不需輸入"/>
    <x v="6"/>
    <d v="2021-09-20T00:00:00"/>
    <d v="2021-09-28T00:00:00"/>
  </r>
  <r>
    <x v="39"/>
    <s v="案件申請登錄"/>
    <n v="5"/>
    <s v="舊案資料欄位無異動時,可不依新系統邏輯檢查"/>
    <x v="6"/>
    <d v="2021-09-20T00:00:00"/>
    <d v="2021-09-29T00:00:00"/>
  </r>
  <r>
    <x v="39"/>
    <s v="案件申請登錄"/>
    <n v="6"/>
    <s v="廠商需更新ELOAN規格[待辦事項6]"/>
    <x v="6"/>
    <s v="改列待辦事項"/>
    <d v="2021-10-12T00:00:00"/>
  </r>
  <r>
    <x v="39"/>
    <s v="案件申請登錄"/>
    <n v="7"/>
    <s v="廠商提供調整畫面供BU確認[待辦事項7]"/>
    <x v="6"/>
    <s v="改列待辦事項"/>
    <d v="2021-10-12T00:00:00"/>
  </r>
  <r>
    <x v="39"/>
    <s v="案件申請登錄"/>
    <n v="8"/>
    <s v="確認企金需另設計輸入畫面或共用輸入畫面[待辦事項8]"/>
    <x v="6"/>
    <s v="改列待辦事項"/>
    <d v="2021-10-12T00:00:00"/>
  </r>
  <r>
    <x v="41"/>
    <s v="團體戶申請登錄                          "/>
    <n v="1"/>
    <s v="[授信人員]、[介紹人]、[放款專員]、[核決主管]欄位可不輸入，經辦可再至L2111補鍵資料"/>
    <x v="6"/>
    <d v="2021-07-28T00:00:00"/>
    <d v="2021-07-28T00:00:00"/>
  </r>
  <r>
    <x v="41"/>
    <s v="團體戶申請登錄                          "/>
    <n v="2"/>
    <s v="申請[統一編號]及[團體戶統編],[客戶別]不需為&quot;06.團體戶&quot;"/>
    <x v="6"/>
    <d v="2021-07-28T00:00:00"/>
    <d v="2021-07-28T00:00:00"/>
  </r>
  <r>
    <x v="41"/>
    <s v="團體戶申請登錄                          "/>
    <n v="3"/>
    <s v="額度檔記錄之[客戶別]為(06.團體戶)"/>
    <x v="6"/>
    <d v="2021-07-28T00:00:00"/>
    <d v="2021-07-28T00:00:00"/>
  </r>
  <r>
    <x v="40"/>
    <s v="核准額度登錄"/>
    <n v="1"/>
    <s v="[金額,日期]移至[階梯式利率]前,便於判斷可輸入期別"/>
    <x v="6"/>
    <d v="2021-08-13T00:00:00"/>
    <d v="2021-08-05T00:00:00"/>
  </r>
  <r>
    <x v="40"/>
    <s v="核准額度登錄"/>
    <n v="2"/>
    <s v="[客戶別]要預設[客戶檔CustMain]的[客戶別]值,如果是團體戶申請,要預設&quot;06.團體戶&quot;"/>
    <x v="6"/>
    <d v="2021-07-30T00:00:00"/>
    <d v="2021-07-30T00:00:00"/>
  </r>
  <r>
    <x v="40"/>
    <s v="核准額度登錄"/>
    <n v="3"/>
    <s v="增加[手續費],參考[帳管費]設定及費用收取處理"/>
    <x v="6"/>
    <d v="2021-09-20T00:00:00"/>
    <d v="2021-09-29T00:00:00"/>
  </r>
  <r>
    <x v="40"/>
    <s v="核准額度登錄"/>
    <n v="4"/>
    <s v="[是否限制清償]改為可修改,文字改帶[L2101商品參數維護]設定清償說明"/>
    <x v="6"/>
    <d v="2021-09-20T00:00:00"/>
    <d v="2021-08-19T00:00:00"/>
  </r>
  <r>
    <x v="40"/>
    <s v="核准額度登錄"/>
    <n v="5"/>
    <s v="[徵審系統案號]標題改成[案件編號]"/>
    <x v="6"/>
    <d v="2021-07-30T00:00:00"/>
    <d v="2021-07-30T00:00:00"/>
  </r>
  <r>
    <x v="40"/>
    <s v="核准額度登錄"/>
    <n v="6"/>
    <s v="依[案件隸屬單位]:企金時顯示[企金人員],餘為[房貸專員]"/>
    <x v="6"/>
    <d v="2021-07-30T00:00:00"/>
    <d v="2021-07-30T00:00:00"/>
  </r>
  <r>
    <x v="40"/>
    <s v="核准額度登錄"/>
    <n v="7"/>
    <s v="同[戶號]+[案件編號]時,預設同案件編號的額度資料值"/>
    <x v="6"/>
    <d v="2021-08-06T00:00:00"/>
    <d v="2021-08-05T00:00:00"/>
  </r>
  <r>
    <x v="40"/>
    <s v="核准額度登錄"/>
    <n v="8"/>
    <s v="再寄出調整後畫面供BU確認[註]列入待辦事項"/>
    <x v="6"/>
    <s v="改列待辦事項"/>
    <d v="2021-12-22T00:00:00"/>
  </r>
  <r>
    <x v="40"/>
    <s v="核准額度登錄"/>
    <n v="9"/>
    <s v="提供針對企金使用輸入欄位版本[註]需企金依據現有版本確認所需欄位"/>
    <x v="6"/>
    <s v="改列待辦事項"/>
    <d v="2021-12-22T00:00:00"/>
  </r>
  <r>
    <x v="42"/>
    <s v="額度明細資料查詢                        "/>
    <n v="1"/>
    <s v="增加&quot;統一編號&quot;查詢條件"/>
    <x v="7"/>
    <d v="2021-07-30T00:00:00"/>
    <d v="2021-07-30T00:00:00"/>
  </r>
  <r>
    <x v="43"/>
    <s v="額度資料維護                            "/>
    <n v="1"/>
    <s v="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"/>
    <x v="7"/>
    <d v="2021-09-30T00:00:00"/>
    <d v="2021-09-30T00:00:00"/>
  </r>
  <r>
    <x v="43"/>
    <s v="額度資料維護                            "/>
    <n v="2"/>
    <s v="[商品]改為可修改欄位"/>
    <x v="7"/>
    <d v="2021-07-30T00:00:00"/>
    <d v="2021-07-30T00:00:00"/>
  </r>
  <r>
    <x v="43"/>
    <s v="額度資料維護                            "/>
    <n v="3"/>
    <s v="[中租合約編號]移至新增標籤[其他]顯示"/>
    <x v="7"/>
    <d v="2021-08-11T00:00:00"/>
    <d v="2021-08-11T00:00:00"/>
  </r>
  <r>
    <x v="43"/>
    <s v="額度資料維護                            "/>
    <n v="4"/>
    <s v="[指標利率代碼]需依據[商品]設定，不可修改"/>
    <x v="7"/>
    <d v="2021-07-30T00:00:00"/>
    <d v="2021-07-30T00:00:00"/>
  </r>
  <r>
    <x v="43"/>
    <s v="額度資料維護                            "/>
    <n v="5"/>
    <s v="[核准額度]於撥款後不可修改"/>
    <x v="7"/>
    <d v="2021-08-10T00:00:00"/>
    <d v="2021-08-05T00:00:00"/>
  </r>
  <r>
    <x v="43"/>
    <s v="額度資料維護                            "/>
    <n v="6"/>
    <s v="[規定管制代碼]改為可修改欄位"/>
    <x v="7"/>
    <d v="2021-07-30T00:00:00"/>
    <d v="2021-07-30T00:00:00"/>
  </r>
  <r>
    <x v="43"/>
    <s v="額度資料維護                            "/>
    <n v="7"/>
    <s v="撥款後調整[貸款期間(月)][追蹤事項2]2021/1/20有討論,當時暫議詢問&quot;新光銀行&quot;作法,改為「L3701放款內容變更」確認"/>
    <x v="7"/>
    <d v="2021-09-30T00:00:00"/>
    <d v="2021-09-30T00:00:00"/>
  </r>
  <r>
    <x v="44"/>
    <s v="核准號碼明細資料查詢                    "/>
    <n v="1"/>
    <s v="不掛入選單,為維護交易查詢輔助交易"/>
    <x v="7"/>
    <d v="2021-08-10T00:00:00"/>
    <d v="2021-08-01T00:00:00"/>
  </r>
  <r>
    <x v="18"/>
    <s v="撥款                     "/>
    <n v="1"/>
    <s v="增加於撥款時業績調整:_x000a_(1).可輸入二組[計件代碼]、[金額]，分計業績、報酬及獎金_x000a_(2).第一組預設為放款的[計件代碼]及[撥款金額]_x000a_(3).二組[金額]需等於[撥款金額]_x000a_[取消不做][2021/9/23]陳政皓經理：撥款檔增加計件代碼2控管已經決定不做。Vs.待辦事項2021/8/30-2."/>
    <x v="7"/>
    <s v="取消不做"/>
    <s v="取消不做"/>
  </r>
  <r>
    <x v="45"/>
    <s v="交易明細查詢"/>
    <n v="1"/>
    <s v="調整[會計日期]可輸入起訖區間"/>
    <x v="7"/>
    <d v="2021-08-31T00:00:00"/>
    <d v="2021-09-07T00:00:00"/>
  </r>
  <r>
    <x v="46"/>
    <s v="未齊件代碼維護"/>
    <n v="1"/>
    <s v="資料轉換 [未齊件代碼]的[齊件日期計算日]的工作日數，預設為8工作日"/>
    <x v="7"/>
    <d v="2021-08-04T00:00:00"/>
    <d v="2021-08-04T00:00:00"/>
  </r>
  <r>
    <x v="46"/>
    <s v="未齊件代碼維護"/>
    <n v="2"/>
    <s v="調整[齊件日期計算日] 輸入欄位說&quot;日&quot;為&quot;工作日&quot;[廠商註]已調整"/>
    <x v="7"/>
    <d v="2021-07-27T00:00:00"/>
    <d v="2021-07-27T00:00:00"/>
  </r>
  <r>
    <x v="46"/>
    <s v="未齊件代碼維護"/>
    <n v="3"/>
    <s v="未齊案件到期時,需依下列清單,寄發EMAIL通知_x000a_(1).額度建檔所列[房貸專員/企金人員]_x000a_(2).有「L9110首次撥款審核資料表」交易權限使用者_x000a_(3).「L3100撥款」登錄經辦"/>
    <x v="7"/>
    <d v="2021-08-31T00:00:00"/>
    <d v="2021-08-31T00:00:00"/>
  </r>
  <r>
    <x v="47"/>
    <s v="未齊件資料查詢                          "/>
    <n v="1"/>
    <s v="增加查詢條件 _x000a_(1).加[齊件訖日]區間_x000a_(2).加[銷號日期]區間"/>
    <x v="8"/>
    <d v="2021-08-03T00:00:00"/>
    <d v="2021-08-03T00:00:00"/>
  </r>
  <r>
    <x v="47"/>
    <s v="未齊件資料查詢                          "/>
    <n v="2"/>
    <s v="輸出欄位調整說明_x000a_(1).移除[統一編號]_x000a_(2).[齊件日期]改標題為[齊件訖日]_x000a_(3).房貸專員需顯示代號及員工姓名_x000a_(4).增加[備註]"/>
    <x v="8"/>
    <d v="2021-08-03T00:00:00"/>
    <d v="2021-08-03T00:00:00"/>
  </r>
  <r>
    <x v="48"/>
    <s v="未齊案件管理             "/>
    <n v="2"/>
    <s v="[齊件日期]標題改成[齊件訖日],並可修改"/>
    <x v="8"/>
    <d v="2021-07-30T00:00:00"/>
    <d v="2021-07-30T00:00:00"/>
  </r>
  <r>
    <x v="48"/>
    <s v="未齊案件管理             "/>
    <n v="3"/>
    <s v="增加[備註]輸入欄位"/>
    <x v="8"/>
    <d v="2021-07-30T00:00:00"/>
    <d v="2021-07-30T00:00:00"/>
  </r>
  <r>
    <x v="48"/>
    <s v="未齊案件管理             "/>
    <n v="6"/>
    <s v="異動[銷號日期]需主管授權"/>
    <x v="8"/>
    <d v="2021-07-30T00:00:00"/>
    <d v="2021-07-30T00:00:00"/>
  </r>
  <r>
    <x v="48"/>
    <s v="未齊案件管理             "/>
    <n v="7"/>
    <s v="有「L2801 未齊案件管理」交易權限者,應將未齊件資料於[齊件訖日]到期前3工作日開始,顯示於該使用者&quot;處理清單&quot;中_x000a_*BS007"/>
    <x v="8"/>
    <d v="2021-09-30T00:00:00"/>
    <d v="2021-09-30T00:00:00"/>
  </r>
  <r>
    <x v="49"/>
    <s v="保證人明細資料查詢                      "/>
    <n v="1"/>
    <s v="增加[額度]查詢條件"/>
    <x v="8"/>
    <d v="2021-08-13T00:00:00"/>
    <d v="2021-08-11T00:00:00"/>
  </r>
  <r>
    <x v="49"/>
    <s v="保證人明細資料查詢                      "/>
    <n v="2"/>
    <s v="將戶號移至共同輸出區,並增加[戶名]資訊"/>
    <x v="8"/>
    <d v="2021-07-29T00:00:00"/>
    <d v="2021-07-29T00:00:00"/>
  </r>
  <r>
    <x v="49"/>
    <s v="保證人明細資料查詢                      "/>
    <n v="3"/>
    <s v="需於URS規格書說明&quot;不開放查詢的客戶管控&quot;的作法"/>
    <x v="8"/>
    <d v="2021-08-18T00:00:00"/>
    <d v="2021-08-18T00:00:00"/>
  </r>
  <r>
    <x v="50"/>
    <s v="保證人資料登錄"/>
    <n v="1"/>
    <s v="[異動]時需主管授權"/>
    <x v="8"/>
    <d v="2021-08-03T00:00:00"/>
    <d v="2021-08-03T00:00:00"/>
  </r>
  <r>
    <x v="50"/>
    <s v="保證人資料登錄"/>
    <n v="2"/>
    <s v="新增時[保證狀況碼]預設為&quot;1.設定&quot;"/>
    <x v="8"/>
    <d v="2021-08-03T00:00:00"/>
    <d v="2021-08-03T00:00:00"/>
  </r>
  <r>
    <x v="50"/>
    <s v="保證人資料登錄"/>
    <n v="3"/>
    <s v="[保證人關係]改用[保證人關係代碼(CdGuarantor)]檔,廢除[代碼檔(CdCode)]代碼&quot;GuaTypeCode&quot;資料,需補充涵蓋聯徵報送項目"/>
    <x v="8"/>
    <d v="2021-08-13T00:00:00"/>
    <d v="2021-08-06T00:00:00"/>
  </r>
  <r>
    <x v="50"/>
    <s v="保證人資料登錄"/>
    <n v="4"/>
    <s v="擔保品提供人,新系統不需再建[保證類別]為 [05.擔保品提供人]保證人資料,系統直接抓取擔保品資料的[所有權人]申報,並於擔保品建檔時增加[保證人關係]輸入欄位"/>
    <x v="8"/>
    <d v="2021-08-20T00:00:00"/>
    <d v="2021-09-03T00:00:00"/>
  </r>
  <r>
    <x v="50"/>
    <s v="保證人資料登錄"/>
    <n v="5"/>
    <s v="[保證人統編]需存在[客戶主檔(CustMain)],另提供[擔保品提供人]交易關係人建檔功能,可整合(L1101新增自然人及L1102新增法人)交易功能,參考&quot;貸借款申請書&quot;之&quot;擔保品提供人&quot;填寫資料,設計輸入控制[待辦事項6]陳政皓經理提供,並註記必須填寫及不必填寫的項目"/>
    <x v="8"/>
    <d v="2021-08-20T00:00:00"/>
    <d v="2021-09-03T00:00:00"/>
  </r>
  <r>
    <x v="50"/>
    <s v="保證人資料登錄"/>
    <n v="6"/>
    <s v="新增[交易關係人查詢]機制,可依[身份證字號/統一編號]查詢在貸中系統中各種身分資料(借戶、保證人、擔保品提供人)"/>
    <x v="8"/>
    <d v="2021-08-31T00:00:00"/>
    <d v="2021-09-22T00:00:00"/>
  </r>
  <r>
    <x v="51"/>
    <s v="保證人保證資料查詢                      "/>
    <n v="1"/>
    <s v="輸入條件[統一編號]標題改為[保證人統編]"/>
    <x v="8"/>
    <d v="2021-07-28T00:00:00"/>
    <d v="2021-07-28T00:00:00"/>
  </r>
  <r>
    <x v="51"/>
    <s v="保證人保證資料查詢                      "/>
    <n v="2"/>
    <s v="於輸出共同區,顯示[戶號],[戶名],[借戶否]資訊"/>
    <x v="8"/>
    <d v="2021-07-29T00:00:00"/>
    <d v="2021-07-29T00:00:00"/>
  </r>
  <r>
    <x v="39"/>
    <s v="案件申請登錄"/>
    <n v="1"/>
    <s v="配合ELOAN共同借款人登錄,調整如下說明_x000a_新貸中系統調整說明:_x000a_(1).L2111新增電文欄位「共同借款人」,有值時代表為共同借款人案件,處理如下:_x000a_(2).會將同一「案件編號」的額度,自動連結為共同借款人戶(同「L2118共同借款人資料登錄」作業內容)_x000a_(3).將申請案件,自動改用「共同借款人」的統編對應之戶號]"/>
    <x v="9"/>
    <d v="2021-09-30T00:00:00"/>
    <d v="2021-09-30T00:00:00"/>
  </r>
  <r>
    <x v="39"/>
    <s v="案件申請登錄"/>
    <n v="2"/>
    <s v="ELOAN現行調整說明:_x000a_(1).確認「共同借款人」和「申請額度」的關連(使用保證人建檔或另新增共用借款人建檔機制)_x000a_(2).「共同借款人」基本資料,可依循現行作法,送電文「L1101新增自然人」及「L1102新增法人」_x000a_"/>
    <x v="9"/>
    <m/>
    <m/>
  </r>
  <r>
    <x v="39"/>
    <s v="案件申請登錄"/>
    <n v="3"/>
    <s v="ELOAN規劃調整備註_x000a_(1).於案件申請時，可於同一案件編號下，建立不同「共同借款人」額度_x000a_"/>
    <x v="9"/>
    <m/>
    <m/>
  </r>
  <r>
    <x v="52"/>
    <s v="交易關係人維護"/>
    <n v="1"/>
    <s v="增加[交易關係人]基本資料相關電文欄位,供ELOAN於新增[交易關係人]時,同步新增「顧客基本資料」"/>
    <x v="9"/>
    <d v="2021-09-30T00:00:00"/>
    <d v="2021-09-17T00:00:00"/>
  </r>
  <r>
    <x v="0"/>
    <s v="擔保品建檔共同原則_x000a_(不動產、動產、股票、其他)"/>
    <n v="1"/>
    <s v="提供[複製]機制"/>
    <x v="10"/>
    <d v="2022-02-28T00:00:00"/>
    <m/>
  </r>
  <r>
    <x v="0"/>
    <s v="擔保品建檔共同原則_x000a_(不動產、動產、股票、其他)"/>
    <n v="2"/>
    <s v="提供EXCEL表[整批匯入建檔]機制"/>
    <x v="10"/>
    <d v="2022-02-28T00:00:00"/>
    <m/>
  </r>
  <r>
    <x v="0"/>
    <s v="擔保品建檔共同原則_x000a_(不動產、動產、股票、其他)"/>
    <n v="3"/>
    <s v="移除[聯貸案]、[聯貸案類型]輸入欄位"/>
    <x v="10"/>
    <d v="2021-08-27T00:00:00"/>
    <d v="2021-08-27T00:00:00"/>
  </r>
  <r>
    <x v="0"/>
    <s v="擔保品建檔共同原則_x000a_(不動產、動產、股票、其他)"/>
    <n v="4"/>
    <s v="[抵押品註記]參考ELOAN輸入方式"/>
    <x v="10"/>
    <d v="2021-09-30T00:00:00"/>
    <d v="2021-09-06T00:00:00"/>
  </r>
  <r>
    <x v="0"/>
    <s v="擔保品建檔共同原則_x000a_(不動產、動產、股票、其他)"/>
    <n v="5"/>
    <s v="[建物][土地]重新交易時,需保留原擔保品編號"/>
    <x v="10"/>
    <d v="2021-09-30T00:00:00"/>
    <d v="2021-09-02T00:00:00"/>
  </r>
  <r>
    <x v="53"/>
    <s v="擔保品明細資料查詢                      "/>
    <n v="1"/>
    <s v="增加門牌的模糊查詢"/>
    <x v="10"/>
    <d v="2021-08-27T00:00:00"/>
    <d v="2021-08-26T00:00:00"/>
  </r>
  <r>
    <x v="54"/>
    <s v="不動產擔保品資料登錄"/>
    <n v="1"/>
    <s v="[設定順位]調整最大可輸入值為9,並調整輸入[前一順位金額]與[前一順位債權人]同步調整可輸入8組; [前一順位債權人]放大為40位,預設值為&quot;新光人壽保險股份有限公司&quot;,資料庫另行設計記錄_x000a_"/>
    <x v="10"/>
    <d v="2021-09-30T00:00:00"/>
    <d v="2021-09-07T00:00:00"/>
  </r>
  <r>
    <x v="54"/>
    <s v="不動產擔保品資料登錄"/>
    <n v="3"/>
    <s v="檢查擔保品唯一性時,錯誤訊息,顯示重複的完整擔保品編號"/>
    <x v="10"/>
    <d v="2021-08-27T00:00:00"/>
    <d v="2021-08-26T00:00:00"/>
  </r>
  <r>
    <x v="54"/>
    <s v="不動產擔保品資料登錄"/>
    <n v="4"/>
    <s v="新增成功時,顯示[保險單]按鈕,連結【L4610保險單明細資料登錄】交易,登錄保險單資料"/>
    <x v="10"/>
    <d v="2021-08-27T00:00:00"/>
    <d v="2021-08-26T00:00:00"/>
  </r>
  <r>
    <x v="55"/>
    <s v="不動產建物擔保品資料登錄"/>
    <n v="1"/>
    <s v="新增時,不必輸入[建物修改原因]"/>
    <x v="10"/>
    <d v="2021-09-03T00:00:00"/>
    <d v="2021-09-02T00:00:00"/>
  </r>
  <r>
    <x v="55"/>
    <s v="不動產建物擔保品資料登錄"/>
    <n v="2"/>
    <s v="[公設建號.所有權人]需同時為[建物.所有權人]"/>
    <x v="10"/>
    <d v="2021-09-03T00:00:00"/>
    <d v="2021-09-02T00:00:00"/>
  </r>
  <r>
    <x v="56"/>
    <s v="不動產擔保品資料查詢                    "/>
    <n v="1"/>
    <s v="於[建物]輸出,增加[保險單]按鈕, ,連結【L4060額度擔保品保險單關聯查詢】交易,查詢保險單資料"/>
    <x v="10"/>
    <d v="2021-08-27T00:00:00"/>
    <d v="2021-08-26T00:00:00"/>
  </r>
  <r>
    <x v="57"/>
    <e v="#N/A"/>
    <n v="1"/>
    <s v="交易功能併入[L2911不動產擔保品資料查詢] 取消L2041交易"/>
    <x v="10"/>
    <d v="2021-08-27T00:00:00"/>
    <d v="2021-08-26T00:00:00"/>
  </r>
  <r>
    <x v="58"/>
    <e v="#N/A"/>
    <n v="1"/>
    <s v="交易功能併入[L2911不動產擔保品資料查詢],取消L2042交易"/>
    <x v="10"/>
    <d v="2021-08-27T00:00:00"/>
    <d v="2021-08-26T00:00:00"/>
  </r>
  <r>
    <x v="52"/>
    <s v="交易關係人維護"/>
    <n v="1"/>
    <s v="建檔時只需提供ID及姓名及掃描類別,基本資料可於L1101/L1102補鍵,並依[交易關係人]必須輸入的資料,做欄位輸入控制"/>
    <x v="10"/>
    <d v="2021-09-03T00:00:00"/>
    <d v="2021-09-01T00:00:00"/>
  </r>
  <r>
    <x v="59"/>
    <s v="動產擔保品資料登錄"/>
    <n v="1"/>
    <s v="[擔保品代號2]=&quot;02.動產-機器設備&quot;時,隱藏以下輸入欄位"/>
    <x v="11"/>
    <d v="2021-08-27T00:00:00"/>
    <d v="2021-08-27T00:00:00"/>
  </r>
  <r>
    <x v="59"/>
    <s v="動產擔保品資料登錄"/>
    <n v="2"/>
    <s v="[抵押品註記]參考ELOAN輸入方式,"/>
    <x v="11"/>
    <d v="2021-09-30T00:00:00"/>
    <d v="2021-09-06T00:00:00"/>
  </r>
  <r>
    <x v="59"/>
    <s v="動產擔保品資料登錄"/>
    <n v="3"/>
    <s v="新增成功時,顯示[保險單]按鈕,連結【L4610保險單明細資料登錄】交易,登錄保險單資料 "/>
    <x v="11"/>
    <d v="2021-09-30T00:00:00"/>
    <d v="2021-09-02T00:00:00"/>
  </r>
  <r>
    <x v="60"/>
    <e v="#N/A"/>
    <n v="1"/>
    <s v="併入L2017,應涵蓋以下項目_x000a_(1).L2049有的查詢條件_x000a_(2).L2049必要輸出欄位_x000a_以上調整於後續調整說明會展示"/>
    <x v="11"/>
    <d v="2021-09-30T00:00:00"/>
    <d v="2021-09-09T00:00:00"/>
  </r>
  <r>
    <x v="61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2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3"/>
    <e v="#N/A"/>
    <n v="1"/>
    <s v="併入L2038,應涵蓋以下項目_x000a_(1).L2038有的查詢條件_x000a_(2).L2038必要輸出欄位_x000a_以上調整於後續調整說明會展示"/>
    <x v="11"/>
    <d v="2021-09-30T00:00:00"/>
    <d v="2021-09-09T00:00:00"/>
  </r>
  <r>
    <x v="53"/>
    <s v="擔保品明細資料查詢                      "/>
    <n v="1"/>
    <s v="改用[擔保品大類]控制,以下欄位查詢條件的顯示/隱藏"/>
    <x v="11"/>
    <d v="2021-08-27T00:00:00"/>
    <d v="2021-08-27T00:00:00"/>
  </r>
  <r>
    <x v="53"/>
    <s v="擔保品明細資料查詢                      "/>
    <n v="2"/>
    <s v="[建物建號]及[土地地號]增加以區間查詢"/>
    <x v="11"/>
    <d v="2021-08-27T00:00:00"/>
    <d v="2021-08-27T00:00:00"/>
  </r>
  <r>
    <x v="53"/>
    <s v="擔保品明細資料查詢                      "/>
    <n v="3"/>
    <s v="[建物門牌].[路]可模糊比對"/>
    <x v="11"/>
    <d v="2021-08-27T00:00:00"/>
    <d v="2021-08-27T00:00:00"/>
  </r>
  <r>
    <x v="53"/>
    <s v="擔保品明細資料查詢                      "/>
    <n v="4"/>
    <s v="增加[車牌號碼]查詢條件"/>
    <x v="11"/>
    <d v="2021-08-27T00:00:00"/>
    <d v="2021-08-27T00:00:00"/>
  </r>
  <r>
    <x v="53"/>
    <s v="擔保品明細資料查詢                      "/>
    <n v="5"/>
    <s v="增加可以[借戶戶名] 、[所有權人姓名]查詢機制,[廠商註]已調整_x000a_(1).新增[顧客基本資料]查詢按鈕_x000a_(2).利用自行輸入查詢條件,再選取查詢對象"/>
    <x v="11"/>
    <d v="2021-08-27T00:00:00"/>
    <d v="2021-08-27T00:00:00"/>
  </r>
  <r>
    <x v="0"/>
    <s v="「同一關係企業及集團企業」資料報送作業"/>
    <n v="1"/>
    <s v="[關係企業關係代號]目前規劃於「L2035/L2306借款戶關係人/關係企業維護」登錄,附申報[關係代號對照表][說明規劃]"/>
    <x v="11"/>
    <d v="2021-08-27T00:00:00"/>
    <d v="2021-08-27T00:00:00"/>
  </r>
  <r>
    <x v="55"/>
    <s v="不動產建物擔保品資料登錄"/>
    <n v="1"/>
    <s v="新增5種停車位型式的[數量]及[面積]合計欄位"/>
    <x v="11"/>
    <d v="2021-09-22T00:00:00"/>
    <d v="2021-09-23T00:00:00"/>
  </r>
  <r>
    <x v="64"/>
    <s v="股票擔保品資料登錄"/>
    <n v="1"/>
    <s v="匯入台股股票代號"/>
    <x v="12"/>
    <d v="2021-08-27T00:00:00"/>
    <d v="2021-08-27T00:00:00"/>
  </r>
  <r>
    <x v="64"/>
    <s v="股票擔保品資料登錄"/>
    <n v="2"/>
    <s v="新增[查詢]股票按鈕"/>
    <x v="12"/>
    <d v="2021-08-27T00:00:00"/>
    <d v="2021-08-27T00:00:00"/>
  </r>
  <r>
    <x v="64"/>
    <s v="股票擔保品資料登錄"/>
    <n v="3"/>
    <s v="依據[每股單價鑑估標準]輸入選項,正確控制[非上市（櫃）每股淨值]、[每股面額]、[前日收盤價]、[前日收盤價]、[一個月平均價]、[三個月平均價]的必須輸入控制"/>
    <x v="12"/>
    <d v="2021-08-27T00:00:00"/>
    <d v="2021-08-27T00:00:00"/>
  </r>
  <r>
    <x v="64"/>
    <s v="股票擔保品資料登錄"/>
    <n v="4"/>
    <s v="當[全戶維持率]低於時[通知追繳維持率]或[實行職權維持率]時,發送EMAIL給案件承辦[企金人員]_x000a_[註]全戶維持率=(收盤價*設定股數)/借款餘額_x000a_*BS008"/>
    <x v="12"/>
    <d v="2021-09-30T00:00:00"/>
    <d v="2021-09-30T00:00:00"/>
  </r>
  <r>
    <x v="64"/>
    <s v="股票擔保品資料登錄"/>
    <n v="5"/>
    <s v="廠商整理說明,現有登錄[擔保維持率]、[通知追繳維持率]、[實行職權維持率]的使用狀況[說明使用狀況]"/>
    <x v="12"/>
    <d v="2021-08-30T00:00:00"/>
    <d v="2021-08-30T00:00:00"/>
  </r>
  <r>
    <x v="65"/>
    <s v="股票擔保品資料查詢                      "/>
    <n v="1"/>
    <s v="增加[全戶維持率]欄位_x000a_[註]全戶維持率=(收盤價*設定股數)/借款餘額"/>
    <x v="12"/>
    <d v="2021-09-03T00:00:00"/>
    <d v="2021-09-02T00:00:00"/>
  </r>
  <r>
    <x v="66"/>
    <s v="其他擔保品資料登錄"/>
    <n v="1"/>
    <s v="[投資內容],[公開價值]由獨立3行改成memo輸入型態"/>
    <x v="12"/>
    <d v="2021-08-26T00:00:00"/>
    <d v="2021-08-26T00:00:00"/>
  </r>
  <r>
    <x v="67"/>
    <s v="顧客控管警訊資料維護                    "/>
    <n v="1"/>
    <s v="訊息顯示,由原先連結[L2072 顧客控管警訊明細資料查詢]查詢交易模式,改為警示視窗方式顯示"/>
    <x v="12"/>
    <d v="2021-09-30T00:00:00"/>
    <d v="2021-10-30T00:00:00"/>
  </r>
  <r>
    <x v="67"/>
    <s v="顧客控管警訊資料維護                    "/>
    <n v="2"/>
    <s v="備錄代碼申2碼改為3碼，原代碼99.其他，由經辦自行輸入[備忘錄說明],也同步改成999.其他"/>
    <x v="12"/>
    <d v="2021-09-30T00:00:00"/>
    <d v="2021-09-02T00:00:00"/>
  </r>
  <r>
    <x v="67"/>
    <s v="顧客控管警訊資料維護                    "/>
    <n v="3"/>
    <s v="於[L6402 交易控制檔維護]新增[顯示顧客控管警訊]欄位選項,可彈性自訂顯示警訊交易"/>
    <x v="12"/>
    <d v="2021-09-30T00:00:00"/>
    <d v="2021-10-13T00:00:00"/>
  </r>
  <r>
    <x v="67"/>
    <s v="顧客控管警訊資料維護                    "/>
    <n v="4"/>
    <s v="[刪除]或非建檔者[修改]需主管授權"/>
    <x v="12"/>
    <d v="2021-09-03T00:00:00"/>
    <d v="2021-09-02T00:00:00"/>
  </r>
  <r>
    <x v="68"/>
    <s v="顧客控管警訊明細資料查詢                "/>
    <n v="1"/>
    <s v="查詢條件需指定[借款人戶號]"/>
    <x v="12"/>
    <d v="2021-08-26T00:00:00"/>
    <d v="2021-08-26T00:00:00"/>
  </r>
  <r>
    <x v="68"/>
    <s v="顧客控管警訊明細資料查詢                "/>
    <n v="2"/>
    <s v="調整輸出格式,如下_x000a_(1).共同區顯示戶號、戶名_x000a_(2).GRID明細移除戶號_x000a_(3).放大備忘錄說明_x000a_(4).只顯示最後更新者/日期"/>
    <x v="12"/>
    <d v="2021-08-26T00:00:00"/>
    <d v="2021-08-26T00:00:00"/>
  </r>
  <r>
    <x v="69"/>
    <s v="首次撥款審核資料表"/>
    <n v="1"/>
    <s v="加浮水印"/>
    <x v="13"/>
    <d v="2021-09-01T00:00:00"/>
    <d v="2021-09-01T00:00:00"/>
  </r>
  <r>
    <x v="69"/>
    <s v="首次撥款審核資料表"/>
    <n v="2"/>
    <s v="BBC,電話,傳真 &gt; 依據L1905交易設計,重新調整輸出排版"/>
    <x v="13"/>
    <d v="2021-09-01T00:00:00"/>
    <d v="2021-09-01T00:00:00"/>
  </r>
  <r>
    <x v="69"/>
    <s v="首次撥款審核資料表"/>
    <n v="3"/>
    <s v="交互運用,目前只顯示Y/N,是否要印明細,再確認"/>
    <x v="13"/>
    <d v="2021-09-01T00:00:00"/>
    <d v="2021-09-01T00:00:00"/>
  </r>
  <r>
    <x v="69"/>
    <s v="首次撥款審核資料表"/>
    <n v="4"/>
    <s v="保證人資料增加顯示&quot;保證類別&quot;"/>
    <x v="13"/>
    <d v="2021-09-01T00:00:00"/>
    <d v="2021-09-01T00:00:00"/>
  </r>
  <r>
    <x v="69"/>
    <s v="首次撥款審核資料表"/>
    <n v="5"/>
    <s v="&quot;基本利率代碼&quot;改為&quot;商品代碼&quot;"/>
    <x v="13"/>
    <d v="2021-09-01T00:00:00"/>
    <d v="2021-09-01T00:00:00"/>
  </r>
  <r>
    <x v="69"/>
    <s v="首次撥款審核資料表"/>
    <n v="6"/>
    <s v="增加週期項目&quot;單位&quot;及各&quot;代碼&quot;中文說明"/>
    <x v="13"/>
    <d v="2021-09-01T00:00:00"/>
    <d v="2021-09-01T00:00:00"/>
  </r>
  <r>
    <x v="69"/>
    <s v="首次撥款審核資料表"/>
    <n v="7"/>
    <s v="第三扣款人,需顯示&quot;ID&quot;及&quot;姓名&quot;,不需&quot;關係&quot;"/>
    <x v="13"/>
    <d v="2021-09-01T00:00:00"/>
    <d v="2021-09-01T00:00:00"/>
  </r>
  <r>
    <x v="69"/>
    <s v="首次撥款審核資料表"/>
    <n v="8"/>
    <s v="違約適用方式重新排版呈現以精簡為原則"/>
    <x v="13"/>
    <d v="2021-09-01T00:00:00"/>
    <d v="2021-09-01T00:00:00"/>
  </r>
  <r>
    <x v="69"/>
    <s v="首次撥款審核資料表"/>
    <n v="9"/>
    <s v="&quot;督辦姓名&quot;改為&quot;核決主管&quot;"/>
    <x v="13"/>
    <d v="2021-09-01T00:00:00"/>
    <d v="2021-09-01T00:00:00"/>
  </r>
  <r>
    <x v="69"/>
    <s v="首次撥款審核資料表"/>
    <n v="10"/>
    <s v="&quot;客戶別&quot;後加&quot;規定管制代碼&quot;說明"/>
    <x v="13"/>
    <d v="2021-09-01T00:00:00"/>
    <d v="2021-09-01T00:00:00"/>
  </r>
  <r>
    <x v="69"/>
    <s v="首次撥款審核資料表"/>
    <n v="11"/>
    <s v="擔保品提供人增加顯示&quot;姓名&quot;"/>
    <x v="13"/>
    <d v="2021-09-01T00:00:00"/>
    <d v="2021-09-01T00:00:00"/>
  </r>
  <r>
    <x v="69"/>
    <s v="首次撥款審核資料表"/>
    <n v="12"/>
    <s v="擔保品號碼顯示完整格式1位-2位-7位"/>
    <x v="13"/>
    <d v="2021-09-01T00:00:00"/>
    <d v="2021-09-01T00:00:00"/>
  </r>
  <r>
    <x v="69"/>
    <s v="首次撥款審核資料表"/>
    <n v="13"/>
    <s v="建號顯示完整格式5位-3位"/>
    <x v="13"/>
    <d v="2021-09-01T00:00:00"/>
    <d v="2021-09-01T00:00:00"/>
  </r>
  <r>
    <x v="69"/>
    <s v="首次撥款審核資料表"/>
    <n v="14"/>
    <s v="地號顯示完整格式4位-4位"/>
    <x v="13"/>
    <d v="2021-09-01T00:00:00"/>
    <d v="2021-09-01T00:00:00"/>
  </r>
  <r>
    <x v="69"/>
    <s v="首次撥款審核資料表"/>
    <n v="15"/>
    <s v="&quot;主建物面積&quot;=&quot;擔保品所在樓層面積&quot;+&quot;附屬建物面積&quot;"/>
    <x v="13"/>
    <d v="2021-09-01T00:00:00"/>
    <d v="2021-09-01T00:00:00"/>
  </r>
  <r>
    <x v="69"/>
    <s v="首次撥款審核資料表"/>
    <n v="16"/>
    <s v="非&quot;獨立車位&quot;擔保品,&quot;車位面積&quot;顯示0; &quot;獨立車位&quot;擔保品,&quot;車位面積&quot;=&quot;主建物面積&quot;"/>
    <x v="13"/>
    <d v="2021-09-01T00:00:00"/>
    <d v="2021-09-01T00:00:00"/>
  </r>
  <r>
    <x v="69"/>
    <s v="首次撥款審核資料表"/>
    <n v="17"/>
    <s v="&quot;站別&quot;刪除"/>
    <x v="13"/>
    <d v="2021-09-01T00:00:00"/>
    <d v="2021-09-01T00:00:00"/>
  </r>
  <r>
    <x v="69"/>
    <s v="首次撥款審核資料表"/>
    <n v="18"/>
    <s v="&quot;保證人&quot;增加顯示&quot;保證類別&quot; (自然人比照)"/>
    <x v="13"/>
    <d v="2021-09-01T00:00:00"/>
    <d v="2021-09-01T00:00:00"/>
  </r>
  <r>
    <x v="69"/>
    <s v="首次撥款審核資料表"/>
    <n v="19"/>
    <s v="增加顯示&quot;共同借款人&quot;及&quot;合併額度控管&quot;資訊"/>
    <x v="13"/>
    <d v="2021-09-01T00:00:00"/>
    <d v="2021-09-01T00:00:00"/>
  </r>
  <r>
    <x v="69"/>
    <s v="首次撥款審核資料表"/>
    <n v="20"/>
    <s v="2021-08-31 將調整後的格式 Email給會議相關人員確認,再開會說明"/>
    <x v="13"/>
    <d v="2021-09-01T00:00:00"/>
    <d v="2021-09-01T00:00:00"/>
  </r>
  <r>
    <x v="18"/>
    <s v="撥款                     "/>
    <n v="1"/>
    <s v="撥款前[L2154 額度資料維護]可維護的額度欄位,於L3100調整為不可輸入,如於撥款前,欲調整相關欄位,調整於[L2154]維護"/>
    <x v="14"/>
    <d v="2021-09-03T00:00:00"/>
    <d v="2021-09-03T00:00:00"/>
  </r>
  <r>
    <x v="18"/>
    <s v="撥款                     "/>
    <n v="2"/>
    <s v="[首次利率調整日期]欄位,調整排版至[利率]標籤"/>
    <x v="14"/>
    <d v="2021-09-03T00:00:00"/>
    <d v="2021-09-03T00:00:00"/>
  </r>
  <r>
    <x v="18"/>
    <s v="撥款                     "/>
    <n v="3"/>
    <s v="主管放行時,[應收付明細]之[匯款銀行],無正確顯示"/>
    <x v="14"/>
    <d v="2021-09-03T00:00:00"/>
    <d v="2021-09-03T00:00:00"/>
  </r>
  <r>
    <x v="18"/>
    <s v="撥款                     "/>
    <n v="4"/>
    <s v="[應收付明細]之[戶名],向左對齊"/>
    <x v="14"/>
    <d v="2021-09-03T00:00:00"/>
    <d v="2021-09-03T00:00:00"/>
  </r>
  <r>
    <x v="70"/>
    <s v="撥款明細資料查詢         "/>
    <n v="1"/>
    <s v="條件加[撥款日期]期間"/>
    <x v="14"/>
    <d v="2021-09-03T00:00:00"/>
    <d v="2021-09-03T00:00:00"/>
  </r>
  <r>
    <x v="70"/>
    <s v="撥款明細資料查詢         "/>
    <n v="2"/>
    <s v="輸出加[戶名]欄位"/>
    <x v="14"/>
    <d v="2021-09-03T00:00:00"/>
    <d v="2021-09-03T00:00:00"/>
  </r>
  <r>
    <x v="71"/>
    <s v="撥款內容查詢             "/>
    <n v="1"/>
    <s v="[代碼]加中文說明"/>
    <x v="14"/>
    <d v="2021-09-03T00:00:00"/>
    <d v="2021-09-03T00:00:00"/>
  </r>
  <r>
    <x v="71"/>
    <s v="撥款內容查詢             "/>
    <n v="2"/>
    <s v="[週期]加單位說明"/>
    <x v="14"/>
    <d v="2021-09-03T00:00:00"/>
    <d v="2021-09-03T00:00:00"/>
  </r>
  <r>
    <x v="72"/>
    <s v="撥款退款作業"/>
    <n v="1"/>
    <s v="增加輸出AML檢核結果"/>
    <x v="14"/>
    <d v="2021-10-07T00:00:00"/>
    <d v="2021-10-07T00:00:00"/>
  </r>
  <r>
    <x v="73"/>
    <s v="AML姓名檢核查詢"/>
    <n v="1"/>
    <s v="增加條件[查詢類別]"/>
    <x v="14"/>
    <d v="2021-09-08T00:00:00"/>
    <d v="2021-09-23T00:00:00"/>
  </r>
  <r>
    <x v="74"/>
    <s v="預約撥款                 "/>
    <n v="1"/>
    <s v="比照[L3100撥款],撥款前[L2154 額度資料維護]可維護的欄位,於L3110調整為不可輸入,如於撥款前,欲調整相關欄位,調整於[L2154]維護"/>
    <x v="15"/>
    <d v="2021-09-07T00:00:00"/>
    <d v="2021-09-07T00:00:00"/>
  </r>
  <r>
    <x v="74"/>
    <s v="預約撥款                 "/>
    <n v="2"/>
    <s v="[首次利率調整日期]欄位,調整排版至[利率]標籤"/>
    <x v="15"/>
    <d v="2021-09-07T00:00:00"/>
    <d v="2021-09-07T00:00:00"/>
  </r>
  <r>
    <x v="75"/>
    <s v="預約撥款到期作業"/>
    <n v="1"/>
    <s v="預約撥款到期作業後又訂正,登放序號需顯示空白"/>
    <x v="15"/>
    <d v="2021-09-07T00:00:00"/>
    <d v="2021-09-23T00:00:00"/>
  </r>
  <r>
    <x v="76"/>
    <s v="交易內容查詢             "/>
    <n v="1"/>
    <s v="需放行交易,主管資訊未顯示"/>
    <x v="15"/>
    <d v="2021-09-07T00:00:00"/>
    <d v="2021-09-07T00:00:00"/>
  </r>
  <r>
    <x v="77"/>
    <s v="交易明細資料查詢         "/>
    <n v="1"/>
    <s v="輸出[暫收款金額]改為[暫收抵繳]"/>
    <x v="15"/>
    <d v="2021-09-07T00:00:00"/>
    <d v="2021-09-07T00:00:00"/>
  </r>
  <r>
    <x v="78"/>
    <s v="借戶利率變更             "/>
    <n v="1"/>
    <s v="移除[商品利率]欄位"/>
    <x v="15"/>
    <d v="2021-09-07T00:00:00"/>
    <d v="2021-09-07T00:00:00"/>
  </r>
  <r>
    <x v="79"/>
    <s v="聯貸案訂約明細資料查詢 (2021/9/7 L3010改)"/>
    <n v="1"/>
    <s v="更改交易代號為L2060(原L3010)"/>
    <x v="15"/>
    <d v="2021-09-07T00:00:00"/>
    <d v="2021-09-07T00:00:00"/>
  </r>
  <r>
    <x v="80"/>
    <s v="聯貸案訂約登錄 (2021/9/7 L3600改)"/>
    <n v="1"/>
    <s v="更改交易代號為L2600(原L3600)"/>
    <x v="15"/>
    <d v="2021-09-07T00:00:00"/>
    <d v="2021-09-07T00:00:00"/>
  </r>
  <r>
    <x v="80"/>
    <s v="聯貸案訂約登錄 (2021/9/7 L3600改)"/>
    <n v="2"/>
    <s v="新增[聯貸編號],由系統自動編號(5碼)(原L3600)"/>
    <x v="15"/>
    <d v="2021-09-07T00:00:00"/>
    <d v="2021-09-07T00:00:00"/>
  </r>
  <r>
    <x v="80"/>
    <s v="聯貸案訂約登錄 (2021/9/7 L3600改)"/>
    <n v="3"/>
    <s v="新增[國內或國際聯貸]輸入欄位(原L3600)"/>
    <x v="15"/>
    <d v="2021-09-07T00:00:00"/>
    <d v="2021-09-07T00:00:00"/>
  </r>
  <r>
    <x v="80"/>
    <s v="聯貸案訂約登錄 (2021/9/7 L3600改)"/>
    <n v="4"/>
    <s v="提供以下二種方案,供企金確認作業流程(原L3600)_x000a_(1).【方案1】_x000a_(2).【方案2】經清河和企金確認後,採方案二"/>
    <x v="15"/>
    <d v="2021-09-07T00:00:00"/>
    <d v="2021-09-07T00:00:00"/>
  </r>
  <r>
    <x v="81"/>
    <s v="ACH授權資料查詢                      "/>
    <n v="1"/>
    <s v="查詢輸出欄位[授權狀態],改為顯示&quot;完成新增授權&quot;,&quot;完成取消授權&quot;"/>
    <x v="16"/>
    <d v="2021-09-22T00:00:00"/>
    <d v="2021-09-22T00:00:00"/>
  </r>
  <r>
    <x v="81"/>
    <s v="ACH授權資料查詢                      "/>
    <n v="2"/>
    <s v="由額度新增授權帳號,需回額度修改或刪除授權資料,於L4042需隱藏[修改]及[刪除]按鈕"/>
    <x v="17"/>
    <d v="2021-09-22T00:00:00"/>
    <d v="2021-09-22T00:00:00"/>
  </r>
  <r>
    <x v="82"/>
    <s v="ACH授權資料建檔                      "/>
    <n v="1"/>
    <s v="按鈕需依修改狀態顯示[暫停授權]或[恢復授權]"/>
    <x v="16"/>
    <d v="2021-09-22T00:00:00"/>
    <d v="2021-09-22T00:00:00"/>
  </r>
  <r>
    <x v="82"/>
    <s v="ACH授權資料建檔                      "/>
    <n v="2"/>
    <s v="帳號變更為&quot;暫停&quot;時,要檢查目前是否有額度設定扣款授權,無有效額度使用則不允許暫停"/>
    <x v="16"/>
    <d v="2021-09-28T00:00:00"/>
    <d v="2021-09-28T00:00:00"/>
  </r>
  <r>
    <x v="83"/>
    <s v="帳號授權檔查詢"/>
    <n v="1"/>
    <s v="依ACH及郵局帳號授權顯示不同輸出欄位"/>
    <x v="16"/>
    <d v="2021-09-22T00:00:00"/>
    <d v="2021-09-22T00:00:00"/>
  </r>
  <r>
    <x v="84"/>
    <s v="ACH授權資料歷史紀錄查詢"/>
    <n v="1"/>
    <s v="增加輸出欄位[最後異動時間]"/>
    <x v="16"/>
    <d v="2021-09-22T00:00:00"/>
    <d v="2021-09-22T00:00:00"/>
  </r>
  <r>
    <x v="84"/>
    <s v="ACH授權資料歷史紀錄查詢"/>
    <n v="2"/>
    <s v="[暫停]後[恢復]的[申請代碼]說明[成功新增]改為[恢復授權]"/>
    <x v="16"/>
    <d v="2021-10-04T00:00:00"/>
    <d v="2021-10-04T00:00:00"/>
  </r>
  <r>
    <x v="84"/>
    <s v="ACH授權資料歷史紀錄查詢"/>
    <n v="3"/>
    <s v="[最後修改員編]需顯示[姓名]"/>
    <x v="16"/>
    <d v="2021-09-22T00:00:00"/>
    <d v="2021-09-22T00:00:00"/>
  </r>
  <r>
    <x v="0"/>
    <s v="另提機制"/>
    <n v="1"/>
    <s v="增加戶號所有有效額度[繳款方式]整合查詢"/>
    <x v="16"/>
    <d v="2021-09-22T00:00:00"/>
    <d v="2021-09-22T00:00:00"/>
  </r>
  <r>
    <x v="43"/>
    <s v="額度資料維護                            "/>
    <n v="1"/>
    <s v="授權帳號已提出,不可修改授權帳號,並加註說明&quot;說明:扣款帳號已提出授權待授權銀行回覆,不可變更&quot;"/>
    <x v="17"/>
    <d v="2021-09-28T00:00:00"/>
    <d v="2021-09-28T00:00:00"/>
  </r>
  <r>
    <x v="43"/>
    <s v="額度資料維護                            "/>
    <n v="2"/>
    <s v="於[扣款帳號]輸入時,顯示&quot;已授權帳號&quot;"/>
    <x v="17"/>
    <d v="2021-09-22T00:00:00"/>
    <d v="2021-09-22T00:00:00"/>
  </r>
  <r>
    <x v="85"/>
    <s v="郵局授權資料查詢                     "/>
    <n v="1"/>
    <s v="火險資料未更新"/>
    <x v="18"/>
    <d v="2021-09-28T00:00:00"/>
    <d v="2021-09-28T00:00:00"/>
  </r>
  <r>
    <x v="86"/>
    <s v="郵局授權資料建檔                     "/>
    <n v="1"/>
    <s v="[扣款人ＩＤ]需帶[授權檔ID],非戶號ID"/>
    <x v="18"/>
    <d v="2021-09-22T00:00:00"/>
    <d v="2021-09-22T00:00:00"/>
  </r>
  <r>
    <x v="83"/>
    <s v="帳號授權檔查詢"/>
    <n v="1"/>
    <s v="輸出欄位[帳號碼]改為[用戶編號],值=扣款人ID(10)+郵局存款別(1)+戶號(7)+帳號碼(2)"/>
    <x v="18"/>
    <d v="2021-09-22T00:00:00"/>
    <d v="2021-09-22T00:00:00"/>
  </r>
  <r>
    <x v="87"/>
    <s v="暫收款退還               "/>
    <n v="1"/>
    <s v="需增加控管&quot;未託收&quot;票,不可抽票"/>
    <x v="18"/>
    <d v="2021-09-28T00:00:00"/>
    <d v="2021-09-28T00:00:00"/>
  </r>
  <r>
    <x v="87"/>
    <s v="暫收款退還               "/>
    <n v="2"/>
    <s v="原[作業項目]項目&quot;服務中心代收抽退票&quot;改&quot;服務中心代收抽票&quot;"/>
    <x v="18"/>
    <d v="2021-09-22T00:00:00"/>
    <d v="2021-09-22T00:00:00"/>
  </r>
  <r>
    <x v="88"/>
    <s v="業務關帳作業"/>
    <n v="1"/>
    <s v="執行完支票關帳,如下圖選項時,產出媒體時,新格式的媒體檔由&quot;核心傳票媒體檔&quot;改為&quot;總帳傳票媒體檔&quot;"/>
    <x v="18"/>
    <d v="2021-09-27T00:00:00"/>
    <d v="2021-09-27T00:00:00"/>
  </r>
  <r>
    <x v="88"/>
    <s v="業務關帳作業"/>
    <n v="2"/>
    <s v="支票關帳處理,不含抽、退票處理"/>
    <x v="18"/>
    <d v="2021-09-27T00:00:00"/>
    <d v="2021-09-27T00:00:00"/>
  </r>
  <r>
    <x v="89"/>
    <s v="暫收支票明細資料查詢     "/>
    <n v="1"/>
    <s v="增加[支票號碼]查詢條件"/>
    <x v="18"/>
    <d v="2021-10-01T00:00:00"/>
    <d v="2021-10-01T00:00:00"/>
  </r>
  <r>
    <x v="89"/>
    <s v="暫收支票明細資料查詢     "/>
    <n v="2"/>
    <s v="一張支票有多筆銷帳時,查詢出只顯示一筆,需另按[支票內容]連結[L3943 支票內容查詢],查詢銷帳明細"/>
    <x v="18"/>
    <d v="2021-10-01T00:00:00"/>
    <d v="2021-10-01T00:00:00"/>
  </r>
  <r>
    <x v="90"/>
    <e v="#N/A"/>
    <n v="1"/>
    <s v="交易功能併入[L3007 暫收支票明細資料查詢]"/>
    <x v="18"/>
    <d v="2021-10-01T00:00:00"/>
    <d v="2021-10-01T00:00:00"/>
  </r>
  <r>
    <x v="91"/>
    <s v="支票明細資料查詢-全部"/>
    <n v="1"/>
    <s v="一張支票有多筆銷帳時,查詢出只顯示一筆,需另按[支票內容]連結[L3943 支票內容查詢],查詢銷帳明細"/>
    <x v="18"/>
    <d v="2021-10-01T00:00:00"/>
    <d v="2021-10-01T00:00:00"/>
  </r>
  <r>
    <x v="92"/>
    <s v="支票內容查詢             "/>
    <n v="1"/>
    <s v="增加顯示&quot;銷帳明細&quot;資料"/>
    <x v="18"/>
    <d v="2021-10-01T00:00:00"/>
    <d v="2021-10-01T00:00:00"/>
  </r>
  <r>
    <x v="93"/>
    <s v="暫收款銷帳"/>
    <n v="1"/>
    <s v="於[暫收款金額]新增[契變手續費]查詢按鈕,連結【L2061貸後契變手續費明細資料查詢(未入帳)】,帶回[手續費]金額"/>
    <x v="19"/>
    <d v="2021-09-16T00:00:00"/>
    <d v="2021-09-16T00:00:00"/>
  </r>
  <r>
    <x v="94"/>
    <s v="貸後契變手續費明細資料查詢(未入帳)"/>
    <n v="1"/>
    <s v="按[銀扣]按鈕時(紅框),連結【L4943銀行扣款檔資料查詢】時,查詢條件的預設值,調整如下(綠框):_x000a_(1).戶號:當筆契變手續費資料的戶號_x000a_(2).入帳日期:期間為查詢當筆契變手續費資料的建檔日期到日曆日_x000a_"/>
    <x v="19"/>
    <d v="2021-09-16T00:00:00"/>
    <d v="2021-09-16T00:00:00"/>
  </r>
  <r>
    <x v="95"/>
    <s v="貸後契變手續費維護                      "/>
    <n v="1"/>
    <s v="[契變日期]預設值為日曆日"/>
    <x v="19"/>
    <d v="2021-09-16T00:00:00"/>
    <d v="2021-09-16T00:00:00"/>
  </r>
  <r>
    <x v="95"/>
    <s v="貸後契變手續費維護                      "/>
    <n v="2"/>
    <s v="[經辦]需帶出經辦代碼及姓名"/>
    <x v="19"/>
    <d v="2021-09-16T00:00:00"/>
    <d v="2021-09-16T00:00:00"/>
  </r>
  <r>
    <x v="95"/>
    <s v="貸後契變手續費維護                      "/>
    <n v="3"/>
    <s v="[功能]查詢時,新增[會計日期]與[交易序號]資訊"/>
    <x v="19"/>
    <d v="2021-09-16T00:00:00"/>
    <d v="2021-09-16T00:00:00"/>
  </r>
  <r>
    <x v="95"/>
    <s v="貸後契變手續費維護                      "/>
    <n v="4"/>
    <s v="列印時需加印經辦姓名,補印時需加印&quot;補列印&quot;"/>
    <x v="19"/>
    <d v="2021-09-24T00:00:00"/>
    <d v="2021-09-24T00:00:00"/>
  </r>
  <r>
    <x v="96"/>
    <s v="貸後契變手續費明細資料查詢"/>
    <n v="1"/>
    <s v="輸出欄位[己入帳]狀態A改為Y"/>
    <x v="19"/>
    <d v="2021-09-16T00:00:00"/>
    <d v="2021-09-16T00:00:00"/>
  </r>
  <r>
    <x v="97"/>
    <s v="銷帳歷史明細查詢"/>
    <n v="1"/>
    <s v="輸出欄位[交易金額]要分[起帳金額]跟[銷帳金額]兩個欄位"/>
    <x v="19"/>
    <d v="2021-09-27T00:00:00"/>
    <d v="2021-09-27T00:00:00"/>
  </r>
  <r>
    <x v="98"/>
    <s v="火險到期檔產生作業         "/>
    <n v="1"/>
    <s v="到期檔產出後，續保資料中[火災險保險金額]/[火災險保費]/[地震險保險金額]/[地震險保費]均需顯示為0"/>
    <x v="20"/>
    <d v="2021-11-04T00:00:00"/>
    <d v="2021-11-04T00:00:00"/>
  </r>
  <r>
    <x v="98"/>
    <s v="火險到期檔產生作業         "/>
    <n v="2"/>
    <s v="輸入欄位[火險到期年月],預設為2個月"/>
    <x v="20"/>
    <d v="2021-11-04T00:00:00"/>
    <d v="2021-11-04T00:00:00"/>
  </r>
  <r>
    <x v="99"/>
    <s v="續約保單資料維護           "/>
    <n v="1"/>
    <s v="執行功能[自保]時，[會計日期/入通知檔/交易序號/處理代碼/轉催收日/轉催編號]欄位隱藏"/>
    <x v="20"/>
    <d v="2021-11-04T00:00:00"/>
    <d v="2021-11-04T00:00:00"/>
  </r>
  <r>
    <x v="99"/>
    <s v="續約保單資料維護           "/>
    <n v="2"/>
    <s v="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"/>
    <x v="20"/>
    <d v="2021-11-04T00:00:00"/>
    <d v="2021-11-04T00:00:00"/>
  </r>
  <r>
    <x v="99"/>
    <s v="續約保單資料維護           "/>
    <n v="3"/>
    <s v="[會計日期]無值時，[交易序號]顯示空白"/>
    <x v="20"/>
    <d v="2021-11-04T00:00:00"/>
    <d v="2021-11-04T00:00:00"/>
  </r>
  <r>
    <x v="100"/>
    <s v="火險詢價作業               "/>
    <n v="1"/>
    <s v="餘額(未撥貸或已結案)之續保處理如下說明_x000a_(1).執行後產生[續保資料錯誤明細表]_x000a_(2).更新續保檔資料"/>
    <x v="20"/>
    <d v="2021-09-30T00:00:00"/>
    <d v="2021-09-30T00:00:00"/>
  </r>
  <r>
    <x v="101"/>
    <s v="火險通知作業               "/>
    <n v="1"/>
    <s v="餘額(未撥貸或已結案)之續保處理如下說明_x000a_(1).執行後產生[續保資料錯誤明細表]_x000a_(2).不寫入通知檔"/>
    <x v="20"/>
    <d v="2021-09-30T00:00:00"/>
    <d v="2021-09-30T00:00:00"/>
  </r>
  <r>
    <x v="101"/>
    <s v="火險通知作業               "/>
    <n v="2"/>
    <s v="[保單號碼]改為[原保單號碼]"/>
    <x v="20"/>
    <d v="2021-11-04T00:00:00"/>
    <d v="2021-11-04T00:00:00"/>
  </r>
  <r>
    <x v="0"/>
    <s v="通知方式"/>
    <n v="1"/>
    <s v="額度檔未設定通知方式時，通知方式以簡訊優先，再書面，再email"/>
    <x v="20"/>
    <d v="2021-11-12T00:00:00"/>
    <d v="2021-11-12T00:00:00"/>
  </r>
  <r>
    <x v="0"/>
    <s v="應處理清單"/>
    <n v="1"/>
    <s v="[應處理清單]中email及簡訊資料查詢           _x000a_(1).[明細鍵值]欄位以中文顯示"/>
    <x v="20"/>
    <d v="2021-09-30T00:00:00"/>
    <d v="2021-09-30T00:00:00"/>
  </r>
  <r>
    <x v="102"/>
    <s v="產出銀行扣帳檔                       "/>
    <n v="1"/>
    <s v="增加輸入欄位[作業項目],可輸入項目：[1: ACH 扣款 / 2:郵局扣款 /9:全部]"/>
    <x v="21"/>
    <d v="2021-09-27T00:00:00"/>
    <d v="2021-09-27T00:00:00"/>
  </r>
  <r>
    <x v="102"/>
    <s v="產出銀行扣帳檔                       "/>
    <n v="2"/>
    <s v="產出[銀行扣款明細表] _x000a_(1).需增加浮水印_x000a_(2) [還款類別]為火險費時， [應繳日]修改為[保險迄日]，[繳息迄日]修改為[到期年月]"/>
    <x v="21"/>
    <d v="2021-09-30T00:00:00"/>
    <d v="2021-09-30T00:00:00"/>
  </r>
  <r>
    <x v="102"/>
    <s v="產出銀行扣帳檔                       "/>
    <n v="3"/>
    <s v="作業流程圖補充AML後續處理說明"/>
    <x v="21"/>
    <d v="2021-09-30T00:00:00"/>
    <d v="2021-09-30T00:00:00"/>
  </r>
  <r>
    <x v="103"/>
    <s v="銀行扣款檔資料維護                   "/>
    <n v="1"/>
    <s v="作業流程圖補充AML後續處理說明"/>
    <x v="21"/>
    <d v="2021-09-30T00:00:00"/>
    <d v="2021-09-30T00:00:00"/>
  </r>
  <r>
    <x v="103"/>
    <s v="銀行扣款檔資料維護                   "/>
    <n v="2"/>
    <s v="[功能]為新增時, 依[還款類別]自動計算並寫入扣款檔，經辦可利用修改功能調整內容"/>
    <x v="21"/>
    <d v="2021-09-30T00:00:00"/>
    <d v="2021-09-30T00:00:00"/>
  </r>
  <r>
    <x v="104"/>
    <s v="銀行扣款(媒體製作)                   "/>
    <n v="1"/>
    <s v="增加輸入欄位[作業項目],可輸入項目：[1: ACH 扣款 / 2:郵局扣款 /9:全部]"/>
    <x v="21"/>
    <d v="2021-09-27T00:00:00"/>
    <d v="2021-09-27T00:00:00"/>
  </r>
  <r>
    <x v="104"/>
    <s v="銀行扣款(媒體製作)                   "/>
    <n v="2"/>
    <s v="取消[訂正]功能,另新增輸入欄位[功能],選項說明:_x000a_(1).產出媒體檔:產生銀行扣款媒體_x000a_(2).重置媒體碼:取代[訂正]功能機制_x000a_"/>
    <x v="21"/>
    <d v="2021-09-30T00:00:00"/>
    <d v="2021-09-30T00:00:00"/>
  </r>
  <r>
    <x v="104"/>
    <s v="銀行扣款(媒體製作)                   "/>
    <n v="3"/>
    <s v="產出[銀扣媒體檔未產出清單],增加[戶名]輸出欄位，排序及跳頁條件依據[作業項目]欄位：[1: ACH 扣款 / 2:郵局扣款 /9:全部]"/>
    <x v="21"/>
    <d v="2021-11-12T00:00:00"/>
    <d v="2021-11-09T00:00:00"/>
  </r>
  <r>
    <x v="105"/>
    <s v="銀扣扣款前通知"/>
    <n v="1"/>
    <s v="[扣款銀行]欄位,增加[998:ACH扣款]選項"/>
    <x v="21"/>
    <d v="2021-09-27T00:00:00"/>
    <d v="2021-09-27T00:00:00"/>
  </r>
  <r>
    <x v="106"/>
    <s v="銀行扣款檔資料查詢                   "/>
    <n v="1"/>
    <s v="於[查詢選項]選擇[2.上限金額 / 3.下限金額]時,增加可輸入查詢條件 [作業項目]"/>
    <x v="21"/>
    <d v="2021-09-27T00:00:00"/>
    <d v="2021-09-27T00:00:00"/>
  </r>
  <r>
    <x v="106"/>
    <s v="銀行扣款檔資料查詢                   "/>
    <n v="2"/>
    <s v="[作業項目],可輸入項目：[1: ACH 扣款 / 2:郵局扣款 /9:全部]"/>
    <x v="21"/>
    <d v="2021-09-27T00:00:00"/>
    <d v="2021-09-27T00:00:00"/>
  </r>
  <r>
    <x v="106"/>
    <s v="銀行扣款檔資料查詢                   "/>
    <n v="3"/>
    <s v="[銀行別]欄位,增加[998:ACH扣款]選項"/>
    <x v="21"/>
    <d v="2021-09-27T00:00:00"/>
    <d v="2021-09-27T00:00:00"/>
  </r>
  <r>
    <x v="106"/>
    <s v="銀行扣款檔資料查詢                   "/>
    <n v="4"/>
    <s v="增加查詢明細機制，內容參考AS400[4-13-20 ACH 扣款檔資料維護]中查詢之欄位"/>
    <x v="21"/>
    <d v="2021-11-12T00:00:00"/>
    <d v="2021-11-12T00:00:00"/>
  </r>
  <r>
    <x v="106"/>
    <s v="銀行扣款檔資料查詢                   "/>
    <n v="5"/>
    <s v="[查詢選項]增加輸入項目：[5.扣款金額=0 /_x000a_ 6.媒體檔總金額]；_x000a_ (1)可輸入欄位[銀行別/還款類別/入帳日期]_x000a_ (2)[查詢選項]為[6.媒體檔總金額]時，[還款類別]欄限輸入[01期款/05火險費/99全部]，若查詢當時媒體尚未產出則出錯誤訊息。_x000a_"/>
    <x v="21"/>
    <d v="2021-09-27T00:00:00"/>
    <d v="2021-09-27T00:00:00"/>
  </r>
  <r>
    <x v="0"/>
    <s v="銀扣暫收抵繳"/>
    <n v="1"/>
    <s v="約定還款及法拍費用，需HOLD暫收款，不可予期款抵用"/>
    <x v="21"/>
    <d v="2021-09-30T00:00:00"/>
    <d v="2021-09-30T00:00:00"/>
  </r>
  <r>
    <x v="0"/>
    <s v="銀扣暫收抵繳"/>
    <n v="2"/>
    <s v="火險費不可暫收抵繳，其他如帳管費、契變手續費、短收期款已加入期款(可抵繳)"/>
    <x v="21"/>
    <d v="2021-09-30T00:00:00"/>
    <d v="2021-09-30T00:00:00"/>
  </r>
  <r>
    <x v="107"/>
    <s v="應處理清單"/>
    <n v="1"/>
    <s v="[資料日期]欄位改為日曆日"/>
    <x v="21"/>
    <d v="2021-09-27T00:00:00"/>
    <d v="2021-09-27T00:00:00"/>
  </r>
  <r>
    <x v="107"/>
    <s v="應處理清單"/>
    <n v="2"/>
    <s v="簡訊檔送出後，檔案可在 [LC009報表及檔案查詢]中查詢及開啟"/>
    <x v="21"/>
    <d v="2021-11-12T00:00:00"/>
    <d v="2021-11-12T00:00:00"/>
  </r>
  <r>
    <x v="108"/>
    <s v="債權維護"/>
    <n v="1"/>
    <s v="修改功能時,部分欄位沒有帶出中文顯示"/>
    <x v="22"/>
    <d v="2021-09-28T00:00:00"/>
    <d v="2021-09-28T00:00:00"/>
  </r>
  <r>
    <x v="108"/>
    <s v="債權維護"/>
    <n v="2"/>
    <s v="需顯示受理調解機構代號中文,欄位值與L8030的受理調解機構代號相同"/>
    <x v="22"/>
    <d v="2021-09-29T00:00:00"/>
    <d v="2021-09-29T00:00:00"/>
  </r>
  <r>
    <x v="108"/>
    <s v="債權維護"/>
    <n v="3"/>
    <s v="新增按鈕-連結聯徵資料的債務人聯絡電話"/>
    <x v="22"/>
    <d v="2021-09-29T00:00:00"/>
    <d v="2021-09-29T00:00:00"/>
  </r>
  <r>
    <x v="108"/>
    <s v="債權維護"/>
    <n v="4"/>
    <s v="延期繳款年月若無值則顯示空白"/>
    <x v="22"/>
    <d v="2021-09-28T00:00:00"/>
    <d v="2021-09-28T00:00:00"/>
  </r>
  <r>
    <x v="108"/>
    <s v="債權維護"/>
    <n v="5"/>
    <s v="新增按鈕-連結喘息期歷程(L6932篩選延期繳款年月起訖)"/>
    <x v="22"/>
    <d v="2021-10-06T00:00:00"/>
    <d v="2021-09-30T00:00:00"/>
  </r>
  <r>
    <x v="108"/>
    <s v="債權維護"/>
    <n v="6"/>
    <s v="異動延期繳款年月時,須同步維護下次繳款日及還款結束日"/>
    <x v="22"/>
    <d v="2021-10-06T00:00:00"/>
    <d v="2021-09-30T00:00:00"/>
  </r>
  <r>
    <x v="109"/>
    <s v="債務協商滯繳/應繳明細查詢             "/>
    <n v="1"/>
    <s v="延期年月改為顯示民國年月,若值=0則顯示空白"/>
    <x v="22"/>
    <d v="2021-09-28T00:00:00"/>
    <d v="2021-09-28T00:00:00"/>
  </r>
  <r>
    <x v="109"/>
    <s v="債務協商滯繳/應繳明細查詢             "/>
    <n v="2"/>
    <s v="連結法催紀錄L5960時,函催只做案件種類為債協部分:前置協商毀諾(未依約履行)通知函, 前置協商逾期繳款通知函"/>
    <x v="22"/>
    <d v="2021-10-06T00:00:00"/>
    <d v="2021-11-05T00:00:00"/>
  </r>
  <r>
    <x v="109"/>
    <s v="債務協商滯繳/應繳明細查詢             "/>
    <n v="3"/>
    <s v="到期日改為還款結束日"/>
    <x v="22"/>
    <d v="2021-09-28T00:00:00"/>
    <d v="2021-09-28T00:00:00"/>
  </r>
  <r>
    <x v="110"/>
    <s v="債權案件明細查詢"/>
    <n v="1"/>
    <s v="點選查詢時改為連結到新代號L5976債權案件主檔內容查詢"/>
    <x v="22"/>
    <d v="2021-09-29T00:00:00"/>
    <d v="2021-09-29T00:00:00"/>
  </r>
  <r>
    <x v="111"/>
    <s v="期款試算                              "/>
    <n v="1"/>
    <s v="年利率可輸入0"/>
    <x v="22"/>
    <d v="2021-09-28T00:00:00"/>
    <d v="2021-09-28T00:00:00"/>
  </r>
  <r>
    <x v="112"/>
    <s v="債務協商作業-整批處理"/>
    <n v="1"/>
    <s v="查詢篩選條件增加試算後的預設交易別,增加輸出欄位:試算後預設的交易別(如L5702欄位值),在畫面最下面增加整批入帳按鈕"/>
    <x v="23"/>
    <d v="2021-10-06T00:00:00"/>
    <d v="2021-10-05T00:00:00"/>
  </r>
  <r>
    <x v="113"/>
    <s v="最大債權撥付回覆檔檢核                "/>
    <n v="1"/>
    <s v="交易完成時顯示提示訊息成功失敗總筆數與金額"/>
    <x v="23"/>
    <d v="2021-10-06T00:00:00"/>
    <d v="2021-10-04T00:00:00"/>
  </r>
  <r>
    <x v="114"/>
    <s v="一般債權撥付資料檢核                  "/>
    <n v="1"/>
    <s v="交易完成時顯示提示訊息成功失敗總筆數與金額"/>
    <x v="23"/>
    <d v="2021-10-06T00:00:00"/>
    <d v="2021-10-04T00:00:00"/>
  </r>
  <r>
    <x v="110"/>
    <s v="債權案件明細查詢"/>
    <n v="1"/>
    <s v="新增按鈕查詢客戶撥付統計資料:連結到新交易L5977客戶最大債權撥付統計查詢,以客戶戶號+案件序號查詢最大債權撥付統計資料"/>
    <x v="23"/>
    <d v="2021-10-06T00:00:00"/>
    <d v="2021-09-30T00:00:00"/>
  </r>
  <r>
    <x v="115"/>
    <s v="債務協商交易資料查詢                  "/>
    <n v="1"/>
    <s v="新增按鈕連動L5711撥付金額調整:未製檔才顯示按鈕"/>
    <x v="23"/>
    <d v="2021-09-28T00:00:00"/>
    <d v="2021-09-28T00:00:00"/>
  </r>
  <r>
    <x v="115"/>
    <s v="債務協商交易資料查詢                  "/>
    <n v="2"/>
    <s v="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"/>
    <x v="23"/>
    <d v="2021-10-06T00:00:00"/>
    <d v="2021-10-05T00:00:00"/>
  </r>
  <r>
    <x v="116"/>
    <s v="單位及主管代號維護"/>
    <n v="1"/>
    <s v="&quot;經理&quot;字眼改用&quot;主管&quot;"/>
    <x v="24"/>
    <d v="2021-10-06T00:00:00"/>
    <d v="2021-10-06T00:00:00"/>
  </r>
  <r>
    <x v="116"/>
    <s v="單位及主管代號維護"/>
    <n v="2"/>
    <s v="新增輸入欄位[啟用記號],可輸入選項:Y:啟用,N:停用"/>
    <x v="24"/>
    <d v="2021-10-06T00:00:00"/>
    <d v="2021-10-06T00:00:00"/>
  </r>
  <r>
    <x v="117"/>
    <s v="單位及主管代號查詢"/>
    <n v="1"/>
    <s v="&quot;經理&quot;字眼改用&quot;主管&quot;"/>
    <x v="24"/>
    <d v="2021-10-06T00:00:00"/>
    <d v="2021-10-06T00:00:00"/>
  </r>
  <r>
    <x v="117"/>
    <s v="單位及主管代號查詢"/>
    <n v="2"/>
    <s v="移除[刪除]按鈕"/>
    <x v="24"/>
    <d v="2021-10-06T00:00:00"/>
    <d v="2021-10-06T00:00:00"/>
  </r>
  <r>
    <x v="117"/>
    <s v="單位及主管代號查詢"/>
    <n v="3"/>
    <s v="增加輸出欄位[啟用記號]"/>
    <x v="24"/>
    <d v="2021-10-06T00:00:00"/>
    <d v="2021-10-06T00:00:00"/>
  </r>
  <r>
    <x v="118"/>
    <s v="單位代號查詢"/>
    <n v="1"/>
    <s v="因為L6085查詢條件及輸出欄位,均有涵蓋L6086提供機制,所以L6086整併入L6085_x000a_註:因多個交易包含L6755本新增時,需用到此查詢帶回各單位、部室代號"/>
    <x v="24"/>
    <d v="2021-10-06T00:00:00"/>
    <d v="2021-10-06T00:00:00"/>
  </r>
  <r>
    <x v="119"/>
    <s v="各類代碼檔查詢"/>
    <n v="1"/>
    <s v="增加查詢條件[代碼檔名稱]模糊比對機制,如下圖"/>
    <x v="24"/>
    <d v="2021-10-06T00:00:00"/>
    <d v="2021-10-06T00:00:00"/>
  </r>
  <r>
    <x v="119"/>
    <s v="各類代碼檔查詢"/>
    <n v="2"/>
    <s v="移除[刪除]按鈕"/>
    <x v="24"/>
    <d v="2021-10-06T00:00:00"/>
    <d v="2021-10-06T00:00:00"/>
  </r>
  <r>
    <x v="120"/>
    <s v="各類代碼檔維護"/>
    <n v="1"/>
    <s v="[啟用記號]值N:未啟用,改為N:停用"/>
    <x v="24"/>
    <d v="2021-10-06T00:00:00"/>
    <d v="2021-10-06T00:00:00"/>
  </r>
  <r>
    <x v="121"/>
    <s v="特殊/例假日查詢"/>
    <n v="1"/>
    <s v="[假日]日期小於日曆日時,不顯示[刪除]按鈕"/>
    <x v="24"/>
    <d v="2021-10-06T00:00:00"/>
    <d v="2021-10-06T00:00:00"/>
  </r>
  <r>
    <x v="122"/>
    <s v="地區別資料查詢"/>
    <n v="1"/>
    <s v="原AS400/6-11,交易名稱變更為&quot;地區別資料查詢&quot;"/>
    <x v="25"/>
    <d v="2021-10-06T00:00:00"/>
    <d v="2021-10-06T00:00:00"/>
  </r>
  <r>
    <x v="123"/>
    <s v="地區別資料維護"/>
    <n v="1"/>
    <s v="原AS400/6-11,交易名稱變更為&quot;地區別資料維護&quot;"/>
    <x v="25"/>
    <d v="2021-10-06T00:00:00"/>
    <d v="2021-10-06T00:00:00"/>
  </r>
  <r>
    <x v="124"/>
    <s v="聯徵報送-地區別資料查詢"/>
    <n v="1"/>
    <s v="原AS400/6-35,交易名稱變更為&quot;聯徵報送-地區別資料查詢&quot;"/>
    <x v="25"/>
    <d v="2021-10-06T00:00:00"/>
    <d v="2021-10-06T00:00:00"/>
  </r>
  <r>
    <x v="124"/>
    <s v="聯徵報送-地區別資料查詢"/>
    <n v="2"/>
    <s v="輸入條件[地區別]增加選單"/>
    <x v="25"/>
    <d v="2021-10-06T00:00:00"/>
    <d v="2021-10-06T00:00:00"/>
  </r>
  <r>
    <x v="125"/>
    <s v="聯徵報送-地區別資料維護"/>
    <n v="1"/>
    <s v="原AS400/6-35,交易名稱變更為&quot;聯徵報送-地區別資料維護&quot;"/>
    <x v="25"/>
    <d v="2021-10-06T00:00:00"/>
    <d v="2021-10-06T00:00:00"/>
  </r>
  <r>
    <x v="125"/>
    <s v="聯徵報送-地區別資料維護"/>
    <n v="2"/>
    <s v="輸入欄位[地區別]增加選單"/>
    <x v="25"/>
    <d v="2021-10-06T00:00:00"/>
    <d v="2021-10-06T00:00:00"/>
  </r>
  <r>
    <x v="125"/>
    <s v="聯徵報送-地區別資料維護"/>
    <n v="3"/>
    <s v="增加[JCIC縣市碼]及[JCIC鄉鎮碼]"/>
    <x v="25"/>
    <d v="2021-10-06T00:00:00"/>
    <d v="2021-10-06T00:00:00"/>
  </r>
  <r>
    <x v="125"/>
    <s v="聯徵報送-地區別資料維護"/>
    <n v="4"/>
    <s v="[地區類別]目前無其他交易使用,隱藏欄位"/>
    <x v="25"/>
    <d v="2021-10-06T00:00:00"/>
    <d v="2021-10-06T00:00:00"/>
  </r>
  <r>
    <x v="23"/>
    <s v="顧客明細資料查詢"/>
    <n v="1"/>
    <s v="增加[行業別]查詢條件"/>
    <x v="25"/>
    <d v="2021-10-08T00:00:00"/>
    <d v="2021-10-06T00:00:00"/>
  </r>
  <r>
    <x v="126"/>
    <s v="使用者資料維護"/>
    <n v="1"/>
    <s v="配合主管授權等級控管,增加輸入欄位[授權等級],經辦預設0,主管限輸入1~9"/>
    <x v="25"/>
    <d v="2021-10-07T00:00:00"/>
    <d v="2021-10-07T00:00:00"/>
  </r>
  <r>
    <x v="127"/>
    <s v="保險/鑑定公司資料維護"/>
    <n v="1"/>
    <s v="新增輸入欄位[統一編號],非必輸欄位"/>
    <x v="25"/>
    <d v="2021-10-06T00:00:00"/>
    <d v="2021-10-06T00:00:00"/>
  </r>
  <r>
    <x v="128"/>
    <s v="會計變動數值設定查詢"/>
    <n v="1"/>
    <s v="交易名稱變更為&quot;會計變動數值設定查詢&quot;"/>
    <x v="25"/>
    <d v="2021-10-06T00:00:00"/>
    <d v="2021-10-06T00:00:00"/>
  </r>
  <r>
    <x v="129"/>
    <s v="會計變動數值設定"/>
    <n v="1"/>
    <s v="交易名稱變更為&quot;會計變動數值設定&quot;"/>
    <x v="25"/>
    <d v="2021-10-06T00:00:00"/>
    <d v="2021-10-06T00:00:00"/>
  </r>
  <r>
    <x v="130"/>
    <s v="產出員工扣薪明細檔"/>
    <n v="1"/>
    <s v="於L4500設定之[媒體日期]當天，[應處理清單]_x000a_執行[15日薪]及[非15日薪]扣薪媒體檔產出作業：_x000a_(1)有扣薪媒體明細資料時產生檔案。_x000a_(2)無扣薪媒體明細資料時產生空檔。"/>
    <x v="26"/>
    <d v="2021-11-04T00:00:00"/>
    <d v="2021-11-04T00:00:00"/>
  </r>
  <r>
    <x v="130"/>
    <s v="產出員工扣薪明細檔"/>
    <n v="2"/>
    <s v="未於L4500設定之日期不產生資料檔"/>
    <x v="26"/>
    <d v="2021-11-04T00:00:00"/>
    <d v="2021-11-04T00:00:00"/>
  </r>
  <r>
    <x v="130"/>
    <s v="產出員工扣薪明細檔"/>
    <n v="3"/>
    <s v="增加欄位[查詢選項]：_x000a_1：15日薪_x000a_2：非15日薪"/>
    <x v="26"/>
    <d v="2021-11-04T00:00:00"/>
    <d v="2021-11-04T00:00:00"/>
  </r>
  <r>
    <x v="130"/>
    <s v="產出員工扣薪明細檔"/>
    <n v="4"/>
    <s v="產出之報表中不要顯示[程式ID]及[報表]欄位"/>
    <x v="26"/>
    <d v="2021-11-08T00:00:00"/>
    <d v="2021-11-08T00:00:00"/>
  </r>
  <r>
    <x v="131"/>
    <s v="入帳檔上傳作業                       "/>
    <n v="1"/>
    <s v="扣款回應檔上傳時檢核處理：_x000a_與提出檔之總金額及筆數檢核是否相同，不同時顯示提示訊息。"/>
    <x v="26"/>
    <d v="2021-11-12T00:00:00"/>
    <d v="2021-11-26T00:00:00"/>
  </r>
  <r>
    <x v="131"/>
    <s v="入帳檔上傳作業                       "/>
    <n v="2"/>
    <s v="歸類為[不處理]之條件：_x000a_(1)與提出檔資料不符、扣款失敗、實扣金額為0_x000a_(2)產出失敗報表_x000a_(3)後續處理：若為[與提出檔資料不符]之情況，待查明原因後需要入帳時執行_x000a_L4210其他還款來源建檔(L4921[新增來源建檔]按鈕進入) -&gt; L4002整批入帳作業執行[轉暫收]"/>
    <x v="26"/>
    <d v="2021-09-30T00:00:00"/>
    <d v="2021-09-30T00:00:00"/>
  </r>
  <r>
    <x v="132"/>
    <s v="產出員工扣薪媒體檔"/>
    <n v="1"/>
    <s v="增加欄位[查詢選項]：_x000a_1：15日薪_x000a_2：非15日薪"/>
    <x v="26"/>
    <d v="2021-11-04T00:00:00"/>
    <d v="2021-11-04T00:00:00"/>
  </r>
  <r>
    <x v="133"/>
    <s v="產生員工扣薪報表"/>
    <n v="1"/>
    <s v="產出之報表中不要顯示[程式ID]及[報表]欄位"/>
    <x v="26"/>
    <d v="2021-11-08T00:00:00"/>
    <d v="2021-11-08T00:00:00"/>
  </r>
  <r>
    <x v="133"/>
    <s v="產生員工扣薪報表"/>
    <n v="2"/>
    <s v="查詢單改為產出報表，另增加2份報表：_x000a_  (1)員工扣薪總傳票明細表_x000a_  (2)火險費沖銷明細表(員工扣薪)"/>
    <x v="26"/>
    <d v="2021-12-15T00:00:00"/>
    <m/>
  </r>
  <r>
    <x v="134"/>
    <s v="日結明細查詢"/>
    <n v="1"/>
    <s v="增加查詢[銷帳編號]欄位"/>
    <x v="26"/>
    <d v="2021-10-08T00:00:00"/>
    <d v="2021-10-08T00:00:00"/>
  </r>
  <r>
    <x v="0"/>
    <s v="期款收回順序"/>
    <n v="1"/>
    <s v="期款收回順序：_x000a_回收費用"/>
    <x v="26"/>
    <d v="2021-09-30T00:00:00"/>
    <d v="2021-09-30T00:00:00"/>
  </r>
  <r>
    <x v="0"/>
    <s v="期款收回順序"/>
    <n v="2"/>
    <s v="依額度回收本息及欠繳：_x000a_(1)依計息起迄日先到先還。_x000a_(2)相同計息起迄日時，按利率由高至低依序償還"/>
    <x v="26"/>
    <d v="2021-09-30T00:00:00"/>
    <d v="2021-09-30T00:00:00"/>
  </r>
  <r>
    <x v="131"/>
    <s v="入帳檔上傳作業                       "/>
    <n v="1"/>
    <s v="針對轉換資料，若票據金額等於該額度期金時，以該額度入帳"/>
    <x v="27"/>
    <d v="2021-11-04T00:00:00"/>
    <d v="2021-11-04T00:00:00"/>
  </r>
  <r>
    <x v="135"/>
    <s v="應處理清單      "/>
    <n v="1"/>
    <s v="檢核條件：未兌現入帳之票據會每天顯示"/>
    <x v="27"/>
    <d v="2021-12-09T00:00:00"/>
    <d v="2021-12-09T00:00:00"/>
  </r>
  <r>
    <x v="135"/>
    <s v="應處理清單      "/>
    <n v="2"/>
    <s v="[處理事項說明]欄位加註該票據[未兌現]"/>
    <x v="27"/>
    <d v="2021-12-09T00:00:00"/>
    <d v="2021-12-09T00:00:00"/>
  </r>
  <r>
    <x v="136"/>
    <s v="法拍費用明細資料查詢              "/>
    <n v="1"/>
    <s v="刪除輸出欄位[案號]"/>
    <x v="28"/>
    <d v="2021-10-06T00:00:00"/>
    <d v="2021-10-06T00:00:00"/>
  </r>
  <r>
    <x v="137"/>
    <s v="約定部分償還登錄         "/>
    <n v="1"/>
    <s v="增加欄位[是否內含利息]＆[利息是否可欠繳]，_x000a_參考 L3200做法"/>
    <x v="29"/>
    <d v="2021-10-27T00:00:00"/>
    <d v="2021-10-27T00:00:00"/>
  </r>
  <r>
    <x v="137"/>
    <s v="約定部分償還登錄         "/>
    <n v="2"/>
    <s v="約定部分償還可到額度"/>
    <x v="29"/>
    <d v="2021-10-27T00:00:00"/>
    <d v="2021-10-27T00:00:00"/>
  </r>
  <r>
    <x v="137"/>
    <s v="約定部分償還登錄         "/>
    <n v="3"/>
    <s v="非額度全部結清的情況，金額足夠償還餘額時將_x000a_該筆撥款設為結案"/>
    <x v="29"/>
    <d v="2021-11-10T00:00:00"/>
    <d v="2021-11-10T00:00:00"/>
  </r>
  <r>
    <x v="137"/>
    <s v="約定部分償還登錄         "/>
    <n v="4"/>
    <s v="部分償還自動入帳條件之優先序：_x000a_(1)L3130約定部分償還登錄。_x000a_(2)還款金額&gt;=L3130之約定金額。_x000a_(3)利率由高至低_x000a_2021/10/27蔡珮瑜回覆：_x000a_目前是利率高至低&gt;用途別&gt;由額度編號大至小_x000a_用途別為9-&gt;1-&gt;3-&gt;4-&gt;5-&gt;6-&gt;2_x000a_欄位代碼       欄位說明     _x000a_1            週轉金    _x000a_2            購置不動產_x000a_3            營業用資產_x000a_4            固定資產  _x000a_5            企業投資  _x000a_6            購置動產_x000a_9            其他_x000a_"/>
    <x v="29"/>
    <d v="2021-11-10T00:00:00"/>
    <d v="2021-11-10T00:00:00"/>
  </r>
  <r>
    <x v="138"/>
    <s v="整批入帳作業                         "/>
    <n v="1"/>
    <s v="企金戶95101的檢核條件：提供自動設定(與95102及95103的檢核相同)_x000a_2021/10/27蔡珮瑜回覆：入帳前，經辦指定為期款、還款、結清、手續費或暫收後，再整批入帳。_x000a_=&gt; (配合2021/10/27蔡珮瑜回覆 , 程式還原)"/>
    <x v="29"/>
    <d v="2021-11-12T00:00:00"/>
    <d v="2021-11-12T00:00:00"/>
  </r>
  <r>
    <x v="138"/>
    <s v="整批入帳作業                         "/>
    <n v="2"/>
    <s v="原AS400[存摺代號]欄位放在[對帳類別]欄"/>
    <x v="29"/>
    <d v="2021-11-04T00:00:00"/>
    <d v="2021-11-04T00:00:00"/>
  </r>
  <r>
    <x v="138"/>
    <s v="整批入帳作業                         "/>
    <n v="3"/>
    <s v="依虛擬帳號區分顯示"/>
    <x v="29"/>
    <d v="2021-11-04T00:00:00"/>
    <d v="2021-11-04T00:00:00"/>
  </r>
  <r>
    <x v="139"/>
    <s v="其他還款來源建檔                     "/>
    <n v="1"/>
    <s v="欄位[來源]中選項[11匯款轉帳預先作業]名稱改為[大額匯款手工增入入帳]"/>
    <x v="29"/>
    <d v="2021-11-04T00:00:00"/>
    <d v="2021-11-04T00:00:00"/>
  </r>
  <r>
    <x v="140"/>
    <s v="匯款轉帳-明細維護"/>
    <n v="1"/>
    <s v="欄位[處理狀態]選項中[人工入帳]名稱改為[單筆入帳]"/>
    <x v="29"/>
    <d v="2021-11-04T00:00:00"/>
    <d v="2021-11-04T00:00:00"/>
  </r>
  <r>
    <x v="140"/>
    <s v="匯款轉帳-明細維護"/>
    <n v="2"/>
    <s v="欄位[虛擬帳號]名稱改為[入帳戶號],虛線不要"/>
    <x v="29"/>
    <d v="2021-11-04T00:00:00"/>
    <d v="2021-11-04T00:00:00"/>
  </r>
  <r>
    <x v="141"/>
    <s v="整批入帳明細查詢"/>
    <n v="1"/>
    <s v="查詢輸出增加[檔名/序號]欄位"/>
    <x v="29"/>
    <d v="2021-11-12T00:00:00"/>
    <d v="2021-11-08T00:00:00"/>
  </r>
  <r>
    <x v="141"/>
    <s v="整批入帳明細查詢"/>
    <n v="2"/>
    <s v="欄位[還款金額]名稱改為[交易金額]"/>
    <x v="29"/>
    <d v="2021-11-04T00:00:00"/>
    <d v="2021-11-04T00:00:00"/>
  </r>
  <r>
    <x v="142"/>
    <s v="產生放款本息攤還表暨繳息通知單       "/>
    <n v="1"/>
    <s v="依用途列印不同字樣"/>
    <x v="29"/>
    <d v="2021-12-24T00:00:00"/>
    <m/>
  </r>
  <r>
    <x v="142"/>
    <s v="產生放款本息攤還表暨繳息通知單       "/>
    <n v="2"/>
    <s v="列印存款單及匯款單"/>
    <x v="29"/>
    <d v="2021-12-24T00:00:00"/>
    <m/>
  </r>
  <r>
    <x v="143"/>
    <s v="產生滯繳通知單                       "/>
    <n v="1"/>
    <s v="依用途列印不同字樣"/>
    <x v="29"/>
    <d v="2021-12-24T00:00:00"/>
    <m/>
  </r>
  <r>
    <x v="143"/>
    <s v="產生滯繳通知單                       "/>
    <n v="2"/>
    <s v="列印存款單及匯款單"/>
    <x v="29"/>
    <d v="2021-12-24T00:00:00"/>
    <m/>
  </r>
  <r>
    <x v="141"/>
    <s v="相關報表"/>
    <n v="1"/>
    <s v="原AS400報表改為[L4920整批入帳明細查詢]：_x000a_1.[4-1-4匯款暫存檔明細表]。_x000a_2.[4-1-7匯款轉帳檔明細表]，原[匯款沖帳碼]欄位取消 (不需改程式,會議記錄說明以查詢取代原報表)"/>
    <x v="29"/>
    <d v="2021-11-12T00:00:00"/>
    <d v="2021-11-12T00:00:00"/>
  </r>
  <r>
    <x v="144"/>
    <s v="相關報表"/>
    <n v="2"/>
    <s v="新增失敗報表，格式參考[4-1-9匯款轉帳失敗表]_x000a_1.報表表頭以[存摺代號]換頁。_x000a_2.報表明細為失敗明細，無失敗時不顯示。_x000a_3.報表表尾為該批號之總數，含成功及失敗"/>
    <x v="29"/>
    <d v="2021-12-24T00:00:00"/>
    <m/>
  </r>
  <r>
    <x v="144"/>
    <s v="相關報表"/>
    <n v="3"/>
    <s v="新增成功報表，格式參考[4-1-9匯款總傳票明細表]_x000a_1.報表表頭以[存摺代號]換頁"/>
    <x v="29"/>
    <d v="2021-12-24T00:00:00"/>
    <m/>
  </r>
  <r>
    <x v="0"/>
    <s v="整批入帳-期款"/>
    <n v="1"/>
    <s v="整批入帳入期款時需參考[L6501系統變數及系統值設定]中欄位[整批-預收期數]設定值"/>
    <x v="29"/>
    <d v="2021-11-30T00:00:00"/>
    <d v="2021-11-30T00:00:00"/>
  </r>
  <r>
    <x v="137"/>
    <s v="約定部分償還登錄         "/>
    <n v="1"/>
    <s v="撥款序號改為非必輸欄位"/>
    <x v="30"/>
    <d v="2021-10-27T00:00:00"/>
    <d v="2021-10-27T00:00:00"/>
  </r>
  <r>
    <x v="137"/>
    <s v="約定部分償還登錄         "/>
    <n v="2"/>
    <s v="入帳日或會計日小於等於約定部分償還日期，未過期者僅能一筆(提供修改日期功能)"/>
    <x v="30"/>
    <d v="2021-10-27T00:00:00"/>
    <d v="2021-10-27T00:00:00"/>
  </r>
  <r>
    <x v="137"/>
    <s v="約定部分償還登錄         "/>
    <n v="3"/>
    <s v="實際償還金額必須大於等於約定部分償還金額"/>
    <x v="30"/>
    <d v="2021-11-10T00:00:00"/>
    <d v="2021-11-10T00:00:00"/>
  </r>
  <r>
    <x v="137"/>
    <s v="約定部分償還登錄         "/>
    <n v="4"/>
    <s v="依利率高者先還"/>
    <x v="30"/>
    <d v="2021-11-10T00:00:00"/>
    <d v="2021-11-10T00:00:00"/>
  </r>
  <r>
    <x v="137"/>
    <s v="約定部分償還登錄         "/>
    <n v="5"/>
    <s v="有期款未繳不執行"/>
    <x v="30"/>
    <d v="2021-11-10T00:00:00"/>
    <d v="2021-11-10T00:00:00"/>
  </r>
  <r>
    <x v="137"/>
    <s v="約定部分償還登錄         "/>
    <n v="6"/>
    <s v="L3130約定部分償還建檔時需增加欄位[是否內含利息]、[利息是否可欠繳]( 2021/10/12會議)"/>
    <x v="30"/>
    <d v="2021-10-27T00:00:00"/>
    <d v="2021-10-27T00:00:00"/>
  </r>
  <r>
    <x v="137"/>
    <s v="約定部分償還登錄         "/>
    <n v="7"/>
    <s v="新增修改送出後自動連結[L8204疑似洗錢交易訪談記錄維護]"/>
    <x v="30"/>
    <d v="2021-10-27T00:00:00"/>
    <d v="2021-10-27T00:00:00"/>
  </r>
  <r>
    <x v="145"/>
    <s v="疑似洗錢交易訪談記錄維護"/>
    <n v="1"/>
    <s v="新增[實際還款金額]欄位"/>
    <x v="30"/>
    <d v="2021-10-25T00:00:00"/>
    <d v="2021-10-25T00:00:00"/>
  </r>
  <r>
    <x v="145"/>
    <s v="疑似洗錢交易訪談記錄維護"/>
    <n v="2"/>
    <s v="[預定還款日期]、[還款金額]改為非必輸_x000a_2021/10/27蔡珮瑜回覆：訪談紀錄，[預定還款日期]、[預定還款金額]應該為必輸欄位"/>
    <x v="30"/>
    <d v="2021-10-25T00:00:00"/>
    <d v="2021-10-25T00:00:00"/>
  </r>
  <r>
    <x v="145"/>
    <s v="疑似洗錢交易訪談記錄維護"/>
    <n v="3"/>
    <s v="原[還款金額]改為[約定還款金額]_x000a_2021/10/27蔡珮瑜回覆：訪談紀錄，[預定還款日期]、[預定還款金額]應該為必輸欄位"/>
    <x v="30"/>
    <d v="2021-10-25T00:00:00"/>
    <d v="2021-10-25T00:00:00"/>
  </r>
  <r>
    <x v="146"/>
    <s v="變更期款試算             "/>
    <n v="1"/>
    <s v="撥款序號改為非必輸"/>
    <x v="30"/>
    <d v="2021-11-10T00:00:00"/>
    <d v="2021-11-10T00:00:00"/>
  </r>
  <r>
    <x v="146"/>
    <s v="變更期款試算             "/>
    <n v="2"/>
    <s v="新增輸入選項欄位[1.每期攤還金額 2.部分償還金額]_x000a_(1).輸入每期攤還金額算出部分償還金額_x000a_(2).輸入部分償還金額顯示新的每期攤還金額"/>
    <x v="30"/>
    <d v="2021-11-10T00:00:00"/>
    <d v="2021-11-10T00:00:00"/>
  </r>
  <r>
    <x v="93"/>
    <s v="暫收款銷帳"/>
    <n v="1"/>
    <s v="錯誤訊息加入千分位"/>
    <x v="30"/>
    <d v="2021-11-10T00:00:00"/>
    <d v="2021-11-10T00:00:00"/>
  </r>
  <r>
    <x v="0"/>
    <s v="共同機制"/>
    <n v="1"/>
    <s v="所有的檢核條件，只需在[交易代碼]為[A.新增]、[C.異動]時作檢核即可"/>
    <x v="31"/>
    <d v="2021-10-15T00:00:00"/>
    <d v="2021-10-15T00:00:00"/>
  </r>
  <r>
    <x v="0"/>
    <s v="共同機制"/>
    <n v="2"/>
    <s v="若有隨同填報功能，則在送出後顯示提示訊息"/>
    <x v="31"/>
    <d v="2021-10-15T00:00:00"/>
    <d v="2021-10-15T00:00:00"/>
  </r>
  <r>
    <x v="0"/>
    <s v="共同機制"/>
    <n v="3"/>
    <s v="交易代碼[X.補件]、[R.請求債權人清冊]視為新增資料"/>
    <x v="31"/>
    <d v="2021-10-15T00:00:00"/>
    <d v="2021-10-15T00:00:00"/>
  </r>
  <r>
    <x v="0"/>
    <s v="共同機制"/>
    <n v="4"/>
    <s v="[報送單位代號]的說明為[最大債權金融機構代號]，則該欄位改為預設&quot;458 &quot;，且可讓使用者輸入"/>
    <x v="31"/>
    <d v="2021-10-15T00:00:00"/>
    <d v="2021-10-15T00:00:00"/>
  </r>
  <r>
    <x v="0"/>
    <s v="共同機制"/>
    <n v="5"/>
    <s v="[身分證字號]/[債務人IDN]後增加[客戶姓名]"/>
    <x v="31"/>
    <d v="2021-10-15T00:00:00"/>
    <d v="2021-10-15T00:00:00"/>
  </r>
  <r>
    <x v="147"/>
    <s v="消債條列JCIC報送資料歷程查詢(041)"/>
    <n v="1"/>
    <s v="[協商開始日]自動帶出[協商申請日]+25日"/>
    <x v="31"/>
    <d v="2021-10-15T00:00:00"/>
    <d v="2021-10-15T00:00:00"/>
  </r>
  <r>
    <x v="148"/>
    <s v="消債條列JCIC報送資料歷程查詢(047)"/>
    <n v="1"/>
    <s v="檢核該[債務人IDN]於[回報無擔保債權金額資料_x000a_檔案格式(JcicZ042)]中，[轉Jcic文字檔日期]不為空白之資料"/>
    <x v="31"/>
    <d v="2021-10-15T00:00:00"/>
    <d v="2021-10-15T00:00:00"/>
  </r>
  <r>
    <x v="149"/>
    <s v="消債條列JCIC報送資料歷程查詢(048)"/>
    <n v="1"/>
    <s v="電話欄位提供說明"/>
    <x v="31"/>
    <d v="2021-10-15T00:00:00"/>
    <d v="2021-10-15T00:00:00"/>
  </r>
  <r>
    <x v="150"/>
    <s v="消債條列JCIC報送資料歷程查詢(570)"/>
    <n v="1"/>
    <s v="[交易代碼]增加X.補件"/>
    <x v="31"/>
    <d v="2021-10-15T00:00:00"/>
    <d v="2021-10-15T00:00:00"/>
  </r>
  <r>
    <x v="131"/>
    <s v="入帳檔上傳作業                       "/>
    <n v="1"/>
    <s v="上傳結束，訊息顯示總金額及筆數"/>
    <x v="32"/>
    <d v="2021-11-05T00:00:00"/>
    <d v="2021-11-23T00:00:00"/>
  </r>
  <r>
    <x v="151"/>
    <s v="產生銀扣失敗通知"/>
    <n v="1"/>
    <s v="增加輸入欄位[作業項目]，可輸入：[1.ACH 扣款 / 2.郵局扣款 / 9.全部]_x000a_2021/10/27蔡珮瑜回覆：應該需依扣款銀行別做篩選"/>
    <x v="32"/>
    <d v="2021-11-30T00:00:00"/>
    <d v="2021-11-30T00:00:00"/>
  </r>
  <r>
    <x v="152"/>
    <s v="整批勾選處理"/>
    <n v="1"/>
    <s v="輸出欄位[處理代碼]取消"/>
    <x v="32"/>
    <d v="2021-11-04T00:00:00"/>
    <d v="2021-11-04T00:00:00"/>
  </r>
  <r>
    <x v="138"/>
    <s v="整批入帳作業                         "/>
    <n v="1"/>
    <s v="銀扣作業將入帳失敗者自動轉暫收，以[轉暫收的數字]鐽可查詢明細，明細中增加應繳日期"/>
    <x v="32"/>
    <d v="2021-11-04T00:00:00"/>
    <d v="2021-11-04T00:00:00"/>
  </r>
  <r>
    <x v="138"/>
    <s v="整批入帳作業                         "/>
    <n v="2"/>
    <s v="[不處理]及[不處理金額]欄位名稱改[失敗]及[失敗金額]"/>
    <x v="32"/>
    <d v="2021-11-04T00:00:00"/>
    <d v="2021-11-04T00:00:00"/>
  </r>
  <r>
    <x v="153"/>
    <s v="整批入帳明細查詢(By日期區間)         "/>
    <n v="1"/>
    <s v="輸出欄位[處理說明]取消，處理狀態之說明顯示在欄位[備註]"/>
    <x v="32"/>
    <d v="2021-11-10T00:00:00"/>
    <d v="2021-11-10T00:00:00"/>
  </r>
  <r>
    <x v="106"/>
    <s v="銀行扣款檔資料查詢                   "/>
    <n v="1"/>
    <s v="輸出欄位[檢核結果]顯示_x000a_1.入帳成功：單筆入帳/批次入帳/轉暫收_x000a_2.入帳失敗：失敗原因"/>
    <x v="32"/>
    <d v="2021-11-04T00:00:00"/>
    <d v="2021-11-04T00:00:00"/>
  </r>
  <r>
    <x v="0"/>
    <s v="相關報表"/>
    <n v="1"/>
    <s v="新增失敗報表，格式參考[4-13-51 ACH 扣款失敗報表]"/>
    <x v="32"/>
    <d v="2021-11-30T00:00:00"/>
    <d v="2021-11-30T00:00:00"/>
  </r>
  <r>
    <x v="0"/>
    <s v="相關報表"/>
    <n v="2"/>
    <s v="新增成功報表，格式參考[4-13-61 ACH 扣款總傳票明細表]"/>
    <x v="32"/>
    <d v="2021-11-30T00:00:00"/>
    <d v="2021-11-30T00:00:00"/>
  </r>
  <r>
    <x v="154"/>
    <s v="呆帳改呆帳結案戶"/>
    <n v="1"/>
    <s v="新增欄位可輸入[核決主管]及[備註欄]_x000a_[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x v="33"/>
    <d v="2021-10-27T00:00:00"/>
    <d v="2021-10-27T00:00:00"/>
  </r>
  <r>
    <x v="155"/>
    <s v="放款會計與主檔餘額檢核表"/>
    <n v="1"/>
    <s v="浮水印顯示資訊錯誤"/>
    <x v="33"/>
    <d v="2021-12-15T00:00:00"/>
    <m/>
  </r>
  <r>
    <x v="156"/>
    <s v="核心傳票相關單獨作業"/>
    <n v="1"/>
    <s v="不需產出[L9133放款會計與主檔餘額檢核表]"/>
    <x v="33"/>
    <d v="2021-10-25T00:00:00"/>
    <d v="2021-10-25T00:00:00"/>
  </r>
  <r>
    <x v="0"/>
    <s v="保單險種不足明細表"/>
    <n v="1"/>
    <s v="表中參考的建築造價資料，新系統與eloan分開維護，新系統新增維護交易"/>
    <x v="34"/>
    <d v="2021-10-30T00:00:00"/>
    <d v="2021-10-30T00:00:00"/>
  </r>
  <r>
    <x v="0"/>
    <s v="擔保品號碼新舊對照"/>
    <n v="1"/>
    <s v="新增查詢交易，欄位包含新舊擔保品號碼、戶號、額度、地址"/>
    <x v="34"/>
    <d v="2021-11-12T00:00:00"/>
    <d v="2021-11-12T00:00:00"/>
  </r>
  <r>
    <x v="157"/>
    <s v="保險單明細資料查詢       "/>
    <n v="1"/>
    <s v="增加輸入欄位[有效保單]，可輸入[0.有效/9.全部]"/>
    <x v="34"/>
    <d v="2021-11-04T00:00:00"/>
    <d v="2021-11-04T00:00:00"/>
  </r>
  <r>
    <x v="157"/>
    <s v="保險單明細資料查詢       "/>
    <n v="2"/>
    <s v="增加連結查詢[L2038擔保品明細資料查詢]&amp;[L4610保險單明細資料登錄/L4611續約保單資料維護]"/>
    <x v="34"/>
    <d v="2021-11-04T00:00:00"/>
    <d v="2021-11-04T00:00:00"/>
  </r>
  <r>
    <x v="158"/>
    <s v="火險保費未繳轉借支作業     "/>
    <n v="1"/>
    <s v="與新光產險對帳後，列應付費用：_x000a_正常繳款(放款系統出帳)_x000a_借:20232010 暫收及待結轉帳項-火險保費_x000a_ 　　貸:20210391 應付費用-待匯"/>
    <x v="34"/>
    <d v="2021-11-10T00:00:00"/>
    <d v="2021-11-08T00:00:00"/>
  </r>
  <r>
    <x v="159"/>
    <s v="火險佣金作業               "/>
    <n v="1"/>
    <s v="火險佣金發放明細表：_x000a_ (1)地址欄位長度放大，程式ID&amp;報表代號修改為新系統代號"/>
    <x v="34"/>
    <d v="2021-11-05T00:00:00"/>
    <d v="2021-11-05T00:00:00"/>
  </r>
  <r>
    <x v="159"/>
    <s v="火險佣金作業               "/>
    <n v="2"/>
    <s v="火險佣金未發明細表：_x000a_ (1)地址欄位長度放大，程式ID&amp;報表代號修改為新系統代號"/>
    <x v="34"/>
    <d v="2021-11-05T00:00:00"/>
    <d v="2021-11-05T00:00:00"/>
  </r>
  <r>
    <x v="0"/>
    <s v="住宅險改商業險註記"/>
    <n v="1"/>
    <s v="L4610保險單明細資料登錄：增加輸入欄位[住宅險_x000a_改商業險註記]，可輸入[Y / 空白]"/>
    <x v="34"/>
    <d v="2021-11-05T00:00:00"/>
    <d v="2021-11-05T00:00:00"/>
  </r>
  <r>
    <x v="0"/>
    <s v="住宅險改商業險註記"/>
    <n v="2"/>
    <s v="L4611續約保單資料維護：增加輸入欄位[住宅險改_x000a_商業險註記]，可輸入[Y / 空白]"/>
    <x v="34"/>
    <d v="2021-11-05T00:00:00"/>
    <d v="2021-11-05T00:00:00"/>
  </r>
  <r>
    <x v="0"/>
    <s v="住宅險改商業險註記"/>
    <n v="3"/>
    <s v="L4962保險單資料檢核作業：檢核表類別增加選項_x000a_[住宅險改商業險註記]及輸入[火險到期起迄年月]_x000a_欄位"/>
    <x v="34"/>
    <d v="2021-11-08T00:00:00"/>
    <d v="2021-11-08T00:00:00"/>
  </r>
  <r>
    <x v="160"/>
    <e v="#N/A"/>
    <n v="1"/>
    <s v="增加連結查詢[L4961火險保費明細查詢]"/>
    <x v="34"/>
    <d v="2021-11-30T00:00:00"/>
    <d v="2021-11-30T00:00:00"/>
  </r>
  <r>
    <x v="93"/>
    <s v="暫收款銷帳"/>
    <n v="1"/>
    <s v="新增欄位[改呆帳結案戶],作業項目[08.收回呆帳]時顯示"/>
    <x v="34"/>
    <d v="2021-10-27T00:00:00"/>
    <d v="2021-10-27T00:00:00"/>
  </r>
  <r>
    <x v="93"/>
    <s v="暫收款銷帳"/>
    <n v="2"/>
    <s v="[改呆帳結案戶]檢核條件,輸入Y/N,預設N,輸入Y 時,顯示[核決主管]及[備註欄]可輸入_x000a_[2021/10/26張舜雯回覆]：如遇董事會核決，輸入轄最高主管，備註董事會。不新增核決層級。"/>
    <x v="34"/>
    <d v="2021-10-26T00:00:00"/>
    <d v="2021-10-26T00:00:00"/>
  </r>
  <r>
    <x v="135"/>
    <s v="應處理清單      "/>
    <n v="1"/>
    <s v="新增應轉催收日前三營業日即寫入應處理清單"/>
    <x v="34"/>
    <d v="2021-12-15T00:00:00"/>
    <d v="2021-12-09T00:00:00"/>
  </r>
  <r>
    <x v="35"/>
    <s v="指標利率交易放行控制"/>
    <n v="1"/>
    <s v="[L6301指標利率種類維護]新增一筆[指標利率種類]後，在未放行前不可建立該筆[指標利率種類]的指標利率"/>
    <x v="35"/>
    <d v="2021-12-15T00:00:00"/>
    <d v="2021-11-25T00:00:00"/>
  </r>
  <r>
    <x v="161"/>
    <s v="指標利率種類查詢"/>
    <n v="1"/>
    <s v="欄位[生效記號]名稱改為[狀態]，顯示[已放行 / 未放行]"/>
    <x v="35"/>
    <d v="2021-10-25T00:00:00"/>
    <d v="2021-10-25T00:00:00"/>
  </r>
  <r>
    <x v="162"/>
    <s v="指標利率資料查詢"/>
    <n v="1"/>
    <s v="[已使用]之指標利率不可修改或刪除_x000a_2021/10/27蔡珮瑜回覆：應為最新一筆利率生效未使用中及未生效，才能修改及刪除。_x000a_過往資料不應該可以修改刪除"/>
    <x v="35"/>
    <d v="2021-10-25T00:00:00"/>
    <d v="2021-10-25T00:00:00"/>
  </r>
  <r>
    <x v="162"/>
    <s v="指標利率資料查詢"/>
    <n v="2"/>
    <s v="欄位[生效記號]顯示[未生效/已生效/已使用/未放_x000a_行]_x000a_2021/10/27蔡珮瑜回覆：應為最新一筆利率生效未使用中及未生效，才能修改及刪除。_x000a_過往資料不應該可以修改刪除_x000a_"/>
    <x v="35"/>
    <d v="2021-10-25T00:00:00"/>
    <d v="2021-10-25T00:00:00"/>
  </r>
  <r>
    <x v="36"/>
    <s v="指標利率登錄/維護"/>
    <n v="1"/>
    <s v="新增時需生效日期最大"/>
    <x v="35"/>
    <d v="2021-10-25T00:00:00"/>
    <d v="2021-10-25T00:00:00"/>
  </r>
  <r>
    <x v="36"/>
    <s v="指標利率登錄/維護"/>
    <n v="2"/>
    <s v="未生效(生效日期&gt;日曆日期)僅能一筆_x000a_2021/10/27蔡珮瑜回覆：應為最新一筆利率生效未使用中及未生效，才能修改及刪除。_x000a_過往資料不應該可以修改刪除。"/>
    <x v="35"/>
    <d v="2021-10-25T00:00:00"/>
    <d v="2021-10-25T00:00:00"/>
  </r>
  <r>
    <x v="36"/>
    <s v="指標利率登錄/維護"/>
    <n v="3"/>
    <s v="生效日期可小於日曆日期_x000a_2021/10/27蔡珮瑜回覆：應為最新一筆利率生效未使用中及未生效，才能修改及刪除。_x000a_過往資料不應該可以修改刪除。"/>
    <x v="35"/>
    <d v="2021-10-25T00:00:00"/>
    <d v="2021-10-25T00:00:00"/>
  </r>
  <r>
    <x v="163"/>
    <s v="產生利率即將變動資料                 "/>
    <n v="1"/>
    <s v="輸入欄位[戶別種類]名稱改為[個金/企金]：_x000a_1.個金  2.企金(含企金自然人)"/>
    <x v="36"/>
    <d v="2021-11-04T00:00:00"/>
    <d v="2021-11-04T00:00:00"/>
  </r>
  <r>
    <x v="163"/>
    <s v="產生利率即將變動資料                 "/>
    <n v="2"/>
    <s v="[作業項目]為4.員工利率調整：_x000a_1.若分次執行不同商品時，清單內之筆數為加總數_x000a_2.增加輸入欄位[批次利率]，與欄位[批次加減碼]2選1輸入：_x000a_(1) 輸入[批次利率]時，欄位[商品]必須輸入。_x000a_(2) 輸入[批次加減碼]時，欄位[商品]可不輸入"/>
    <x v="36"/>
    <s v="1.2021/11/4_x000a_2.2021/11/10"/>
    <s v="1.2021/11/4_x000a_2.2021/11/10"/>
  </r>
  <r>
    <x v="163"/>
    <s v="產生利率即將變動資料                 "/>
    <n v="3"/>
    <s v="[作業項目]為5.按商品別調整，功能修改參考_x000a_[4-66整批利率變更作業]"/>
    <x v="36"/>
    <d v="2021-11-30T00:00:00"/>
    <d v="2021-11-30T00:00:00"/>
  </r>
  <r>
    <x v="164"/>
    <s v="利率調整清單"/>
    <n v="1"/>
    <s v="欄位[按地區別自動調整]名稱改為[按地區別調整]"/>
    <x v="36"/>
    <d v="2021-11-04T00:00:00"/>
    <d v="2021-11-04T00:00:00"/>
  </r>
  <r>
    <x v="164"/>
    <s v="利率調整清單"/>
    <n v="2"/>
    <s v="[按地區別調整]功能，增加勾選人工調整功能，勾選後列入[人工調整(未調整)]"/>
    <x v="36"/>
    <d v="2021-11-12T00:00:00"/>
    <d v="2021-11-12T00:00:00"/>
  </r>
  <r>
    <x v="164"/>
    <s v="利率調整清單"/>
    <n v="3"/>
    <s v="人工調整項目：按目前利率調整/按擬調利率調整/按輸入利率調整"/>
    <x v="36"/>
    <d v="2021-11-12T00:00:00"/>
    <d v="2021-11-11T00:00:00"/>
  </r>
  <r>
    <x v="164"/>
    <s v="利率調整清單"/>
    <n v="4"/>
    <s v="欄位[不處理]名稱改為[待處理]；欄位[要處理]名稱改為[總筆數]，含[待處理]筆數，位置移到欄位[作業狀態]前"/>
    <x v="36"/>
    <d v="2021-11-08T00:00:00"/>
    <d v="2021-11-08T00:00:00"/>
  </r>
  <r>
    <x v="165"/>
    <s v="個別利率調整作業"/>
    <n v="1"/>
    <s v="查詢條件增加輸入欄位[逾期期數]"/>
    <x v="36"/>
    <d v="2021-11-08T00:00:00"/>
    <d v="2021-11-08T00:00:00"/>
  </r>
  <r>
    <x v="165"/>
    <s v="個別利率調整作業"/>
    <n v="2"/>
    <s v="查詢輸出增加欄位[合約加碼利率]"/>
    <x v="36"/>
    <d v="2021-11-04T00:00:00"/>
    <d v="2021-11-04T00:00:00"/>
  </r>
  <r>
    <x v="166"/>
    <s v="利率調整確認作業"/>
    <n v="1"/>
    <s v="執行[確認]前需控管[待處理]之問題已排除"/>
    <x v="36"/>
    <d v="2021-11-04T00:00:00"/>
    <d v="2021-11-04T00:00:00"/>
  </r>
  <r>
    <x v="167"/>
    <s v="調整員工利率作業"/>
    <m/>
    <s v="_x000a_2021/10/27 蔡珮瑜回覆：EO員工利率-一般客戶,11退休員工，不需要去判讀員工是否在職。_x000a_挑選條件待與IT確認：_x000a_1. 員工利率產品比對不符清單_x000a_2. 客戶檔客戶別與員工檔比對不符清單_x000a__x000a_/* 員工利率產品比對不符清單 */_x000a_商品代碼 ProdNo _x000a_if 商品為員工優惠貸款 &lt;&gt; EO員工利率-一般客戶,11退休員工_x000a_   if    1.身份變更       任用狀況碼 &lt;&gt; 1,4_x000a_      || 2.退休屆滿5年   任用狀況碼  = 5 _x000a_&amp; 離職/停約日 &lt; 本日減5年_x000a__x000a_/* 客戶檔客戶別與員工檔比對不符清單 */_x000a_if 任用狀況碼 &lt;&gt; 1,4,5  &amp;&amp; 客戶別 = 01,09  ==&gt; 比對_x000a_任用狀況碼 AgStatusCode 0:單位報備_x000a_1:在職_x000a_2:離職_x000a_3:解聘_x000a_4:留職停薪_x000a_5:退休離職_x000a_9:未報聘/內勤_x000a_客戶別 CustTypeCode 00:一般_x000a_01:員工_x000a_02:首購_x000a_03:關企公司_x000a_04:關企員工_x000a_05:保戶_x000a_07:員工二親等_x000a_09:新二階員工_x000a__x000a__x000a_"/>
    <x v="0"/>
    <d v="2021-11-05T00:00:00"/>
    <d v="2021-11-05T00:00:00"/>
  </r>
  <r>
    <x v="168"/>
    <s v="個人房貸調整作業"/>
    <n v="1"/>
    <s v="輸入欄位[備註]移到最後輸入"/>
    <x v="36"/>
    <d v="2021-10-21T00:00:00"/>
    <d v="2021-10-21T00:00:00"/>
  </r>
  <r>
    <x v="168"/>
    <s v="個人房貸調整作業"/>
    <n v="2"/>
    <s v="列印表單[個人房貸調整案]中補充欄位：_x000a_[調整原因/調降利率/客戶要求利率/擬調利率/_x000a_變更繳款方式/延長寬限期/縮短年期/延長年期/_x000a_備註]"/>
    <x v="36"/>
    <d v="2021-10-21T00:00:00"/>
    <d v="2021-10-21T00:00:00"/>
  </r>
  <r>
    <x v="169"/>
    <s v="繳息情形查詢             "/>
    <n v="1"/>
    <s v="三擇一輸入不輸入時顯示空白"/>
    <x v="37"/>
    <d v="2021-11-04T00:00:00"/>
    <d v="2021-11-04T00:00:00"/>
  </r>
  <r>
    <x v="169"/>
    <s v="繳息情形查詢             "/>
    <n v="2"/>
    <s v="輸出畫面利率後顯示生效日"/>
    <x v="37"/>
    <d v="2021-11-04T00:00:00"/>
    <d v="2021-11-04T00:00:00"/>
  </r>
  <r>
    <x v="170"/>
    <s v="計息明細查詢"/>
    <n v="1"/>
    <s v="三擇一輸入不輸入時顯示空白"/>
    <x v="37"/>
    <d v="2021-11-04T00:00:00"/>
    <d v="2021-11-04T00:00:00"/>
  </r>
  <r>
    <x v="170"/>
    <s v="計息明細查詢"/>
    <n v="2"/>
    <s v="畫面顯示[戶號]、[戶名]"/>
    <x v="37"/>
    <d v="2021-11-04T00:00:00"/>
    <d v="2021-11-04T00:00:00"/>
  </r>
  <r>
    <x v="76"/>
    <s v="交易內容查詢             "/>
    <n v="1"/>
    <s v="計息起日、計息迄日日期錯誤"/>
    <x v="37"/>
    <d v="2021-11-10T00:00:00"/>
    <d v="2021-11-10T00:00:00"/>
  </r>
  <r>
    <x v="171"/>
    <s v="清償作業                                "/>
    <n v="1"/>
    <s v="[疑似洗錢交易合理性維護]改為[疑似洗錢交易訪談記錄維護]連動L8204"/>
    <x v="37"/>
    <d v="2021-11-04T00:00:00"/>
    <d v="2021-11-04T00:00:00"/>
  </r>
  <r>
    <x v="172"/>
    <s v="ID所有人案件關係查詢"/>
    <n v="1"/>
    <s v="新增交易,以ID查詢&quot;ID所有人&quot;與所有案件關係資料"/>
    <x v="38"/>
    <d v="2021-12-01T00:00:00"/>
    <d v="2021-12-01T00:00:00"/>
  </r>
  <r>
    <x v="173"/>
    <s v="結清客戶申請個人資料控管維護"/>
    <n v="1"/>
    <s v="[功能]查詢時,需顯示[建立者]員編及姓名"/>
    <x v="38"/>
    <d v="2021-10-25T00:00:00"/>
    <d v="2021-10-25T00:00:00"/>
  </r>
  <r>
    <x v="173"/>
    <s v="結清客戶申請個人資料控管維護"/>
    <n v="2"/>
    <s v="[功能]新增時，需主管授權"/>
    <x v="38"/>
    <d v="2021-10-25T00:00:00"/>
    <d v="2021-10-25T00:00:00"/>
  </r>
  <r>
    <x v="173"/>
    <s v="結清客戶申請個人資料控管維護"/>
    <n v="3"/>
    <s v="增加解除功能，須註明解除原因"/>
    <x v="38"/>
    <d v="2021-11-02T00:00:00"/>
    <d v="2021-11-02T00:00:00"/>
  </r>
  <r>
    <x v="173"/>
    <s v="結清客戶申請個人資料控管維護"/>
    <n v="4"/>
    <s v="Eloan上送客戶資料時，若未[解除],則回覆錯誤訊息"/>
    <x v="38"/>
    <d v="2021-11-03T00:00:00"/>
    <d v="2021-11-03T00:00:00"/>
  </r>
  <r>
    <x v="173"/>
    <s v="結清客戶申請個人資料控管維護"/>
    <n v="5"/>
    <s v="帳務資料查詢:需去除ID與戶名，非帳務資料為不可查詢"/>
    <x v="38"/>
    <d v="2021-11-22T00:00:00"/>
    <d v="2021-11-22T00:00:00"/>
  </r>
  <r>
    <x v="174"/>
    <s v="擔保品重評明細資料查詢                  "/>
    <n v="1"/>
    <s v="顯示[鑑估序號]00資料，該筆資料不可做修改及刪除"/>
    <x v="38"/>
    <d v="2021-10-25T00:00:00"/>
    <d v="2021-10-25T00:00:00"/>
  </r>
  <r>
    <x v="174"/>
    <s v="擔保品重評明細資料查詢                  "/>
    <n v="2"/>
    <s v="輸出共同區增加[擔保品號碼]與[建物門牌]( ,如下圖紅框)，下方明細區移除[擔保品號碼]"/>
    <x v="38"/>
    <d v="2021-10-25T00:00:00"/>
    <d v="2021-10-25T00:00:00"/>
  </r>
  <r>
    <x v="174"/>
    <s v="擔保品重評明細資料查詢                  "/>
    <n v="3"/>
    <s v="新增按鈕連結【L2017額度與擔保品關聯】查詢"/>
    <x v="38"/>
    <d v="2021-10-25T00:00:00"/>
    <d v="2021-10-25T00:00:00"/>
  </r>
  <r>
    <x v="56"/>
    <s v="不動產擔保品資料查詢                    "/>
    <n v="1"/>
    <s v="畫面增加按鈕連結【L2039 擔保品重評明細資料查詢】"/>
    <x v="38"/>
    <d v="2021-10-25T00:00:00"/>
    <d v="2021-10-25T00:00:00"/>
  </r>
  <r>
    <x v="27"/>
    <s v="額度與擔保品關聯查詢 "/>
    <n v="1"/>
    <s v="輸出明細增加[案件編號]欄位"/>
    <x v="38"/>
    <d v="2021-10-25T00:00:00"/>
    <d v="2021-10-25T00:00:00"/>
  </r>
  <r>
    <x v="175"/>
    <s v="擔保品重評資料登錄                      "/>
    <n v="1"/>
    <s v="修改舊鑑估序號時，僅更新擔保品重評資料檔"/>
    <x v="38"/>
    <d v="2021-10-25T00:00:00"/>
    <d v="2021-10-25T00:00:00"/>
  </r>
  <r>
    <x v="175"/>
    <s v="擔保品重評資料登錄                      "/>
    <n v="2"/>
    <s v="重評原因代碼:_x000a_Eloan上送擔保品時(L2411)，若鑑價日期不同要自　　_x000a_動新增重評資料，依計件代碼mapping 原因代碼"/>
    <x v="38"/>
    <d v="2021-11-03T00:00:00"/>
    <d v="2021-11-03T00:00:00"/>
  </r>
  <r>
    <x v="88"/>
    <s v="業務關帳作業"/>
    <n v="1"/>
    <s v="關帳時列印結清戶滿5年的查詢清單"/>
    <x v="38"/>
    <d v="2021-12-03T00:00:00"/>
    <d v="2021-12-10T00:00:00"/>
  </r>
  <r>
    <x v="88"/>
    <s v="業務關帳作業"/>
    <n v="2"/>
    <s v="改為查詢交易，交易內容待確認"/>
    <x v="38"/>
    <d v="2021-12-03T00:00:00"/>
    <d v="2021-12-10T00:00:00"/>
  </r>
  <r>
    <x v="176"/>
    <s v="案件處理清單         "/>
    <n v="1"/>
    <s v="案件種類=法催,增加[到期存證信函]按鈕_x000a_2021/11/5 怡婷電聯通知：取消[到期存證信函]。"/>
    <x v="39"/>
    <d v="2021-11-11T00:00:00"/>
    <s v="取消不做"/>
  </r>
  <r>
    <x v="177"/>
    <s v="電催明細資料查詢     "/>
    <n v="1"/>
    <s v="欄位名稱[增修人員]改為[修改人員]"/>
    <x v="39"/>
    <d v="2021-10-28T00:00:00"/>
    <d v="2021-10-28T00:00:00"/>
  </r>
  <r>
    <x v="177"/>
    <s v="電催明細資料查詢     "/>
    <n v="2"/>
    <s v="輸出的共同列增加戶號與戶名"/>
    <x v="39"/>
    <d v="2021-10-28T00:00:00"/>
    <d v="2021-10-28T00:00:00"/>
  </r>
  <r>
    <x v="178"/>
    <s v="面催明細資料查詢     "/>
    <n v="1"/>
    <s v="欄位名稱[增修人員]改為[修改人員]"/>
    <x v="39"/>
    <d v="2021-10-28T00:00:00"/>
    <d v="2021-10-28T00:00:00"/>
  </r>
  <r>
    <x v="178"/>
    <s v="面催明細資料查詢     "/>
    <n v="2"/>
    <s v="輸出的共同列增加戶號與戶名"/>
    <x v="39"/>
    <d v="2021-10-28T00:00:00"/>
    <d v="2021-10-28T00:00:00"/>
  </r>
  <r>
    <x v="178"/>
    <s v="面催明細資料查詢     "/>
    <n v="3"/>
    <s v="欄位名稱[催收人員姓名]改為[法催人員]"/>
    <x v="39"/>
    <d v="2021-10-28T00:00:00"/>
    <d v="2021-10-28T00:00:00"/>
  </r>
  <r>
    <x v="179"/>
    <s v="函催明細資料查詢     "/>
    <n v="1"/>
    <s v="欄位名稱[增修人員]改為[修改人員]"/>
    <x v="39"/>
    <d v="2021-10-28T00:00:00"/>
    <d v="2021-10-28T00:00:00"/>
  </r>
  <r>
    <x v="179"/>
    <s v="函催明細資料查詢     "/>
    <n v="2"/>
    <s v="輸出的共同列增加戶號與戶名"/>
    <x v="39"/>
    <d v="2021-10-28T00:00:00"/>
    <d v="2021-10-28T00:00:00"/>
  </r>
  <r>
    <x v="180"/>
    <s v="法務進度明細資料查詢 "/>
    <n v="1"/>
    <s v="欄位名稱[增修人員]改為[修改人員]"/>
    <x v="39"/>
    <d v="2021-10-29T00:00:00"/>
    <d v="2021-10-28T00:00:00"/>
  </r>
  <r>
    <x v="180"/>
    <s v="法務進度明細資料查詢 "/>
    <n v="2"/>
    <s v="輸出的共同列增加戶號與戶名"/>
    <x v="39"/>
    <d v="2021-10-29T00:00:00"/>
    <d v="2021-10-28T00:00:00"/>
  </r>
  <r>
    <x v="180"/>
    <s v="法務進度明細資料查詢 "/>
    <n v="3"/>
    <s v="輸出欄位增加[擔保品編號]"/>
    <x v="39"/>
    <d v="2021-10-29T00:00:00"/>
    <d v="2021-10-28T00:00:00"/>
  </r>
  <r>
    <x v="181"/>
    <s v="提醒事項查詢         "/>
    <n v="1"/>
    <s v="欄位名稱[增修人員]改為[修改人員]"/>
    <x v="39"/>
    <d v="2021-10-29T00:00:00"/>
    <d v="2021-10-28T00:00:00"/>
  </r>
  <r>
    <x v="181"/>
    <s v="提醒事項查詢         "/>
    <n v="2"/>
    <s v="輸出的共同列增加戶號與戶名"/>
    <x v="39"/>
    <d v="2021-10-29T00:00:00"/>
    <d v="2021-10-28T00:00:00"/>
  </r>
  <r>
    <x v="181"/>
    <s v="提醒事項查詢         "/>
    <n v="3"/>
    <s v="刪除按鈕拿掉"/>
    <x v="39"/>
    <d v="2021-10-29T00:00:00"/>
    <d v="2021-10-28T00:00:00"/>
  </r>
  <r>
    <x v="182"/>
    <s v="電催登錄             "/>
    <n v="1"/>
    <s v="交易畫面最下面增加維護日期+維護時間,維護日期為日曆日"/>
    <x v="39"/>
    <d v="2021-11-03T00:00:00"/>
    <d v="2021-11-03T00:00:00"/>
  </r>
  <r>
    <x v="182"/>
    <s v="電催登錄             "/>
    <n v="2"/>
    <s v="刪除時需增加主管覆核"/>
    <x v="39"/>
    <d v="2021-11-03T00:00:00"/>
    <d v="2021-11-03T00:00:00"/>
  </r>
  <r>
    <x v="183"/>
    <s v="面催登錄             "/>
    <n v="1"/>
    <s v="交易畫面最下面增加維護日期+維護時間,維護日_x000a_期為日曆日"/>
    <x v="39"/>
    <d v="2021-11-11T00:00:00"/>
    <d v="2021-11-03T00:00:00"/>
  </r>
  <r>
    <x v="183"/>
    <s v="面催登錄             "/>
    <n v="2"/>
    <s v="刪除時需增加主管覆核"/>
    <x v="39"/>
    <d v="2021-11-11T00:00:00"/>
    <d v="2021-11-03T00:00:00"/>
  </r>
  <r>
    <x v="183"/>
    <s v="面催登錄             "/>
    <n v="3"/>
    <s v="新增按鈕:連結[員工資料檔查詢]L190A"/>
    <x v="39"/>
    <d v="2021-11-11T00:00:00"/>
    <d v="2021-11-03T00:00:00"/>
  </r>
  <r>
    <x v="183"/>
    <s v="面催登錄             "/>
    <n v="4"/>
    <s v="新增交易:供法催使用,L5062查詢與L5606維護[法催地區別],內容欄位類似L6074,增加電話欄位((區碼)1234-5678#分機)"/>
    <x v="39"/>
    <d v="2021-11-11T00:00:00"/>
    <d v="2021-11-03T00:00:00"/>
  </r>
  <r>
    <x v="183"/>
    <s v="面催登錄             "/>
    <n v="5"/>
    <s v="按鈕[聯徵地區別查詢]改為[法催地區別查詢]"/>
    <x v="39"/>
    <d v="2021-11-11T00:00:00"/>
    <d v="2021-11-03T00:00:00"/>
  </r>
  <r>
    <x v="184"/>
    <s v="函催登錄             "/>
    <n v="1"/>
    <s v="交易畫面最下面增加維護日期+維護時間,維護日期為日曆日"/>
    <x v="39"/>
    <d v="2021-11-03T00:00:00"/>
    <d v="2021-11-03T00:00:00"/>
  </r>
  <r>
    <x v="184"/>
    <s v="函催登錄             "/>
    <n v="2"/>
    <s v="刪除時需增加主管覆核"/>
    <x v="39"/>
    <d v="2021-11-03T00:00:00"/>
    <d v="2021-11-03T00:00:00"/>
  </r>
  <r>
    <x v="185"/>
    <s v="法務進度登錄         "/>
    <n v="1"/>
    <s v="交易畫面最下面增加維護日期+維護時間,維護日期為日曆日"/>
    <x v="39"/>
    <d v="2021-11-11T00:00:00"/>
    <d v="2021-11-04T00:00:00"/>
  </r>
  <r>
    <x v="185"/>
    <s v="法務進度登錄         "/>
    <n v="2"/>
    <s v="刪除時需增加主管覆核"/>
    <x v="39"/>
    <d v="2021-11-11T00:00:00"/>
    <d v="2021-11-04T00:00:00"/>
  </r>
  <r>
    <x v="185"/>
    <s v="法務進度登錄         "/>
    <n v="3"/>
    <s v="增加按鈕:查詢擔保品連動L2038,並於畫面顯示 [門牌號碼]"/>
    <x v="39"/>
    <d v="2021-11-11T00:00:00"/>
    <d v="2021-11-04T00:00:00"/>
  </r>
  <r>
    <x v="185"/>
    <s v="法務進度登錄         "/>
    <n v="4"/>
    <s v="若有其他戶號+額度編號為同一擔保品,則一併維護法催資料"/>
    <x v="39"/>
    <d v="2021-11-11T00:00:00"/>
    <d v="2021-11-04T00:00:00"/>
  </r>
  <r>
    <x v="186"/>
    <s v="提醒事項登錄         "/>
    <n v="1"/>
    <s v="欄位[其他記錄]長度放大為500"/>
    <x v="39"/>
    <d v="2021-11-03T00:00:00"/>
    <d v="2021-11-01T00:00:00"/>
  </r>
  <r>
    <x v="186"/>
    <s v="提醒事項登錄         "/>
    <n v="2"/>
    <s v="刪除功能拿掉"/>
    <x v="39"/>
    <d v="2021-11-03T00:00:00"/>
    <d v="2021-11-01T00:00:00"/>
  </r>
  <r>
    <x v="186"/>
    <s v="提醒事項登錄         "/>
    <n v="3"/>
    <s v="維護日期改為日曆日"/>
    <x v="39"/>
    <d v="2021-11-03T00:00:00"/>
    <d v="2021-11-01T00:00:00"/>
  </r>
  <r>
    <x v="187"/>
    <s v="催收催繳明細"/>
    <n v="1"/>
    <s v="查詢選項選全部時,產生的檔案依種類區分不同頁籤"/>
    <x v="39"/>
    <d v="2021-11-11T00:00:00"/>
    <d v="2021-10-29T00:00:00"/>
  </r>
  <r>
    <x v="188"/>
    <s v="授信審議委員會會議紀錄明細資料查詢"/>
    <n v="1"/>
    <s v="日期改為日曆日"/>
    <x v="39"/>
    <d v="2021-11-08T00:00:00"/>
    <d v="2021-11-08T00:00:00"/>
  </r>
  <r>
    <x v="188"/>
    <s v="授信審議委員會會議紀錄明細資料查詢"/>
    <n v="2"/>
    <s v="查詢結果增加[異動人員]與[異動時間]"/>
    <x v="39"/>
    <d v="2021-11-08T00:00:00"/>
    <d v="2021-11-08T00:00:00"/>
  </r>
  <r>
    <x v="188"/>
    <s v="授信審議委員會會議紀錄明細資料查詢"/>
    <n v="3"/>
    <s v="查詢結果[戶別]改為中文"/>
    <x v="39"/>
    <d v="2021-11-08T00:00:00"/>
    <d v="2021-11-08T00:00:00"/>
  </r>
  <r>
    <x v="189"/>
    <s v="授信審議委員會會議紀錄維護"/>
    <n v="1"/>
    <s v="日期改為日曆日"/>
    <x v="39"/>
    <d v="2021-11-08T00:00:00"/>
    <d v="2021-11-08T00:00:00"/>
  </r>
  <r>
    <x v="189"/>
    <s v="授信審議委員會會議紀錄維護"/>
    <n v="2"/>
    <s v="[修改]時[戶別]帶出中文"/>
    <x v="39"/>
    <d v="2021-11-08T00:00:00"/>
    <d v="2021-11-08T00:00:00"/>
  </r>
  <r>
    <x v="189"/>
    <s v="授信審議委員會會議紀錄維護"/>
    <n v="3"/>
    <s v="[戶別]改使用新增專用代碼檔供使用者自行新增"/>
    <x v="39"/>
    <d v="2021-11-08T00:00:00"/>
    <d v="2021-11-08T00:00:00"/>
  </r>
  <r>
    <x v="190"/>
    <s v="覆審案件明細檔查詢"/>
    <n v="1"/>
    <s v="若為已做過覆審之案件，[覆審年月]需存入最近_x000a_一次覆審之年月"/>
    <x v="39"/>
    <d v="2021-11-10T00:00:00"/>
    <d v="2021-11-10T00:00:00"/>
  </r>
  <r>
    <x v="190"/>
    <s v="覆審案件明細檔查詢"/>
    <n v="2"/>
    <s v="查詢條件增加[3.依追蹤年月]、[4.未完成追蹤]"/>
    <x v="39"/>
    <d v="2021-11-10T00:00:00"/>
    <d v="2021-11-10T00:00:00"/>
  </r>
  <r>
    <x v="190"/>
    <s v="覆審案件明細檔查詢"/>
    <n v="3"/>
    <s v="查詢結果增加[指定覆審記號]"/>
    <x v="39"/>
    <d v="2021-11-10T00:00:00"/>
    <d v="2021-11-10T00:00:00"/>
  </r>
  <r>
    <x v="191"/>
    <s v="覆審案件明細檔維護"/>
    <n v="1"/>
    <s v="若[覆審記號]為空白，則[覆審年月]為000/00"/>
    <x v="39"/>
    <d v="2021-11-10T00:00:00"/>
    <d v="2021-11-10T00:00:00"/>
  </r>
  <r>
    <x v="191"/>
    <s v="覆審案件明細檔維護"/>
    <n v="2"/>
    <s v="若[追蹤記號]為[2.要追蹤]時，增加一輸入欄位[追蹤年月]"/>
    <x v="39"/>
    <d v="2021-11-10T00:00:00"/>
    <d v="2021-11-10T00:00:00"/>
  </r>
  <r>
    <x v="192"/>
    <s v="疑似洗錢樣態條件設定"/>
    <n v="1"/>
    <s v="洗錢樣態三,增加欄位[統計天數]"/>
    <x v="40"/>
    <d v="2021-11-15T00:00:00"/>
    <d v="2021-11-15T00:00:00"/>
  </r>
  <r>
    <x v="193"/>
    <s v="疑似洗錢樣態資料產生"/>
    <n v="1"/>
    <s v="洗錢樣態三,增加欄位[統計天數]"/>
    <x v="40"/>
    <d v="2021-12-03T00:00:00"/>
    <d v="2021-12-10T00:00:00"/>
  </r>
  <r>
    <x v="194"/>
    <s v="疑似洗錢交易合理性維護"/>
    <n v="1"/>
    <s v="經辦交易送出不須主管授權,唯獨刪除時需要"/>
    <x v="40"/>
    <d v="2021-11-15T00:00:00"/>
    <d v="2021-11-15T00:00:00"/>
  </r>
  <r>
    <x v="194"/>
    <s v="疑似洗錢交易合理性維護"/>
    <n v="2"/>
    <s v="主管查詢時刪除時,刪除按鈕移除"/>
    <x v="40"/>
    <d v="2021-11-15T00:00:00"/>
    <d v="2021-11-15T00:00:00"/>
  </r>
  <r>
    <x v="194"/>
    <s v="疑似洗錢交易合理性維護"/>
    <n v="3"/>
    <s v="經辦第二次修改合理性,主管需重新覆核"/>
    <x v="40"/>
    <d v="2021-11-15T00:00:00"/>
    <d v="2021-11-15T00:00:00"/>
  </r>
  <r>
    <x v="194"/>
    <s v="疑似洗錢交易合理性維護"/>
    <n v="4"/>
    <s v="延遲交易日期判斷依主管同意日期做判斷"/>
    <x v="40"/>
    <d v="2021-11-15T00:00:00"/>
    <d v="2021-11-15T00:00:00"/>
  </r>
  <r>
    <x v="194"/>
    <s v="疑似洗錢交易合理性維護"/>
    <n v="5"/>
    <s v="提交放行交易"/>
    <x v="40"/>
    <d v="2021-11-15T00:00:00"/>
    <d v="2021-11-15T00:00:00"/>
  </r>
  <r>
    <x v="194"/>
    <s v="疑似洗錢交易合理性維護"/>
    <n v="6"/>
    <s v="增加主管[覆核日期]欄位,為主管第二次覆核時顯示"/>
    <x v="40"/>
    <d v="2021-11-15T00:00:00"/>
    <d v="2021-11-15T00:00:00"/>
  </r>
  <r>
    <x v="194"/>
    <s v="疑似洗錢交易合理性維護"/>
    <n v="7"/>
    <s v="增加洗錢合理性、延遲交易報表(含Excel)"/>
    <x v="40"/>
    <d v="2021-11-15T00:00:00"/>
    <d v="2021-11-15T00:00:00"/>
  </r>
  <r>
    <x v="145"/>
    <s v="疑似洗錢交易訪談記錄維護"/>
    <n v="1"/>
    <s v="刪除交易需主管授權"/>
    <x v="40"/>
    <d v="2021-11-15T00:00:00"/>
    <d v="2021-11-15T00:00:00"/>
  </r>
  <r>
    <x v="145"/>
    <s v="疑似洗錢交易訪談記錄維護"/>
    <n v="2"/>
    <s v="增加洗錢交易訪談報表"/>
    <x v="40"/>
    <d v="2021-11-15T00:00:00"/>
    <d v="2021-11-15T00:00:00"/>
  </r>
  <r>
    <x v="195"/>
    <s v="疑似洗錢交易訪談記錄查詢"/>
    <n v="1"/>
    <s v="新增查詢條件戶號、戶名"/>
    <x v="40"/>
    <d v="2021-11-15T00:00:00"/>
    <d v="2021-11-15T00:00:00"/>
  </r>
  <r>
    <x v="196"/>
    <s v="疑似洗錢資料變更查詢"/>
    <n v="1"/>
    <s v="查詢條件,移除[額度、撥款序號]欄位"/>
    <x v="40"/>
    <d v="2021-11-15T00:00:00"/>
    <d v="2021-11-15T00:00:00"/>
  </r>
  <r>
    <x v="196"/>
    <s v="疑似洗錢資料變更查詢"/>
    <n v="2"/>
    <s v="查詢結果移除[戶號、交易代號、會計日期、]欄位,如下圖所示"/>
    <x v="40"/>
    <d v="2021-11-15T00:00:00"/>
    <d v="2021-11-15T00:00:00"/>
  </r>
  <r>
    <x v="197"/>
    <s v="產生國稅局申報檢核檔"/>
    <n v="1"/>
    <s v="每年年底終日執行批次,產生[每年房屋擔保借款繳息工作檔]資料流程圖"/>
    <x v="41"/>
    <d v="2021-12-03T00:00:00"/>
    <d v="2021-12-03T00:00:00"/>
  </r>
  <r>
    <x v="197"/>
    <s v="產生國稅局申報檢核檔"/>
    <n v="2"/>
    <s v="批次執行結果通知方法,待小潘講共用時說明"/>
    <x v="41"/>
    <d v="2021-12-03T00:00:00"/>
    <d v="2021-12-03T00:00:00"/>
  </r>
  <r>
    <x v="197"/>
    <s v="產生國稅局申報檢核檔"/>
    <n v="3"/>
    <s v="檢核檔內容需依據109年舊資料比對正確性"/>
    <x v="41"/>
    <d v="2021-12-03T00:00:00"/>
    <d v="2021-12-03T00:00:00"/>
  </r>
  <r>
    <x v="198"/>
    <s v="國稅局申報檔查詢"/>
    <n v="1"/>
    <s v="增加搜尋條件,依據檢核檔r1~r8、r10~r12,檢核格式,與資金用途別"/>
    <x v="41"/>
    <d v="2021-12-03T00:00:00"/>
    <d v="2021-12-03T00:00:00"/>
  </r>
  <r>
    <x v="199"/>
    <s v="國稅局申報檔維護"/>
    <n v="1"/>
    <s v="修改資料時,可修改欄位與資料參考AS400畫面"/>
    <x v="41"/>
    <d v="2021-12-03T00:00:00"/>
    <d v="2021-12-03T00:00:00"/>
  </r>
  <r>
    <x v="200"/>
    <s v="產生國稅局申報媒體檔"/>
    <n v="1"/>
    <s v="媒體檔格式不同,需重新改寫"/>
    <x v="41"/>
    <d v="2021-12-03T00:00:00"/>
    <d v="2021-12-03T00:00:00"/>
  </r>
  <r>
    <x v="200"/>
    <s v="產生國稅局申報媒體檔"/>
    <n v="2"/>
    <s v="增加產出上傳官網之檔案"/>
    <x v="41"/>
    <d v="2021-12-03T00:00:00"/>
    <d v="2021-12-03T00:00:00"/>
  </r>
  <r>
    <x v="201"/>
    <s v="產製公務人員報送資料"/>
    <n v="1"/>
    <s v="產出資料格式錯誤,依照[20210608_保險公司資料交換說明書]重新改寫"/>
    <x v="41"/>
    <d v="2021-12-01T00:00:00"/>
    <d v="2021-12-01T00:00:00"/>
  </r>
  <r>
    <x v="201"/>
    <s v="產製公務人員報送資料"/>
    <n v="2"/>
    <s v="產出資料筆數邏輯修改"/>
    <x v="41"/>
    <d v="2021-12-01T00:00:00"/>
    <d v="2021-12-01T00:00:00"/>
  </r>
  <r>
    <x v="202"/>
    <s v="資金運用概況維護                      "/>
    <n v="1"/>
    <s v="[可放款金額]欄位,修改時需重新自動計算"/>
    <x v="42"/>
    <d v="2021-11-18T00:00:00"/>
    <d v="2021-11-18T00:00:00"/>
  </r>
  <r>
    <x v="203"/>
    <s v="檔案借閱明細資料查詢                  "/>
    <n v="1"/>
    <s v="查詢條件,[借閱日期]欄位,預設為日曆日"/>
    <x v="42"/>
    <d v="2021-11-18T00:00:00"/>
    <d v="2021-11-18T00:00:00"/>
  </r>
  <r>
    <x v="203"/>
    <s v="檔案借閱明細資料查詢                  "/>
    <n v="2"/>
    <s v="查詢結果,[歸還日期]欄位,若等於0,顯示空白"/>
    <x v="42"/>
    <d v="2021-11-18T00:00:00"/>
    <d v="2021-11-18T00:00:00"/>
  </r>
  <r>
    <x v="204"/>
    <s v="檔案借閱維護                          "/>
    <n v="1"/>
    <s v="[借閱日期]、[歸還日期]欄位,預設為日曆日"/>
    <x v="42"/>
    <d v="2021-11-18T00:00:00"/>
    <d v="2021-11-18T00:00:00"/>
  </r>
  <r>
    <x v="204"/>
    <s v="檔案借閱維護                          "/>
    <n v="2"/>
    <s v="申請與歸還時,供經辦與審核人員夾檔上傳"/>
    <x v="42"/>
    <d v="2021-12-05T00:00:00"/>
    <d v="2021-12-10T00:00:00"/>
  </r>
  <r>
    <x v="205"/>
    <s v="檔案借閱報表作業(列印)                "/>
    <n v="1"/>
    <s v="列印功能,顯示浮水印"/>
    <x v="42"/>
    <d v="2021-11-18T00:00:00"/>
    <d v="2021-11-18T00:00:00"/>
  </r>
  <r>
    <x v="205"/>
    <s v="檔案借閱報表作業(列印)                "/>
    <n v="2"/>
    <s v="查詢報表結果顯示增加[戶名]、[經辦姓名]"/>
    <x v="42"/>
    <d v="2021-11-18T00:00:00"/>
    <d v="2021-11-18T00:00:00"/>
  </r>
  <r>
    <x v="205"/>
    <s v="檔案借閱報表作業(列印)                "/>
    <n v="3"/>
    <s v="查詢報表結果顯示增加[借閱日期]起訖日"/>
    <x v="42"/>
    <d v="2021-11-18T00:00:00"/>
    <d v="2021-11-18T00:00:00"/>
  </r>
  <r>
    <x v="205"/>
    <s v="檔案借閱報表作業(列印)                "/>
    <n v="4"/>
    <s v="查詢條件,[報表種類]=[4,全部]時,無資料之報表,仍需顯示報表顯示無資料"/>
    <x v="42"/>
    <d v="2021-11-18T00:00:00"/>
    <d v="2021-11-18T00:00:00"/>
  </r>
  <r>
    <x v="205"/>
    <s v="檔案借閱報表作業(列印)                "/>
    <n v="5"/>
    <s v="未歸還月報表,依[用途]分開顯示"/>
    <x v="42"/>
    <d v="2021-11-18T00:00:00"/>
    <d v="2021-11-18T00:00:00"/>
  </r>
  <r>
    <x v="205"/>
    <s v="檔案借閱報表作業(列印)                "/>
    <n v="6"/>
    <s v="未歸還月報表,增加借閱日期欄位"/>
    <x v="42"/>
    <d v="2021-11-18T00:00:00"/>
    <d v="2021-11-18T00:00:00"/>
  </r>
  <r>
    <x v="206"/>
    <s v="放行交易"/>
    <n v="1"/>
    <s v="查詢結果,[經辦]欄位,代號改為顯示經辦姓名"/>
    <x v="42"/>
    <d v="2021-12-03T00:00:00"/>
    <d v="2021-12-03T00:00:00"/>
  </r>
  <r>
    <x v="207"/>
    <s v="領取清償證明作業"/>
    <n v="1"/>
    <s v="領取清償證明時,增加[用印申請書]夾檔上傳功能"/>
    <x v="42"/>
    <d v="2021-12-03T00:00:00"/>
    <d v="2021-12-09T00:00:00"/>
  </r>
  <r>
    <x v="208"/>
    <s v="(574)更生款項統一收付結案通知資料"/>
    <n v="1"/>
    <s v="電話提示部分改為紅字"/>
    <x v="43"/>
    <d v="2021-12-10T00:00:00"/>
    <d v="2021-12-10T00:00:00"/>
  </r>
  <r>
    <x v="209"/>
    <s v="JCIC檔案匯出作業"/>
    <n v="1"/>
    <s v="若[異動]狀態只能選擇異動，則[交易代碼]自動改值為[C.異動]"/>
    <x v="43"/>
    <d v="2021-12-10T00:00:00"/>
    <d v="2021-12-10T00:00:00"/>
  </r>
  <r>
    <x v="209"/>
    <s v="JCIC檔案匯出作業"/>
    <n v="2"/>
    <s v="增加[地址]欄位限輸入文數字檢核"/>
    <x v="43"/>
    <d v="2021-12-10T00:00:00"/>
    <d v="2021-12-10T00:00:00"/>
  </r>
  <r>
    <x v="209"/>
    <s v="JCIC檔案匯出作業"/>
    <n v="3"/>
    <s v="[帳號]欄位不需自動轉大寫"/>
    <x v="43"/>
    <d v="2021-12-10T00:00:00"/>
    <d v="2021-12-10T00:00:00"/>
  </r>
  <r>
    <x v="209"/>
    <s v="JCIC檔案匯出作業"/>
    <n v="4"/>
    <s v="檔案名稱依照[109年度消費者債務清理條例]調整"/>
    <x v="43"/>
    <d v="2021-12-10T00:00:00"/>
    <d v="2021-12-10T00:00:00"/>
  </r>
  <r>
    <x v="210"/>
    <s v="違約損失率登錄"/>
    <m/>
    <s v="1.畫面日期預設為日曆日_x000a_2.新增資料已存在的錯誤訊息調整敘述_x000a_3.啟用記號確認是否使用:使用在IFRS9欄位清單8_x000a_  的違約損失率欄位,跑表當月已生效且已啟用資料_x000a_  撈最新生效的一筆_x000a_4.移除刪除功能"/>
    <x v="44"/>
    <d v="2021-12-10T00:00:00"/>
    <d v="2021-12-06T00:00:00"/>
  </r>
  <r>
    <x v="211"/>
    <s v="商品分類資料維護"/>
    <m/>
    <s v="1.移除刪除功能_x000a_2.欄位名稱變數調整,Ifrs開頭變數需改為Ifrs9_x000a_3.IFRS階梯商品別代碼=空白時改以N代替"/>
    <x v="44"/>
    <d v="2021-12-10T00:00:00"/>
    <d v="2021-12-06T00:00:00"/>
  </r>
  <r>
    <x v="212"/>
    <s v="特殊客觀減損狀況維護"/>
    <m/>
    <s v="1.比照AS400調整欄位,[原因說明]欄位(長度_x000a_  62),[原因代碼]=[01個別評價;99其他],註記碼_x000a_  =[1重整;2破產;9其他],[客觀減損條件]=[1~5]_x000a_2.中文姓名改為戶名_x000a_3.移除刪除功能,確認刪除功能是否留紀錄"/>
    <x v="44"/>
    <d v="2021-12-10T00:00:00"/>
    <d v="2021-12-06T00:00:00"/>
  </r>
  <r>
    <x v="213"/>
    <s v="特殊客觀減損狀況查詢"/>
    <m/>
    <s v="中文姓名改為戶名"/>
    <x v="44"/>
    <d v="2021-12-03T00:00:00"/>
    <d v="2021-12-03T00:00:00"/>
  </r>
  <r>
    <x v="214"/>
    <s v="利息法帳面資料上傳作業"/>
    <m/>
    <s v="確認執行完交易畫面最後一行的訊息是否為多餘的:刪除此訊息列"/>
    <x v="44"/>
    <d v="2021-12-01T00:00:00"/>
    <d v="2021-12-01T00:00:00"/>
  </r>
  <r>
    <x v="215"/>
    <s v="３４號公報欄位清單產生作業"/>
    <m/>
    <s v="LC009產檔後的排序確認"/>
    <x v="44"/>
    <d v="2021-11-30T00:00:00"/>
    <d v="2021-11-30T00:00:00"/>
  </r>
  <r>
    <x v="216"/>
    <s v="ＩＦＲＳ９欄位清單產生作業"/>
    <m/>
    <s v="媒體檔無資料,檔案內容改在有月報環境的測試套展示"/>
    <x v="44"/>
    <d v="2021-12-31T00:00:00"/>
    <d v="2021-12-14T00:00:00"/>
  </r>
  <r>
    <x v="176"/>
    <s v="案件處理清單"/>
    <m/>
    <s v="延遲繳款通知函改產TXT檔,增加顯示最近6筆繳款明細資料"/>
    <x v="39"/>
    <d v="2021-12-10T00:00:00"/>
    <d v="2021-12-08T00:00:00"/>
  </r>
  <r>
    <x v="151"/>
    <s v="產生銀扣扣款失敗"/>
    <n v="2"/>
    <s v="銀扣火險成功期款失敗通知 : 存款單列印"/>
    <x v="32"/>
    <d v="2021-12-24T00:00:00"/>
    <m/>
  </r>
  <r>
    <x v="101"/>
    <s v="火險通知作業 "/>
    <n v="1"/>
    <s v="火險及地震險保費_繳款通知單 : 寄出email的附檔以ID加密"/>
    <x v="20"/>
    <d v="2021-12-24T00:00:00"/>
    <d v="2021-12-22T00:00:00"/>
  </r>
  <r>
    <x v="217"/>
    <s v="產生JCIC日報媒體檔"/>
    <m/>
    <s v="1.輸入欄位增加日期起訖條件,預設值為會計日_x000a_2.修改聯絡人為鄧雪美02-23895858#7279"/>
    <x v="45"/>
    <d v="2021-11-29T00:00:00"/>
    <d v="2021-11-29T00:00:00"/>
  </r>
  <r>
    <x v="218"/>
    <s v="產生JCIC月報媒體檔"/>
    <m/>
    <s v="1.調整輸出結果畫面,寬度加大_x000a_2.修改聯絡人為鄧雪美02-23895858#7279_x000a_異動聯絡人資訊需修改之程式清單:由單一之程式控制L8ConstantEum.java"/>
    <x v="45"/>
    <d v="2021-11-29T00:00:00"/>
    <d v="2021-11-29T00:00:00"/>
  </r>
  <r>
    <x v="171"/>
    <s v="清償作業"/>
    <m/>
    <s v="補領時寫入待清償違約金，匯款轉帳整批入帳時自動收取"/>
    <x v="40"/>
    <m/>
    <d v="2021-12-13T00:00:00"/>
  </r>
  <r>
    <x v="207"/>
    <s v="領取清償證明作業"/>
    <m/>
    <s v="領取清償證明自動連LC009報表及製檔"/>
    <x v="40"/>
    <m/>
    <d v="2021-12-13T00:00:00"/>
  </r>
  <r>
    <x v="219"/>
    <s v="擔保品他項權利登錄"/>
    <n v="1"/>
    <s v="L2418 他項權利登錄 畫面討論"/>
    <x v="40"/>
    <m/>
    <d v="2021-12-13T00:00:00"/>
  </r>
  <r>
    <x v="219"/>
    <s v="擔保品他項權利登錄"/>
    <n v="2"/>
    <s v="L2418縣市地政收件字改下拉選單"/>
    <x v="40"/>
    <m/>
    <d v="2021-12-13T00:00:00"/>
  </r>
  <r>
    <x v="220"/>
    <s v="清償作業維護"/>
    <m/>
    <s v="未結案時,可修改登錄資料"/>
    <x v="40"/>
    <m/>
    <d v="2021-12-13T00:00:00"/>
  </r>
  <r>
    <x v="221"/>
    <s v="清償作業明細資料查詢"/>
    <m/>
    <s v="新增【歷程】按鈕 連動內容變更查詢"/>
    <x v="40"/>
    <m/>
    <d v="2021-12-13T00:00:00"/>
  </r>
  <r>
    <x v="222"/>
    <s v="MU1人員名冊報送"/>
    <n v="1"/>
    <s v="[分行代號]改為下拉選單式輸入"/>
    <x v="45"/>
    <d v="2021-12-10T00:00:00"/>
    <d v="2021-12-10T00:00:00"/>
  </r>
  <r>
    <x v="222"/>
    <s v="MU1人員名冊報送"/>
    <n v="2"/>
    <s v="代碼檔增加代碼(MuSub)"/>
    <x v="45"/>
    <d v="2021-12-10T00:00:00"/>
    <d v="2021-12-10T00:00:00"/>
  </r>
  <r>
    <x v="222"/>
    <s v="MU1人員名冊報送"/>
    <n v="3"/>
    <s v="[修改]時，[資料日期]欄位須改為可修改"/>
    <x v="45"/>
    <d v="2021-12-10T00:00:00"/>
    <d v="2021-12-10T00:00:00"/>
  </r>
  <r>
    <x v="223"/>
    <s v="聯徵產品檔案匯出作業"/>
    <n v="1"/>
    <s v="增加輸入欄位[功能]"/>
    <x v="45"/>
    <d v="2021-12-10T00:00:00"/>
    <d v="2021-12-10T00:00:00"/>
  </r>
  <r>
    <x v="223"/>
    <s v="聯徵產品檔案匯出作業"/>
    <n v="2"/>
    <s v="報送日期改為固定顯示今日系統日，如下圖"/>
    <x v="45"/>
    <d v="2021-12-10T00:00:00"/>
    <d v="2021-12-10T00:00:00"/>
  </r>
  <r>
    <x v="224"/>
    <s v="MU1人員名冊查詢"/>
    <n v="1"/>
    <s v="增加查詢結果欄位[轉JCIC文字檔日期]、[上次_x000a_更新人員]、[上次更新日期]"/>
    <x v="45"/>
    <d v="2021-12-10T00:00:00"/>
    <d v="2021-12-10T00:00:00"/>
  </r>
  <r>
    <x v="224"/>
    <s v="MU1人員名冊查詢"/>
    <n v="2"/>
    <s v="[總行]、[分行]查詢結果增加顯示中文"/>
    <x v="45"/>
    <d v="2021-12-10T00:00:00"/>
    <d v="2021-12-10T00:00:00"/>
  </r>
  <r>
    <x v="217"/>
    <s v="產生JCIC日報媒體檔"/>
    <n v="1"/>
    <s v="輸入欄位增加日期起訖條件,預設值為上一會計日"/>
    <x v="45"/>
    <d v="2021-11-29T00:00:00"/>
    <d v="2021-12-14T00:00:00"/>
  </r>
  <r>
    <x v="225"/>
    <s v="補貼息作業"/>
    <n v="1"/>
    <s v="終止名冊工作檔輸出母版再確認"/>
    <x v="46"/>
    <d v="2021-11-24T00:00:00"/>
    <d v="2021-11-24T00:00:00"/>
  </r>
  <r>
    <x v="225"/>
    <s v="補貼息作業"/>
    <n v="2"/>
    <s v="核撥清單工作檔檔輸出母版再確認  照原樣張輸出"/>
    <x v="46"/>
    <d v="2021-11-24T00:00:00"/>
    <d v="2021-11-24T00:00:00"/>
  </r>
  <r>
    <x v="93"/>
    <s v="暫收款轉帳"/>
    <n v="1"/>
    <s v="新增 [區隔帳冊]欄位(URS規格補說明) 作業項目為16.[3200億專案]可選，其他項目固定為傳統帳冊"/>
    <x v="46"/>
    <m/>
    <d v="2021-12-13T00:00:00"/>
  </r>
  <r>
    <x v="19"/>
    <s v="房貸介紹人業績處理清單"/>
    <n v="1"/>
    <s v="交易整併入【L5051 房貸介紹人業績維護查詢】"/>
    <x v="47"/>
    <d v="2021-12-17T00:00:00"/>
    <d v="2021-12-17T00:00:00"/>
  </r>
  <r>
    <x v="226"/>
    <s v="房貸介紹人業績維護查詢"/>
    <n v="1"/>
    <s v="增加查詢條件「介紹人」。【廠商註】已調整完畢"/>
    <x v="47"/>
    <d v="2021-12-17T00:00:00"/>
    <d v="2021-12-17T00:00:00"/>
  </r>
  <r>
    <x v="227"/>
    <s v="介紹人業績案件維護"/>
    <n v="1"/>
    <s v="改以「戶號+額度+撥款」調整業績案件資料。【廠商註】已調整完畢"/>
    <x v="47"/>
    <d v="2021-12-17T00:00:00"/>
    <d v="2021-12-17T00:00:00"/>
  </r>
  <r>
    <x v="227"/>
    <s v="介紹人業績案件維護"/>
    <n v="2"/>
    <s v="修改及刪除均要留軌跡。【廠商註】已調整完畢"/>
    <x v="47"/>
    <d v="2021-12-17T00:00:00"/>
    <d v="2021-12-17T00:00:00"/>
  </r>
  <r>
    <x v="21"/>
    <s v="三階放款明細統計"/>
    <n v="1"/>
    <s v="調整查詢條件,比照【L5051 房貸介紹人業績維護查詢】。【廠商註】已調整完畢"/>
    <x v="47"/>
    <d v="2021-12-17T00:00:00"/>
    <d v="2021-12-17T00:00:00"/>
  </r>
  <r>
    <x v="21"/>
    <s v="三階放款明細統計"/>
    <n v="2"/>
    <s v="輸出結果「換算業績」、「業務報酬」、「業績金額」,改以「戶號+額度+撥款」分別明細顯示,不再以「戶號+額度」合計顯示"/>
    <x v="47"/>
    <d v="2021-12-17T00:00:00"/>
    <d v="2021-12-17T00:00:00"/>
  </r>
  <r>
    <x v="21"/>
    <s v="三階放款明細統計"/>
    <n v="3"/>
    <s v="輸出結果「戶名」偶數字改以*取代"/>
    <x v="47"/>
    <d v="2021-12-17T00:00:00"/>
    <d v="2021-12-17T00:00:00"/>
  </r>
  <r>
    <x v="20"/>
    <s v="房貸專員業績處理清單"/>
    <n v="1"/>
    <s v="交易整併入【L5052 房貸專員業績維護查詢】"/>
    <x v="47"/>
    <d v="2021-12-17T00:00:00"/>
    <d v="2021-12-17T00:00:00"/>
  </r>
  <r>
    <x v="228"/>
    <s v="房貸專員業績維護查詢"/>
    <n v="1"/>
    <s v="增加查詢條件「房貸專員」【廠商註】已調整完畢"/>
    <x v="47"/>
    <d v="2021-12-17T00:00:00"/>
    <d v="2021-12-17T00:00:00"/>
  </r>
  <r>
    <x v="229"/>
    <s v="房貸專員業績案件維護"/>
    <n v="1"/>
    <s v="修改及刪除均要留軌跡。【廠商註】已調整完畢,"/>
    <x v="47"/>
    <d v="2021-12-17T00:00:00"/>
    <d v="2021-12-17T00:00:00"/>
  </r>
  <r>
    <x v="22"/>
    <s v="放款專員明細統計"/>
    <n v="1"/>
    <s v="調整查詢條件,比照【L5052 房貸專員業績維護查詢】。【廠商註】已調整完畢"/>
    <x v="47"/>
    <d v="2021-12-17T00:00:00"/>
    <d v="2021-12-17T00:00:00"/>
  </r>
  <r>
    <x v="22"/>
    <s v="放款專員明細統計"/>
    <n v="2"/>
    <s v="輸出結果「戶名」偶數字改以*取代。【廠商註】已調整完畢"/>
    <x v="47"/>
    <d v="2021-12-17T00:00:00"/>
    <d v="2021-12-17T00:00:00"/>
  </r>
  <r>
    <x v="45"/>
    <m/>
    <n v="1"/>
    <s v="增加待處理(待放行、待提交、待審核)資訊, 【廠商註】已調整完畢"/>
    <x v="48"/>
    <d v="2021-12-17T00:00:00"/>
    <d v="2021-12-17T00:00:00"/>
  </r>
  <r>
    <x v="230"/>
    <s v="表單補印"/>
    <n v="1"/>
    <s v="交易整併入【LC011 交易明細查詢】【廠商註】已調整完畢"/>
    <x v="48"/>
    <d v="2021-12-17T00:00:00"/>
    <d v="2021-12-17T00:00:00"/>
  </r>
  <r>
    <x v="231"/>
    <s v="使用者資料查詢"/>
    <n v="1"/>
    <s v="增加查詢條件,如下_x000a_(1).課組別_x000a_(2).權限等級:0.全部/1.主管/3.經辦"/>
    <x v="49"/>
    <d v="2021-12-16T00:00:00"/>
    <d v="2021-12-16T00:00:00"/>
  </r>
  <r>
    <x v="231"/>
    <s v="使用者資料查詢"/>
    <n v="2"/>
    <s v="增加輸入欄位:修改日期,修改人員。"/>
    <x v="49"/>
    <d v="2021-12-16T00:00:00"/>
    <d v="2021-12-16T00:00:00"/>
  </r>
  <r>
    <x v="126"/>
    <s v="使用者資料維護"/>
    <n v="1"/>
    <s v="[授權等級]改為[主管等級],限[權限等級]=1.主管時輸入,限輸入1~5"/>
    <x v="49"/>
    <d v="2021-12-16T00:00:00"/>
    <d v="2021-12-16T00:00:00"/>
  </r>
  <r>
    <x v="126"/>
    <s v="使用者資料維護"/>
    <n v="2"/>
    <s v="移除[最後交易序號]欄位"/>
    <x v="49"/>
    <d v="2021-12-16T00:00:00"/>
    <d v="2021-12-16T00:00:00"/>
  </r>
  <r>
    <x v="126"/>
    <s v="使用者資料維護"/>
    <n v="3"/>
    <s v="增加[上次登入日期]及[修改人員]及[修改日期]輸出欄位"/>
    <x v="49"/>
    <d v="2021-12-16T00:00:00"/>
    <d v="2021-12-16T00:00:00"/>
  </r>
  <r>
    <x v="232"/>
    <s v="報表代號對照檔維護"/>
    <n v="1"/>
    <s v="[寄送記號]=2.依設定優先順序時, [書面寄送]、[簡訊寄送]及[EMAIL寄送]至少一項[優先順序]值不得為0"/>
    <x v="49"/>
    <d v="2021-12-16T00:00:00"/>
    <d v="2021-12-16T00:00:00"/>
  </r>
  <r>
    <x v="233"/>
    <s v="主管授權紀錄查詢"/>
    <n v="1"/>
    <s v="輸入條件調整_x000a_(1).[會計日期]改[會計日期]區間_x000a_(2).增加[交易日期]區間"/>
    <x v="49"/>
    <d v="2021-12-16T00:00:00"/>
    <d v="2021-12-16T00:00:00"/>
  </r>
  <r>
    <x v="234"/>
    <s v="資料變更交易查詢"/>
    <n v="1"/>
    <s v="輸入條件調整_x000a_(1).增加[交易日期]區間"/>
    <x v="49"/>
    <d v="2021-12-02T00:00:00"/>
    <d v="2021-12-02T00:00:00"/>
  </r>
  <r>
    <x v="235"/>
    <s v="權限群組維護"/>
    <n v="1"/>
    <s v="依使用者的交易權限掛選單"/>
    <x v="49"/>
    <d v="2021-12-02T00:00:00"/>
    <d v="2021-12-02T00:00:00"/>
  </r>
  <r>
    <x v="235"/>
    <s v="權限群組維護"/>
    <n v="2"/>
    <s v="權限細項異動需記錄LOG"/>
    <x v="49"/>
    <d v="2022-01-31T00:00:00"/>
    <m/>
  </r>
  <r>
    <x v="236"/>
    <s v="使用者交易權限查詢"/>
    <n v="1"/>
    <s v="新增交易"/>
    <x v="49"/>
    <d v="2021-12-02T00:00:00"/>
    <d v="2021-12-02T00:00:00"/>
  </r>
  <r>
    <x v="236"/>
    <s v="使用者交易權限查詢"/>
    <n v="2"/>
    <s v="查詢全部或指定使用者的交易權限"/>
    <x v="49"/>
    <d v="2021-12-02T00:00:00"/>
    <d v="2021-12-02T00:00:00"/>
  </r>
  <r>
    <x v="237"/>
    <s v="報表查詢作業申請"/>
    <n v="1"/>
    <s v="調整為不需主管授權"/>
    <x v="49"/>
    <d v="2021-12-16T00:00:00"/>
    <d v="2021-12-16T00:00:00"/>
  </r>
  <r>
    <x v="238"/>
    <s v="代理人設定"/>
    <n v="1"/>
    <s v="需主管放行"/>
    <x v="49"/>
    <d v="2021-12-16T00:00:00"/>
    <d v="2021-12-16T00:00:00"/>
  </r>
  <r>
    <x v="238"/>
    <s v="代理人設定"/>
    <n v="2"/>
    <s v="經辦限同單位、同課組別經辦代理"/>
    <x v="49"/>
    <d v="2021-12-16T00:00:00"/>
    <d v="2021-12-16T00:00:00"/>
  </r>
  <r>
    <x v="238"/>
    <s v="代理人設定"/>
    <n v="3"/>
    <s v="主管限同單位主管代理"/>
    <x v="49"/>
    <d v="2021-12-16T00:00:00"/>
    <d v="2021-12-16T00:00:00"/>
  </r>
  <r>
    <x v="239"/>
    <s v="AML定審通知處理"/>
    <n v="1"/>
    <s v="於交易成功,增加上傳附件機制"/>
    <x v="50"/>
    <d v="2021-12-17T00:00:00"/>
    <d v="2021-12-17T00:00:00"/>
  </r>
  <r>
    <x v="240"/>
    <s v="AML定審通知查詢"/>
    <n v="1"/>
    <s v="增加上傳附件機制"/>
    <x v="50"/>
    <d v="2021-12-17T00:00:00"/>
    <d v="2021-12-17T00:00:00"/>
  </r>
  <r>
    <x v="0"/>
    <m/>
    <m/>
    <m/>
    <x v="0"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52">
  <r>
    <m/>
    <n v="1"/>
    <x v="0"/>
    <s v="1-1顧客基本資料"/>
    <s v="L1001"/>
    <s v="顧客明細資料查詢"/>
    <m/>
    <s v="張金龍"/>
    <s v="張嘉榮"/>
    <s v="PJ201800012_URS_1顧客管理作業_V1.43.docx"/>
    <x v="0"/>
    <d v="2021-07-22T00:00:00"/>
    <d v="2021-07-22T00:00:00"/>
    <s v="吳承憲"/>
    <s v="李珮君"/>
    <m/>
    <m/>
    <m/>
    <m/>
    <m/>
    <m/>
    <m/>
  </r>
  <r>
    <m/>
    <n v="1"/>
    <x v="0"/>
    <s v="1-1顧客基本資料"/>
    <s v="L1101"/>
    <s v="顧客基本資料維護-自然人"/>
    <m/>
    <s v="張金龍"/>
    <s v="張嘉榮"/>
    <s v="PJ201800012_URS_1顧客管理作業_V1.43.docx"/>
    <x v="0"/>
    <d v="2021-07-22T00:00:00"/>
    <d v="2021-09-17T00:00:00"/>
    <s v="吳承憲"/>
    <s v="李珮君"/>
    <m/>
    <m/>
    <m/>
    <m/>
    <m/>
    <m/>
    <m/>
  </r>
  <r>
    <m/>
    <n v="1"/>
    <x v="0"/>
    <s v="1-1顧客基本資料"/>
    <s v="L1102"/>
    <s v="顧客基本資料維護-法人"/>
    <m/>
    <s v="張金龍"/>
    <s v="張嘉榮"/>
    <s v="PJ201800012_URS_1顧客管理作業_V1.43.docx"/>
    <x v="1"/>
    <d v="2021-07-26T00:00:00"/>
    <d v="2021-09-21T00:00:00"/>
    <s v="吳承憲"/>
    <s v="陳俞辛"/>
    <m/>
    <m/>
    <m/>
    <m/>
    <m/>
    <m/>
    <m/>
  </r>
  <r>
    <m/>
    <n v="1"/>
    <x v="0"/>
    <s v="1-1顧客基本資料"/>
    <s v="L1103"/>
    <s v="顧客基本資料修改-自然人"/>
    <m/>
    <s v="張金龍"/>
    <s v="張嘉榮"/>
    <s v="PJ201800012_URS_1顧客管理作業_V1.43.docx"/>
    <x v="0"/>
    <d v="2021-07-22T00:00:00"/>
    <d v="2021-09-30T00:00:00"/>
    <s v="吳承憲"/>
    <s v="李珮君"/>
    <m/>
    <m/>
    <m/>
    <m/>
    <m/>
    <m/>
    <m/>
  </r>
  <r>
    <m/>
    <n v="1"/>
    <x v="0"/>
    <s v="1-1顧客基本資料"/>
    <s v="L1104"/>
    <s v="顧客基本資料修改-法人"/>
    <m/>
    <s v="張金龍"/>
    <s v="張嘉榮"/>
    <s v="PJ201800012_URS_1顧客管理作業_V1.43.docx"/>
    <x v="1"/>
    <d v="2021-07-26T00:00:00"/>
    <d v="2021-09-17T00:00:00"/>
    <s v="吳承憲"/>
    <s v="陳俞辛"/>
    <m/>
    <m/>
    <m/>
    <m/>
    <m/>
    <m/>
    <m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x v="2"/>
    <d v="2021-09-22T00:00:00"/>
    <d v="2021-11-15T00:00:00"/>
    <s v="吳承憲"/>
    <s v="蔡珮瑜"/>
    <m/>
    <m/>
    <m/>
    <m/>
    <m/>
    <m/>
    <m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x v="2"/>
    <d v="2021-09-22T00:00:00"/>
    <d v="2021-10-20T00:00:00"/>
    <s v="吳承憲"/>
    <s v="李珮君"/>
    <s v="陳俞辛"/>
    <m/>
    <m/>
    <m/>
    <m/>
    <m/>
    <m/>
  </r>
  <r>
    <m/>
    <n v="1"/>
    <x v="0"/>
    <s v="1-1顧客基本資料"/>
    <s v="L1905"/>
    <s v="顧客聯絡電話查詢"/>
    <m/>
    <s v="張金龍"/>
    <s v="張嘉榮"/>
    <s v="PJ201800012_URS_1顧客管理作業_V1.42.docx"/>
    <x v="0"/>
    <d v="2021-07-22T00:00:00"/>
    <d v="2021-07-22T00:00:00"/>
    <s v="吳承憲"/>
    <s v="陳俞辛"/>
    <m/>
    <m/>
    <m/>
    <m/>
    <m/>
    <m/>
    <m/>
  </r>
  <r>
    <m/>
    <n v="1"/>
    <x v="0"/>
    <s v="1-1顧客基本資料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</r>
  <r>
    <m/>
    <n v="1"/>
    <x v="0"/>
    <s v="1-1顧客基本資料"/>
    <s v="L1109"/>
    <s v="客戶交互運用維護"/>
    <m/>
    <s v="張金龍"/>
    <s v="張嘉榮"/>
    <s v="PJ201800012_URS_1顧客管理作業_V1.42.docx"/>
    <x v="0"/>
    <d v="2021-07-23T00:00:00"/>
    <d v="2021-09-30T00:00:00"/>
    <s v="吳承憲"/>
    <s v="李珮君"/>
    <m/>
    <m/>
    <m/>
    <m/>
    <m/>
    <m/>
    <m/>
  </r>
  <r>
    <m/>
    <n v="1"/>
    <x v="0"/>
    <s v="1-2公司戶財務狀況"/>
    <s v="L1907"/>
    <s v="公司戶財務報表查詢"/>
    <m/>
    <s v="張金龍"/>
    <s v="張金龍"/>
    <s v="PJ201800012_URS_1顧客管理作業_V1.42.docx"/>
    <x v="1"/>
    <d v="2021-07-23T00:00:00"/>
    <d v="2021-07-23T00:00:00"/>
    <s v="吳承憲"/>
    <s v="施美娟"/>
    <s v="程慧娟"/>
    <m/>
    <m/>
    <m/>
    <m/>
    <m/>
    <m/>
  </r>
  <r>
    <m/>
    <n v="1"/>
    <x v="0"/>
    <s v="1-2公司戶財務狀況"/>
    <s v="L1107"/>
    <s v="公司戶財務報表維護"/>
    <m/>
    <s v="張金龍"/>
    <s v="張金龍"/>
    <s v="PJ201800012_URS_1顧客管理作業_V1.42.docx"/>
    <x v="1"/>
    <d v="2021-07-23T00:00:00"/>
    <d v="2021-09-30T00:00:00"/>
    <s v="吳承憲"/>
    <s v="施美娟"/>
    <s v="程慧娟"/>
    <m/>
    <m/>
    <m/>
    <m/>
    <m/>
    <m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x v="2"/>
    <d v="2021-09-22T00:00:00"/>
    <d v="2021-11-15T00:00:00"/>
    <s v="吳承憲"/>
    <s v="施美娟"/>
    <m/>
    <m/>
    <m/>
    <m/>
    <m/>
    <m/>
    <m/>
  </r>
  <r>
    <m/>
    <m/>
    <x v="1"/>
    <s v="2-1商品作業"/>
    <s v="L2001"/>
    <s v="商品參數明細資料查詢                    "/>
    <m/>
    <s v="賴文育"/>
    <s v="余家興"/>
    <s v="PJ201800012_URS_2業務作業_V1.28.doc"/>
    <x v="1"/>
    <d v="2021-07-26T00:00:00"/>
    <d v="2021-12-03T00:00:00"/>
    <s v="吳承憲"/>
    <s v="蔡珮瑜"/>
    <m/>
    <m/>
    <m/>
    <m/>
    <m/>
    <m/>
    <m/>
  </r>
  <r>
    <m/>
    <m/>
    <x v="1"/>
    <s v="2-1商品作業"/>
    <s v="L2101"/>
    <s v="商品參數維護"/>
    <m/>
    <s v="賴文育"/>
    <s v="余家興"/>
    <s v="PJ201800012_URS_2業務作業_V1.28.doc"/>
    <x v="1"/>
    <d v="2021-07-26T00:00:00"/>
    <d v="2021-08-24T00:00:00"/>
    <s v="吳承憲"/>
    <s v="蔡珮瑜"/>
    <m/>
    <m/>
    <m/>
    <m/>
    <m/>
    <m/>
    <m/>
  </r>
  <r>
    <m/>
    <m/>
    <x v="1"/>
    <s v="2-2案件申請、額度"/>
    <s v="L2010"/>
    <s v="申請案件明細資料查詢                    "/>
    <m/>
    <s v="賴文育"/>
    <s v="陳昱衡"/>
    <s v="PJ201800012_URS_2業務作業_V1.29.doc"/>
    <x v="1"/>
    <d v="2021-07-26T00:00:00"/>
    <d v="2021-08-23T00:00:00"/>
    <s v="吳承憲"/>
    <s v="李珮君"/>
    <m/>
    <m/>
    <m/>
    <m/>
    <m/>
    <m/>
    <m/>
  </r>
  <r>
    <m/>
    <m/>
    <x v="1"/>
    <s v="2-2案件申請、額度"/>
    <s v="L2111"/>
    <s v="案件申請登錄"/>
    <m/>
    <s v="賴文育"/>
    <s v="余家興"/>
    <s v="PJ201800012_URS_2業務作業_V1.29.doc"/>
    <x v="1"/>
    <d v="2021-07-26T00:00:00"/>
    <d v="2021-09-29T00:00:00"/>
    <s v="吳承憲"/>
    <s v="李珮君"/>
    <m/>
    <m/>
    <m/>
    <m/>
    <m/>
    <m/>
    <m/>
  </r>
  <r>
    <m/>
    <m/>
    <x v="1"/>
    <s v="2-2案件申請、額度"/>
    <s v="L2153"/>
    <s v="核准額度登錄"/>
    <m/>
    <s v="賴文育"/>
    <s v="余家興"/>
    <s v="PJ201800012_URS_2業務作業_V1.29.doc"/>
    <x v="3"/>
    <d v="2021-07-26T00:00:00"/>
    <d v="2021-09-29T00:00:00"/>
    <s v="吳承憲"/>
    <s v="李珮君"/>
    <m/>
    <m/>
    <m/>
    <m/>
    <m/>
    <m/>
    <m/>
  </r>
  <r>
    <m/>
    <m/>
    <x v="1"/>
    <s v="2-2案件申請、額度"/>
    <s v="L2151"/>
    <s v="額度登錄准駁查詢"/>
    <m/>
    <s v="賴文育"/>
    <s v="陳昱衡"/>
    <s v="PJ201800012_URS_2業務作業_V1.29.doc"/>
    <x v="3"/>
    <d v="2021-07-26T00:00:00"/>
    <d v="2021-12-06T00:00:00"/>
    <s v="吳承憲"/>
    <s v="李珮君"/>
    <m/>
    <m/>
    <m/>
    <m/>
    <m/>
    <m/>
    <m/>
  </r>
  <r>
    <m/>
    <m/>
    <x v="1"/>
    <s v="2-2案件申請、額度"/>
    <s v="L2112"/>
    <s v="團體戶申請登錄                          "/>
    <m/>
    <s v="賴文育"/>
    <s v="陳昱衡"/>
    <s v="PJ201800012_URS_2業務作業_V1.29.doc"/>
    <x v="1"/>
    <d v="2021-07-26T00:00:00"/>
    <d v="2021-08-23T00:00:00"/>
    <s v="吳承憲"/>
    <s v="李珮君"/>
    <m/>
    <m/>
    <m/>
    <m/>
    <m/>
    <m/>
    <m/>
  </r>
  <r>
    <m/>
    <m/>
    <x v="1"/>
    <s v="2-2案件申請、額度"/>
    <s v="L2015"/>
    <s v="額度明細資料查詢                        "/>
    <m/>
    <s v="賴文育"/>
    <s v="陳昱衡"/>
    <s v="PJ201800012_URS_2業務作業_V1.29.doc"/>
    <x v="3"/>
    <d v="2021-07-27T00:00:00"/>
    <d v="2021-08-23T00:00:00"/>
    <s v="吳承憲"/>
    <s v="李珮君"/>
    <m/>
    <m/>
    <m/>
    <m/>
    <m/>
    <m/>
    <m/>
  </r>
  <r>
    <m/>
    <m/>
    <x v="1"/>
    <s v="2-2案件申請、額度"/>
    <s v="L2154"/>
    <s v="額度資料維護                            "/>
    <m/>
    <s v="賴文育"/>
    <s v="余家興"/>
    <s v="PJ201800012_URS_2業務作業_V1.29.doc"/>
    <x v="3"/>
    <d v="2021-07-27T00:00:00"/>
    <d v="2021-09-30T00:00:00"/>
    <s v="吳承憲"/>
    <s v="李珮君"/>
    <m/>
    <m/>
    <m/>
    <m/>
    <m/>
    <m/>
    <m/>
  </r>
  <r>
    <m/>
    <m/>
    <x v="1"/>
    <s v="2-2案件申請、額度"/>
    <s v="L2016"/>
    <s v="核准號碼明細資料查詢                    "/>
    <m/>
    <s v="賴文育"/>
    <s v="余家興"/>
    <s v="PJ201800012_URS_2業務作業_V1.29.doc"/>
    <x v="3"/>
    <d v="2021-07-27T00:00:00"/>
    <d v="2021-07-27T00:00:00"/>
    <s v="吳承憲"/>
    <s v="李珮君"/>
    <m/>
    <m/>
    <m/>
    <m/>
    <m/>
    <m/>
    <m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</r>
  <r>
    <m/>
    <m/>
    <x v="1"/>
    <s v="2-3保證人、關係人"/>
    <s v="L2250"/>
    <s v="保證人資料登錄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x v="3"/>
    <d v="2021-07-28T00:00:00"/>
    <d v="2021-08-20T00:00:00"/>
    <s v="吳承憲"/>
    <s v="陳政皓"/>
    <m/>
    <m/>
    <m/>
    <m/>
    <m/>
    <m/>
    <m/>
  </r>
  <r>
    <m/>
    <m/>
    <x v="2"/>
    <s v="6-6各類代碼檔維護"/>
    <s v="L6070"/>
    <s v="未齊件代碼查詢                          "/>
    <m/>
    <s v="賴文育"/>
    <s v="陳昱衡"/>
    <s v="PJ201800012_URS_6共同作業_V1.11.docx"/>
    <x v="3"/>
    <d v="2021-07-27T00:00:00"/>
    <d v="2021-08-20T00:00:00"/>
    <s v="涂宇欣"/>
    <s v="徐名弘"/>
    <s v="李秋燕"/>
    <m/>
    <m/>
    <m/>
    <m/>
    <m/>
    <m/>
  </r>
  <r>
    <m/>
    <m/>
    <x v="2"/>
    <s v="6-6各類代碼檔維護"/>
    <s v="L6700"/>
    <s v="未齊件代碼維護"/>
    <m/>
    <s v="賴文育"/>
    <s v="陳昱衡"/>
    <s v="PJ201800012_URS_6共同作業_V1.11.docx"/>
    <x v="3"/>
    <d v="2021-07-27T00:00:00"/>
    <d v="2021-08-20T00:00:00"/>
    <s v="涂宇欣"/>
    <s v="徐名弘"/>
    <s v="李秋燕"/>
    <m/>
    <m/>
    <m/>
    <m/>
    <m/>
    <m/>
  </r>
  <r>
    <m/>
    <m/>
    <x v="1"/>
    <s v="2-2案件申請、額度"/>
    <s v="L2921"/>
    <s v="未齊件資料查詢                          "/>
    <m/>
    <s v="賴文育"/>
    <s v="陳昱衡"/>
    <s v="PJ201800012_URS_2業務作業_V1.29.doc"/>
    <x v="3"/>
    <d v="2021-07-28T00:00:00"/>
    <d v="2021-08-20T00:00:00"/>
    <s v="涂宇欣"/>
    <s v="徐名弘"/>
    <s v="李秋燕"/>
    <m/>
    <m/>
    <m/>
    <m/>
    <m/>
    <m/>
  </r>
  <r>
    <m/>
    <m/>
    <x v="1"/>
    <s v="2-2案件申請、額度"/>
    <s v="L2801"/>
    <s v="未齊案件管理             "/>
    <m/>
    <s v="賴文育"/>
    <s v="陳昱衡"/>
    <s v="PJ201800012_URS_2業務作業_V1.29.doc"/>
    <x v="3"/>
    <d v="2021-07-28T00:00:00"/>
    <d v="2021-08-20T00:00:00"/>
    <s v="涂宇欣"/>
    <s v="徐名弘"/>
    <s v="李秋燕"/>
    <m/>
    <m/>
    <m/>
    <m/>
    <m/>
    <m/>
  </r>
  <r>
    <m/>
    <m/>
    <x v="1"/>
    <s v="2-2案件申請、額度"/>
    <s v="L2018"/>
    <s v="共同借款人資料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118"/>
    <s v="共同借款人資料登錄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91A"/>
    <s v="共同借款人額度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019"/>
    <s v="合併額度控管資料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119"/>
    <s v="合併額度控管登錄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91B"/>
    <s v="合併額度控管額度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</r>
  <r>
    <m/>
    <m/>
    <x v="1"/>
    <s v="2-3保證人、關係人"/>
    <s v="L2021"/>
    <s v="交易關係人查詢"/>
    <m/>
    <s v="賴文育"/>
    <s v="陳昱衡"/>
    <s v="PJ201800012_URS_2業務作業_V1.28.doc"/>
    <x v="4"/>
    <d v="2021-08-23T00:00:00"/>
    <d v="2021-12-06T00:00:00"/>
    <s v="吳承憲"/>
    <s v="李珮君"/>
    <s v="企金"/>
    <m/>
    <m/>
    <m/>
    <m/>
    <m/>
    <m/>
  </r>
  <r>
    <m/>
    <m/>
    <x v="1"/>
    <s v="2-3保證人、關係人"/>
    <s v="L2221"/>
    <s v="交易關係人維護"/>
    <m/>
    <s v="賴文育"/>
    <s v="陳昱衡"/>
    <s v="PJ201800012_URS_2業務作業_V1.28.doc"/>
    <x v="4"/>
    <d v="2021-08-23T00:00:00"/>
    <d v="2021-09-17T00:00:00"/>
    <s v="吳承憲"/>
    <s v="李珮君"/>
    <s v="企金"/>
    <m/>
    <m/>
    <m/>
    <m/>
    <m/>
    <m/>
  </r>
  <r>
    <m/>
    <m/>
    <x v="1"/>
    <s v="2-4擔保品"/>
    <s v="L2038"/>
    <s v="擔保品明細資料查詢                      "/>
    <m/>
    <s v="賴文育"/>
    <s v="陳昱衡"/>
    <s v="PJ201800012_URS_2業務作業_V1.29.doc"/>
    <x v="4"/>
    <d v="2021-08-24T00:00:00"/>
    <d v="2021-08-26T00:00:00"/>
    <s v="吳承憲"/>
    <s v="李珮君"/>
    <s v="企金"/>
    <m/>
    <m/>
    <m/>
    <m/>
    <m/>
    <m/>
  </r>
  <r>
    <m/>
    <m/>
    <x v="1"/>
    <s v="2-4擔保品"/>
    <s v="L2411"/>
    <s v="不動產擔保品資料登錄"/>
    <m/>
    <s v="賴文育"/>
    <s v="陳昱衡"/>
    <s v="PJ201800012_URS_2業務作業_V1.29.doc"/>
    <x v="5"/>
    <d v="2021-08-24T00:00:00"/>
    <d v="2021-09-08T00:00:00"/>
    <s v="吳承憲"/>
    <s v="李珮君"/>
    <s v="企金、(可分配金額+張舜雯)"/>
    <m/>
    <m/>
    <m/>
    <m/>
    <m/>
    <m/>
  </r>
  <r>
    <m/>
    <m/>
    <x v="1"/>
    <s v="2-4擔保品"/>
    <s v="L2911"/>
    <s v="不動產擔保品資料查詢                    "/>
    <m/>
    <s v="賴文育"/>
    <s v="陳昱衡"/>
    <s v="PJ201800012_URS_2業務作業_V1.29.doc"/>
    <x v="5"/>
    <d v="2021-08-24T00:00:00"/>
    <d v="2021-09-06T00:00:00"/>
    <s v="吳承憲"/>
    <s v="李珮君"/>
    <s v="企金"/>
    <m/>
    <m/>
    <m/>
    <m/>
    <m/>
    <m/>
  </r>
  <r>
    <m/>
    <m/>
    <x v="1"/>
    <s v="2-4擔保品"/>
    <s v="L2415"/>
    <s v="不動產建物擔保品資料登錄"/>
    <m/>
    <s v="賴文育"/>
    <s v="陳昱衡"/>
    <s v="PJ201800012_URS_2業務作業_V1.29.doc"/>
    <x v="5"/>
    <d v="2021-08-24T00:00:00"/>
    <d v="2021-09-06T00:00:00"/>
    <s v="吳承憲"/>
    <s v="李珮君"/>
    <s v="企金"/>
    <m/>
    <m/>
    <m/>
    <m/>
    <m/>
    <m/>
  </r>
  <r>
    <m/>
    <m/>
    <x v="1"/>
    <s v="2-4擔保品"/>
    <s v="L2416"/>
    <s v="不動產土地擔保品資料登錄"/>
    <m/>
    <s v="賴文育"/>
    <s v="陳昱衡"/>
    <s v="PJ201800012_URS_2業務作業_V1.29.doc"/>
    <x v="5"/>
    <d v="2021-08-24T00:00:00"/>
    <d v="2021-12-06T00:00:00"/>
    <s v="吳承憲"/>
    <s v="李珮君"/>
    <s v="企金"/>
    <m/>
    <m/>
    <m/>
    <m/>
    <m/>
    <m/>
  </r>
  <r>
    <m/>
    <m/>
    <x v="1"/>
    <s v="2-4擔保品"/>
    <s v="L2915"/>
    <s v="不動產建物資料查詢                      "/>
    <m/>
    <s v="賴文育"/>
    <s v="陳昱衡"/>
    <s v="PJ201800012_URS_2業務作業_V1.29.doc"/>
    <x v="5"/>
    <d v="2021-08-24T00:00:00"/>
    <d v="2021-12-06T00:00:00"/>
    <s v="吳承憲"/>
    <s v="陳政皓"/>
    <s v="企金"/>
    <m/>
    <m/>
    <m/>
    <m/>
    <m/>
    <m/>
  </r>
  <r>
    <m/>
    <m/>
    <x v="1"/>
    <s v="2-4擔保品"/>
    <s v="L2916"/>
    <s v="不動產土地資料查詢                      "/>
    <m/>
    <s v="賴文育"/>
    <s v="陳昱衡"/>
    <s v="PJ201800012_URS_2業務作業_V1.29.doc"/>
    <x v="5"/>
    <d v="2021-08-24T00:00:00"/>
    <d v="2021-12-06T00:00:00"/>
    <s v="吳承憲"/>
    <s v="陳政皓"/>
    <s v="企金"/>
    <m/>
    <m/>
    <m/>
    <m/>
    <m/>
    <m/>
  </r>
  <r>
    <m/>
    <m/>
    <x v="1"/>
    <s v="2-4擔保品"/>
    <s v="L2918"/>
    <s v="擔保品他項權利查詢"/>
    <m/>
    <s v="賴文育"/>
    <s v="余家興"/>
    <s v="PJ201800012_URS_2業務作業_V1.29.doc"/>
    <x v="6"/>
    <d v="2021-08-25T00:00:00"/>
    <d v="2021-12-03T00:00:00"/>
    <s v="吳承憲"/>
    <s v="尹少玄"/>
    <s v="企金"/>
    <m/>
    <m/>
    <m/>
    <m/>
    <m/>
    <m/>
  </r>
  <r>
    <m/>
    <m/>
    <x v="1"/>
    <s v="2-4擔保品"/>
    <s v="L2418"/>
    <s v="擔保品他項權利登錄"/>
    <m/>
    <s v="賴文育"/>
    <s v="余家興"/>
    <s v="PJ201800012_URS_2業務作業_V1.29.doc"/>
    <x v="6"/>
    <d v="2021-08-25T00:00:00"/>
    <d v="2021-12-07T00:00:00"/>
    <s v="吳承憲"/>
    <s v="李珮君"/>
    <s v="企金"/>
    <m/>
    <m/>
    <m/>
    <m/>
    <m/>
    <m/>
  </r>
  <r>
    <m/>
    <m/>
    <x v="2"/>
    <s v="6-6各類代碼檔維護"/>
    <s v="L6023"/>
    <s v="收件字代碼查詢"/>
    <s v="審後新增2021/10/08 (L2418)"/>
    <s v="賴文育"/>
    <s v="余家興"/>
    <s v="PJ201800012_URS_6共同作業_V1.11.docx"/>
    <x v="6"/>
    <d v="2021-08-25T00:00:00"/>
    <d v="2021-12-09T00:00:00"/>
    <s v="吳承憲"/>
    <s v="蔡珮瑜"/>
    <m/>
    <m/>
    <m/>
    <m/>
    <m/>
    <m/>
    <m/>
  </r>
  <r>
    <m/>
    <m/>
    <x v="2"/>
    <s v="6-6各類代碼檔維護"/>
    <s v="L6203"/>
    <s v="收件字代碼維護"/>
    <s v="審後新增2021/10/08 (L2418)"/>
    <s v="賴文育"/>
    <s v="余家興"/>
    <s v="PJ201800012_URS_6共同作業_V1.11.docx"/>
    <x v="6"/>
    <d v="2021-08-25T00:00:00"/>
    <d v="2021-12-09T00:00:00"/>
    <s v="吳承憲"/>
    <s v="蔡珮瑜"/>
    <m/>
    <m/>
    <m/>
    <m/>
    <m/>
    <m/>
    <m/>
  </r>
  <r>
    <m/>
    <m/>
    <x v="1"/>
    <s v="2-4擔保品"/>
    <s v="L2017"/>
    <s v="額度與擔保品關聯查詢 "/>
    <m/>
    <s v="賴文育"/>
    <s v="陳昱衡"/>
    <s v="PJ201800012_URS_2業務作業_V1.29.doc"/>
    <x v="6"/>
    <d v="2021-08-24T00:00:00"/>
    <d v="2021-12-06T00:00:00"/>
    <s v="吳承憲"/>
    <s v="李珮君"/>
    <s v="企金"/>
    <m/>
    <m/>
    <m/>
    <m/>
    <m/>
    <m/>
  </r>
  <r>
    <m/>
    <m/>
    <x v="1"/>
    <s v="2-4擔保品"/>
    <s v="L2417"/>
    <s v="額度與擔保品關聯登錄"/>
    <m/>
    <s v="賴文育"/>
    <s v="陳昱衡"/>
    <s v="PJ201800012_URS_2業務作業_V1.29.doc"/>
    <x v="6"/>
    <d v="2021-08-24T00:00:00"/>
    <d v="2021-12-06T00:00:00"/>
    <s v="吳承憲"/>
    <s v="李珮君"/>
    <s v="企金"/>
    <m/>
    <m/>
    <m/>
    <m/>
    <m/>
    <m/>
  </r>
  <r>
    <m/>
    <m/>
    <x v="1"/>
    <s v="2-4擔保品"/>
    <s v="L2412"/>
    <s v="動產擔保品資料登錄"/>
    <m/>
    <s v="賴文育"/>
    <s v="陳昱衡"/>
    <s v="PJ201800012_URS_2業務作業_V1.29.doc"/>
    <x v="7"/>
    <d v="2021-08-25T00:00:00"/>
    <d v="2021-09-06T00:00:00"/>
    <s v="吳承憲"/>
    <s v="李珮君"/>
    <s v="企金"/>
    <m/>
    <m/>
    <m/>
    <m/>
    <m/>
    <m/>
  </r>
  <r>
    <m/>
    <m/>
    <x v="1"/>
    <s v="2-4擔保品"/>
    <s v="L2912"/>
    <s v="動產擔保品資料查詢                      "/>
    <m/>
    <s v="賴文育"/>
    <s v="陳昱衡"/>
    <s v="PJ201800012_URS_2業務作業_V1.29.doc"/>
    <x v="7"/>
    <d v="2021-08-25T00:00:00"/>
    <d v="2021-12-06T00:00:00"/>
    <s v="吳承憲"/>
    <s v="李珮君"/>
    <s v="企金"/>
    <m/>
    <m/>
    <m/>
    <m/>
    <m/>
    <m/>
  </r>
  <r>
    <m/>
    <m/>
    <x v="1"/>
    <s v="2-4擔保品"/>
    <s v="L2413"/>
    <s v="股票擔保品資料登錄"/>
    <m/>
    <s v="賴文育"/>
    <s v="陳昱衡"/>
    <s v="PJ201800012_URS_2業務作業_V1.29.doc"/>
    <x v="8"/>
    <d v="2021-08-26T00:00:00"/>
    <d v="2021-08-27T00:00:00"/>
    <s v="吳承憲"/>
    <s v="李穎"/>
    <s v="企金"/>
    <m/>
    <m/>
    <m/>
    <m/>
    <m/>
    <m/>
  </r>
  <r>
    <m/>
    <m/>
    <x v="1"/>
    <s v="2-4擔保品"/>
    <s v="L2913"/>
    <s v="股票擔保品資料查詢                      "/>
    <m/>
    <s v="賴文育"/>
    <s v="陳昱衡"/>
    <s v="PJ201800012_URS_2業務作業_V1.29.doc"/>
    <x v="8"/>
    <d v="2021-08-26T00:00:00"/>
    <d v="2021-09-02T00:00:00"/>
    <s v="吳承憲"/>
    <s v="李穎"/>
    <s v="企金"/>
    <m/>
    <m/>
    <m/>
    <m/>
    <m/>
    <m/>
  </r>
  <r>
    <m/>
    <m/>
    <x v="1"/>
    <s v="2-4擔保品"/>
    <s v="L2414"/>
    <s v="其他擔保品資料登錄"/>
    <m/>
    <s v="賴文育"/>
    <s v="陳昱衡"/>
    <s v="PJ201800012_URS_2業務作業_V1.29.doc"/>
    <x v="8"/>
    <d v="2021-08-26T00:00:00"/>
    <d v="2021-09-06T00:00:00"/>
    <s v="吳承憲"/>
    <s v="李穎"/>
    <s v="企金"/>
    <m/>
    <m/>
    <m/>
    <m/>
    <m/>
    <m/>
  </r>
  <r>
    <m/>
    <m/>
    <x v="1"/>
    <s v="2-4擔保品"/>
    <s v="L2914"/>
    <s v="其他擔保品資料查詢                      "/>
    <m/>
    <s v="賴文育"/>
    <s v="陳昱衡"/>
    <s v="PJ201800012_URS_2業務作業_V1.29.doc"/>
    <x v="8"/>
    <d v="2021-08-26T00:00:00"/>
    <d v="2021-12-06T00:00:00"/>
    <s v="吳承憲"/>
    <s v="李穎"/>
    <s v="企金"/>
    <m/>
    <m/>
    <m/>
    <m/>
    <m/>
    <m/>
  </r>
  <r>
    <m/>
    <m/>
    <x v="1"/>
    <s v="2-9其他"/>
    <s v="L2702"/>
    <s v="顧客控管警訊資料維護                    "/>
    <m/>
    <s v="賴文育"/>
    <s v="陳昱衡"/>
    <s v="PJ201800012_URS_2業務作業_V1.31.docx"/>
    <x v="7"/>
    <d v="2021-08-26T00:00:00"/>
    <d v="2021-10-30T00:00:00"/>
    <s v="涂宇欣"/>
    <s v="陳政皓"/>
    <s v="張舜雯、程慧娟、邱怡婷、李秋燕"/>
    <m/>
    <m/>
    <m/>
    <m/>
    <m/>
    <m/>
  </r>
  <r>
    <m/>
    <m/>
    <x v="1"/>
    <s v="2-9其他"/>
    <s v="L2072"/>
    <s v="顧客控管警訊明細資料查詢                "/>
    <m/>
    <s v="賴文育"/>
    <s v="陳昱衡"/>
    <s v="PJ201800012_URS_2業務作業_V1.31.docx"/>
    <x v="7"/>
    <d v="2021-08-26T00:00:00"/>
    <d v="2021-09-02T00:00:00"/>
    <s v="涂宇欣"/>
    <s v="陳政皓"/>
    <s v="張舜雯、程慧娟、邱怡婷、李秋燕"/>
    <m/>
    <m/>
    <m/>
    <m/>
    <m/>
    <m/>
  </r>
  <r>
    <m/>
    <n v="1"/>
    <x v="3"/>
    <s v="3-1試算"/>
    <s v="L3901"/>
    <s v="貸款試算                 "/>
    <m/>
    <s v="賴文育"/>
    <s v="余家興"/>
    <s v="PJ201800012_URS_3帳務作業_V1.81"/>
    <x v="9"/>
    <d v="2021-08-27T00:00:00"/>
    <d v="2021-08-27T00:00:00"/>
    <s v="李珮琪"/>
    <s v="陳政皓"/>
    <s v="李珮君"/>
    <m/>
    <m/>
    <m/>
    <m/>
    <m/>
    <m/>
  </r>
  <r>
    <m/>
    <m/>
    <x v="4"/>
    <s v="9-9其他"/>
    <s v="L9110"/>
    <s v="首次撥款審核資料表"/>
    <m/>
    <s v="賴文育"/>
    <s v="楊智誠"/>
    <s v="PJ201800012_URS_9報表作業_V1.3"/>
    <x v="9"/>
    <d v="2021-08-27T00:00:00"/>
    <d v="2021-09-06T00:00:00"/>
    <s v="李珮琪"/>
    <s v="陳政皓"/>
    <s v="徐名弘、陳俞辛"/>
    <m/>
    <m/>
    <m/>
    <m/>
    <m/>
    <m/>
  </r>
  <r>
    <m/>
    <n v="1"/>
    <x v="3"/>
    <s v="3-2撥款"/>
    <s v="L3003"/>
    <s v="預約撥款明細資料查詢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</r>
  <r>
    <m/>
    <n v="1"/>
    <x v="3"/>
    <s v="3-2撥款"/>
    <s v="L3110"/>
    <s v="預約撥款                 "/>
    <m/>
    <s v="賴文育"/>
    <s v="余家興"/>
    <s v="PJ201800012_URS_3帳務作業_V1.81"/>
    <x v="10"/>
    <d v="2021-08-31T00:00:00"/>
    <d v="2021-10-21T00:00:00"/>
    <s v="涂宇欣"/>
    <s v="尹少玄"/>
    <m/>
    <m/>
    <m/>
    <m/>
    <m/>
    <m/>
    <m/>
  </r>
  <r>
    <m/>
    <n v="1"/>
    <x v="3"/>
    <s v="3-2撥款"/>
    <s v="L3120"/>
    <s v="預約撥款刪除        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</r>
  <r>
    <m/>
    <m/>
    <x v="2"/>
    <s v="6-8其他作業"/>
    <s v="L6984"/>
    <s v="預約撥款到期作業"/>
    <m/>
    <s v="賴文育"/>
    <s v="余家興"/>
    <s v="PJ201800012_URS_6共同作業_V1.11.docx"/>
    <x v="10"/>
    <d v="2021-08-31T00:00:00"/>
    <d v="2021-12-03T00:00:00"/>
    <s v="涂宇欣"/>
    <s v="尹少玄"/>
    <m/>
    <m/>
    <m/>
    <m/>
    <m/>
    <m/>
    <m/>
  </r>
  <r>
    <m/>
    <n v="1"/>
    <x v="3"/>
    <s v="3-2撥款"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</r>
  <r>
    <m/>
    <n v="1"/>
    <x v="3"/>
    <s v="3-2撥款"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</r>
  <r>
    <m/>
    <n v="1"/>
    <x v="3"/>
    <s v="3-2撥款"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</r>
  <r>
    <m/>
    <n v="1"/>
    <x v="3"/>
    <s v="3-2撥款"/>
    <s v="L3001"/>
    <s v="放款明細資料查詢"/>
    <m/>
    <s v="賴文育"/>
    <s v="余家興"/>
    <s v="PJ201800012_URS_3帳務作業_V1.81"/>
    <x v="12"/>
    <d v="2021-08-30T00:00:00"/>
    <d v="2021-08-30T00:00:00"/>
    <s v="涂宇欣"/>
    <s v="蔡珮瑜"/>
    <m/>
    <m/>
    <m/>
    <m/>
    <m/>
    <m/>
    <m/>
  </r>
  <r>
    <m/>
    <m/>
    <x v="1"/>
    <s v="2-9其他"/>
    <s v="L2060"/>
    <s v="聯貸案訂約明細資料查詢"/>
    <s v="由L3010更名2021/9/7"/>
    <s v="賴文育"/>
    <s v="余家興"/>
    <s v="PJ201800012_URS_2業務作業_V1.31.docx"/>
    <x v="12"/>
    <d v="2021-08-31T00:00:00"/>
    <d v="2021-09-30T00:00:00"/>
    <s v="吳承憲"/>
    <s v="許慧玉"/>
    <s v="陳俞辛"/>
    <m/>
    <m/>
    <m/>
    <m/>
    <m/>
    <m/>
  </r>
  <r>
    <m/>
    <m/>
    <x v="1"/>
    <s v="2-9其他"/>
    <s v="L2600"/>
    <s v="聯貸案訂約登錄"/>
    <s v="由L3600更名2021/9/7"/>
    <s v="賴文育"/>
    <s v="余家興"/>
    <s v="PJ201800012_URS_2業務作業_V1.31.docx"/>
    <x v="12"/>
    <d v="2021-08-31T00:00:00"/>
    <d v="2021-09-30T00:00:00"/>
    <s v="吳承憲"/>
    <s v="許慧玉"/>
    <s v="陳俞辛"/>
    <m/>
    <m/>
    <m/>
    <m/>
    <m/>
    <m/>
  </r>
  <r>
    <m/>
    <m/>
    <x v="1"/>
    <s v="2-9其他"/>
    <s v="L2604"/>
    <s v="聯貸費用維護"/>
    <s v="審後新增2021/11/18 (L2600)"/>
    <s v="賴文育"/>
    <s v="余家興"/>
    <s v="PJ201800012_URS_2業務作業_V1.4.docx"/>
    <x v="12"/>
    <d v="2021-08-31T00:00:00"/>
    <d v="2021-12-20T00:00:00"/>
    <s v="吳承憲"/>
    <s v="許慧玉"/>
    <s v="陳俞辛"/>
    <m/>
    <m/>
    <m/>
    <m/>
    <m/>
    <m/>
  </r>
  <r>
    <m/>
    <m/>
    <x v="1"/>
    <s v="2-9其他"/>
    <s v="L2064"/>
    <s v="聯貸費用明細資料查詢"/>
    <s v="審後新增2021/11/18 (L2600)"/>
    <s v="賴文育"/>
    <s v="余家興"/>
    <s v="PJ201800012_URS_2業務作業_V1.4.docx"/>
    <x v="12"/>
    <d v="2021-08-31T00:00:00"/>
    <d v="2021-12-20T00:00:00"/>
    <s v="吳承憲"/>
    <s v="許慧玉"/>
    <s v="陳俞辛"/>
    <m/>
    <m/>
    <m/>
    <m/>
    <m/>
    <m/>
  </r>
  <r>
    <m/>
    <m/>
    <x v="2"/>
    <s v="6-6各類代碼檔維護"/>
    <s v="L6022"/>
    <s v="聯貸費用代碼查詢"/>
    <s v="審後新增2021/11/23 (L2604)"/>
    <s v="賴文育"/>
    <s v="余家興"/>
    <s v="PJ201800012_URS_6共同作業_V1.11.docx"/>
    <x v="12"/>
    <d v="2021-08-31T00:00:00"/>
    <d v="2021-12-20T00:00:00"/>
    <s v="吳承憲"/>
    <s v="許慧玉"/>
    <s v="陳俞辛"/>
    <m/>
    <m/>
    <m/>
    <m/>
    <m/>
    <m/>
  </r>
  <r>
    <m/>
    <m/>
    <x v="2"/>
    <s v="6-6各類代碼檔維護"/>
    <s v="L6202"/>
    <s v="聯貸費用代碼維護"/>
    <s v="審後新增2021/11/23 (L2604)"/>
    <s v="賴文育"/>
    <s v="余家興"/>
    <s v="PJ201800012_URS_6共同作業_V1.11.docx"/>
    <x v="12"/>
    <d v="2021-08-31T00:00:00"/>
    <d v="2021-12-20T00:00:00"/>
    <s v="吳承憲"/>
    <s v="許慧玉"/>
    <s v="陳俞辛"/>
    <m/>
    <m/>
    <m/>
    <m/>
    <m/>
    <m/>
  </r>
  <r>
    <m/>
    <n v="1"/>
    <x v="3"/>
    <s v="3-2撥款"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</r>
  <r>
    <m/>
    <n v="1"/>
    <x v="3"/>
    <s v="3-2撥款"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</r>
  <r>
    <m/>
    <n v="1"/>
    <x v="3"/>
    <s v="3-5變更、延長年期"/>
    <s v="L3932"/>
    <s v="借戶利率查詢             "/>
    <m/>
    <s v="賴文育"/>
    <s v="余家興"/>
    <s v="PJ201800012_URS_3帳務作業_V1.81"/>
    <x v="13"/>
    <d v="2021-08-31T00:00:00"/>
    <d v="2021-08-31T00:00:00"/>
    <s v="林清河"/>
    <s v="蔡珮瑜"/>
    <m/>
    <m/>
    <m/>
    <m/>
    <m/>
    <m/>
    <m/>
  </r>
  <r>
    <m/>
    <n v="1"/>
    <x v="3"/>
    <s v="3-5變更、延長年期"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</r>
  <r>
    <m/>
    <n v="1"/>
    <x v="3"/>
    <s v="3-5變更、延長年期"/>
    <s v="L3701"/>
    <s v="放款內容變更             "/>
    <m/>
    <s v="賴文育"/>
    <s v="余家興"/>
    <s v="PJ201800012_URS_3帳務作業_V1.81"/>
    <x v="13"/>
    <d v="2021-08-31T00:00:00"/>
    <d v="2021-08-31T00:00:00"/>
    <s v="涂宇欣"/>
    <s v="蔡珮瑜"/>
    <m/>
    <m/>
    <m/>
    <m/>
    <m/>
    <m/>
    <m/>
  </r>
  <r>
    <m/>
    <m/>
    <x v="5"/>
    <s v="4-1撥款退款作業"/>
    <s v="L4101"/>
    <s v="撥款退款作業"/>
    <m/>
    <s v="賴文育"/>
    <s v="余家興"/>
    <s v="PJ201800012_URS_4批次作業_V1.10.doc"/>
    <x v="9"/>
    <d v="2021-08-30T00:00:00"/>
    <d v="2021-12-03T00:00:00"/>
    <s v="涂宇欣"/>
    <s v="尹少玄"/>
    <m/>
    <m/>
    <m/>
    <m/>
    <m/>
    <m/>
    <m/>
  </r>
  <r>
    <m/>
    <m/>
    <x v="5"/>
    <s v="4-1撥款退款作業"/>
    <s v="L4001"/>
    <s v="撥款退款彙總查詢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</r>
  <r>
    <m/>
    <m/>
    <x v="5"/>
    <s v="4-1撥款退款作業"/>
    <s v="L4901"/>
    <s v="撥款匯款記錄檔查詢                   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</r>
  <r>
    <m/>
    <m/>
    <x v="2"/>
    <s v="6-8其他作業"/>
    <s v="L6001"/>
    <s v="應處理清單      "/>
    <m/>
    <s v="賴文育"/>
    <s v="余家興"/>
    <s v="PJ201800012_URS_6共同作業_V1.11.docx"/>
    <x v="14"/>
    <d v="2021-09-08T00:00:00"/>
    <d v="2021-12-17T00:00:00"/>
    <s v="李珮琪"/>
    <s v="蔡珮瑜"/>
    <s v="張舜雯"/>
    <m/>
    <m/>
    <m/>
    <m/>
    <m/>
    <m/>
  </r>
  <r>
    <m/>
    <m/>
    <x v="5"/>
    <s v="4-4銀行扣款授權"/>
    <s v="L4042"/>
    <s v="ACH授權資料查詢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410"/>
    <s v="ACH授權資料建檔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040"/>
    <s v="產生ACH授權提出資料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414"/>
    <s v="上傳授權提回檔 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940"/>
    <s v="帳號授權檔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941"/>
    <s v="ACH授權資料歷史紀錄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043"/>
    <s v="郵局授權資料查詢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</r>
  <r>
    <m/>
    <m/>
    <x v="5"/>
    <s v="4-4銀行扣款授權"/>
    <s v="L4412"/>
    <s v="郵局授權資料建檔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</r>
  <r>
    <m/>
    <m/>
    <x v="5"/>
    <s v="4-4銀行扣款授權"/>
    <s v="L4041"/>
    <s v="產生郵局授權資料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</r>
  <r>
    <m/>
    <m/>
    <x v="5"/>
    <s v="4-4銀行扣款授權"/>
    <s v="L4942"/>
    <s v="郵局授權資料歷史紀錄查詢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</r>
  <r>
    <m/>
    <n v="1"/>
    <x v="3"/>
    <s v="3-3回收、部分償還、暫收款"/>
    <s v="L3210"/>
    <s v="暫收款登錄               "/>
    <m/>
    <s v="賴文育"/>
    <s v="余家興"/>
    <s v="PJ201800012_URS_3帳務作業_V1.81"/>
    <x v="16"/>
    <d v="2021-09-13T00:00:00"/>
    <d v="2021-09-13T00:00:00"/>
    <s v="李珮琪"/>
    <s v="邵淑微"/>
    <m/>
    <m/>
    <m/>
    <m/>
    <m/>
    <m/>
    <m/>
  </r>
  <r>
    <m/>
    <n v="1"/>
    <x v="3"/>
    <s v="3-3回收、部分償還、暫收款"/>
    <s v="L3220"/>
    <s v="暫收款退還               "/>
    <m/>
    <s v="賴文育"/>
    <s v="余家興"/>
    <s v="PJ201800012_URS_3帳務作業_V1.84"/>
    <x v="16"/>
    <d v="2021-09-13T00:00:00"/>
    <d v="2021-10-18T00:00:00"/>
    <s v="李珮琪"/>
    <s v="邵淑微"/>
    <m/>
    <m/>
    <m/>
    <m/>
    <m/>
    <m/>
    <m/>
  </r>
  <r>
    <m/>
    <m/>
    <x v="5"/>
    <s v="4-1撥款退款作業"/>
    <s v="L4102"/>
    <s v="撥款退款明細表"/>
    <s v="審後新增2021/10/26"/>
    <s v="賴文育"/>
    <s v="陳昱衡"/>
    <s v="PJ201800012_URS_4批次作業_V1.10.doc"/>
    <x v="17"/>
    <d v="2021-10-15T00:00:00"/>
    <d v="2021-12-03T00:00:00"/>
    <s v="涂宇欣"/>
    <s v="尹少玄"/>
    <m/>
    <m/>
    <m/>
    <m/>
    <m/>
    <m/>
    <m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x v="17"/>
    <d v="2021-10-15T00:00:00"/>
    <d v="2021-11-23T00:00:00"/>
    <s v="涂宇欣"/>
    <s v="尹少玄"/>
    <m/>
    <m/>
    <m/>
    <m/>
    <m/>
    <m/>
    <m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</r>
  <r>
    <m/>
    <m/>
    <x v="2"/>
    <s v="6-1控制類"/>
    <s v="L6101"/>
    <s v="業務關帳作業"/>
    <m/>
    <s v="賴文育"/>
    <s v="楊智誠"/>
    <s v="PJ201800012_URS_6共同作業_V1.11.docx"/>
    <x v="16"/>
    <d v="2021-09-13T00:00:00"/>
    <d v="2021-12-10T00:00:00"/>
    <s v="涂宇欣"/>
    <s v="蔡珮瑜"/>
    <m/>
    <m/>
    <m/>
    <m/>
    <m/>
    <m/>
    <m/>
  </r>
  <r>
    <m/>
    <m/>
    <x v="5"/>
    <s v="4-7其他"/>
    <s v="L4701"/>
    <s v="票據媒體製作                         "/>
    <m/>
    <s v="賴文育"/>
    <s v="余家興"/>
    <s v="PJ201800012_URS_4批次作業_V1.10.doc"/>
    <x v="16"/>
    <d v="2021-09-13T00:00:00"/>
    <d v="2021-06-25T00:00:00"/>
    <s v="李珮琪"/>
    <s v="邵淑微"/>
    <m/>
    <m/>
    <m/>
    <m/>
    <m/>
    <m/>
    <m/>
  </r>
  <r>
    <m/>
    <n v="1"/>
    <x v="3"/>
    <s v="3-3回收、部分償還、暫收款"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n v="1"/>
    <x v="3"/>
    <s v="3-3回收、部分償還、暫收款"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n v="1"/>
    <x v="3"/>
    <s v="3-3回收、部分償還、暫收款"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m/>
    <x v="1"/>
    <s v="2-9其他"/>
    <s v="L2061"/>
    <s v="貸後契變手續費明細資料查詢(未入帳)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</r>
  <r>
    <m/>
    <m/>
    <x v="1"/>
    <s v="2-9其他"/>
    <s v="L2670"/>
    <s v="貸後契變手續費維護                      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</r>
  <r>
    <m/>
    <m/>
    <x v="1"/>
    <s v="2-9其他"/>
    <s v="L2062"/>
    <s v="貸後契變手續費明細資料查詢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</r>
  <r>
    <m/>
    <m/>
    <x v="5"/>
    <s v="4-6火險作業"/>
    <s v="L4060"/>
    <s v="額度擔保品保險單關聯查詢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610"/>
    <s v="保險單明細資料登錄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</r>
  <r>
    <m/>
    <m/>
    <x v="5"/>
    <s v="4-6火險作業"/>
    <s v="L4600"/>
    <s v="火險到期檔產生作業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601"/>
    <s v="火險詢價作業      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611"/>
    <s v="續約保單資料維護    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</r>
  <r>
    <m/>
    <m/>
    <x v="5"/>
    <s v="4-6火險作業"/>
    <s v="L4602"/>
    <s v="火險出單明細表與媒體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d v="2021-12-22T00:00:00"/>
    <m/>
    <x v="5"/>
    <s v="4-6火險作業"/>
    <s v="L4603"/>
    <s v="火險通知作業               "/>
    <m/>
    <s v="賴文育"/>
    <s v="陳昱衡"/>
    <s v="PJ201800012_URS_4批次作業_V1.12.docx"/>
    <x v="19"/>
    <d v="2021-09-16T00:00:00"/>
    <d v="2021-12-20T00:00:00"/>
    <s v="吳承憲"/>
    <s v="邵淑微"/>
    <m/>
    <m/>
    <m/>
    <m/>
    <m/>
    <m/>
    <m/>
  </r>
  <r>
    <m/>
    <m/>
    <x v="5"/>
    <s v="4-6火險作業"/>
    <s v="L4962"/>
    <s v="保險單資料檢核作業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</r>
  <r>
    <m/>
    <m/>
    <x v="5"/>
    <s v="4-6火險作業"/>
    <s v="L4960"/>
    <s v="火險保費資料查詢(By客戶)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961"/>
    <s v="火險保費明細查詢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964"/>
    <s v="擔保品保險單資料查詢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965"/>
    <s v="保險單明細資料查詢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3"/>
    <s v="銀扣扣款前通知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</r>
  <r>
    <m/>
    <m/>
    <x v="6"/>
    <s v="5-5債務協商作業"/>
    <s v="L5705"/>
    <s v="債權比例分攤(產出)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706"/>
    <s v="債權比例分攤資料維護(匯入)            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</r>
  <r>
    <m/>
    <m/>
    <x v="6"/>
    <s v="5-5債務協商作業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</r>
  <r>
    <m/>
    <m/>
    <x v="6"/>
    <s v="5-5債務協商作業"/>
    <s v="L5981"/>
    <s v="債權異動歷程查詢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</r>
  <r>
    <m/>
    <m/>
    <x v="6"/>
    <s v="5-5債務協商作業"/>
    <s v="L5974"/>
    <s v="債權銀行帳號明細資料查詢              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073"/>
    <s v="債務協商作業-撥付日期查詢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</r>
  <r>
    <m/>
    <m/>
    <x v="6"/>
    <s v="5-5債務協商作業"/>
    <s v="L5074"/>
    <s v="債務協商作業－債協應處理事項清單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</r>
  <r>
    <m/>
    <m/>
    <x v="6"/>
    <s v="5-5債務協商作業"/>
    <s v="L5702"/>
    <s v="債務協商作業-暫收入帳"/>
    <m/>
    <s v="蘇曉玲"/>
    <s v="蘇曉玲"/>
    <s v="PJ201800012_URS_5管理性作業_V1.2.DOCX"/>
    <x v="23"/>
    <d v="2021-09-24T00:00:00"/>
    <d v="2021-09-23T00:00:00"/>
    <s v="林清河"/>
    <s v="蔡珮瑜"/>
    <s v="邱怡婷"/>
    <m/>
    <m/>
    <m/>
    <m/>
    <m/>
    <m/>
  </r>
  <r>
    <m/>
    <m/>
    <x v="6"/>
    <s v="5-5債務協商作業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</r>
  <r>
    <m/>
    <m/>
    <x v="6"/>
    <s v="5-5債務協商作業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</r>
  <r>
    <m/>
    <m/>
    <x v="6"/>
    <s v="5-5債務協商作業"/>
    <s v="L5972"/>
    <s v="債務協商入帳明細資料查詢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3"/>
    <s v="債權銀行帳號登錄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4"/>
    <s v="債務協商作業－撥付日期設定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7"/>
    <s v="最大債權撥付產檔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3"/>
    <s v="最大債權撥付明細查詢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5"/>
    <s v="最大債權撥付統計查詢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6"/>
    <s v="債權案件主檔內容查詢"/>
    <m/>
    <s v="蘇曉玲"/>
    <s v="蘇曉玲"/>
    <s v="PJ201800012_URS_5管理性作業_V1.2.DOCX"/>
    <x v="21"/>
    <d v="2021-09-23T00:00:00"/>
    <d v="2021-10-15T00:00:00"/>
    <s v="林清河"/>
    <s v="蔡珮瑜"/>
    <s v="邱怡婷"/>
    <m/>
    <m/>
    <m/>
    <m/>
    <m/>
    <m/>
  </r>
  <r>
    <m/>
    <m/>
    <x v="6"/>
    <s v="5-5債務協商作業"/>
    <s v="L5977"/>
    <s v="客戶最大債權撥付統計查詢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</r>
  <r>
    <m/>
    <m/>
    <x v="6"/>
    <s v="5-5債務協商作業"/>
    <s v="L5711"/>
    <s v="撥付金額調整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</r>
  <r>
    <m/>
    <m/>
    <x v="6"/>
    <s v="5-5債務協商作業"/>
    <s v="L5708"/>
    <s v="最大債權撥付出帳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</r>
  <r>
    <m/>
    <m/>
    <x v="6"/>
    <s v="5-5債務協商作業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</r>
  <r>
    <m/>
    <m/>
    <x v="2"/>
    <s v="6-6各類代碼檔維護"/>
    <s v="L6061"/>
    <s v="會計科子細目查詢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</r>
  <r>
    <m/>
    <m/>
    <x v="2"/>
    <s v="6-6各類代碼檔維護"/>
    <s v="L6062"/>
    <s v="行業別代號資料查詢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</r>
  <r>
    <m/>
    <m/>
    <x v="2"/>
    <s v="6-6各類代碼檔維護"/>
    <s v="L6063"/>
    <s v="擔保品代號資料查詢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</r>
  <r>
    <m/>
    <m/>
    <x v="2"/>
    <s v="6-3共同資料維護(利率、營業日)"/>
    <s v="L6030"/>
    <s v="特殊/例假日查詢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</r>
  <r>
    <m/>
    <m/>
    <x v="2"/>
    <s v="6-3共同資料維護(利率、營業日)"/>
    <s v="L6310"/>
    <s v="特殊/例假日登錄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</r>
  <r>
    <m/>
    <m/>
    <x v="2"/>
    <s v="6-6各類代碼檔維護"/>
    <s v="L6064"/>
    <s v="各類代碼檔查詢"/>
    <m/>
    <s v="賴文育"/>
    <s v="楊智誠"/>
    <s v="PJ201800012_URS_6共同作業_V1.11.docx"/>
    <x v="25"/>
    <d v="2021-09-27T00:00:00"/>
    <d v="2021-10-03T00:00:00"/>
    <s v="李珮琪"/>
    <s v="陳政皓"/>
    <m/>
    <m/>
    <m/>
    <m/>
    <m/>
    <m/>
    <m/>
  </r>
  <r>
    <m/>
    <m/>
    <x v="2"/>
    <s v="6-6各類代碼檔維護"/>
    <s v="L6065"/>
    <s v="逾期新增減少原因查詢"/>
    <m/>
    <s v="賴文育"/>
    <s v="楊智誠"/>
    <s v="PJ201800012_URS_6共同作業_V1.11.docx"/>
    <x v="26"/>
    <d v="2021-09-28T00:00:00"/>
    <d v="2021-09-28T00:00:00"/>
    <s v="李珮琪"/>
    <s v="張舜雯"/>
    <m/>
    <m/>
    <m/>
    <m/>
    <m/>
    <m/>
    <m/>
  </r>
  <r>
    <m/>
    <m/>
    <x v="2"/>
    <s v="6-6各類代碼檔維護"/>
    <s v="L6066"/>
    <s v="主管理由查詢"/>
    <m/>
    <s v="賴文育"/>
    <s v="楊智誠"/>
    <s v="PJ201800012_URS_6共同作業_V1.11.docx"/>
    <x v="26"/>
    <d v="2021-09-28T00:00:00"/>
    <d v="2021-09-28T00:00:00"/>
    <s v="李珮琪"/>
    <s v="陳政皓"/>
    <m/>
    <m/>
    <m/>
    <m/>
    <m/>
    <m/>
    <m/>
  </r>
  <r>
    <m/>
    <m/>
    <x v="2"/>
    <s v="6-6各類代碼檔維護"/>
    <s v="L6067"/>
    <s v="保證人關係代碼查詢"/>
    <m/>
    <s v="賴文育"/>
    <s v="楊智誠"/>
    <s v="PJ201800012_URS_6共同作業_V1.11.docx"/>
    <x v="26"/>
    <d v="2021-09-28T00:00:00"/>
    <d v="2021-09-28T00:00:00"/>
    <s v="李珮琪"/>
    <s v="鄧雪美"/>
    <m/>
    <m/>
    <m/>
    <m/>
    <m/>
    <m/>
    <m/>
  </r>
  <r>
    <m/>
    <m/>
    <x v="2"/>
    <s v="6-6各類代碼檔維護"/>
    <s v="L6068"/>
    <s v="報表代號對照檔查詢"/>
    <m/>
    <s v="賴文育"/>
    <s v="楊智誠"/>
    <s v="PJ201800012_URS_6共同作業_V1.11.docx"/>
    <x v="27"/>
    <d v="2021-12-03T00:00:00"/>
    <d v="2021-12-07T00:00:00"/>
    <s v="涂宇欣"/>
    <s v="蔡珮瑜"/>
    <m/>
    <m/>
    <m/>
    <m/>
    <m/>
    <m/>
    <m/>
  </r>
  <r>
    <m/>
    <m/>
    <x v="2"/>
    <s v="6-7其他基本資料維護"/>
    <s v="L6071"/>
    <s v="行庫資料查詢"/>
    <m/>
    <s v="賴文育"/>
    <s v="楊智誠"/>
    <s v="PJ201800012_URS_6共同作業_V1.11.docx"/>
    <x v="26"/>
    <d v="2021-09-28T00:00:00"/>
    <d v="2021-09-28T00:00:00"/>
    <s v="李珮琪"/>
    <s v="陳政皓"/>
    <m/>
    <m/>
    <m/>
    <m/>
    <m/>
    <m/>
    <m/>
  </r>
  <r>
    <m/>
    <m/>
    <x v="2"/>
    <s v="6-7其他基本資料維護"/>
    <s v="L6072"/>
    <s v="營業單位對照檔查詢"/>
    <m/>
    <s v="賴文育"/>
    <s v="楊智誠"/>
    <s v="PJ201800012_URS_6共同作業_V1.11.docx"/>
    <x v="27"/>
    <d v="2021-11-29T00:00:00"/>
    <d v="2021-12-07T00:00:00"/>
    <s v="涂宇欣"/>
    <s v="蔡珮瑜"/>
    <m/>
    <m/>
    <m/>
    <m/>
    <m/>
    <m/>
    <m/>
  </r>
  <r>
    <m/>
    <m/>
    <x v="2"/>
    <s v="6-7其他基本資料維護"/>
    <s v="L6073"/>
    <s v="保險/鑑定公司資料查詢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</r>
  <r>
    <m/>
    <m/>
    <x v="2"/>
    <s v="6-7其他基本資料維護"/>
    <s v="L6074"/>
    <s v="地區別資料查詢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</r>
  <r>
    <m/>
    <m/>
    <x v="2"/>
    <s v="6-7其他基本資料維護"/>
    <s v="L6075"/>
    <s v="聯徵報送-地區別資料查詢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</r>
  <r>
    <m/>
    <m/>
    <x v="2"/>
    <s v="6-7其他基本資料維護"/>
    <s v="L6077"/>
    <s v="現金流量預估資料查詢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</r>
  <r>
    <m/>
    <m/>
    <x v="2"/>
    <s v="6-7其他基本資料維護"/>
    <s v="L6078"/>
    <s v="利息收入預算數查詢"/>
    <m/>
    <s v="賴文育"/>
    <s v="楊智誠"/>
    <s v="PJ201800012_URS_6共同作業_V1.11.docx"/>
    <x v="25"/>
    <d v="2021-09-27T00:00:00"/>
    <d v="2021-09-27T00:00:00"/>
    <s v="林清河"/>
    <s v="蔡珮瑜"/>
    <m/>
    <m/>
    <m/>
    <m/>
    <m/>
    <m/>
    <m/>
  </r>
  <r>
    <m/>
    <m/>
    <x v="2"/>
    <s v="6-7其他基本資料維護"/>
    <s v="L6079"/>
    <s v="帳冊別目標金額查詢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</r>
  <r>
    <m/>
    <m/>
    <x v="2"/>
    <s v="6-7其他基本資料維護"/>
    <s v="L6081"/>
    <s v="介紹人加碼獎勵津貼標準設定數查詢"/>
    <m/>
    <s v="賴文育"/>
    <s v="楊智誠"/>
    <s v="PJ201800012_URS_6共同作業_V1.11.docx"/>
    <x v="28"/>
    <d v="2021-07-20T00:00:00"/>
    <d v="2021-07-21T00:00:00"/>
    <s v="李珮琪"/>
    <s v="張淑遠"/>
    <m/>
    <m/>
    <m/>
    <m/>
    <m/>
    <m/>
    <m/>
  </r>
  <r>
    <m/>
    <m/>
    <x v="2"/>
    <s v="6-7其他基本資料維護"/>
    <s v="L6082"/>
    <s v="放款業績工作月查詢"/>
    <m/>
    <s v="賴文育"/>
    <s v="楊智誠"/>
    <s v="PJ201800012_URS_6共同作業_V1.11.docx"/>
    <x v="29"/>
    <d v="2021-07-19T00:00:00"/>
    <d v="2021-07-25T00:00:00"/>
    <s v="涂宇欣"/>
    <s v="李珮君(張淑遠)"/>
    <m/>
    <n v="1"/>
    <s v="B"/>
    <m/>
    <m/>
    <m/>
    <m/>
  </r>
  <r>
    <m/>
    <m/>
    <x v="2"/>
    <s v="6-7其他基本資料維護"/>
    <s v="L6084"/>
    <s v="業績件數及金額核算標準查詢"/>
    <m/>
    <s v="賴文育"/>
    <s v="楊智誠"/>
    <s v="PJ201800012_URS_6共同作業_V1.11.docx"/>
    <x v="30"/>
    <d v="2021-07-21T00:00:00"/>
    <d v="2021-07-25T00:00:00"/>
    <s v="涂宇欣"/>
    <s v="張淑遠"/>
    <m/>
    <m/>
    <m/>
    <m/>
    <m/>
    <m/>
    <m/>
  </r>
  <r>
    <m/>
    <m/>
    <x v="2"/>
    <s v="6-7其他基本資料維護"/>
    <s v="L6085"/>
    <s v="單位及主管代號查詢"/>
    <m/>
    <s v="賴文育"/>
    <s v="楊智誠"/>
    <s v="PJ201800012_URS_6共同作業_V1.11.docx"/>
    <x v="25"/>
    <d v="2021-09-27T00:00:00"/>
    <d v="2021-10-06T00:00:00"/>
    <s v="涂宇欣"/>
    <s v="李珮君"/>
    <s v="張淑遠"/>
    <m/>
    <m/>
    <m/>
    <m/>
    <m/>
    <m/>
  </r>
  <r>
    <m/>
    <m/>
    <x v="2"/>
    <s v="6-7其他基本資料維護"/>
    <s v="L6086"/>
    <s v="單位代號查詢"/>
    <m/>
    <s v="賴文育"/>
    <s v="楊智誠"/>
    <s v="PJ201800012_URS_6共同作業_V1.11.docx"/>
    <x v="25"/>
    <d v="2021-09-27T00:00:00"/>
    <d v="2021-10-06T00:00:00"/>
    <s v="涂宇欣"/>
    <s v="李珮君"/>
    <s v="張淑遠"/>
    <m/>
    <m/>
    <m/>
    <m/>
    <m/>
    <m/>
  </r>
  <r>
    <m/>
    <m/>
    <x v="2"/>
    <s v="6-6各類代碼檔維護"/>
    <s v="L6601"/>
    <s v="會計科子細目維護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</r>
  <r>
    <m/>
    <m/>
    <x v="2"/>
    <s v="6-6各類代碼檔維護"/>
    <s v="L6602"/>
    <s v="行業別代號維護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</r>
  <r>
    <m/>
    <m/>
    <x v="2"/>
    <s v="6-6各類代碼檔維護"/>
    <s v="L6603"/>
    <s v="擔保品代號資料維護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</r>
  <r>
    <m/>
    <m/>
    <x v="2"/>
    <s v="6-6各類代碼檔維護"/>
    <s v="L6604"/>
    <s v="各類代碼檔維護"/>
    <m/>
    <s v="賴文育"/>
    <s v="楊智誠"/>
    <s v="PJ201800012_URS_6共同作業_V1.11.docx"/>
    <x v="25"/>
    <d v="2021-09-27T00:00:00"/>
    <d v="2021-10-03T00:00:00"/>
    <s v="李珮琪"/>
    <s v="陳政皓"/>
    <m/>
    <m/>
    <m/>
    <m/>
    <m/>
    <m/>
    <m/>
  </r>
  <r>
    <m/>
    <m/>
    <x v="2"/>
    <s v="6-6各類代碼檔維護"/>
    <s v="L6605"/>
    <s v="逾期新增減少原因維護"/>
    <m/>
    <s v="賴文育"/>
    <s v="楊智誠"/>
    <s v="PJ201800012_URS_6共同作業_V1.11.docx"/>
    <x v="26"/>
    <d v="2021-09-28T00:00:00"/>
    <d v="2021-10-03T00:00:00"/>
    <s v="李珮琪"/>
    <s v="張舜雯"/>
    <m/>
    <m/>
    <m/>
    <m/>
    <m/>
    <m/>
    <m/>
  </r>
  <r>
    <m/>
    <m/>
    <x v="2"/>
    <s v="6-6各類代碼檔維護"/>
    <s v="L6606"/>
    <s v="主管理由維護"/>
    <m/>
    <s v="賴文育"/>
    <s v="楊智誠"/>
    <s v="PJ201800012_URS_6共同作業_V1.11.docx"/>
    <x v="26"/>
    <d v="2021-09-28T00:00:00"/>
    <d v="2021-09-28T00:00:00"/>
    <s v="李珮琪"/>
    <s v="陳政皓"/>
    <m/>
    <m/>
    <m/>
    <m/>
    <m/>
    <m/>
    <m/>
  </r>
  <r>
    <m/>
    <m/>
    <x v="2"/>
    <s v="6-6各類代碼檔維護"/>
    <s v="L6607"/>
    <s v="保證人關係代碼維護"/>
    <m/>
    <s v="賴文育"/>
    <s v="楊智誠"/>
    <s v="PJ201800012_URS_6共同作業_V1.11.docx"/>
    <x v="26"/>
    <d v="2021-09-28T00:00:00"/>
    <d v="2021-09-28T00:00:00"/>
    <s v="李珮琪"/>
    <s v="鄧雪美"/>
    <m/>
    <m/>
    <m/>
    <m/>
    <m/>
    <m/>
    <m/>
  </r>
  <r>
    <m/>
    <m/>
    <x v="2"/>
    <s v="6-6各類代碼檔維護"/>
    <s v="L6608"/>
    <s v="報表代號對照檔維護"/>
    <m/>
    <s v="賴文育"/>
    <s v="楊智誠"/>
    <s v="PJ201800012_URS_6共同作業_V1.11.docx"/>
    <x v="27"/>
    <d v="2021-12-03T00:00:00"/>
    <d v="2021-12-07T00:00:00"/>
    <s v="涂宇欣"/>
    <s v="蔡珮瑜"/>
    <m/>
    <m/>
    <m/>
    <m/>
    <m/>
    <m/>
    <m/>
  </r>
  <r>
    <m/>
    <m/>
    <x v="2"/>
    <s v="6-7其他基本資料維護"/>
    <s v="L6701"/>
    <s v="行庫資料維護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</r>
  <r>
    <m/>
    <m/>
    <x v="2"/>
    <s v="6-7其他基本資料維護"/>
    <s v="L6702"/>
    <s v="營業單位對照檔維護"/>
    <m/>
    <s v="賴文育"/>
    <s v="楊智誠"/>
    <s v="PJ201800012_URS_6共同作業_V1.11.docx"/>
    <x v="27"/>
    <d v="2021-11-29T00:00:00"/>
    <d v="2021-12-07T00:00:00"/>
    <s v="涂宇欣"/>
    <s v="蔡珮瑜"/>
    <m/>
    <m/>
    <m/>
    <m/>
    <m/>
    <m/>
    <m/>
  </r>
  <r>
    <m/>
    <m/>
    <x v="2"/>
    <s v="6-5系統變數維護"/>
    <s v="L6052"/>
    <s v="會計變動數值設定查詢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</r>
  <r>
    <m/>
    <m/>
    <x v="2"/>
    <s v="6-5系統變數維護"/>
    <s v="L6502"/>
    <s v="會計變動數值設定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</r>
  <r>
    <m/>
    <m/>
    <x v="2"/>
    <s v="6-7其他基本資料維護"/>
    <s v="L6088"/>
    <s v="員工資料檔查詢"/>
    <s v="由L190A更名 2021/12/20"/>
    <s v="張金龍"/>
    <s v="張嘉榮"/>
    <s v="PJ201800012_URS_6共同作業_V1.11.docx"/>
    <x v="0"/>
    <d v="2021-07-23T00:00:00"/>
    <d v="2021-08-04T00:00:00"/>
    <s v="吳承憲"/>
    <s v="蔡珮瑜"/>
    <m/>
    <m/>
    <m/>
    <m/>
    <m/>
    <m/>
    <m/>
  </r>
  <r>
    <m/>
    <m/>
    <x v="5"/>
    <s v="4-5員工扣薪作業-1產出媒體"/>
    <s v="L4500"/>
    <s v="設定員工扣薪日程表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950"/>
    <s v="員工扣薪設定檢核表    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0"/>
    <s v="產出員工扣薪明細檔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951"/>
    <s v="員工扣薪媒體檔查詢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2"/>
    <s v="員工扣薪媒體檔維護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1"/>
    <s v="產出員工扣薪媒體檔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x v="32"/>
    <d v="2021-09-29T00:00:00"/>
    <d v="2021-11-23T00:00:00"/>
    <s v="李珮琪"/>
    <s v="蔡珮瑜"/>
    <m/>
    <m/>
    <m/>
    <m/>
    <m/>
    <m/>
    <m/>
  </r>
  <r>
    <d v="2021-12-28T00:00:00"/>
    <m/>
    <x v="5"/>
    <s v="4-5員工扣薪作業-1產出媒體"/>
    <s v="L4520"/>
    <s v="產生員工扣薪報表"/>
    <m/>
    <s v="賴文育"/>
    <s v="陳昱衡"/>
    <s v="PJ201800012_URS_4批次作業_V1.12.docx"/>
    <x v="33"/>
    <d v="2021-09-29T00:00:00"/>
    <d v="2021-12-20T00:00:00"/>
    <s v="涂宇欣"/>
    <s v="邵淑微"/>
    <m/>
    <m/>
    <m/>
    <m/>
    <m/>
    <m/>
    <m/>
  </r>
  <r>
    <m/>
    <m/>
    <x v="5"/>
    <s v="4-5員工扣薪作業-2入賬"/>
    <s v="L4204"/>
    <s v="員工扣薪-明細查詢"/>
    <m/>
    <s v="賴文育"/>
    <s v="陳昱衡"/>
    <s v="PJ201800012_URS_4批次作業_V1.10.doc"/>
    <x v="33"/>
    <d v="2021-09-29T00:00:00"/>
    <d v="2021-07-02T00:00:00"/>
    <s v="李珮琪"/>
    <s v="邵淑微"/>
    <m/>
    <m/>
    <m/>
    <m/>
    <m/>
    <m/>
    <m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x v="34"/>
    <d v="2021-10-01T00:00:00"/>
    <d v="2021-11-23T00:00:00"/>
    <s v="李珮琪"/>
    <s v="邵淑微"/>
    <m/>
    <m/>
    <m/>
    <m/>
    <m/>
    <m/>
    <m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x v="32"/>
    <d v="2021-10-15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x v="32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x v="32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x v="32"/>
    <d v="2021-10-15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x v="32"/>
    <d v="2021-10-15T00:00:00"/>
    <d v="2021-11-23T00:00:00"/>
    <s v="李珮琪"/>
    <s v="蔡珮瑜"/>
    <m/>
    <m/>
    <m/>
    <m/>
    <m/>
    <m/>
    <m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x v="32"/>
    <d v="2021-10-15T00:00:00"/>
    <d v="2021-11-23T00:00:00"/>
    <s v="李珮琪"/>
    <s v="宋郁宏"/>
    <m/>
    <m/>
    <m/>
    <m/>
    <m/>
    <m/>
    <m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x v="32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x v="32"/>
    <d v="2021-10-15T00:00:00"/>
    <d v="2021-11-23T00:00:00"/>
    <s v="李珮琪"/>
    <s v="宋郁宏"/>
    <m/>
    <m/>
    <m/>
    <m/>
    <m/>
    <m/>
    <m/>
  </r>
  <r>
    <d v="2021-12-24T00:00:00"/>
    <m/>
    <x v="5"/>
    <s v="4-4銀行扣款作業(產出銀扣媒體作業)"/>
    <s v="L4454"/>
    <s v="產生銀扣失敗通知"/>
    <m/>
    <s v="賴文育"/>
    <s v="陳昱衡"/>
    <s v="PJ201800012_URS_4批次作業_V1.12.docx"/>
    <x v="32"/>
    <d v="2021-10-15T00:00:00"/>
    <d v="2021-12-20T00:00:00"/>
    <s v="李珮琪"/>
    <s v="許慧玉"/>
    <s v="蔡珮瑜、張舜雯"/>
    <m/>
    <m/>
    <m/>
    <m/>
    <m/>
    <m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x v="32"/>
    <d v="2021-10-15T00:00:00"/>
    <d v="2021-11-23T00:00:00"/>
    <s v="李珮琪"/>
    <s v="許慧玉"/>
    <s v="蔡珮瑜、張舜雯"/>
    <m/>
    <m/>
    <m/>
    <m/>
    <m/>
    <m/>
  </r>
  <r>
    <m/>
    <n v="1"/>
    <x v="3"/>
    <s v="3-3回收、部分償還、暫收款"/>
    <s v="L3911"/>
    <s v="繳息情形查詢             "/>
    <m/>
    <s v="賴文育"/>
    <s v="余家興"/>
    <s v="PJ201800012_URS_3帳務作業_V1.84"/>
    <x v="35"/>
    <d v="2021-10-22T00:00:00"/>
    <d v="2021-12-07T00:00:00"/>
    <s v="李珮琪"/>
    <s v="蔡珮瑜"/>
    <m/>
    <m/>
    <m/>
    <m/>
    <m/>
    <m/>
    <m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84"/>
    <x v="35"/>
    <d v="2021-10-22T00:00:00"/>
    <d v="2021-12-07T00:00:00"/>
    <s v="李珮琪"/>
    <s v="蔡珮瑜"/>
    <m/>
    <m/>
    <m/>
    <m/>
    <m/>
    <m/>
    <m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81"/>
    <x v="35"/>
    <d v="2021-10-22T00:00:00"/>
    <d v="2021-11-10T00:00:00"/>
    <s v="李珮琪"/>
    <s v="蔡珮瑜"/>
    <m/>
    <m/>
    <m/>
    <m/>
    <m/>
    <m/>
    <m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x v="36"/>
    <d v="2021-10-12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x v="36"/>
    <d v="2021-10-12T00:00:00"/>
    <d v="2021-11-23T00:00:00"/>
    <s v="李珮琪"/>
    <s v="蔡珮瑜"/>
    <m/>
    <m/>
    <m/>
    <m/>
    <m/>
    <m/>
    <m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0.doc"/>
    <x v="36"/>
    <d v="2021-10-12T00:00:00"/>
    <d v="2021-11-23T00:00:00"/>
    <s v="李珮琪"/>
    <s v="宋郁宏"/>
    <m/>
    <m/>
    <m/>
    <m/>
    <m/>
    <m/>
    <m/>
  </r>
  <r>
    <d v="2021-12-22T00:00:00"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2.docx"/>
    <x v="36"/>
    <d v="2021-10-12T00:00:00"/>
    <d v="2021-12-20T00:00:00"/>
    <s v="李珮琪"/>
    <s v="宋郁宏"/>
    <m/>
    <m/>
    <m/>
    <m/>
    <m/>
    <m/>
    <m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x v="36"/>
    <d v="2021-10-13T00:00:00"/>
    <d v="2021-11-23T00:00:00"/>
    <s v="李珮琪"/>
    <s v="蔡珮瑜"/>
    <m/>
    <m/>
    <m/>
    <m/>
    <m/>
    <m/>
    <m/>
  </r>
  <r>
    <d v="2021-12-24T00:00:00"/>
    <m/>
    <x v="5"/>
    <s v="4-7其他"/>
    <s v="L4702"/>
    <s v="產生放款本息攤還表暨繳息通知單       "/>
    <m/>
    <s v="賴文育"/>
    <s v="陳昱衡"/>
    <s v="PJ201800012_URS_4批次作業_V1.12.docx"/>
    <x v="36"/>
    <d v="2021-10-12T00:00:00"/>
    <d v="2021-12-20T00:00:00"/>
    <s v="李珮琪"/>
    <s v="邵淑微"/>
    <s v="宋郁宏"/>
    <m/>
    <m/>
    <m/>
    <m/>
    <m/>
    <m/>
  </r>
  <r>
    <m/>
    <m/>
    <x v="5"/>
    <s v="4-7其他"/>
    <s v="L4703"/>
    <s v="產生滯繳通知單                       "/>
    <m/>
    <s v="賴文育"/>
    <s v="陳昱衡"/>
    <s v="PJ201800012_URS_4批次作業_V1.10.doc"/>
    <x v="36"/>
    <d v="2021-10-12T00:00:00"/>
    <d v="2021-12-03T00:00:00"/>
    <s v="李珮琪"/>
    <s v="邵淑微"/>
    <s v="宋郁宏"/>
    <m/>
    <m/>
    <m/>
    <m/>
    <m/>
    <m/>
  </r>
  <r>
    <m/>
    <n v="1"/>
    <x v="3"/>
    <s v="3-1試算"/>
    <s v="L3921"/>
    <s v="回收試算                 "/>
    <m/>
    <s v="賴文育"/>
    <s v="余家興"/>
    <s v="PJ201800012_URS_3帳務作業_V1.84"/>
    <x v="37"/>
    <d v="2021-10-13T00:00:00"/>
    <d v="2021-10-13T00:00:00"/>
    <s v="李珮琪"/>
    <s v="蔡珮瑜"/>
    <m/>
    <m/>
    <m/>
    <m/>
    <m/>
    <m/>
    <m/>
  </r>
  <r>
    <m/>
    <n v="1"/>
    <x v="3"/>
    <s v="3-1試算"/>
    <s v="L3922"/>
    <s v="結案試算                 "/>
    <m/>
    <s v="賴文育"/>
    <s v="余家興"/>
    <s v="PJ201800012_URS_3帳務作業_V1.81"/>
    <x v="37"/>
    <d v="2021-10-13T00:00:00"/>
    <d v="2021-10-13T00:00:00"/>
    <s v="李珮琪"/>
    <s v="蔡珮瑜"/>
    <s v="尹少玄"/>
    <m/>
    <m/>
    <m/>
    <m/>
    <m/>
    <m/>
  </r>
  <r>
    <m/>
    <n v="1"/>
    <x v="3"/>
    <s v="3-1試算"/>
    <s v="L3923"/>
    <s v="應繳日試算              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</r>
  <r>
    <m/>
    <n v="1"/>
    <x v="3"/>
    <s v="3-1試算"/>
    <s v="L3924"/>
    <s v="催收回復試算             "/>
    <m/>
    <s v="賴文育"/>
    <s v="余家興"/>
    <s v="PJ201800012_URS_3帳務作業_V1.81"/>
    <x v="37"/>
    <d v="2021-10-18T00:00:00"/>
    <d v="2021-10-18T00:00:00"/>
    <s v="林清河"/>
    <s v="邵淑微"/>
    <s v="張舜雯"/>
    <m/>
    <m/>
    <m/>
    <m/>
    <m/>
    <m/>
  </r>
  <r>
    <m/>
    <n v="1"/>
    <x v="3"/>
    <s v="3-1試算"/>
    <s v="L3925"/>
    <s v="還款分配試算            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</r>
  <r>
    <m/>
    <n v="1"/>
    <x v="3"/>
    <s v="3-1試算"/>
    <s v="L3926"/>
    <s v="變更期款試算             "/>
    <m/>
    <s v="賴文育"/>
    <s v="余家興"/>
    <s v="PJ201800012_URS_3帳務作業_V1.81"/>
    <x v="37"/>
    <d v="2021-10-13T00:00:00"/>
    <d v="2021-11-10T00:00:00"/>
    <s v="李珮琪"/>
    <s v="蔡珮瑜"/>
    <m/>
    <m/>
    <m/>
    <m/>
    <m/>
    <m/>
    <m/>
  </r>
  <r>
    <m/>
    <n v="1"/>
    <x v="3"/>
    <s v="3-3回收、部分償還、暫收款"/>
    <s v="L3004"/>
    <s v="約定部分償還明細資料查詢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x v="37"/>
    <d v="2021-10-13T00:00:00"/>
    <d v="2021-11-10T00:00:00"/>
    <s v="李珮琪"/>
    <s v="蔡珮瑜"/>
    <s v="宋郁宏"/>
    <m/>
    <m/>
    <m/>
    <m/>
    <m/>
    <m/>
  </r>
  <r>
    <m/>
    <n v="1"/>
    <x v="3"/>
    <s v="3-3回收、部分償還、暫收款"/>
    <s v="L3200"/>
    <s v="回收登錄                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</r>
  <r>
    <m/>
    <n v="1"/>
    <x v="3"/>
    <s v="3-3回收、部分償還、暫收款"/>
    <s v="L3230"/>
    <s v="暫收款銷帳"/>
    <m/>
    <s v="賴文育"/>
    <s v="余家興"/>
    <s v="PJ201800012_URS_3帳務作業_V1.81"/>
    <x v="37"/>
    <d v="2021-10-13T00:00:00"/>
    <d v="2021-10-18T00:00:00"/>
    <s v="李珮琪"/>
    <s v="邵淑微"/>
    <s v="張舜雯"/>
    <m/>
    <m/>
    <m/>
    <m/>
    <m/>
    <m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x v="37"/>
    <d v="2021-10-13T00:00:00"/>
    <d v="2021-12-07T00:00:00"/>
    <s v="李珮琪"/>
    <s v="邵淑微"/>
    <s v="張舜雯"/>
    <m/>
    <m/>
    <m/>
    <m/>
    <m/>
    <m/>
  </r>
  <r>
    <m/>
    <n v="1"/>
    <x v="3"/>
    <s v="3-4展期、結案、轉催呆"/>
    <s v="L3410"/>
    <s v="結案登錄-可欠繳          "/>
    <m/>
    <s v="賴文育"/>
    <s v="余家興"/>
    <s v="PJ201800012_URS_3帳務作業_V1.81"/>
    <x v="37"/>
    <d v="2021-10-18T00:00:00"/>
    <d v="2021-10-18T00:00:00"/>
    <s v="涂宇欣"/>
    <s v="邵淑微"/>
    <m/>
    <m/>
    <m/>
    <m/>
    <m/>
    <m/>
    <m/>
  </r>
  <r>
    <m/>
    <n v="1"/>
    <x v="3"/>
    <s v="3-4展期、結案、轉催呆"/>
    <s v="L3420"/>
    <s v="結案登錄-不可欠繳"/>
    <m/>
    <s v="賴文育"/>
    <s v="余家興"/>
    <s v="PJ201800012_URS_3帳務作業_V1.81"/>
    <x v="37"/>
    <d v="2021-10-13T00:00:00"/>
    <d v="2021-10-13T00:00:00"/>
    <s v="涂宇欣"/>
    <s v="蔡珮瑜"/>
    <s v="尹少玄"/>
    <m/>
    <m/>
    <m/>
    <m/>
    <m/>
    <m/>
  </r>
  <r>
    <m/>
    <n v="1"/>
    <x v="3"/>
    <s v="3-3回收、部分償還、暫收款"/>
    <s v="L3731"/>
    <s v="呆帳戶改呆帳結案戶"/>
    <m/>
    <s v="賴文育"/>
    <s v="余家興"/>
    <s v="PJ201800012_URS_3帳務作業_V1.81"/>
    <x v="37"/>
    <d v="2021-10-13T00:00:00"/>
    <d v="2021-11-10T00:00:00"/>
    <s v="李珮琪"/>
    <s v="邵淑微"/>
    <s v="張舜雯"/>
    <m/>
    <m/>
    <m/>
    <m/>
    <m/>
    <m/>
  </r>
  <r>
    <m/>
    <m/>
    <x v="2"/>
    <s v="6-8其他作業"/>
    <s v="L6987"/>
    <s v="呆帳戶產生法務費墊付"/>
    <s v="審後新增2021/12/20"/>
    <s v="賴文育"/>
    <s v="余家興"/>
    <s v="PJ201800012_URS_6共同作業_V1.11.docx"/>
    <x v="37"/>
    <d v="2021-10-13T00:00:00"/>
    <s v=""/>
    <s v="李珮琪"/>
    <s v="張舜雯"/>
    <m/>
    <m/>
    <m/>
    <m/>
    <m/>
    <m/>
    <m/>
  </r>
  <r>
    <m/>
    <n v="1"/>
    <x v="3"/>
    <s v="3-3回收、部分償還、暫收款"/>
    <s v="L3711"/>
    <s v="應繳日變更-不可欠繳      "/>
    <m/>
    <s v="賴文育"/>
    <s v="余家興"/>
    <s v="PJ201800012_URS_3帳務作業_V1.81"/>
    <x v="37"/>
    <d v="2021-10-13T00:00:00"/>
    <d v="2021-10-13T00:00:00"/>
    <s v="涂宇欣"/>
    <s v="蔡珮瑜"/>
    <m/>
    <m/>
    <m/>
    <m/>
    <m/>
    <m/>
    <m/>
  </r>
  <r>
    <m/>
    <n v="1"/>
    <x v="3"/>
    <s v="3-3回收、部分償還、暫收款"/>
    <s v="L3712"/>
    <s v="應繳日變更-可欠繳        "/>
    <m/>
    <s v="賴文育"/>
    <s v="余家興"/>
    <s v="PJ201800012_URS_3帳務作業_V1.81"/>
    <x v="37"/>
    <d v="2021-10-13T00:00:00"/>
    <d v="2021-10-13T00:00:00"/>
    <s v="涂宇欣"/>
    <s v="蔡珮瑜"/>
    <m/>
    <m/>
    <m/>
    <m/>
    <m/>
    <m/>
    <m/>
  </r>
  <r>
    <m/>
    <m/>
    <x v="1"/>
    <s v="2-5法拍費用"/>
    <s v="L2603"/>
    <s v="法拍費用借支報表列印                    "/>
    <m/>
    <s v="賴文育"/>
    <s v="陳昱衡"/>
    <s v="PJ201800012_URS_2業務作業_V1.28.doc"/>
    <x v="37"/>
    <d v="2021-10-06T00:00:00"/>
    <d v="2021-12-06T00:00:00"/>
    <s v="林清河"/>
    <s v="張舜雯"/>
    <m/>
    <m/>
    <m/>
    <m/>
    <m/>
    <m/>
    <m/>
  </r>
  <r>
    <m/>
    <m/>
    <x v="1"/>
    <s v="2-5法拍費用"/>
    <s v="L2078"/>
    <s v="法拍費用明細資料查詢              "/>
    <m/>
    <s v="賴文育"/>
    <s v="陳昱衡"/>
    <s v="PJ201800012_URS_2業務作業_V1.28.doc"/>
    <x v="38"/>
    <d v="2021-10-06T00:00:00"/>
    <d v="2021-10-06T00:00:00"/>
    <s v="林清河"/>
    <s v="張舜雯"/>
    <m/>
    <m/>
    <m/>
    <m/>
    <m/>
    <m/>
    <m/>
  </r>
  <r>
    <m/>
    <m/>
    <x v="1"/>
    <s v="2-5法拍費用"/>
    <s v="L2601"/>
    <s v="法拍費用新增                            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602"/>
    <s v="法拍費用維護                            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941"/>
    <s v="法拍費用查詢-依借戶戶號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942"/>
    <s v="法拍費用查詢-依會計日期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605"/>
    <s v="法拍費用未銷明細查詢                    "/>
    <m/>
    <s v="賴文育"/>
    <s v="陳昱衡"/>
    <s v="PJ201800012_URS_2業務作業_V1.28.doc"/>
    <x v="39"/>
    <d v="2021-10-06T00:00:00"/>
    <d v="2021-12-06T00:00:00"/>
    <s v="林清河"/>
    <s v="張舜雯"/>
    <m/>
    <m/>
    <m/>
    <m/>
    <m/>
    <m/>
    <m/>
  </r>
  <r>
    <m/>
    <m/>
    <x v="1"/>
    <s v="2-5法拍費用"/>
    <s v="L2613"/>
    <s v="法務費轉催收明細表                      "/>
    <m/>
    <s v="賴文育"/>
    <s v="陳昱衡"/>
    <s v="PJ201800012_URS_2業務作業_V1.28.doc"/>
    <x v="39"/>
    <d v="2021-10-06T00:00:00"/>
    <d v="2021-12-06T00:00:00"/>
    <s v="林清河"/>
    <s v="張舜雯"/>
    <m/>
    <m/>
    <m/>
    <m/>
    <m/>
    <m/>
    <m/>
  </r>
  <r>
    <m/>
    <m/>
    <x v="1"/>
    <s v="2-5法拍費用"/>
    <s v="L2614"/>
    <s v="法務費轉催收傳票開立作業(列印)"/>
    <m/>
    <s v="賴文育"/>
    <s v="陳昱衡"/>
    <s v="PJ201800012_URS_2業務作業_V1.28.doc"/>
    <x v="39"/>
    <d v="2021-10-19T00:00:00"/>
    <d v="2021-12-06T00:00:00"/>
    <s v="林清河"/>
    <s v="邵淑微"/>
    <s v="張舜雯"/>
    <s v="併入應處理清單"/>
    <m/>
    <m/>
    <m/>
    <m/>
    <m/>
  </r>
  <r>
    <m/>
    <m/>
    <x v="5"/>
    <s v="4-6火險作業"/>
    <s v="L4604"/>
    <s v="火險保費未繳轉借支作業     "/>
    <m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</r>
  <r>
    <m/>
    <m/>
    <x v="5"/>
    <s v="4-6火險作業"/>
    <s v="L4605"/>
    <s v="火險最終保單上傳作業       "/>
    <m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</r>
  <r>
    <m/>
    <m/>
    <x v="5"/>
    <s v="4-6火險作業"/>
    <s v="L4606"/>
    <s v="火險佣金作業               "/>
    <m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</r>
  <r>
    <m/>
    <m/>
    <x v="5"/>
    <s v="4-6火險作業"/>
    <s v="L4966"/>
    <s v="火險佣金資料查詢             "/>
    <s v="審後新增2021/11/19"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</r>
  <r>
    <m/>
    <m/>
    <x v="2"/>
    <s v="6-8其他作業"/>
    <s v="L6982"/>
    <s v="火險費轉列催收作業"/>
    <m/>
    <s v="賴文育"/>
    <s v="余家興"/>
    <s v="PJ201800012_URS_6共同作業_V1.11.docx"/>
    <x v="40"/>
    <d v="2021-10-22T00:00:00"/>
    <d v="2021-12-03T00:00:00"/>
    <s v="林清河"/>
    <s v="邵淑微"/>
    <s v="張舜雯"/>
    <m/>
    <m/>
    <m/>
    <m/>
    <m/>
    <m/>
  </r>
  <r>
    <m/>
    <m/>
    <x v="2"/>
    <s v="6-8其他作業"/>
    <s v="L6983"/>
    <s v="法務費轉列催收作業"/>
    <m/>
    <s v="賴文育"/>
    <s v="余家興"/>
    <s v="PJ201800012_URS_6共同作業_V1.11.docx"/>
    <x v="40"/>
    <d v="2021-10-19T00:00:00"/>
    <d v="2021-12-03T00:00:00"/>
    <s v="林清河"/>
    <s v="邵淑微"/>
    <s v="張舜雯"/>
    <m/>
    <m/>
    <m/>
    <m/>
    <m/>
    <m/>
  </r>
  <r>
    <m/>
    <n v="1"/>
    <x v="3"/>
    <s v="3-4展期、結案、轉催呆"/>
    <s v="L3440"/>
    <s v="催收回復登錄             "/>
    <m/>
    <s v="賴文育"/>
    <s v="余家興"/>
    <s v="PJ201800012_URS_3帳務作業_V1.81"/>
    <x v="39"/>
    <d v="2021-10-18T00:00:00"/>
    <d v="2021-10-18T00:00:00"/>
    <s v="林清河"/>
    <s v="邵淑微"/>
    <s v="張舜雯"/>
    <m/>
    <m/>
    <m/>
    <m/>
    <m/>
    <m/>
  </r>
  <r>
    <m/>
    <m/>
    <x v="1"/>
    <s v="2-2案件申請、額度"/>
    <s v="L2079"/>
    <s v="展期件新舊對照查詢"/>
    <m/>
    <s v="賴文育"/>
    <s v="陳昱衡"/>
    <s v="PJ201800012_URS_2業務作業_V1.29.doc"/>
    <x v="39"/>
    <d v="2021-10-19T00:00:00"/>
    <d v="2021-10-19T00:00:00"/>
    <s v="涂宇欣"/>
    <s v="陳政皓"/>
    <s v="尹少玄"/>
    <m/>
    <m/>
    <m/>
    <m/>
    <m/>
    <m/>
  </r>
  <r>
    <m/>
    <m/>
    <x v="2"/>
    <s v="6-8其他作業"/>
    <s v="L6981"/>
    <s v="放款轉列催收作業"/>
    <m/>
    <s v="賴文育"/>
    <s v="余家興"/>
    <s v="PJ201800012_URS_6共同作業_V1.11.docx"/>
    <x v="40"/>
    <d v="2021-10-19T00:00:00"/>
    <d v="2021-12-03T00:00:00"/>
    <s v="林清河"/>
    <s v="邵淑微"/>
    <s v="張舜雯"/>
    <m/>
    <m/>
    <m/>
    <m/>
    <m/>
    <m/>
  </r>
  <r>
    <m/>
    <m/>
    <x v="2"/>
    <s v="6-2日結類"/>
    <s v="L6201"/>
    <s v="其他傳票輸入"/>
    <m/>
    <s v="賴文育"/>
    <s v="楊智誠"/>
    <s v="PJ201800012_URS_6共同作業_V1.9"/>
    <x v="39"/>
    <d v="2021-10-18T00:00:00"/>
    <d v="2021-10-18T00:00:00"/>
    <s v="涂宇欣"/>
    <s v="陳政皓"/>
    <m/>
    <m/>
    <m/>
    <m/>
    <m/>
    <m/>
    <m/>
  </r>
  <r>
    <m/>
    <m/>
    <x v="2"/>
    <s v="6-2日結類"/>
    <s v="L6901"/>
    <s v="交易分錄清單查詢"/>
    <m/>
    <s v="賴文育"/>
    <s v="楊智誠"/>
    <s v="PJ201800012_URS_6共同作業_V1.9"/>
    <x v="39"/>
    <d v="2021-10-18T00:00:00"/>
    <d v="2021-10-18T00:00:00"/>
    <s v="涂宇欣"/>
    <s v="蔡珮瑜"/>
    <m/>
    <m/>
    <m/>
    <m/>
    <m/>
    <m/>
    <m/>
  </r>
  <r>
    <m/>
    <m/>
    <x v="2"/>
    <s v="6-2日結類"/>
    <s v="L6902"/>
    <s v="會計總帳查詢"/>
    <m/>
    <s v="賴文育"/>
    <s v="楊智誠"/>
    <s v="PJ201800012_URS_6共同作業_V1.9"/>
    <x v="39"/>
    <d v="2021-10-18T00:00:00"/>
    <d v="2021-10-18T00:00:00"/>
    <s v="涂宇欣"/>
    <s v="蔡珮瑜"/>
    <m/>
    <m/>
    <m/>
    <m/>
    <m/>
    <m/>
    <m/>
  </r>
  <r>
    <m/>
    <m/>
    <x v="2"/>
    <s v="6-2日結類"/>
    <s v="L6903"/>
    <s v="會計帳務明細查詢"/>
    <m/>
    <s v="賴文育"/>
    <s v="楊智誠"/>
    <s v="PJ201800012_URS_6共同作業_V1.9"/>
    <x v="39"/>
    <d v="2021-10-18T00:00:00"/>
    <d v="2021-10-18T00:00:00"/>
    <s v="涂宇欣"/>
    <s v="陳政皓"/>
    <m/>
    <m/>
    <m/>
    <m/>
    <m/>
    <m/>
    <m/>
  </r>
  <r>
    <m/>
    <m/>
    <x v="2"/>
    <s v="6-2日結類"/>
    <s v="L6904"/>
    <s v="日結彙計查詢"/>
    <m/>
    <s v="賴文育"/>
    <s v="楊智誠"/>
    <s v="PJ201800012_URS_6共同作業_V1.9"/>
    <x v="39"/>
    <d v="2021-10-18T00:00:00"/>
    <d v="2021-10-18T00:00:00"/>
    <s v="涂宇欣"/>
    <s v="蔡珮瑜"/>
    <m/>
    <m/>
    <m/>
    <m/>
    <m/>
    <m/>
    <m/>
  </r>
  <r>
    <m/>
    <m/>
    <x v="2"/>
    <s v="6-2日結類"/>
    <s v="L6905"/>
    <s v="日結明細查詢"/>
    <m/>
    <s v="賴文育"/>
    <s v="楊智誠"/>
    <s v="PJ201800012_URS_6共同作業_V1.9"/>
    <x v="39"/>
    <d v="2021-10-18T00:00:00"/>
    <d v="2021-10-25T00:00:00"/>
    <s v="涂宇欣"/>
    <s v="蔡珮瑜"/>
    <m/>
    <m/>
    <m/>
    <m/>
    <m/>
    <m/>
    <m/>
  </r>
  <r>
    <m/>
    <m/>
    <x v="2"/>
    <s v="6-2日結類"/>
    <s v="L6906"/>
    <s v="會計分錄查詢"/>
    <m/>
    <s v="賴文育"/>
    <s v="楊智誠"/>
    <s v="PJ201800012_URS_6共同作業_V1.9"/>
    <x v="39"/>
    <d v="2021-10-18T00:00:00"/>
    <d v="2021-10-18T00:00:00"/>
    <s v="涂宇欣"/>
    <s v="陳政皓"/>
    <m/>
    <m/>
    <m/>
    <m/>
    <m/>
    <m/>
    <m/>
  </r>
  <r>
    <m/>
    <m/>
    <x v="2"/>
    <s v="6-2日結類"/>
    <s v="L6907"/>
    <s v="未銷帳餘額明細查詢"/>
    <m/>
    <s v="賴文育"/>
    <s v="楊智誠"/>
    <s v="PJ201800012_URS_6共同作業_V1.9"/>
    <x v="39"/>
    <d v="2021-10-18T00:00:00"/>
    <d v="2021-10-18T00:00:00"/>
    <s v="林清河"/>
    <s v="蔡珮瑜"/>
    <m/>
    <m/>
    <m/>
    <m/>
    <m/>
    <m/>
    <m/>
  </r>
  <r>
    <m/>
    <m/>
    <x v="2"/>
    <s v="6-2日結類"/>
    <s v="L6908"/>
    <s v="銷帳歷史明細查詢"/>
    <m/>
    <s v="賴文育"/>
    <s v="楊智誠"/>
    <s v="PJ201800012_URS_6共同作業_V1.9"/>
    <x v="39"/>
    <d v="2021-10-18T00:00:00"/>
    <d v="2021-10-25T00:00:00"/>
    <s v="涂宇欣"/>
    <s v="蔡珮瑜"/>
    <m/>
    <m/>
    <m/>
    <m/>
    <m/>
    <m/>
    <m/>
  </r>
  <r>
    <m/>
    <m/>
    <x v="2"/>
    <s v="6-1控制類"/>
    <s v="L6102"/>
    <s v="核心傳票相關單獨作業"/>
    <s v="審後新增2021/10/18"/>
    <s v="賴文育"/>
    <s v="楊智誠"/>
    <s v="PJ201800012_URS_6共同作業_V1.11.docx"/>
    <x v="39"/>
    <d v="2021-10-18T00:00:00"/>
    <d v="2021-10-25T00:00:00"/>
    <s v="涂宇欣"/>
    <s v="蔡珮瑜"/>
    <m/>
    <m/>
    <m/>
    <m/>
    <m/>
    <m/>
    <m/>
  </r>
  <r>
    <m/>
    <m/>
    <x v="1"/>
    <s v="2-6清償作業"/>
    <s v="L2076"/>
    <s v="領取清償證明作業"/>
    <m/>
    <s v="賴文育"/>
    <s v="余家興"/>
    <s v="PJ201800012_URS_2業務作業_V1.29.doc"/>
    <x v="35"/>
    <d v="2021-10-29T00:00:00"/>
    <d v="2021-12-07T00:00:00"/>
    <s v="李珮琪"/>
    <s v="蔡珮瑜"/>
    <s v="邵淑微"/>
    <m/>
    <m/>
    <m/>
    <m/>
    <m/>
    <m/>
  </r>
  <r>
    <m/>
    <m/>
    <x v="1"/>
    <s v="2-6清償作業"/>
    <s v="L2631"/>
    <s v="清償作業                                "/>
    <m/>
    <s v="賴文育"/>
    <s v="余家興"/>
    <s v="PJ201800012_URS_2業務作業_V1.29.doc"/>
    <x v="35"/>
    <d v="2021-10-29T00:00:00"/>
    <d v="2021-12-07T00:00:00"/>
    <s v="李珮琪"/>
    <s v="蔡珮瑜"/>
    <m/>
    <m/>
    <m/>
    <m/>
    <m/>
    <m/>
    <m/>
  </r>
  <r>
    <m/>
    <m/>
    <x v="1"/>
    <s v="2-6清償作業"/>
    <s v="L2931"/>
    <s v="清償違約明細                            "/>
    <m/>
    <s v="賴文育"/>
    <s v="余家興"/>
    <s v="PJ201800012_URS_2業務作業_V1.29.doc"/>
    <x v="35"/>
    <d v="2021-10-29T00:00:00"/>
    <d v="2021-10-29T00:00:00"/>
    <s v="李珮琪"/>
    <s v="蔡珮瑜"/>
    <m/>
    <m/>
    <m/>
    <m/>
    <m/>
    <m/>
    <m/>
  </r>
  <r>
    <m/>
    <m/>
    <x v="1"/>
    <s v="2-6清償作業"/>
    <s v="L2077"/>
    <s v="清償作業明細資料查詢                    "/>
    <m/>
    <s v="賴文育"/>
    <s v="余家興"/>
    <s v="PJ201800012_URS_2業務作業_V1.29.doc"/>
    <x v="35"/>
    <d v="2021-10-29T00:00:00"/>
    <d v="2021-12-07T00:00:00"/>
    <s v="李珮琪"/>
    <s v="蔡珮瑜"/>
    <m/>
    <m/>
    <m/>
    <m/>
    <m/>
    <m/>
    <m/>
  </r>
  <r>
    <m/>
    <m/>
    <x v="1"/>
    <s v="2-6清償作業"/>
    <s v="L2932"/>
    <s v="額度清償資料"/>
    <m/>
    <s v="賴文育"/>
    <s v="余家興"/>
    <s v="PJ201800012_URS_2業務作業_V1.29.doc"/>
    <x v="35"/>
    <d v="2021-10-29T00:00:00"/>
    <d v="2021-10-29T00:00:00"/>
    <s v="李珮琪"/>
    <s v="蔡珮瑜"/>
    <m/>
    <m/>
    <m/>
    <m/>
    <m/>
    <m/>
    <m/>
  </r>
  <r>
    <m/>
    <m/>
    <x v="1"/>
    <s v="2-6清償作業"/>
    <s v="L2632"/>
    <s v="清償作業維護                            "/>
    <m/>
    <s v="賴文育"/>
    <s v="余家興"/>
    <s v="PJ201800012_URS_2業務作業_V1.29.doc"/>
    <x v="35"/>
    <d v="2021-10-29T00:00:00"/>
    <d v="2021-12-07T00:00:00"/>
    <s v="李珮琪"/>
    <s v="蔡珮瑜"/>
    <m/>
    <m/>
    <m/>
    <m/>
    <m/>
    <m/>
    <m/>
  </r>
  <r>
    <m/>
    <m/>
    <x v="5"/>
    <s v="4-3利率調整作業"/>
    <s v="L4322"/>
    <s v="地區別利率調整設定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</r>
  <r>
    <m/>
    <m/>
    <x v="5"/>
    <s v="4-3利率調整作業"/>
    <s v="L4320"/>
    <s v="產生利率即將變動資料                 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</r>
  <r>
    <m/>
    <m/>
    <x v="5"/>
    <s v="4-3利率調整作業"/>
    <s v="L4031"/>
    <s v="利率調整清單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</r>
  <r>
    <m/>
    <m/>
    <x v="5"/>
    <s v="4-3利率調整作業"/>
    <s v="L4321"/>
    <s v="利率調整確認作業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</r>
  <r>
    <m/>
    <m/>
    <x v="5"/>
    <s v="4-3利率調整作業"/>
    <s v="L4325"/>
    <s v="個別利率批次輸入"/>
    <s v="由L4105更名"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</r>
  <r>
    <m/>
    <m/>
    <x v="5"/>
    <s v="4-3利率調整作業"/>
    <s v="L4931"/>
    <s v="個別利率調整作業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</r>
  <r>
    <m/>
    <m/>
    <x v="5"/>
    <s v="4-3利率調整作業"/>
    <s v="L4721"/>
    <s v="整批批次產出利率變動對帳單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</r>
  <r>
    <d v="2021-12-24T00:00:00"/>
    <m/>
    <x v="5"/>
    <s v="4-3利率調整作業"/>
    <s v="L4030"/>
    <s v="調整員工利率作業                     "/>
    <m/>
    <s v="賴文育"/>
    <s v="陳昱衡"/>
    <s v="PJ201800012_URS_4批次作業_V1.12.docx"/>
    <x v="41"/>
    <d v="2021-10-21T00:00:00"/>
    <d v="2021-12-03T00:00:00"/>
    <s v="林清河"/>
    <s v="蔡珮瑜"/>
    <m/>
    <m/>
    <m/>
    <m/>
    <m/>
    <m/>
    <m/>
  </r>
  <r>
    <m/>
    <m/>
    <x v="2"/>
    <s v="6-3共同資料維護(利率、營業日)"/>
    <s v="L6031"/>
    <s v="指標利率種類查詢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032"/>
    <s v="指標利率資料查詢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301"/>
    <s v="指標利率種類維護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302"/>
    <s v="指標利率登錄/維護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022"/>
    <s v="所有關係人資料查詢"/>
    <s v="審後新增2021/10/19"/>
    <s v="張金龍"/>
    <s v="陳昱衡"/>
    <s v="PJ201800012_URS_2業務作業_V1.29.doc"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023"/>
    <s v="ID所有人案件關係查詢"/>
    <s v="審後新增2021/10/25"/>
    <s v="張金龍"/>
    <s v="陳昱衡"/>
    <s v="PJ201800012_URS_2業務作業_V1.29.doc"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222"/>
    <s v="與授信戶關係登錄"/>
    <s v="審後新增2021/10/19"/>
    <s v="張金龍"/>
    <s v="陳昱衡"/>
    <s v="PJ201800012_URS_2業務作業_V1.29.doc"/>
    <x v="43"/>
    <d v="2021-10-25T00:00:00"/>
    <d v="2021-12-06T00:00:00"/>
    <s v="涂宇欣"/>
    <s v="李珮君"/>
    <s v="陳俞辛(企金)"/>
    <m/>
    <m/>
    <m/>
    <m/>
    <m/>
    <m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x v="43"/>
    <d v="2021-10-25T00:00:00"/>
    <d v="2021-12-06T00:00:00"/>
    <s v="吳承憲"/>
    <s v="李珮君"/>
    <m/>
    <m/>
    <m/>
    <m/>
    <m/>
    <m/>
    <m/>
  </r>
  <r>
    <m/>
    <m/>
    <x v="1"/>
    <s v="2-9其他"/>
    <s v="L2980"/>
    <s v="個人房貸調整作業"/>
    <m/>
    <s v="賴文育"/>
    <s v="陳昱衡"/>
    <s v="PJ201800012_URS_2業務作業_V1.31.docx"/>
    <x v="43"/>
    <d v="2021-10-21T00:00:00"/>
    <d v="2021-10-21T00:00:00"/>
    <s v="林清河"/>
    <s v="陳政皓"/>
    <m/>
    <m/>
    <m/>
    <m/>
    <m/>
    <m/>
    <m/>
  </r>
  <r>
    <m/>
    <m/>
    <x v="1"/>
    <s v="2-9其他"/>
    <s v="L2073"/>
    <s v="結清客戶申請個人資料控管查詢"/>
    <m/>
    <s v="賴文育"/>
    <s v="陳昱衡"/>
    <s v="PJ201800012_URS_2業務作業_V1.31.docx"/>
    <x v="43"/>
    <d v="2021-10-25T00:00:00"/>
    <d v="2021-12-06T00:00:00"/>
    <s v="涂宇欣"/>
    <s v="陳政皓"/>
    <m/>
    <m/>
    <m/>
    <m/>
    <m/>
    <m/>
    <m/>
  </r>
  <r>
    <m/>
    <m/>
    <x v="1"/>
    <s v="2-9其他"/>
    <s v="L2703"/>
    <s v="結清客戶申請個人資料控管維護"/>
    <m/>
    <s v="賴文育"/>
    <s v="陳昱衡"/>
    <s v="PJ201800012_URS_2業務作業_V1.31.docx"/>
    <x v="43"/>
    <d v="2021-10-25T00:00:00"/>
    <d v="2021-10-25T00:00:00"/>
    <s v="涂宇欣"/>
    <s v="陳政皓"/>
    <m/>
    <m/>
    <m/>
    <m/>
    <m/>
    <m/>
    <m/>
  </r>
  <r>
    <m/>
    <m/>
    <x v="1"/>
    <s v="2-4擔保品"/>
    <s v="L2039"/>
    <s v="擔保品重評明細資料查詢                  "/>
    <m/>
    <s v="賴文育"/>
    <s v="陳昱衡"/>
    <s v="PJ201800012_URS_2業務作業_V1.29.doc"/>
    <x v="43"/>
    <d v="2021-10-25T00:00:00"/>
    <d v="2021-10-25T00:00:00"/>
    <s v="吳承憲"/>
    <s v="邱怡婷"/>
    <s v="陳俞辛(企金)"/>
    <m/>
    <m/>
    <m/>
    <m/>
    <m/>
    <m/>
  </r>
  <r>
    <m/>
    <m/>
    <x v="1"/>
    <s v="2-4擔保品"/>
    <s v="L2040"/>
    <s v="擔保品號碼新舊對照查詢"/>
    <m/>
    <s v="賴文育"/>
    <s v="陳昱衡"/>
    <s v="PJ201800012_URS_2業務作業_V1.31.docx"/>
    <x v="43"/>
    <d v="2021-11-17T00:00:00"/>
    <d v="2021-11-17T00:00:00"/>
    <s v="吳承憲"/>
    <s v="邵淑微"/>
    <m/>
    <m/>
    <m/>
    <m/>
    <m/>
    <m/>
    <m/>
  </r>
  <r>
    <m/>
    <m/>
    <x v="1"/>
    <s v="2-4擔保品"/>
    <s v="L2480"/>
    <s v="擔保品重評資料登錄                      "/>
    <m/>
    <s v="賴文育"/>
    <s v="陳昱衡"/>
    <s v="PJ201800012_URS_2業務作業_V1.29.doc"/>
    <x v="43"/>
    <d v="2021-10-25T00:00:00"/>
    <d v="2021-10-25T00:00:00"/>
    <s v="吳承憲"/>
    <s v="邱怡婷"/>
    <s v="陳俞辛(企金)"/>
    <m/>
    <m/>
    <m/>
    <m/>
    <m/>
    <m/>
  </r>
  <r>
    <m/>
    <m/>
    <x v="6"/>
    <s v="5-4法催紀錄作業"/>
    <s v="L5060"/>
    <s v="案件處理清單         "/>
    <m/>
    <s v="蘇曉玲"/>
    <s v="蘇曉玲"/>
    <s v="PJ201800012_URS_5管理性作業_V1.3.DOCX"/>
    <x v="44"/>
    <d v="2021-10-27T00:00:00"/>
    <d v="2021-12-07T00:00:00"/>
    <s v="林清河"/>
    <s v="張舜雯"/>
    <s v="邱怡婷"/>
    <m/>
    <m/>
    <m/>
    <m/>
    <m/>
    <m/>
  </r>
  <r>
    <m/>
    <m/>
    <x v="6"/>
    <s v="5-4法催紀錄作業"/>
    <s v="L5960"/>
    <s v="案件資料查詢         "/>
    <m/>
    <s v="蘇曉玲"/>
    <s v="蘇曉玲"/>
    <s v="PJ201800012_URS_5管理性作業_V1.3.DOCX"/>
    <x v="44"/>
    <d v="2021-10-27T00:00:00"/>
    <d v="2021-10-27T00:00:00"/>
    <s v="林清河"/>
    <s v="張舜雯"/>
    <s v="邱怡婷"/>
    <m/>
    <m/>
    <m/>
    <m/>
    <m/>
    <m/>
  </r>
  <r>
    <m/>
    <m/>
    <x v="6"/>
    <s v="5-4法催紀錄作業"/>
    <s v="L5961"/>
    <s v="電催明細資料查詢     "/>
    <m/>
    <s v="蘇曉玲"/>
    <s v="蘇曉玲"/>
    <s v="PJ201800012_URS_5管理性作業_V1.3.DOCX"/>
    <x v="44"/>
    <d v="2021-10-27T00:00:00"/>
    <d v="2021-11-15T00:00:00"/>
    <s v="林清河"/>
    <s v="張舜雯"/>
    <s v="邱怡婷"/>
    <m/>
    <m/>
    <m/>
    <m/>
    <m/>
    <m/>
  </r>
  <r>
    <m/>
    <m/>
    <x v="6"/>
    <s v="5-4法催紀錄作業"/>
    <s v="L5601"/>
    <s v="電催登錄             "/>
    <m/>
    <s v="蘇曉玲"/>
    <s v="蘇曉玲"/>
    <s v="PJ201800012_URS_5管理性作業_V1.3.DOCX"/>
    <x v="44"/>
    <d v="2021-10-27T00:00:00"/>
    <d v="2021-11-03T00:00:00"/>
    <s v="林清河"/>
    <s v="張舜雯"/>
    <s v="邱怡婷"/>
    <m/>
    <m/>
    <m/>
    <m/>
    <m/>
    <m/>
  </r>
  <r>
    <m/>
    <m/>
    <x v="6"/>
    <s v="5-4法催紀錄作業"/>
    <s v="L5962"/>
    <s v="面催明細資料查詢     "/>
    <m/>
    <s v="蘇曉玲"/>
    <s v="蘇曉玲"/>
    <s v="PJ201800012_URS_5管理性作業_V1.3.DOCX"/>
    <x v="44"/>
    <d v="2021-10-27T00:00:00"/>
    <d v="2021-11-01T00:00:00"/>
    <s v="林清河"/>
    <s v="張舜雯"/>
    <s v="邱怡婷"/>
    <m/>
    <m/>
    <m/>
    <m/>
    <m/>
    <m/>
  </r>
  <r>
    <m/>
    <m/>
    <x v="6"/>
    <s v="5-4法催紀錄作業"/>
    <s v="L5602"/>
    <s v="面催登錄             "/>
    <m/>
    <s v="蘇曉玲"/>
    <s v="蘇曉玲"/>
    <s v="PJ201800012_URS_5管理性作業_V1.3.DOCX"/>
    <x v="44"/>
    <d v="2021-10-27T00:00:00"/>
    <d v="2021-11-03T00:00:00"/>
    <s v="林清河"/>
    <s v="張舜雯"/>
    <s v="邱怡婷"/>
    <m/>
    <m/>
    <m/>
    <m/>
    <m/>
    <m/>
  </r>
  <r>
    <m/>
    <m/>
    <x v="6"/>
    <s v="5-4法催紀錄作業"/>
    <s v="L5963"/>
    <s v="函催明細資料查詢     "/>
    <m/>
    <s v="蘇曉玲"/>
    <s v="蘇曉玲"/>
    <s v="PJ201800012_URS_5管理性作業_V1.3.DOCX"/>
    <x v="44"/>
    <d v="2021-10-27T00:00:00"/>
    <d v="2021-11-16T00:00:00"/>
    <s v="林清河"/>
    <s v="張舜雯"/>
    <s v="邱怡婷"/>
    <m/>
    <m/>
    <m/>
    <m/>
    <m/>
    <m/>
  </r>
  <r>
    <m/>
    <m/>
    <x v="6"/>
    <s v="5-4法催紀錄作業"/>
    <s v="L5603"/>
    <s v="函催登錄             "/>
    <m/>
    <s v="蘇曉玲"/>
    <s v="蘇曉玲"/>
    <s v="PJ201800012_URS_5管理性作業_V1.3.DOCX"/>
    <x v="44"/>
    <d v="2021-10-27T00:00:00"/>
    <d v="2021-11-17T00:00:00"/>
    <s v="林清河"/>
    <s v="張舜雯"/>
    <s v="邱怡婷"/>
    <m/>
    <m/>
    <m/>
    <m/>
    <m/>
    <m/>
  </r>
  <r>
    <m/>
    <m/>
    <x v="6"/>
    <s v="5-4法催紀錄作業"/>
    <s v="L5964"/>
    <s v="法務進度明細資料查詢 "/>
    <m/>
    <s v="蘇曉玲"/>
    <s v="蘇曉玲"/>
    <s v="PJ201800012_URS_5管理性作業_V1.3.DOCX"/>
    <x v="45"/>
    <d v="2021-10-27T00:00:00"/>
    <d v="2021-11-01T00:00:00"/>
    <s v="林清河"/>
    <s v="張舜雯"/>
    <s v="邱怡婷"/>
    <m/>
    <m/>
    <m/>
    <m/>
    <m/>
    <m/>
  </r>
  <r>
    <m/>
    <m/>
    <x v="6"/>
    <s v="5-4法催紀錄作業"/>
    <s v="L5604"/>
    <s v="法務進度登錄         "/>
    <m/>
    <s v="蘇曉玲"/>
    <s v="蘇曉玲"/>
    <s v="PJ201800012_URS_5管理性作業_V1.3.DOCX"/>
    <x v="45"/>
    <d v="2021-10-27T00:00:00"/>
    <d v="2021-11-24T00:00:00"/>
    <s v="林清河"/>
    <s v="張舜雯"/>
    <s v="邱怡婷"/>
    <m/>
    <m/>
    <m/>
    <m/>
    <m/>
    <m/>
  </r>
  <r>
    <m/>
    <m/>
    <x v="6"/>
    <s v="5-4法催紀錄作業"/>
    <s v="L5965"/>
    <s v="提醒事項查詢         "/>
    <m/>
    <s v="蘇曉玲"/>
    <s v="蘇曉玲"/>
    <s v="PJ201800012_URS_5管理性作業_V1.3.DOCX"/>
    <x v="45"/>
    <d v="2021-10-27T00:00:00"/>
    <d v="2021-11-01T00:00:00"/>
    <s v="林清河"/>
    <s v="張舜雯"/>
    <s v="邱怡婷"/>
    <m/>
    <m/>
    <m/>
    <m/>
    <m/>
    <m/>
  </r>
  <r>
    <m/>
    <m/>
    <x v="6"/>
    <s v="5-4法催紀錄作業"/>
    <s v="L5605"/>
    <s v="提醒事項登錄         "/>
    <m/>
    <s v="蘇曉玲"/>
    <s v="蘇曉玲"/>
    <s v="PJ201800012_URS_5管理性作業_V1.3.DOCX"/>
    <x v="45"/>
    <d v="2021-10-27T00:00:00"/>
    <d v="2021-11-15T00:00:00"/>
    <s v="林清河"/>
    <s v="張舜雯"/>
    <s v="邱怡婷"/>
    <m/>
    <m/>
    <m/>
    <m/>
    <m/>
    <m/>
  </r>
  <r>
    <m/>
    <m/>
    <x v="6"/>
    <s v="5-4法催紀錄作業"/>
    <s v="L5061"/>
    <s v="催收催繳明細"/>
    <m/>
    <s v="蘇曉玲"/>
    <s v="蘇曉玲"/>
    <s v="PJ201800012_URS_5管理性作業_V1.3.DOCX"/>
    <x v="45"/>
    <d v="2021-10-27T00:00:00"/>
    <d v="2021-11-03T00:00:00"/>
    <s v="林清河"/>
    <s v="張舜雯"/>
    <s v="邱怡婷"/>
    <m/>
    <m/>
    <m/>
    <m/>
    <m/>
    <m/>
  </r>
  <r>
    <m/>
    <m/>
    <x v="6"/>
    <s v="5-4法催紀錄作業"/>
    <s v="L5062"/>
    <s v="法務催收人員查詢"/>
    <s v="審後新增2021/10/28"/>
    <s v="蘇曉玲"/>
    <s v="蘇曉玲"/>
    <s v="PJ201800012_URS_5管理性作業_V1.3.DOCX"/>
    <x v="45"/>
    <d v="2021-10-27T00:00:00"/>
    <d v="2021-11-15T00:00:00"/>
    <s v="林清河"/>
    <s v="張舜雯"/>
    <s v="邱怡婷"/>
    <m/>
    <m/>
    <m/>
    <m/>
    <m/>
    <m/>
  </r>
  <r>
    <m/>
    <m/>
    <x v="6"/>
    <s v="5-4法催紀錄作業"/>
    <s v="L5606"/>
    <s v="法務催收人員維護"/>
    <s v="審後新增2021/10/28"/>
    <s v="蘇曉玲"/>
    <s v="蘇曉玲"/>
    <s v="PJ201800012_URS_5管理性作業_V1.3.DOCX"/>
    <x v="45"/>
    <d v="2021-10-27T00:00:00"/>
    <d v="2021-11-03T00:00:00"/>
    <s v="林清河"/>
    <s v="張舜雯"/>
    <s v="邱怡婷"/>
    <m/>
    <m/>
    <m/>
    <m/>
    <m/>
    <m/>
  </r>
  <r>
    <m/>
    <m/>
    <x v="7"/>
    <s v="8-1AML檢核"/>
    <s v="L8080"/>
    <s v="AML姓名檢核查詢"/>
    <m/>
    <s v="賴文育"/>
    <s v="余家興"/>
    <s v="PJ201800012_URS_8遵循法令作業_V1.5.docx"/>
    <x v="46"/>
    <d v="2021-11-03T00:00:00"/>
    <d v="2021-12-07T00:00:00"/>
    <s v="林清河"/>
    <s v="施美娟"/>
    <s v="王薏涵、鄧雪美"/>
    <m/>
    <m/>
    <m/>
    <m/>
    <m/>
    <m/>
  </r>
  <r>
    <m/>
    <m/>
    <x v="7"/>
    <s v="8-1AML檢核"/>
    <s v="L8100"/>
    <s v="AML姓名檢核"/>
    <m/>
    <s v="賴文育"/>
    <s v="楊智誠"/>
    <s v="PJ201800012_URS_8遵循法令作業_V1.5.docx"/>
    <x v="46"/>
    <d v="2021-11-03T00:00:00"/>
    <d v="2021-11-03T00:00:00"/>
    <s v="林清河"/>
    <s v="施美娟"/>
    <s v="王薏涵、鄧雪美"/>
    <m/>
    <m/>
    <m/>
    <m/>
    <m/>
    <m/>
  </r>
  <r>
    <m/>
    <m/>
    <x v="7"/>
    <s v="8-1AML檢核"/>
    <s v="L8081"/>
    <s v="AML定審高風險資料查詢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</r>
  <r>
    <m/>
    <m/>
    <x v="7"/>
    <s v="8-1AML檢核"/>
    <s v="L8082"/>
    <s v="AML定審中風險資料查詢"/>
    <s v="新增2021/11/2"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</r>
  <r>
    <m/>
    <m/>
    <x v="7"/>
    <s v="8-1AML檢核"/>
    <s v="L8083"/>
    <s v="AML定審低風險資料查詢"/>
    <s v="新增2021/11/26"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</r>
  <r>
    <m/>
    <m/>
    <x v="7"/>
    <s v="8-1AML檢核"/>
    <s v="L8084"/>
    <s v="AML定審通知查詢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</r>
  <r>
    <m/>
    <m/>
    <x v="7"/>
    <s v="8-1AML檢核"/>
    <s v="L8110"/>
    <s v="產製AML每日有效客戶名單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d v="2021-12-07T00:00:00"/>
    <s v="無調整"/>
    <m/>
    <m/>
    <m/>
    <m/>
  </r>
  <r>
    <m/>
    <m/>
    <x v="7"/>
    <s v="8-1AML檢核"/>
    <s v="L8101"/>
    <s v="AML定審通知處理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</r>
  <r>
    <m/>
    <m/>
    <x v="7"/>
    <s v="8-7公務人員報送"/>
    <s v="L8701"/>
    <s v="產製公務人員報送資料"/>
    <m/>
    <s v="賴文育"/>
    <s v="楊智誠"/>
    <s v="PJ201800012_URS_8遵循法令作業_V1.3"/>
    <x v="48"/>
    <d v="2021-11-03T00:00:00"/>
    <d v="2021-12-03T00:00:00"/>
    <s v="林清河"/>
    <s v="許慧玉"/>
    <m/>
    <m/>
    <m/>
    <m/>
    <m/>
    <m/>
    <m/>
  </r>
  <r>
    <m/>
    <m/>
    <x v="7"/>
    <s v="8-2疑似洗錢"/>
    <s v="L8921"/>
    <s v="疑似洗錢樣態檢核查詢"/>
    <m/>
    <s v="賴文育"/>
    <s v="楊智誠"/>
    <s v="PJ201800012_URS_8遵循法令作業_V1.3"/>
    <x v="49"/>
    <d v="2021-10-29T00:00:00"/>
    <d v="2021-10-29T00:00:00"/>
    <s v="林清河"/>
    <s v="邵淑微"/>
    <m/>
    <m/>
    <m/>
    <m/>
    <m/>
    <m/>
    <m/>
  </r>
  <r>
    <m/>
    <m/>
    <x v="7"/>
    <s v="8-2疑似洗錢"/>
    <s v="L8201"/>
    <s v="疑似洗錢樣態條件設定"/>
    <m/>
    <s v="賴文育"/>
    <s v="楊智誠"/>
    <s v="PJ201800012_URS_8遵循法令作業_V1.3"/>
    <x v="49"/>
    <d v="2021-10-29T00:00:00"/>
    <d v="2021-12-03T00:00:00"/>
    <s v="涂宇欣"/>
    <s v="邵淑微"/>
    <m/>
    <m/>
    <m/>
    <m/>
    <m/>
    <m/>
    <m/>
  </r>
  <r>
    <m/>
    <m/>
    <x v="7"/>
    <s v="8-2疑似洗錢"/>
    <s v="L8924"/>
    <s v="疑似洗錢資料變更查詢"/>
    <m/>
    <s v="賴文育"/>
    <s v="楊智誠"/>
    <s v="PJ201800012_URS_8遵循法令作業_V1.3"/>
    <x v="49"/>
    <d v="2021-10-29T00:00:00"/>
    <d v="2021-12-03T00:00:00"/>
    <s v="林清河"/>
    <s v="邵淑微"/>
    <m/>
    <m/>
    <m/>
    <m/>
    <m/>
    <m/>
    <m/>
  </r>
  <r>
    <m/>
    <m/>
    <x v="7"/>
    <s v="8-2疑似洗錢"/>
    <s v="L8925"/>
    <s v="疑似洗錢資料明細查詢"/>
    <s v="二審後新增2021/12/9"/>
    <s v="賴文育"/>
    <s v="楊智誠"/>
    <s v="PJ201800012_URS_8遵循法令作業_V1.3"/>
    <x v="49"/>
    <d v="2021-10-29T00:00:00"/>
    <d v="2021-12-03T00:00:00"/>
    <s v="林清河"/>
    <s v="邵淑微"/>
    <m/>
    <m/>
    <m/>
    <m/>
    <m/>
    <m/>
    <m/>
  </r>
  <r>
    <m/>
    <m/>
    <x v="7"/>
    <s v="8-2疑似洗錢"/>
    <s v="L8202"/>
    <s v="疑似洗錢樣態資料產生"/>
    <m/>
    <s v="賴文育"/>
    <s v="楊智誠"/>
    <s v="PJ201800012_URS_8遵循法令作業_V1.3"/>
    <x v="49"/>
    <d v="2021-10-29T00:00:00"/>
    <d v="2021-12-07T00:00:00"/>
    <s v="林清河"/>
    <s v="邵淑微"/>
    <m/>
    <m/>
    <m/>
    <m/>
    <m/>
    <m/>
    <m/>
  </r>
  <r>
    <m/>
    <m/>
    <x v="7"/>
    <s v="8-2疑似洗錢"/>
    <s v="L8922"/>
    <s v="疑似洗錢交易合理性查詢"/>
    <m/>
    <s v="賴文育"/>
    <s v="楊智誠"/>
    <s v="PJ201800012_URS_8遵循法令作業_V1.3"/>
    <x v="49"/>
    <d v="2021-10-29T00:00:00"/>
    <d v="2021-10-29T00:00:00"/>
    <s v="涂宇欣"/>
    <s v="蔡珮瑜"/>
    <m/>
    <m/>
    <m/>
    <m/>
    <m/>
    <m/>
    <m/>
  </r>
  <r>
    <m/>
    <m/>
    <x v="7"/>
    <s v="8-2疑似洗錢"/>
    <s v="L8203"/>
    <s v="疑似洗錢交易合理性維護"/>
    <m/>
    <s v="賴文育"/>
    <s v="楊智誠"/>
    <s v="PJ201800012_URS_8遵循法令作業_V1.3"/>
    <x v="49"/>
    <d v="2021-10-29T00:00:00"/>
    <d v="2021-12-03T00:00:00"/>
    <s v="涂宇欣"/>
    <s v="邵淑微"/>
    <m/>
    <m/>
    <m/>
    <m/>
    <m/>
    <m/>
    <m/>
  </r>
  <r>
    <m/>
    <m/>
    <x v="7"/>
    <s v="8-2疑似洗錢"/>
    <s v="L8923"/>
    <s v="疑似洗錢交易訪談記錄查詢"/>
    <m/>
    <s v="賴文育"/>
    <s v="楊智誠"/>
    <s v="PJ201800012_URS_8遵循法令作業_V1.3"/>
    <x v="49"/>
    <d v="2021-10-29T00:00:00"/>
    <d v="2021-12-03T00:00:00"/>
    <s v="涂宇欣"/>
    <s v="蔡珮瑜"/>
    <m/>
    <m/>
    <m/>
    <m/>
    <m/>
    <m/>
    <m/>
  </r>
  <r>
    <m/>
    <m/>
    <x v="7"/>
    <s v="8-2疑似洗錢"/>
    <s v="L8204"/>
    <s v="疑似洗錢交易訪談記錄維護"/>
    <m/>
    <s v="賴文育"/>
    <s v="楊智誠"/>
    <s v="PJ201800012_URS_8遵循法令作業_V1.3"/>
    <x v="49"/>
    <d v="2021-10-29T00:00:00"/>
    <d v="2021-12-03T00:00:00"/>
    <s v="涂宇欣"/>
    <s v="陳政皓"/>
    <s v="張舜雯"/>
    <m/>
    <m/>
    <m/>
    <m/>
    <m/>
    <m/>
  </r>
  <r>
    <m/>
    <m/>
    <x v="7"/>
    <s v="8-2疑似洗錢"/>
    <s v="L8205"/>
    <s v="產生疑似洗錢報表"/>
    <s v="審後新增2021/10/29"/>
    <s v="賴文育"/>
    <s v="楊智誠"/>
    <s v="PJ201800012_URS_8遵循法令作業_V1.3"/>
    <x v="49"/>
    <d v="2021-10-29T00:00:00"/>
    <d v="2021-12-03T00:00:00"/>
    <s v="涂宇欣"/>
    <s v="陳政皓"/>
    <s v="張舜雯"/>
    <m/>
    <m/>
    <m/>
    <m/>
    <m/>
    <m/>
  </r>
  <r>
    <m/>
    <m/>
    <x v="6"/>
    <s v="5-1一般作業"/>
    <s v="L5801"/>
    <s v="補貼息作業"/>
    <m/>
    <s v="賴文育"/>
    <s v="陳昱衡"/>
    <s v="PJ201800012_URS_5管理性作業_V1.4"/>
    <x v="47"/>
    <d v="2021-11-24T00:00:00"/>
    <d v="2021-12-10T00:00:00"/>
    <s v="涂宇欣"/>
    <s v="邵淑微"/>
    <m/>
    <m/>
    <m/>
    <m/>
    <m/>
    <m/>
    <m/>
  </r>
  <r>
    <m/>
    <m/>
    <x v="6"/>
    <s v="5-7國稅局申報作業"/>
    <s v="L5982"/>
    <s v="國稅局申報檔查詢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</r>
  <r>
    <m/>
    <m/>
    <x v="6"/>
    <s v="5-7國稅局申報作業"/>
    <s v="L5812"/>
    <s v="國稅局申報檔維護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</r>
  <r>
    <m/>
    <m/>
    <x v="6"/>
    <s v="5-7國稅局申報作業"/>
    <s v="L5811"/>
    <s v="產生國稅局申報檢核檔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</r>
  <r>
    <m/>
    <m/>
    <x v="6"/>
    <s v="5-7國稅局申報作業"/>
    <s v="L5813"/>
    <s v="產生國稅局申報媒體檔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</r>
  <r>
    <m/>
    <m/>
    <x v="6"/>
    <s v="5-1一般作業"/>
    <s v="L5901"/>
    <s v="資金運用概況明細資料查詢              "/>
    <m/>
    <s v="賴文育"/>
    <s v="楊智誠"/>
    <s v="PJ201800012_URS_5管理性作業_V1.4"/>
    <x v="50"/>
    <d v="2021-11-05T00:00:00"/>
    <d v="2021-11-05T00:00:00"/>
    <s v="李珮琪"/>
    <s v="蔡珮瑜"/>
    <m/>
    <m/>
    <m/>
    <m/>
    <m/>
    <m/>
    <m/>
  </r>
  <r>
    <m/>
    <m/>
    <x v="6"/>
    <s v="5-1一般作業"/>
    <s v="L5101"/>
    <s v="資金運用概況維護      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</r>
  <r>
    <m/>
    <m/>
    <x v="6"/>
    <s v="5-1一般作業"/>
    <s v="L5902"/>
    <s v="授信審議委員會會議紀錄明細資料查詢"/>
    <m/>
    <s v="賴文育"/>
    <s v="張嘉榮"/>
    <s v="PJ201800012_URS_5管理性作業_V1.4"/>
    <x v="50"/>
    <d v="2021-11-03T00:00:00"/>
    <d v="2021-12-03T00:00:00"/>
    <s v="李珮琪"/>
    <s v="施美娟"/>
    <m/>
    <m/>
    <m/>
    <m/>
    <m/>
    <m/>
    <m/>
  </r>
  <r>
    <m/>
    <m/>
    <x v="6"/>
    <s v="5-1一般作業"/>
    <s v="L5102"/>
    <s v="授信審議委員會會議紀錄維護"/>
    <m/>
    <s v="賴文育"/>
    <s v="張嘉榮"/>
    <s v="PJ201800012_URS_5管理性作業_V1.4"/>
    <x v="50"/>
    <d v="2021-11-03T00:00:00"/>
    <d v="2021-12-03T00:00:00"/>
    <s v="李珮琪"/>
    <s v="施美娟"/>
    <m/>
    <m/>
    <m/>
    <m/>
    <m/>
    <m/>
    <m/>
  </r>
  <r>
    <m/>
    <m/>
    <x v="6"/>
    <s v="5-1一般作業"/>
    <s v="L5903"/>
    <s v="檔案借閱明細資料查詢  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</r>
  <r>
    <m/>
    <m/>
    <x v="6"/>
    <s v="5-1一般作業"/>
    <s v="L5103"/>
    <s v="檔案借閱維護          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</r>
  <r>
    <m/>
    <m/>
    <x v="6"/>
    <s v="5-1一般作業"/>
    <s v="L5104"/>
    <s v="檔案借閱報表作業(列印)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</r>
  <r>
    <m/>
    <m/>
    <x v="6"/>
    <s v="5-1一般作業"/>
    <s v="L5905"/>
    <s v="覆審案件明細檔查詢"/>
    <m/>
    <s v="賴文育"/>
    <s v="張嘉榮"/>
    <s v="PJ201800012_URS_5管理性作業_V1.4"/>
    <x v="51"/>
    <d v="2021-11-04T00:00:00"/>
    <d v="2021-12-03T00:00:00"/>
    <s v="吳承憲"/>
    <s v="邱怡婷"/>
    <s v="程慧娟"/>
    <m/>
    <m/>
    <m/>
    <m/>
    <m/>
    <m/>
  </r>
  <r>
    <m/>
    <m/>
    <x v="6"/>
    <s v="5-1一般作業"/>
    <s v="L5105"/>
    <s v="覆審案件明細檔維護"/>
    <m/>
    <s v="賴文育"/>
    <s v="張嘉榮"/>
    <s v="PJ201800012_URS_5管理性作業_V1.4"/>
    <x v="51"/>
    <d v="2021-11-04T00:00:00"/>
    <d v="2021-12-03T00:00:00"/>
    <s v="吳承憲"/>
    <s v="邱怡婷"/>
    <s v="程慧娟"/>
    <m/>
    <m/>
    <m/>
    <m/>
    <m/>
    <m/>
  </r>
  <r>
    <m/>
    <m/>
    <x v="6"/>
    <s v="5-1一般作業"/>
    <s v="L5106"/>
    <s v="產生覆審案件資料明細"/>
    <m/>
    <s v="賴文育"/>
    <s v="張嘉榮"/>
    <s v="PJ201800012_URS_5管理性作業_V1.4"/>
    <x v="51"/>
    <d v="2021-11-04T00:00:00"/>
    <d v="2021-12-06T00:00:00"/>
    <s v="林清河"/>
    <s v="邱怡婷"/>
    <s v="程慧娟"/>
    <m/>
    <m/>
    <m/>
    <m/>
    <m/>
    <m/>
  </r>
  <r>
    <m/>
    <m/>
    <x v="6"/>
    <s v="5-1一般作業"/>
    <s v="L5906"/>
    <s v="寬限條件控管繳息查詢"/>
    <m/>
    <s v="賴文育"/>
    <s v="張嘉榮"/>
    <s v="PJ201800012_URS_5管理性作業_V1.4"/>
    <x v="47"/>
    <d v="2021-11-24T00:00:00"/>
    <d v="2021-12-06T00:00:00"/>
    <s v="林清河"/>
    <s v="邵淑微"/>
    <m/>
    <m/>
    <m/>
    <m/>
    <m/>
    <m/>
    <m/>
  </r>
  <r>
    <m/>
    <m/>
    <x v="6"/>
    <s v="5-1一般作業"/>
    <s v="L5116"/>
    <s v="寬限條件控管維護"/>
    <m/>
    <s v="賴文育"/>
    <s v="張嘉榮"/>
    <s v="PJ201800012_URS_5管理性作業_V1.4"/>
    <x v="47"/>
    <d v="2021-11-24T00:00:00"/>
    <d v="2021-12-06T00:00:00"/>
    <s v="林清河"/>
    <s v="邵淑微"/>
    <m/>
    <m/>
    <m/>
    <m/>
    <m/>
    <m/>
    <m/>
  </r>
  <r>
    <m/>
    <m/>
    <x v="6"/>
    <s v="5-1一般作業"/>
    <s v="L5907"/>
    <s v="指定覆審名單查詢"/>
    <s v="審後新增2021/11/16 (L5905)"/>
    <s v="賴文育"/>
    <s v="張嘉榮"/>
    <s v="PJ201800012_URS_5管理性作業_V1.4"/>
    <x v="51"/>
    <d v="2021-11-04T00:00:00"/>
    <d v="2021-12-06T00:00:00"/>
    <s v="吳承憲"/>
    <s v="邱怡婷"/>
    <s v="程慧娟"/>
    <m/>
    <m/>
    <m/>
    <m/>
    <m/>
    <m/>
  </r>
  <r>
    <m/>
    <m/>
    <x v="6"/>
    <s v="5-1一般作業"/>
    <s v="L5107"/>
    <s v="指定覆審案件資料維護"/>
    <s v="審後新增2021/11/16 (L5105)"/>
    <s v="賴文育"/>
    <s v="張嘉榮"/>
    <s v="PJ201800012_URS_5管理性作業_V1.4"/>
    <x v="51"/>
    <d v="2021-11-04T00:00:00"/>
    <d v="2021-12-06T00:00:00"/>
    <s v="吳承憲"/>
    <s v="邱怡婷"/>
    <s v="程慧娟"/>
    <m/>
    <m/>
    <m/>
    <m/>
    <m/>
    <m/>
  </r>
  <r>
    <m/>
    <m/>
    <x v="2"/>
    <s v="6-7其他基本資料維護"/>
    <s v="L6703"/>
    <s v="保險/鑑定公司資料維護"/>
    <m/>
    <s v="賴文育"/>
    <s v="楊智誠"/>
    <s v="PJ201800012_URS_6共同作業_V1.11.docx"/>
    <x v="26"/>
    <d v="2021-09-28T00:00:00"/>
    <d v="2021-10-03T00:00:00"/>
    <s v="涂宇欣"/>
    <s v="陳政皓"/>
    <m/>
    <m/>
    <m/>
    <m/>
    <m/>
    <m/>
    <m/>
  </r>
  <r>
    <m/>
    <m/>
    <x v="2"/>
    <s v="6-7其他基本資料維護"/>
    <s v="L6704"/>
    <s v="地區別資料維護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</r>
  <r>
    <m/>
    <m/>
    <x v="6"/>
    <s v="5-2房貸專員業績統計作業"/>
    <s v="L5402"/>
    <s v="年度業績目標更新                    "/>
    <m/>
    <s v="張金龍"/>
    <s v="張嘉榮"/>
    <s v="PJ201800012_URS_5管理性作業_V1.6.docx"/>
    <x v="29"/>
    <d v="2021-07-19T00:00:00"/>
    <d v="2021-12-10T00:00:00"/>
    <s v="涂宇欣"/>
    <s v="李珮君(張淑遠)"/>
    <m/>
    <n v="1"/>
    <s v="T"/>
    <m/>
    <m/>
    <m/>
    <m/>
  </r>
  <r>
    <m/>
    <m/>
    <x v="6"/>
    <s v="5-2房貸專員業績統計作業"/>
    <s v="L5021"/>
    <s v="房貸專員明細資料查詢                "/>
    <m/>
    <s v="張金龍"/>
    <s v="張嘉榮"/>
    <s v="PJ201800012_URS_5管理性作業_V1.6.docx"/>
    <x v="29"/>
    <d v="2021-07-19T00:00:00"/>
    <d v="2021-12-03T00:00:00"/>
    <s v="涂宇欣"/>
    <s v="李珮君(張淑遠)"/>
    <m/>
    <n v="1"/>
    <s v="B"/>
    <m/>
    <m/>
    <m/>
    <m/>
  </r>
  <r>
    <m/>
    <m/>
    <x v="6"/>
    <s v="5-2房貸專員業績統計作業"/>
    <s v="L5401"/>
    <s v="房貸專員資料維護                    "/>
    <m/>
    <s v="張金龍"/>
    <s v="張嘉榮"/>
    <s v="PJ201800012_URS_5管理性作業_V1.6.docx"/>
    <x v="29"/>
    <d v="2021-07-19T00:00:00"/>
    <d v="2021-12-03T00:00:00"/>
    <s v="涂宇欣"/>
    <s v="李珮君(張淑遠)"/>
    <m/>
    <n v="1"/>
    <s v="T"/>
    <m/>
    <m/>
    <m/>
    <m/>
  </r>
  <r>
    <m/>
    <m/>
    <x v="6"/>
    <s v="5-2房貸專員業績統計作業"/>
    <s v="L5023"/>
    <s v="晤談人員明細資料查詢                "/>
    <m/>
    <s v="張金龍"/>
    <s v="張嘉榮"/>
    <s v="PJ201800012_URS_5管理性作業_V1.6.docx"/>
    <x v="28"/>
    <d v="2021-07-20T00:00:00"/>
    <d v="2021-12-03T00:00:00"/>
    <s v="涂宇欣"/>
    <s v="李珮君"/>
    <m/>
    <n v="1"/>
    <s v="B"/>
    <m/>
    <m/>
    <m/>
    <m/>
  </r>
  <r>
    <m/>
    <m/>
    <x v="6"/>
    <s v="5-2房貸專員業績統計作業"/>
    <s v="L5406"/>
    <s v="晤談人員資料維護                    "/>
    <m/>
    <s v="張金龍"/>
    <s v="張嘉榮"/>
    <s v="PJ201800012_URS_5管理性作業_V1.6.docx"/>
    <x v="28"/>
    <d v="2021-07-20T00:00:00"/>
    <d v="2021-12-03T00:00:00"/>
    <s v="涂宇欣"/>
    <s v="李珮君"/>
    <m/>
    <n v="1"/>
    <s v="T"/>
    <m/>
    <m/>
    <m/>
    <m/>
  </r>
  <r>
    <m/>
    <m/>
    <x v="6"/>
    <s v="5-2房貸專員業績統計作業"/>
    <s v="L5024"/>
    <s v="目標金額、累計目標金額查詢          "/>
    <m/>
    <s v="張金龍"/>
    <s v="張嘉榮"/>
    <s v="PJ201800012_URS_5管理性作業_V1.6.docx"/>
    <x v="29"/>
    <d v="2021-07-19T00:00:00"/>
    <d v="2021-07-19T00:00:00"/>
    <s v="涂宇欣"/>
    <s v="李珮君(張淑遠)"/>
    <m/>
    <n v="1"/>
    <s v="B"/>
    <m/>
    <m/>
    <m/>
    <m/>
  </r>
  <r>
    <m/>
    <m/>
    <x v="6"/>
    <s v="5-2房貸專員業績統計作業"/>
    <s v="L5405"/>
    <s v="更改目標金額、累計目標金額          "/>
    <m/>
    <s v="張金龍"/>
    <s v="張嘉榮"/>
    <s v="PJ201800012_URS_5管理性作業_V1.6.docx"/>
    <x v="29"/>
    <d v="2021-07-19T00:00:00"/>
    <d v="2021-12-03T00:00:00"/>
    <s v="涂宇欣"/>
    <s v="李珮君(張淑遠)"/>
    <m/>
    <n v="1"/>
    <s v="T"/>
    <m/>
    <m/>
    <m/>
    <m/>
  </r>
  <r>
    <m/>
    <m/>
    <x v="6"/>
    <s v="5-2房貸專員業績統計作業"/>
    <s v="L5022"/>
    <s v="協辦人員等級明細資料查詢            "/>
    <m/>
    <s v="張金龍"/>
    <s v="張嘉榮"/>
    <s v="PJ201800012_URS_5管理性作業_V1.6.docx"/>
    <x v="28"/>
    <d v="2021-07-20T00:00:00"/>
    <d v="2021-12-03T00:00:00"/>
    <s v="涂宇欣"/>
    <s v="李珮君(張淑遠)"/>
    <m/>
    <n v="1"/>
    <s v="B"/>
    <m/>
    <m/>
    <m/>
    <m/>
  </r>
  <r>
    <m/>
    <m/>
    <x v="6"/>
    <s v="5-2房貸專員業績統計作業"/>
    <s v="L5914"/>
    <s v="協辦人員等級歷程查詢"/>
    <s v="審後新增2021/10/26"/>
    <s v="張金龍"/>
    <s v="張嘉榮"/>
    <s v="PJ201800012_URS_5管理性作業_V1.6.docx"/>
    <x v="28"/>
    <d v="2021-07-20T00:00:00"/>
    <d v="2021-07-20T00:00:00"/>
    <s v="涂宇欣"/>
    <s v="李珮君(張淑遠)"/>
    <m/>
    <m/>
    <m/>
    <m/>
    <m/>
    <m/>
    <m/>
  </r>
  <r>
    <m/>
    <m/>
    <x v="6"/>
    <s v="5-2房貸專員業績統計作業"/>
    <s v="L5407"/>
    <s v="房貸協辦人員等級維護                "/>
    <m/>
    <s v="張金龍"/>
    <s v="張嘉榮"/>
    <s v="PJ201800012_URS_5管理性作業_V1.6.docx"/>
    <x v="28"/>
    <d v="2021-07-20T00:00:00"/>
    <d v="2021-12-03T00:00:00"/>
    <s v="涂宇欣"/>
    <s v="李珮君(張淑遠)"/>
    <m/>
    <n v="1"/>
    <s v="T"/>
    <m/>
    <m/>
    <m/>
    <m/>
  </r>
  <r>
    <m/>
    <m/>
    <x v="2"/>
    <s v="6-7其他基本資料維護"/>
    <s v="L6705"/>
    <s v="聯徵報送-地區別資料維護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</r>
  <r>
    <m/>
    <m/>
    <x v="2"/>
    <s v="6-7其他基本資料維護"/>
    <s v="L6994"/>
    <s v="業績件數及金額核算標準設定查詢"/>
    <m/>
    <s v="張金龍"/>
    <s v="張嘉榮"/>
    <s v="PJ201800012_URS_6共同作業_V1.11.docx"/>
    <x v="30"/>
    <d v="2021-07-21T00:00:00"/>
    <d v="2021-12-03T00:00:00"/>
    <s v="涂宇欣"/>
    <s v="李珮君(張淑遠)"/>
    <m/>
    <m/>
    <m/>
    <m/>
    <m/>
    <m/>
    <m/>
  </r>
  <r>
    <m/>
    <m/>
    <x v="2"/>
    <s v="6-7其他基本資料維護"/>
    <s v="L6707"/>
    <s v="現金流量預估資料維護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</r>
  <r>
    <m/>
    <m/>
    <x v="2"/>
    <s v="6-7其他基本資料維護"/>
    <s v="L6757"/>
    <s v="業績件數及金額核算標準設定(整月)"/>
    <m/>
    <s v="張金龍"/>
    <s v="張嘉榮"/>
    <s v="PJ201800012_URS_6共同作業_V1.11.docx"/>
    <x v="30"/>
    <d v="2021-07-21T00:00:00"/>
    <d v="2021-12-06T00:00:00"/>
    <s v="涂宇欣"/>
    <s v="李珮君(張淑遠)"/>
    <m/>
    <m/>
    <m/>
    <m/>
    <m/>
    <m/>
    <m/>
  </r>
  <r>
    <m/>
    <m/>
    <x v="2"/>
    <s v="6-7其他基本資料維護"/>
    <s v="L6708"/>
    <s v="利息收入預算數維護"/>
    <m/>
    <s v="賴文育"/>
    <s v="楊智誠"/>
    <s v="PJ201800012_URS_6共同作業_V1.11.docx"/>
    <x v="25"/>
    <d v="2021-09-27T00:00:00"/>
    <d v="2021-09-27T00:00:00"/>
    <s v="林清河"/>
    <s v="蔡珮瑜"/>
    <m/>
    <m/>
    <m/>
    <m/>
    <m/>
    <m/>
    <m/>
  </r>
  <r>
    <m/>
    <m/>
    <x v="2"/>
    <s v="6-7其他基本資料維護"/>
    <s v="L6709"/>
    <s v="帳冊別目標金額維護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</r>
  <r>
    <m/>
    <m/>
    <x v="2"/>
    <s v="6-7其他基本資料維護"/>
    <s v="L6087"/>
    <s v="協辦獎勵津貼標準查詢"/>
    <m/>
    <s v="張金龍"/>
    <s v="張嘉榮"/>
    <s v="PJ201800012_URS_6共同作業_V1.11.docx"/>
    <x v="28"/>
    <d v="2021-07-20T00:00:00"/>
    <d v="2021-07-20T00:00:00"/>
    <s v="涂宇欣"/>
    <s v="李珮君(張淑遠)"/>
    <m/>
    <m/>
    <m/>
    <m/>
    <m/>
    <m/>
    <m/>
  </r>
  <r>
    <m/>
    <m/>
    <x v="2"/>
    <s v="6-7其他基本資料維護"/>
    <s v="L6787"/>
    <s v="協辦獎勵津貼標準設定"/>
    <m/>
    <s v="張金龍"/>
    <s v="張嘉榮"/>
    <s v="PJ201800012_URS_6共同作業_V1.11.docx"/>
    <x v="28"/>
    <d v="2021-07-20T00:00:00"/>
    <d v="2021-12-06T00:00:00"/>
    <s v="涂宇欣"/>
    <s v="李珮君(張淑遠)"/>
    <m/>
    <m/>
    <m/>
    <m/>
    <m/>
    <m/>
    <m/>
  </r>
  <r>
    <m/>
    <m/>
    <x v="2"/>
    <s v="6-5系統變數維護"/>
    <s v="L6501"/>
    <s v="系統變數及系統值設定"/>
    <m/>
    <s v="賴文育"/>
    <s v="楊智誠"/>
    <s v="PJ201800012_URS_6共同作業_V1.9"/>
    <x v="28"/>
    <d v="2021-07-20T00:00:00"/>
    <d v="2021-12-07T00:00:00"/>
    <s v="涂宇欣"/>
    <s v="陳政皓"/>
    <m/>
    <m/>
    <m/>
    <m/>
    <m/>
    <m/>
    <m/>
  </r>
  <r>
    <m/>
    <m/>
    <x v="2"/>
    <s v="6-5系統變數維護"/>
    <s v="L650A"/>
    <s v="業績計算特殊參數設定(排除商品別)"/>
    <s v="由L6503更名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B"/>
    <s v="業績計算特殊參數設定(排除部門別)"/>
    <s v="審後新增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C"/>
    <s v="業績計算特殊參數設定(是否排除15日薪非業績人員)"/>
    <s v="審後新增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D"/>
    <s v="業績計算特殊參數設定(業績追回通知設定)"/>
    <s v="審後新增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</r>
  <r>
    <m/>
    <m/>
    <x v="6"/>
    <s v="5-3業績調整作業"/>
    <s v="L5051"/>
    <s v="房貸介紹人業績維護查詢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</r>
  <r>
    <m/>
    <m/>
    <x v="6"/>
    <s v="5-3業績調整作業"/>
    <s v="L5501"/>
    <s v="介紹人業績案件維護            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</r>
  <r>
    <m/>
    <m/>
    <x v="6"/>
    <s v="5-3業績調整作業"/>
    <s v="L5505"/>
    <s v="業績案件計件代碼維護"/>
    <s v="新增 2021/11/10"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</r>
  <r>
    <m/>
    <m/>
    <x v="6"/>
    <s v="5-3業績調整作業"/>
    <s v="L5052"/>
    <s v="房貸專員業績維護查詢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</r>
  <r>
    <m/>
    <m/>
    <x v="6"/>
    <s v="5-3業績調整作業"/>
    <s v="L5502"/>
    <s v="房貸專員件數金額資料維護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</r>
  <r>
    <m/>
    <m/>
    <x v="6"/>
    <s v="5-3業績調整作業"/>
    <s v="L5056"/>
    <s v="內網報表業績維護查詢"/>
    <s v="新增 2021/11/10"/>
    <s v="張金龍"/>
    <s v="張金龍"/>
    <s v="PJ201800012_URS_5管理性作業_V1.6.docx"/>
    <x v="52"/>
    <d v="2021-11-18T00:00:00"/>
    <d v="2021-12-17T00:00:00"/>
    <s v="涂宇欣"/>
    <s v="李珮君"/>
    <m/>
    <m/>
    <m/>
    <m/>
    <m/>
    <m/>
    <m/>
  </r>
  <r>
    <m/>
    <m/>
    <x v="6"/>
    <s v="5-3業績調整作業"/>
    <s v="L5506"/>
    <s v="內網報表業績維護"/>
    <s v="新增 2021/11/10"/>
    <s v="張金龍"/>
    <s v="張金龍"/>
    <s v="PJ201800012_URS_5管理性作業_V1.6.docx"/>
    <x v="52"/>
    <d v="2021-11-18T00:00:00"/>
    <d v="2021-12-17T00:00:00"/>
    <s v="涂宇欣"/>
    <s v="李珮君"/>
    <m/>
    <m/>
    <m/>
    <m/>
    <m/>
    <m/>
    <m/>
  </r>
  <r>
    <m/>
    <m/>
    <x v="6"/>
    <s v="5-3業績調整作業"/>
    <s v="L5500"/>
    <s v="工作日業績結算"/>
    <m/>
    <s v="張金龍"/>
    <s v="張金龍"/>
    <s v="PJ201800012_URS_5管理性作業_V1.6.docx"/>
    <x v="53"/>
    <d v="2021-11-18T00:00:00"/>
    <d v="2021-12-17T00:00:00"/>
    <s v="涂宇欣"/>
    <s v="李珮君(張淑遠)"/>
    <m/>
    <m/>
    <m/>
    <m/>
    <m/>
    <m/>
    <m/>
  </r>
  <r>
    <m/>
    <m/>
    <x v="6"/>
    <s v="5-3業績調整作業"/>
    <s v="L5510"/>
    <s v="產生換算業績、業務報酬發放媒體"/>
    <m/>
    <s v="張金龍"/>
    <s v="張金龍"/>
    <s v="PJ201800012_URS_5管理性作業_V1.6.docx"/>
    <x v="52"/>
    <d v="2021-11-18T00:00:00"/>
    <d v="2021-12-17T00:00:00"/>
    <s v="涂宇欣"/>
    <s v="李珮君(張淑遠)"/>
    <m/>
    <m/>
    <m/>
    <m/>
    <m/>
    <m/>
    <m/>
  </r>
  <r>
    <m/>
    <m/>
    <x v="6"/>
    <s v="5-3業績調整作業"/>
    <s v="L5511"/>
    <s v="產生介紹、協辦、專業獎勵獎金發放媒體"/>
    <m/>
    <s v="張金龍"/>
    <s v="張金龍"/>
    <s v="PJ201800012_URS_5管理性作業_V1.6.docx"/>
    <x v="54"/>
    <d v="2021-11-24T00:00:00"/>
    <d v="2021-12-17T00:00:00"/>
    <s v="涂宇欣"/>
    <s v="尹少玄"/>
    <m/>
    <m/>
    <m/>
    <m/>
    <m/>
    <m/>
    <m/>
  </r>
  <r>
    <m/>
    <m/>
    <x v="6"/>
    <s v="5-3業績調整作業"/>
    <s v="L5053"/>
    <s v="介紹、協辦獎金明細查詢"/>
    <m/>
    <s v="張金龍"/>
    <s v="張金龍"/>
    <s v="PJ201800012_URS_5管理性作業_V1.6.docx"/>
    <x v="54"/>
    <d v="2021-11-24T00:00:00"/>
    <d v="2021-12-17T00:00:00"/>
    <s v="涂宇欣"/>
    <s v="尹少玄"/>
    <m/>
    <m/>
    <m/>
    <m/>
    <m/>
    <m/>
    <m/>
  </r>
  <r>
    <m/>
    <m/>
    <x v="6"/>
    <s v="5-3業績調整作業"/>
    <s v="L5503"/>
    <s v="介紹、協辦獎金案件維護            "/>
    <m/>
    <s v="張金龍"/>
    <s v="張金龍"/>
    <s v="PJ201800012_URS_5管理性作業_V1.6.docx"/>
    <x v="54"/>
    <d v="2021-11-24T00:00:00"/>
    <d v="2021-12-17T00:00:00"/>
    <s v="涂宇欣"/>
    <s v="尹少玄"/>
    <m/>
    <m/>
    <m/>
    <m/>
    <m/>
    <m/>
    <m/>
  </r>
  <r>
    <m/>
    <m/>
    <x v="6"/>
    <s v="5-3業績調整作業"/>
    <s v="L5512"/>
    <s v="產生介紹人加碼獎金發放媒體"/>
    <m/>
    <s v="張金龍"/>
    <s v="張金龍"/>
    <s v="PJ201800012_URS_5管理性作業_V1.6.docx"/>
    <x v="55"/>
    <d v="2021-11-18T00:00:00"/>
    <d v="2021-12-17T00:00:00"/>
    <s v="涂宇欣"/>
    <s v="李珮君(張淑遠)"/>
    <m/>
    <m/>
    <m/>
    <m/>
    <m/>
    <m/>
    <m/>
  </r>
  <r>
    <m/>
    <m/>
    <x v="6"/>
    <s v="5-3業績調整作業"/>
    <s v="L5054"/>
    <s v="介紹人加碼獎金處理清單"/>
    <m/>
    <s v="張金龍"/>
    <s v="張金龍"/>
    <s v="PJ201800012_URS_5管理性作業_V1.6.docx"/>
    <x v="55"/>
    <d v="2021-11-18T00:00:00"/>
    <d v="2021-12-17T00:00:00"/>
    <s v="涂宇欣"/>
    <s v="李珮君(張淑遠)"/>
    <m/>
    <m/>
    <m/>
    <m/>
    <m/>
    <m/>
    <m/>
  </r>
  <r>
    <m/>
    <m/>
    <x v="6"/>
    <s v="5-3業績調整作業"/>
    <s v="L5504"/>
    <s v="介紹人加碼獎金案件維護      "/>
    <m/>
    <s v="張金龍"/>
    <s v="張金龍"/>
    <s v="PJ201800012_URS_5管理性作業_V1.6.docx"/>
    <x v="55"/>
    <d v="2021-11-18T00:00:00"/>
    <d v="2021-12-17T00:00:00"/>
    <s v="涂宇欣"/>
    <s v="李珮君(張淑遠)"/>
    <m/>
    <m/>
    <m/>
    <m/>
    <m/>
    <m/>
    <m/>
  </r>
  <r>
    <m/>
    <m/>
    <x v="6"/>
    <s v="5-2房貸專員業績統計作業"/>
    <s v="L5910"/>
    <s v="新撥款利率案件資料產生              "/>
    <m/>
    <s v="張金龍"/>
    <s v="張嘉榮"/>
    <s v="PJ201800012_URS_5管理性作業_V1.6.docx"/>
    <x v="55"/>
    <d v="2021-11-18T00:00:00"/>
    <d v="2021-12-03T00:00:00"/>
    <s v="涂宇欣"/>
    <s v="李珮君(張淑遠)"/>
    <m/>
    <m/>
    <m/>
    <m/>
    <m/>
    <m/>
    <m/>
  </r>
  <r>
    <m/>
    <m/>
    <x v="6"/>
    <s v="5-2房貸專員業績統計作業"/>
    <s v="L5912"/>
    <s v="新光銀銀扣案件資料產生              "/>
    <m/>
    <s v="張金龍"/>
    <s v="張嘉榮"/>
    <s v="PJ201800012_URS_5管理性作業_V1.6.docx"/>
    <x v="55"/>
    <d v="2021-11-18T00:00:00"/>
    <d v="2021-12-03T00:00:00"/>
    <s v="涂宇欣"/>
    <s v="李珮君(張淑遠)"/>
    <m/>
    <m/>
    <m/>
    <m/>
    <m/>
    <m/>
    <m/>
  </r>
  <r>
    <m/>
    <m/>
    <x v="2"/>
    <s v="6-4作業控管維護"/>
    <s v="L6042"/>
    <s v="交易控制檔查詢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</r>
  <r>
    <m/>
    <m/>
    <x v="2"/>
    <s v="6-4作業控管維護"/>
    <s v="L6402"/>
    <s v="交易控制檔維護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</r>
  <r>
    <m/>
    <m/>
    <x v="2"/>
    <s v="6-4作業控管維護"/>
    <s v="L6043"/>
    <s v="權限群組查詢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</r>
  <r>
    <m/>
    <m/>
    <x v="2"/>
    <s v="6-4作業控管維護"/>
    <s v="L6403"/>
    <s v="權限群組維護  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</r>
  <r>
    <m/>
    <m/>
    <x v="2"/>
    <s v="6-7其他基本資料維護"/>
    <s v="L6751"/>
    <s v="介紹人加碼獎勵津貼標準設定"/>
    <m/>
    <s v="賴文育"/>
    <s v="楊智誠"/>
    <s v="PJ201800012_URS_6共同作業_V1.11.docx"/>
    <x v="28"/>
    <d v="2021-07-20T00:00:00"/>
    <d v="2021-07-25T00:00:00"/>
    <s v="李珮琪"/>
    <s v="李珮君(張淑遠)"/>
    <m/>
    <m/>
    <m/>
    <m/>
    <m/>
    <m/>
    <m/>
  </r>
  <r>
    <m/>
    <m/>
    <x v="2"/>
    <s v="6-7其他基本資料維護"/>
    <s v="L6752"/>
    <s v="放款業績工作月維護"/>
    <m/>
    <s v="賴文育"/>
    <s v="楊智誠"/>
    <s v="PJ201800012_URS_6共同作業_V1.11.docx"/>
    <x v="29"/>
    <d v="2021-07-19T00:00:00"/>
    <d v="2021-07-25T00:00:00"/>
    <s v="涂宇欣"/>
    <s v="李珮君(張淑遠)"/>
    <m/>
    <n v="1"/>
    <s v="T"/>
    <m/>
    <m/>
    <m/>
    <m/>
  </r>
  <r>
    <m/>
    <m/>
    <x v="2"/>
    <s v="6-4作業控管維護"/>
    <s v="L6041"/>
    <s v="使用者資料查詢"/>
    <m/>
    <s v="張金龍"/>
    <s v="楊智誠"/>
    <s v="PJ201800012_URS_6共同作業_V1.11.docx"/>
    <x v="27"/>
    <d v="2021-11-29T00:00:00"/>
    <d v="2021-12-03T00:00:00"/>
    <s v="涂宇欣"/>
    <s v="蔡珮瑜"/>
    <m/>
    <m/>
    <m/>
    <m/>
    <m/>
    <m/>
    <m/>
  </r>
  <r>
    <m/>
    <m/>
    <x v="2"/>
    <s v="6-4作業控管維護"/>
    <s v="L6401"/>
    <s v="使用者資料維護"/>
    <m/>
    <s v="張金龍"/>
    <s v="楊智誠"/>
    <s v="PJ201800012_URS_6共同作業_V1.11.docx"/>
    <x v="27"/>
    <d v="2021-11-20T00:00:00"/>
    <d v="2021-12-03T00:00:00"/>
    <s v="涂宇欣"/>
    <s v="陳政皓"/>
    <m/>
    <m/>
    <m/>
    <m/>
    <m/>
    <m/>
    <m/>
  </r>
  <r>
    <m/>
    <m/>
    <x v="2"/>
    <s v="6-4作業控管維護"/>
    <s v="L6943"/>
    <s v="使用者交易權限查詢"/>
    <s v="審後新增2021/12/20"/>
    <s v="張金龍"/>
    <s v="楊智誠"/>
    <s v="PJ201800012_URS_6共同作業_V1.11.docx"/>
    <x v="27"/>
    <d v="2021-11-20T00:00:00"/>
    <d v="2021-12-03T00:00:00"/>
    <s v="涂宇欣"/>
    <s v="陳政皓"/>
    <m/>
    <m/>
    <m/>
    <m/>
    <m/>
    <m/>
    <m/>
  </r>
  <r>
    <m/>
    <m/>
    <x v="2"/>
    <s v="6-1控制類"/>
    <s v="L6104"/>
    <s v="代理人設定"/>
    <m/>
    <s v="張金龍"/>
    <s v="楊智誠"/>
    <s v="PJ201800012_URS_6共同作業_V1.11.docx"/>
    <x v="27"/>
    <d v="2021-11-29T00:00:00"/>
    <d v="2021-12-03T00:00:00"/>
    <s v="涂宇欣"/>
    <s v="陳政皓"/>
    <m/>
    <m/>
    <m/>
    <m/>
    <m/>
    <m/>
    <m/>
  </r>
  <r>
    <m/>
    <m/>
    <x v="2"/>
    <s v="6-4作業控管維護"/>
    <s v="L6044"/>
    <s v="主管授權紀錄查詢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</r>
  <r>
    <m/>
    <m/>
    <x v="2"/>
    <s v="6-4作業控管維護"/>
    <s v="L6932"/>
    <s v="資料變更交易查詢"/>
    <m/>
    <s v="賴文育"/>
    <s v="楊智誠"/>
    <s v="PJ201800012_URS_6共同作業_V1.9"/>
    <x v="27"/>
    <d v="2021-11-29T00:00:00"/>
    <d v="2021-12-08T00:00:00"/>
    <s v="涂宇欣"/>
    <s v="陳政皓"/>
    <m/>
    <m/>
    <m/>
    <m/>
    <m/>
    <m/>
    <m/>
  </r>
  <r>
    <m/>
    <m/>
    <x v="2"/>
    <s v="6-4作業控管維護"/>
    <s v="L6933"/>
    <s v="資料變更明細查詢"/>
    <s v="審後新增2021/11/29"/>
    <s v="賴文育"/>
    <s v="楊智誠"/>
    <s v="PJ201800012_URS_6共同作業_V1.9"/>
    <x v="27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</r>
  <r>
    <m/>
    <m/>
    <x v="2"/>
    <s v="6-4作業控管維護"/>
    <s v="L6934"/>
    <s v="資料變更內容查詢"/>
    <s v="審後新增2021/11/29"/>
    <s v="賴文育"/>
    <s v="楊智誠"/>
    <s v="PJ201800012_URS_6共同作業_V1.11.docx"/>
    <x v="27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</r>
  <r>
    <m/>
    <m/>
    <x v="2"/>
    <s v="6-7其他基本資料維護"/>
    <s v="L6754"/>
    <s v="業績件數及金額核算標準設定"/>
    <m/>
    <s v="賴文育"/>
    <s v="楊智誠"/>
    <s v="PJ201800012_URS_6共同作業_V1.11.docx"/>
    <x v="30"/>
    <d v="2021-07-21T00:00:00"/>
    <d v="2021-07-25T00:00:00"/>
    <s v="涂宇欣"/>
    <s v="陳政皓"/>
    <m/>
    <m/>
    <m/>
    <m/>
    <m/>
    <m/>
    <m/>
  </r>
  <r>
    <m/>
    <m/>
    <x v="2"/>
    <s v="6-7其他基本資料維護"/>
    <s v="L6755"/>
    <s v="單位及主管代號維護"/>
    <m/>
    <s v="賴文育"/>
    <s v="楊智誠"/>
    <s v="PJ201800012_URS_6共同作業_V1.11.docx"/>
    <x v="25"/>
    <d v="2021-09-27T00:00:00"/>
    <d v="2021-10-06T00:00:00"/>
    <s v="涂宇欣"/>
    <s v="李珮君"/>
    <s v="張淑遠"/>
    <m/>
    <m/>
    <m/>
    <m/>
    <m/>
    <m/>
  </r>
  <r>
    <m/>
    <m/>
    <x v="2"/>
    <s v="6-1控制類"/>
    <s v="L6103"/>
    <s v="報表查詢作業申請    "/>
    <m/>
    <s v="賴文育"/>
    <s v="楊智誠"/>
    <s v="PJ201800012_URS_6共同作業_V1.11.docx"/>
    <x v="27"/>
    <d v="2021-12-03T00:00:00"/>
    <d v="2021-12-03T00:00:00"/>
    <s v="涂宇欣"/>
    <s v="陳政皓"/>
    <m/>
    <m/>
    <m/>
    <m/>
    <m/>
    <m/>
    <m/>
  </r>
  <r>
    <m/>
    <m/>
    <x v="7"/>
    <s v="8-3債協報送作業"/>
    <s v="L8030"/>
    <s v="消債條列JCIC報送資料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31"/>
    <s v="消債條列JCIC報送資料歷程查詢(040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2"/>
    <s v="消債條列JCIC報送資料歷程查詢(041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33"/>
    <s v="消債條列JCIC報送資料歷程查詢(042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4"/>
    <s v="消債條列JCIC報送資料歷程查詢(043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5"/>
    <s v="消債條列JCIC報送資料歷程查詢(044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6"/>
    <s v="消債條列JCIC報送資料歷程查詢(045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7"/>
    <s v="消債條列JCIC報送資料歷程查詢(046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8"/>
    <s v="消債條列JCIC報送資料歷程查詢(047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39"/>
    <s v="消債條列JCIC報送資料歷程查詢(048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40"/>
    <s v="消債條列JCIC報送資料歷程查詢(049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41"/>
    <s v="消債條列JCIC報送資料歷程查詢(050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2"/>
    <s v="消債條列JCIC報送資料歷程查詢(051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3"/>
    <s v="消債條列JCIC報送資料歷程查詢(052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4"/>
    <s v="消債條列JCIC報送資料歷程查詢(053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5"/>
    <s v="消債條列JCIC報送資料歷程查詢(054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6"/>
    <s v="消債條列JCIC報送資料歷程查詢(055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7"/>
    <s v="消債條列JCIC報送資料歷程查詢(056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8"/>
    <s v="消債條列JCIC報送資料歷程查詢(060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049"/>
    <s v="消債條列JCIC報送資料歷程查詢(061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050"/>
    <s v="消債條列JCIC報送資料歷程查詢(062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051"/>
    <s v="消債條列JCIC報送資料歷程查詢(063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052"/>
    <s v="消債條列JCIC報送資料歷程查詢(44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3"/>
    <s v="消債條列JCIC報送資料歷程查詢(442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4"/>
    <s v="消債條列JCIC報送資料歷程查詢(443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5"/>
    <s v="消債條列JCIC報送資料歷程查詢(44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6"/>
    <s v="消債條列JCIC報送資料歷程查詢(446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7"/>
    <s v="消債條列JCIC報送資料歷程查詢(447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8"/>
    <s v="消債條列JCIC報送資料歷程查詢(448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9"/>
    <s v="消債條列JCIC報送資料歷程查詢(45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60"/>
    <s v="消債條列JCIC報送資料歷程查詢(451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61"/>
    <s v="消債條列JCIC報送資料歷程查詢(45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62"/>
    <s v="消債條列JCIC報送資料歷程查詢(570)"/>
    <s v="新增2021/10/21"/>
    <s v="張金龍"/>
    <s v="張嘉榮"/>
    <s v="PJ201800012_URS_8遵循法令作業_債協報送_V1.0.docx"/>
    <x v="55"/>
    <d v="2021-11-17T00:00:00"/>
    <d v="2021-12-03T00:00:00"/>
    <s v="林清河"/>
    <s v="邱怡婷"/>
    <m/>
    <m/>
    <m/>
    <m/>
    <m/>
    <m/>
    <m/>
  </r>
  <r>
    <m/>
    <m/>
    <x v="7"/>
    <s v="8-3債協報送作業"/>
    <s v="L8063"/>
    <s v="消債條列JCIC報送資料歷程查詢(571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064"/>
    <s v="消債條列JCIC報送資料歷程查詢(572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065"/>
    <s v="消債條列JCIC報送資料歷程查詢(573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066"/>
    <s v="消債條列JCIC報送資料歷程查詢(574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067"/>
    <s v="消債條列JCIC報送資料歷程查詢(575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301"/>
    <s v="(40)前置協商受理申請暨請求回報償權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2"/>
    <s v="(41)協商開始暨停催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3"/>
    <s v="(42)回報無擔保債權金額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4"/>
    <s v="(43)回報有擔保債權金額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5"/>
    <s v="(44)請求同意債務清償方案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6"/>
    <s v="(45)回報是否同意債務清償方案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7"/>
    <s v="(46)結案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8"/>
    <s v="(47)金融機構無擔保債務協議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9"/>
    <s v="(48)債務人基本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10"/>
    <s v="(49)債務清償方案法院認可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11"/>
    <s v="(50)債務人繳款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2"/>
    <s v="(51)延期繳款（喘息期）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3"/>
    <s v="(52)前置協商相關資料報送例外處理檔案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4"/>
    <s v="(53)同意報送例外處理檔案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5"/>
    <s v="(54)單獨全數受清償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6"/>
    <s v="(55)更生案件通報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7"/>
    <s v="(56)清算案件通報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8"/>
    <s v="(60)前置協商受理變更還款條件申請暨請求回報剩餘債權通知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</r>
  <r>
    <m/>
    <m/>
    <x v="7"/>
    <s v="8-3債協報送作業"/>
    <s v="L8319"/>
    <s v="(61)回報協商剩餘債權金額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</r>
  <r>
    <m/>
    <m/>
    <x v="7"/>
    <s v="8-3債協報送作業"/>
    <s v="L8320"/>
    <s v="(62)金融機構無擔保債務變更還款條件協議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</r>
  <r>
    <m/>
    <m/>
    <x v="7"/>
    <s v="8-3債協報送作業"/>
    <s v="L8321"/>
    <s v="(63)變更還款方案結案通知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</r>
  <r>
    <m/>
    <m/>
    <x v="7"/>
    <s v="8-3債協報送作業"/>
    <s v="L8322"/>
    <s v="(440)前置調解受理申請暨請求回報債權通知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3"/>
    <s v="(442)前置調解回報無擔保債權金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4"/>
    <s v="(443)前置調解回報有擔保債權金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5"/>
    <s v="(444)前置調解債務人基本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6"/>
    <s v="(446)前置調解結案通知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7"/>
    <s v="(447)前置調解金融機構無擔保債務協議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8"/>
    <s v="(448)前置調解無擔保債務還款分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9"/>
    <s v="(450)前置調解債務人繳款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30"/>
    <s v="(451)前置調解延期繳款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31"/>
    <s v="(454)前置調解單獨全數受清償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32"/>
    <s v="(570)受理更生款項統一收付通知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</r>
  <r>
    <m/>
    <m/>
    <x v="7"/>
    <s v="8-3債協報送作業"/>
    <s v="L8333"/>
    <s v="(571)更生款項統一收付回報債權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</r>
  <r>
    <m/>
    <m/>
    <x v="7"/>
    <s v="8-3債協報送作業"/>
    <s v="L8334"/>
    <s v="(572)更生款項統一收款及撥付款項分配表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</r>
  <r>
    <m/>
    <m/>
    <x v="7"/>
    <s v="8-3債協報送作業"/>
    <s v="L8335"/>
    <s v="(573)債務人繳款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</r>
  <r>
    <m/>
    <m/>
    <x v="7"/>
    <s v="8-3債協報送作業"/>
    <s v="L8336"/>
    <s v="(574)更生款項統一收付結案通知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</r>
  <r>
    <m/>
    <m/>
    <x v="7"/>
    <s v="8-3債協報送作業"/>
    <s v="L8337"/>
    <s v="(575)債權金額異動通知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</r>
  <r>
    <m/>
    <m/>
    <x v="7"/>
    <s v="8-3債協報送作業"/>
    <s v="L8403"/>
    <s v="JCIC檔案匯出作業(040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4"/>
    <s v="JCIC檔案匯出作業(041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5"/>
    <s v="JCIC檔案匯出作業(042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6"/>
    <s v="JCIC檔案匯出作業(043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7"/>
    <s v="JCIC檔案匯出作業(044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8"/>
    <s v="JCIC檔案匯出作業(045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9"/>
    <s v="JCIC檔案匯出作業(046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0"/>
    <s v="JCIC檔案匯出作業(047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1"/>
    <s v="JCIC檔案匯出作業(048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2"/>
    <s v="JCIC檔案匯出作業(049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3"/>
    <s v="JCIC檔案匯出作業(050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4"/>
    <s v="JCIC檔案匯出作業(051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5"/>
    <s v="JCIC檔案匯出作業(052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6"/>
    <s v="JCIC檔案匯出作業(053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7"/>
    <s v="JCIC檔案匯出作業(054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8"/>
    <s v="JCIC檔案匯出作業(055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9"/>
    <s v="JCIC檔案匯出作業(056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20"/>
    <s v="JCIC檔案匯出作業(060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421"/>
    <s v="JCIC檔案匯出作業(061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422"/>
    <s v="JCIC檔案匯出作業(062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423"/>
    <s v="JCIC檔案匯出作業(063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424"/>
    <s v="JCIC檔案匯出作業(44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5"/>
    <s v="JCIC檔案匯出作業(442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6"/>
    <s v="JCIC檔案匯出作業(443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7"/>
    <s v="JCIC檔案匯出作業(44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8"/>
    <s v="JCIC檔案匯出作業(446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9"/>
    <s v="JCIC檔案匯出作業(447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30"/>
    <s v="JCIC檔案匯出作業(448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31"/>
    <s v="JCIC檔案匯出作業(45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32"/>
    <s v="JCIC檔案匯出作業(451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33"/>
    <s v="JCIC檔案匯出作業(45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34"/>
    <s v="JCIC檔案匯出作業(570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435"/>
    <s v="JCIC檔案匯出作業(571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436"/>
    <s v="JCIC檔案匯出作業(572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437"/>
    <s v="JCIC檔案匯出作業(573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438"/>
    <s v="JCIC檔案匯出作業(574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439"/>
    <s v="JCIC檔案匯出作業(575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5聯徵產品報送"/>
    <s v="L8950"/>
    <s v="MU1人員名冊查詢"/>
    <s v="新增2021/10/26"/>
    <s v="張金龍"/>
    <s v="張嘉榮"/>
    <s v="PJ201800012_URS_8遵循法令作業_V1.3"/>
    <x v="47"/>
    <d v="2021-11-25T00:00:00"/>
    <d v="2021-12-03T00:00:00"/>
    <s v="林清河"/>
    <s v="程慧娟"/>
    <m/>
    <m/>
    <m/>
    <m/>
    <m/>
    <m/>
    <m/>
  </r>
  <r>
    <m/>
    <m/>
    <x v="7"/>
    <s v="8-5聯徵產品報送"/>
    <s v="L8350"/>
    <s v="MU1人員名冊報送"/>
    <s v="新增2021/10/26"/>
    <s v="張金龍"/>
    <s v="張嘉榮"/>
    <s v="PJ201800012_URS_8遵循法令作業_V1.3"/>
    <x v="47"/>
    <d v="2021-11-25T00:00:00"/>
    <d v="2021-12-03T00:00:00"/>
    <s v="林清河"/>
    <s v="程慧娟"/>
    <m/>
    <m/>
    <m/>
    <m/>
    <m/>
    <m/>
    <m/>
  </r>
  <r>
    <m/>
    <m/>
    <x v="7"/>
    <s v="8-5聯徵產品報送"/>
    <s v="L8351"/>
    <s v="聯徵產品檔案匯出作業"/>
    <s v="新增2021/10/26"/>
    <s v="張金龍"/>
    <s v="張嘉榮"/>
    <s v="PJ201800012_URS_8遵循法令作業_V1.3"/>
    <x v="47"/>
    <d v="2021-11-25T00:00:00"/>
    <d v="2021-12-03T00:00:00"/>
    <s v="林清河"/>
    <s v="邱怡婷"/>
    <s v="程慧娟"/>
    <m/>
    <m/>
    <m/>
    <m/>
    <m/>
    <m/>
  </r>
  <r>
    <m/>
    <m/>
    <x v="7"/>
    <s v="8-4JCIC放款報送"/>
    <s v="L8401"/>
    <s v="產生JCIC日報媒體檔"/>
    <s v="新增2021/11/17，B204 聯徵授信餘額日報檔、B211 聯徵每日授信餘額變動資料檔"/>
    <s v="蘇曉玲"/>
    <s v="蘇曉玲"/>
    <s v="PJ201800012_URS_8遵循法令作業_V1.3"/>
    <x v="47"/>
    <d v="2021-11-25T00:00:00"/>
    <d v="2021-11-29T00:00:00"/>
    <s v="林清河"/>
    <s v="鄧雪美"/>
    <m/>
    <m/>
    <m/>
    <m/>
    <m/>
    <m/>
    <m/>
  </r>
  <r>
    <m/>
    <m/>
    <x v="7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V1.3"/>
    <x v="47"/>
    <d v="2021-11-25T00:00:00"/>
    <d v="2021-11-29T00:00:00"/>
    <s v="林清河"/>
    <s v="鄧雪美"/>
    <m/>
    <m/>
    <m/>
    <m/>
    <m/>
    <m/>
    <m/>
  </r>
  <r>
    <m/>
    <m/>
    <x v="8"/>
    <s v="7-2IFRS9作業"/>
    <s v="L7022"/>
    <s v="違約損失率檔查詢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202"/>
    <s v="違約損失率登錄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903"/>
    <s v="商品分類資料查詢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210"/>
    <s v="商品分類資料維護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904"/>
    <s v="特殊客觀減損狀況查詢"/>
    <s v="新增2021/11/17"/>
    <s v="蘇曉玲"/>
    <s v="蘇曉玲"/>
    <s v="PJ201800012_URS_7介接外部系統_V1.8.docx"/>
    <x v="56"/>
    <d v="2021-11-30T00:00:00"/>
    <d v="2021-12-03T00:00:00"/>
    <s v="林清河"/>
    <s v="張舜雯"/>
    <m/>
    <m/>
    <m/>
    <m/>
    <m/>
    <m/>
    <m/>
  </r>
  <r>
    <m/>
    <m/>
    <x v="8"/>
    <s v="7-2IFRS9作業"/>
    <s v="L7204"/>
    <s v="特殊客觀減損狀況維護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203"/>
    <s v="利息法帳面資料上傳作業"/>
    <s v="新增2021/11/17"/>
    <s v="蘇曉玲"/>
    <s v="蘇曉玲"/>
    <s v="PJ201800012_URS_7介接外部系統_V1.8.docx"/>
    <x v="56"/>
    <d v="2021-11-30T00:00:00"/>
    <d v="2021-12-03T00:00:00"/>
    <s v="林清河"/>
    <s v="蔡珮瑜"/>
    <s v="蔡珮瑜"/>
    <m/>
    <m/>
    <m/>
    <m/>
    <m/>
    <m/>
  </r>
  <r>
    <m/>
    <m/>
    <x v="8"/>
    <s v="7-2IFRS9作業"/>
    <s v="L7901"/>
    <s v="３４號公報欄位清單產生作業"/>
    <s v="新增2021/11/17"/>
    <s v="蘇曉玲"/>
    <s v="蘇曉玲"/>
    <s v="PJ201800012_URS_7介接外部系統_V1.8.docx"/>
    <x v="56"/>
    <d v="2021-11-30T00:00:00"/>
    <d v="2021-12-03T00:00:00"/>
    <s v="林清河"/>
    <s v="張舜雯"/>
    <s v="蔡珮瑜"/>
    <m/>
    <m/>
    <m/>
    <m/>
    <m/>
    <m/>
  </r>
  <r>
    <d v="2021-12-31T00:00:00"/>
    <m/>
    <x v="8"/>
    <s v="7-2IFRS9作業"/>
    <s v="L7902"/>
    <s v="ＩＦＲＳ９欄位清單產生作業"/>
    <s v="新增2021/11/17"/>
    <s v="蘇曉玲"/>
    <s v="蘇曉玲"/>
    <s v="PJ201800012_URS_7介接外部系統_V1.8.docx"/>
    <x v="56"/>
    <d v="2021-11-30T00:00:00"/>
    <d v="2021-12-16T00:00:00"/>
    <s v="林清河"/>
    <s v="蔡珮瑜"/>
    <s v="張舜雯"/>
    <m/>
    <m/>
    <m/>
    <m/>
    <m/>
    <m/>
  </r>
  <r>
    <m/>
    <m/>
    <x v="8"/>
    <s v="7-1E-Loan"/>
    <s v="L7913"/>
    <s v="(eloan)評級資訊查詢"/>
    <s v="新增2021/11/18"/>
    <s v="張金龍"/>
    <s v="陳昱衡"/>
    <s v="PJ201800012_URS_7介接外部系統_V1.6(eLoan)"/>
    <x v="47"/>
    <d v="2021-11-26T00:00:00"/>
    <d v="2021-12-06T00:00:00"/>
    <s v="吳承憲"/>
    <s v="施美娟"/>
    <m/>
    <m/>
    <m/>
    <m/>
    <m/>
    <m/>
    <m/>
  </r>
  <r>
    <m/>
    <m/>
    <x v="9"/>
    <s v="LC.共同作業"/>
    <s v="LC001"/>
    <s v="訂正資料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m/>
    <m/>
    <x v="9"/>
    <s v="LC.共同作業"/>
    <s v="LC002"/>
    <s v="修正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m/>
    <m/>
    <x v="9"/>
    <s v="LC.共同作業"/>
    <s v="LC003"/>
    <s v="放行資料查詢"/>
    <s v="新增2021/11/29(主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m/>
    <m/>
    <x v="9"/>
    <s v="LC.共同作業"/>
    <s v="LC004"/>
    <s v="審核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m/>
    <m/>
    <x v="9"/>
    <s v="LC.共同作業"/>
    <s v="LC005"/>
    <s v="登錄提交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m/>
    <m/>
    <x v="9"/>
    <s v="LC.共同作業"/>
    <s v="LC009"/>
    <s v="報表及檔案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m/>
    <m/>
    <x v="9"/>
    <s v="LC.共同作業"/>
    <s v="LC010"/>
    <s v="鎖定戶號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m/>
    <m/>
    <x v="9"/>
    <s v="LC.共同作業"/>
    <s v="LC011"/>
    <s v="交易明細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m/>
    <m/>
    <x v="9"/>
    <s v="LC.共同作業"/>
    <s v="LC109"/>
    <s v="報表簽核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</r>
  <r>
    <m/>
    <m/>
    <x v="9"/>
    <s v="LC.共同作業"/>
    <s v="LC110"/>
    <s v="解除戶號鎖定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</r>
  <r>
    <m/>
    <m/>
    <x v="9"/>
    <s v="LC.共同作業"/>
    <s v="LC014"/>
    <s v="上傳附件查詢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</r>
  <r>
    <m/>
    <m/>
    <x v="9"/>
    <s v="LC.共同作業"/>
    <s v="LC104"/>
    <s v="上傳附件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52">
  <r>
    <m/>
    <n v="1"/>
    <x v="0"/>
    <s v="1-1顧客基本資料"/>
    <s v="L1001"/>
    <s v="顧客明細資料查詢"/>
    <m/>
    <s v="張金龍"/>
    <s v="張嘉榮"/>
    <s v="PJ201800012_URS_1顧客管理作業_V1.43.docx"/>
    <x v="0"/>
    <d v="2021-07-22T00:00:00"/>
    <d v="2021-07-22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1/12/24(1.43)、11/15(1.42)、10/15(1.41)、10/1(1.4)"/>
    <s v="李珮琪"/>
    <d v="2021-10-14T17:13:00"/>
    <d v="2021-10-18T17:54:00"/>
    <s v="李珮君"/>
    <m/>
    <m/>
    <m/>
    <d v="2021-07-26T00:00:00"/>
    <n v="1"/>
    <s v="顧客管理作業"/>
    <s v="L1001"/>
  </r>
  <r>
    <m/>
    <n v="1"/>
    <x v="0"/>
    <s v="1-1顧客基本資料"/>
    <s v="L1101"/>
    <s v="顧客基本資料維護-自然人"/>
    <m/>
    <s v="張金龍"/>
    <s v="張嘉榮"/>
    <s v="PJ201800012_URS_1顧客管理作業_V1.43.docx"/>
    <x v="0"/>
    <d v="2021-07-22T00:00:00"/>
    <d v="2021-09-17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1/12/24(1.43)、11/15(1.42)、10/1(1.4)"/>
    <s v="涂宇欣"/>
    <d v="2021-10-13T09:24:00"/>
    <d v="2021-10-18T17:54:00"/>
    <s v="李珮君"/>
    <m/>
    <m/>
    <m/>
    <d v="2021-07-26T00:00:00"/>
    <s v="1-1"/>
    <s v="顧客基本資料維護(新增)"/>
    <s v="L1101"/>
  </r>
  <r>
    <m/>
    <n v="1"/>
    <x v="0"/>
    <s v="1-1顧客基本資料"/>
    <s v="L1102"/>
    <s v="顧客基本資料維護-法人"/>
    <m/>
    <s v="張金龍"/>
    <s v="張嘉榮"/>
    <s v="PJ201800012_URS_1顧客管理作業_V1.43.docx"/>
    <x v="1"/>
    <d v="2021-07-26T00:00:00"/>
    <d v="2021-09-21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s v="2021/12/24(1.43)、11/15(1.42)、2021/10/1"/>
    <s v="林清河"/>
    <s v="2021/10/13 09:24:00 AM 涂宇欣_x000a_2021/10/14  01:34:00 PM 林清河"/>
    <d v="2021-10-18T17:54:00"/>
    <s v="陳俞辛"/>
    <m/>
    <m/>
    <m/>
    <m/>
    <s v="1-1"/>
    <s v="顧客基本資料維護(新增)"/>
    <s v="L1102"/>
  </r>
  <r>
    <m/>
    <n v="1"/>
    <x v="0"/>
    <s v="1-1顧客基本資料"/>
    <s v="L1103"/>
    <s v="顧客基本資料修改-自然人"/>
    <m/>
    <s v="張金龍"/>
    <s v="張嘉榮"/>
    <s v="PJ201800012_URS_1顧客管理作業_V1.43.docx"/>
    <x v="0"/>
    <d v="2021-07-22T00:00:00"/>
    <d v="2021-09-30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1/12/24(1.43)、11/15(1.42)、2021/10/1"/>
    <s v="涂宇欣"/>
    <d v="2021-10-13T09:24:00"/>
    <d v="2021-10-18T17:54:00"/>
    <s v="李珮君"/>
    <m/>
    <m/>
    <m/>
    <m/>
    <s v="1-2"/>
    <s v="顧客基本資料維護(修改)"/>
    <s v="L1103"/>
  </r>
  <r>
    <m/>
    <n v="1"/>
    <x v="0"/>
    <s v="1-1顧客基本資料"/>
    <s v="L1104"/>
    <s v="顧客基本資料修改-法人"/>
    <m/>
    <s v="張金龍"/>
    <s v="張嘉榮"/>
    <s v="PJ201800012_URS_1顧客管理作業_V1.43.docx"/>
    <x v="1"/>
    <d v="2021-07-26T00:00:00"/>
    <d v="2021-09-17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s v="2021/12/24(1.43)、2021/10/1"/>
    <s v="涂宇欣"/>
    <d v="2021-10-13T09:24:00"/>
    <d v="2021-10-18T17:54:00"/>
    <s v="陳俞辛"/>
    <m/>
    <m/>
    <m/>
    <m/>
    <s v="1-2"/>
    <s v="顧客基本資料維護(修改)"/>
    <s v="L1104"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x v="2"/>
    <d v="2021-09-22T00:00:00"/>
    <d v="2021-11-15T00:00:00"/>
    <s v="吳承憲"/>
    <s v="蔡珮瑜"/>
    <m/>
    <m/>
    <m/>
    <m/>
    <m/>
    <m/>
    <m/>
    <m/>
    <s v="放款服務課"/>
    <d v="2021-11-15T00:00:00"/>
    <d v="2021-09-24T00:00:00"/>
    <d v="2021-09-22T00:00:00"/>
    <d v="2021-09-22T00:00:00"/>
    <d v="2021-11-15T00:00:00"/>
    <s v="吳承憲"/>
    <d v="2021-10-14T17:13:00"/>
    <d v="2021-10-18T17:54:00"/>
    <s v="蔡珮瑜"/>
    <m/>
    <m/>
    <m/>
    <m/>
    <s v="CUSP01 CU190"/>
    <s v="開放查詢變更"/>
    <e v="#N/A"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x v="2"/>
    <d v="2021-09-22T00:00:00"/>
    <d v="2021-10-20T00:00:00"/>
    <s v="吳承憲"/>
    <s v="李珮君"/>
    <s v="陳俞辛"/>
    <m/>
    <m/>
    <m/>
    <m/>
    <m/>
    <m/>
    <m/>
    <s v="放款推展課"/>
    <d v="2021-10-01T00:00:00"/>
    <d v="2021-09-24T00:00:00"/>
    <d v="2021-09-22T00:00:00"/>
    <d v="2021-09-22T00:00:00"/>
    <s v="11/15(1.42)、2021/10/1"/>
    <s v="李珮琪"/>
    <d v="2021-10-14T17:13:00"/>
    <d v="2021-10-18T17:54:00"/>
    <s v="李珮君"/>
    <m/>
    <m/>
    <m/>
    <m/>
    <s v="1-E"/>
    <s v="顧客基本資料維護(編號變更)"/>
    <e v="#N/A"/>
  </r>
  <r>
    <m/>
    <n v="1"/>
    <x v="0"/>
    <s v="1-1顧客基本資料"/>
    <s v="L1905"/>
    <s v="顧客聯絡電話查詢"/>
    <m/>
    <s v="張金龍"/>
    <s v="張嘉榮"/>
    <s v="PJ201800012_URS_1顧客管理作業_V1.42.docx"/>
    <x v="0"/>
    <d v="2021-07-22T00:00:00"/>
    <d v="2021-07-22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s v="2021/11/15(1.42)、10/1(1.4)"/>
    <s v="涂宇欣"/>
    <d v="2021-10-13T09:24:00"/>
    <d v="2021-10-18T17:54:00"/>
    <s v="陳俞辛"/>
    <m/>
    <m/>
    <m/>
    <d v="2021-10-22T00:00:00"/>
    <m/>
    <s v="1-1欄位拆出新交易"/>
    <s v="L1905"/>
  </r>
  <r>
    <m/>
    <n v="1"/>
    <x v="0"/>
    <s v="1-1顧客基本資料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s v="11/15(1.42)、2021/10/1"/>
    <s v="涂宇欣"/>
    <d v="2021-10-13T09:24:00"/>
    <d v="2021-10-18T17:54:00"/>
    <s v="陳俞辛"/>
    <m/>
    <m/>
    <m/>
    <m/>
    <m/>
    <s v="1-1欄位拆出新交易"/>
    <s v="L1105"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s v="11/15(1.42)、2021/10/1"/>
    <s v="李珮琪"/>
    <d v="2021-10-14T17:13:00"/>
    <d v="2021-10-18T17:54:00"/>
    <s v="陳政皓"/>
    <m/>
    <m/>
    <m/>
    <m/>
    <s v="5-22-04"/>
    <s v="申請不列印書面通知書控管報表"/>
    <s v="L1908"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s v="11/15(1.42)、2021/10/1"/>
    <s v="李珮琪"/>
    <d v="2021-10-14T17:13:00"/>
    <d v="2021-10-18T17:54:00"/>
    <s v="陳政皓"/>
    <m/>
    <m/>
    <m/>
    <m/>
    <s v="5-22-04"/>
    <s v="申請不列印書面通知書控管報表"/>
    <s v="L1108"/>
  </r>
  <r>
    <m/>
    <n v="1"/>
    <x v="0"/>
    <s v="1-1顧客基本資料"/>
    <s v="L1109"/>
    <s v="客戶交互運用維護"/>
    <m/>
    <s v="張金龍"/>
    <s v="張嘉榮"/>
    <s v="PJ201800012_URS_1顧客管理作業_V1.42.docx"/>
    <x v="0"/>
    <d v="2021-07-23T00:00:00"/>
    <d v="2021-09-30T00:00:00"/>
    <s v="吳承憲"/>
    <s v="李珮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吳承憲"/>
    <d v="2021-10-14T13:35:00"/>
    <d v="2021-10-18T17:54:00"/>
    <s v="李珮君"/>
    <m/>
    <m/>
    <m/>
    <m/>
    <m/>
    <s v="1-1欄位拆出新交易"/>
    <s v="L1109"/>
  </r>
  <r>
    <m/>
    <n v="1"/>
    <x v="0"/>
    <s v="1-2公司戶財務狀況"/>
    <s v="L1907"/>
    <s v="公司戶財務報表查詢"/>
    <m/>
    <s v="張金龍"/>
    <s v="張金龍"/>
    <s v="PJ201800012_URS_1顧客管理作業_V1.42.docx"/>
    <x v="1"/>
    <d v="2021-07-23T00:00:00"/>
    <d v="2021-07-23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明細資料查詢"/>
    <e v="#N/A"/>
  </r>
  <r>
    <m/>
    <n v="1"/>
    <x v="0"/>
    <s v="1-2公司戶財務狀況"/>
    <s v="L1107"/>
    <s v="公司戶財務報表維護"/>
    <m/>
    <s v="張金龍"/>
    <s v="張金龍"/>
    <s v="PJ201800012_URS_1顧客管理作業_V1.42.docx"/>
    <x v="1"/>
    <d v="2021-07-23T00:00:00"/>
    <d v="2021-09-30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s v="11/15(1.42)、2021/10/1"/>
    <s v="吳承憲"/>
    <d v="2021-10-14T13:35:00"/>
    <d v="2021-10-18T17:54:00"/>
    <s v="施美娟"/>
    <d v="2021-10-12T00:00:00"/>
    <s v="2021/10/18,22"/>
    <m/>
    <m/>
    <s v="2-5"/>
    <s v="公司戶財務狀況管理"/>
    <e v="#N/A"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x v="2"/>
    <d v="2021-09-22T00:00:00"/>
    <d v="2021-11-15T00:00:00"/>
    <s v="吳承憲"/>
    <s v="施美娟"/>
    <m/>
    <m/>
    <m/>
    <m/>
    <m/>
    <m/>
    <m/>
    <m/>
    <s v="放款審查課"/>
    <d v="2021-11-15T00:00:00"/>
    <d v="2021-09-24T00:00:00"/>
    <d v="2021-09-29T00:00:00"/>
    <d v="2021-09-29T00:00:00"/>
    <d v="2021-11-15T00:00:00"/>
    <s v="吳承憲"/>
    <m/>
    <m/>
    <s v="施美娟"/>
    <m/>
    <m/>
    <m/>
    <m/>
    <m/>
    <s v="新交易"/>
    <e v="#N/A"/>
  </r>
  <r>
    <m/>
    <m/>
    <x v="1"/>
    <s v="2-1商品作業"/>
    <s v="L2001"/>
    <s v="商品參數明細資料查詢                    "/>
    <m/>
    <s v="賴文育"/>
    <s v="余家興"/>
    <s v="PJ201800012_URS_2業務作業_V1.28.doc"/>
    <x v="1"/>
    <d v="2021-07-26T00:00:00"/>
    <d v="2021-12-03T00:00:00"/>
    <s v="吳承憲"/>
    <s v="蔡珮瑜"/>
    <m/>
    <m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s v="蔡珮瑜"/>
    <m/>
    <m/>
    <m/>
    <m/>
    <s v="Eloan"/>
    <s v="商品參數明細資料查詢"/>
    <e v="#N/A"/>
  </r>
  <r>
    <m/>
    <m/>
    <x v="1"/>
    <s v="2-1商品作業"/>
    <s v="L2101"/>
    <s v="商品參數維護"/>
    <m/>
    <s v="賴文育"/>
    <s v="余家興"/>
    <s v="PJ201800012_URS_2業務作業_V1.28.doc"/>
    <x v="1"/>
    <d v="2021-07-26T00:00:00"/>
    <d v="2021-08-24T00:00:00"/>
    <s v="吳承憲"/>
    <s v="蔡珮瑜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s v="蔡珮瑜"/>
    <m/>
    <m/>
    <m/>
    <m/>
    <s v="Eloan"/>
    <s v="商品參數維護"/>
    <s v="L2101"/>
  </r>
  <r>
    <m/>
    <m/>
    <x v="1"/>
    <s v="2-2案件申請、額度"/>
    <s v="L2010"/>
    <s v="申請案件明細資料查詢                    "/>
    <m/>
    <s v="賴文育"/>
    <s v="陳昱衡"/>
    <s v="PJ201800012_URS_2業務作業_V1.29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s v="李珮君"/>
    <m/>
    <m/>
    <m/>
    <m/>
    <n v="201"/>
    <s v="申請案件明細資料查詢"/>
    <s v="L2010"/>
  </r>
  <r>
    <m/>
    <m/>
    <x v="1"/>
    <s v="2-2案件申請、額度"/>
    <s v="L2111"/>
    <s v="案件申請登錄"/>
    <m/>
    <s v="賴文育"/>
    <s v="余家興"/>
    <s v="PJ201800012_URS_2業務作業_V1.29.doc"/>
    <x v="1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s v="李珮君"/>
    <m/>
    <m/>
    <m/>
    <m/>
    <n v="201"/>
    <s v="案件申請登錄"/>
    <s v="L2111"/>
  </r>
  <r>
    <m/>
    <m/>
    <x v="1"/>
    <s v="2-2案件申請、額度"/>
    <s v="L2153"/>
    <s v="核准額度登錄"/>
    <m/>
    <s v="賴文育"/>
    <s v="余家興"/>
    <s v="PJ201800012_URS_2業務作業_V1.29.doc"/>
    <x v="3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s v="李珮君"/>
    <m/>
    <m/>
    <m/>
    <m/>
    <n v="203"/>
    <s v="核准額度登錄"/>
    <s v="L2153"/>
  </r>
  <r>
    <m/>
    <m/>
    <x v="1"/>
    <s v="2-2案件申請、額度"/>
    <s v="L2151"/>
    <s v="額度登錄准駁查詢"/>
    <m/>
    <s v="賴文育"/>
    <s v="陳昱衡"/>
    <s v="PJ201800012_URS_2業務作業_V1.29.doc"/>
    <x v="3"/>
    <d v="2021-07-26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n v="203"/>
    <s v="駁回額度登錄"/>
    <e v="#N/A"/>
  </r>
  <r>
    <m/>
    <m/>
    <x v="1"/>
    <s v="2-2案件申請、額度"/>
    <s v="L2112"/>
    <s v="團體戶申請登錄                          "/>
    <m/>
    <s v="賴文育"/>
    <s v="陳昱衡"/>
    <s v="PJ201800012_URS_2業務作業_V1.29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s v="李珮君"/>
    <m/>
    <m/>
    <m/>
    <m/>
    <n v="202"/>
    <s v="團體戶申請登錄"/>
    <s v="L2112"/>
  </r>
  <r>
    <m/>
    <m/>
    <x v="1"/>
    <s v="2-2案件申請、額度"/>
    <s v="L2015"/>
    <s v="額度明細資料查詢                        "/>
    <m/>
    <s v="賴文育"/>
    <s v="陳昱衡"/>
    <s v="PJ201800012_URS_2業務作業_V1.29.doc"/>
    <x v="3"/>
    <d v="2021-07-27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s v="李珮君"/>
    <m/>
    <m/>
    <m/>
    <m/>
    <n v="204"/>
    <s v="額度明細資料查詢"/>
    <s v="L2015"/>
  </r>
  <r>
    <m/>
    <m/>
    <x v="1"/>
    <s v="2-2案件申請、額度"/>
    <s v="L2154"/>
    <s v="額度資料維護                            "/>
    <m/>
    <s v="賴文育"/>
    <s v="余家興"/>
    <s v="PJ201800012_URS_2業務作業_V1.29.doc"/>
    <x v="3"/>
    <d v="2021-07-27T00:00:00"/>
    <d v="2021-09-30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s v="李珮君"/>
    <m/>
    <m/>
    <m/>
    <m/>
    <n v="204"/>
    <s v="額度資料維護"/>
    <s v="L2154"/>
  </r>
  <r>
    <m/>
    <m/>
    <x v="1"/>
    <s v="2-2案件申請、額度"/>
    <s v="L2016"/>
    <s v="核准號碼明細資料查詢                    "/>
    <m/>
    <s v="賴文育"/>
    <s v="余家興"/>
    <s v="PJ201800012_URS_2業務作業_V1.29.doc"/>
    <x v="3"/>
    <d v="2021-07-27T00:00:00"/>
    <d v="2021-07-27T00:00:00"/>
    <s v="吳承憲"/>
    <s v="李珮君"/>
    <m/>
    <m/>
    <m/>
    <m/>
    <m/>
    <m/>
    <m/>
    <m/>
    <s v="放款推展課"/>
    <d v="2021-07-27T00:00:00"/>
    <d v="2021-12-03T00:00:00"/>
    <d v="2021-12-03T00:00:00"/>
    <d v="2021-07-27T00:00:00"/>
    <d v="2021-12-14T00:00:00"/>
    <m/>
    <m/>
    <m/>
    <s v="李珮君"/>
    <m/>
    <m/>
    <m/>
    <m/>
    <n v="204"/>
    <s v="核准號碼明細資料查詢"/>
    <s v="L2016"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n v="206"/>
    <s v="保證人明細資料查詢"/>
    <s v="L2020"/>
  </r>
  <r>
    <m/>
    <m/>
    <x v="1"/>
    <s v="2-3保證人、關係人"/>
    <s v="L2250"/>
    <s v="保證人資料登錄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n v="206"/>
    <s v="保證人資料登錄"/>
    <s v="L2250"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x v="3"/>
    <d v="2021-07-28T00:00:00"/>
    <d v="2021-08-20T00:00:00"/>
    <s v="吳承憲"/>
    <s v="陳政皓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s v="陳政皓"/>
    <m/>
    <m/>
    <m/>
    <m/>
    <n v="214"/>
    <s v="保證人保證資料查詢"/>
    <s v="L2902"/>
  </r>
  <r>
    <m/>
    <m/>
    <x v="2"/>
    <s v="6-6各類代碼檔維護"/>
    <s v="L6070"/>
    <s v="未齊件代碼查詢                          "/>
    <m/>
    <s v="賴文育"/>
    <s v="陳昱衡"/>
    <s v="PJ201800012_URS_6共同作業_V1.11.docx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無調整"/>
    <d v="2021-12-14T00:00:00"/>
    <d v="2021-12-14T00:00:00"/>
    <d v="2021-12-20T00:00:00"/>
    <m/>
    <m/>
    <m/>
    <s v="徐名弘"/>
    <m/>
    <m/>
    <m/>
    <m/>
    <s v="新交易"/>
    <m/>
    <e v="#N/A"/>
  </r>
  <r>
    <m/>
    <m/>
    <x v="2"/>
    <s v="6-6各類代碼檔維護"/>
    <s v="L6700"/>
    <s v="未齊件代碼維護"/>
    <m/>
    <s v="賴文育"/>
    <s v="陳昱衡"/>
    <s v="PJ201800012_URS_6共同作業_V1.11.docx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需二審"/>
    <d v="2021-12-14T00:00:00"/>
    <d v="2021-12-14T00:00:00"/>
    <d v="2021-12-20T00:00:00"/>
    <m/>
    <m/>
    <m/>
    <s v="徐名弘"/>
    <m/>
    <m/>
    <m/>
    <m/>
    <s v="新交易"/>
    <m/>
    <s v="L6700"/>
  </r>
  <r>
    <m/>
    <m/>
    <x v="1"/>
    <s v="2-2案件申請、額度"/>
    <s v="L2921"/>
    <s v="未齊件資料查詢                          "/>
    <m/>
    <s v="賴文育"/>
    <s v="陳昱衡"/>
    <s v="PJ201800012_URS_2業務作業_V1.29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s v="徐名弘"/>
    <m/>
    <m/>
    <m/>
    <m/>
    <n v="213"/>
    <s v="未齊件資料查詢"/>
    <s v="L2921"/>
  </r>
  <r>
    <m/>
    <m/>
    <x v="1"/>
    <s v="2-2案件申請、額度"/>
    <s v="L2801"/>
    <s v="未齊案件管理             "/>
    <m/>
    <s v="賴文育"/>
    <s v="陳昱衡"/>
    <s v="PJ201800012_URS_2業務作業_V1.29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s v="徐名弘"/>
    <m/>
    <m/>
    <m/>
    <m/>
    <n v="355"/>
    <s v="未齊案件管理"/>
    <s v="L2801"/>
  </r>
  <r>
    <m/>
    <m/>
    <x v="1"/>
    <s v="2-2案件申請、額度"/>
    <s v="L2018"/>
    <s v="共同借款人資料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</r>
  <r>
    <m/>
    <m/>
    <x v="1"/>
    <s v="2-2案件申請、額度"/>
    <s v="L2118"/>
    <s v="共同借款人資料登錄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</r>
  <r>
    <m/>
    <m/>
    <x v="1"/>
    <s v="2-2案件申請、額度"/>
    <s v="L291A"/>
    <s v="共同借款人額度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</r>
  <r>
    <m/>
    <m/>
    <x v="1"/>
    <s v="2-2案件申請、額度"/>
    <s v="L2019"/>
    <s v="合併額度控管資料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</r>
  <r>
    <m/>
    <m/>
    <x v="1"/>
    <s v="2-2案件申請、額度"/>
    <s v="L2119"/>
    <s v="合併額度控管登錄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</r>
  <r>
    <m/>
    <m/>
    <x v="1"/>
    <s v="2-2案件申請、額度"/>
    <s v="L291B"/>
    <s v="合併額度控管額度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</r>
  <r>
    <m/>
    <m/>
    <x v="1"/>
    <s v="2-3保證人、關係人"/>
    <s v="L2021"/>
    <s v="交易關係人查詢"/>
    <m/>
    <s v="賴文育"/>
    <s v="陳昱衡"/>
    <s v="PJ201800012_URS_2業務作業_V1.28.doc"/>
    <x v="4"/>
    <d v="2021-08-23T00:00:00"/>
    <d v="2021-12-06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s v="新交易"/>
    <m/>
    <e v="#N/A"/>
  </r>
  <r>
    <m/>
    <m/>
    <x v="1"/>
    <s v="2-3保證人、關係人"/>
    <s v="L2221"/>
    <s v="交易關係人維護"/>
    <m/>
    <s v="賴文育"/>
    <s v="陳昱衡"/>
    <s v="PJ201800012_URS_2業務作業_V1.28.doc"/>
    <x v="4"/>
    <d v="2021-08-23T00:00:00"/>
    <d v="2021-09-17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s v="新交易"/>
    <m/>
    <s v="L2221"/>
  </r>
  <r>
    <m/>
    <m/>
    <x v="1"/>
    <s v="2-4擔保品"/>
    <s v="L2038"/>
    <s v="擔保品明細資料查詢                      "/>
    <m/>
    <s v="賴文育"/>
    <s v="陳昱衡"/>
    <s v="PJ201800012_URS_2業務作業_V1.29.doc"/>
    <x v="4"/>
    <d v="2021-08-24T00:00:00"/>
    <d v="2021-08-2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新交易"/>
    <m/>
    <s v="L2038"/>
  </r>
  <r>
    <m/>
    <m/>
    <x v="1"/>
    <s v="2-4擔保品"/>
    <s v="L2411"/>
    <s v="不動產擔保品資料登錄"/>
    <m/>
    <s v="賴文育"/>
    <s v="陳昱衡"/>
    <s v="PJ201800012_URS_2業務作業_V1.29.doc"/>
    <x v="5"/>
    <d v="2021-08-24T00:00:00"/>
    <d v="2021-09-08T00:00:00"/>
    <s v="吳承憲"/>
    <s v="李珮君"/>
    <s v="企金、(可分配金額+張舜雯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208-1"/>
    <s v="押品資料管理-不動產押品資料登錄"/>
    <s v="L2411"/>
  </r>
  <r>
    <m/>
    <m/>
    <x v="1"/>
    <s v="2-4擔保品"/>
    <s v="L2911"/>
    <s v="不動產擔保品資料查詢                    "/>
    <m/>
    <s v="賴文育"/>
    <s v="陳昱衡"/>
    <s v="PJ201800012_URS_2業務作業_V1.29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d v="2021-10-25T00:00:00"/>
    <s v="208-1"/>
    <s v="押品資料管理-不動產押品土地資料登錄"/>
    <s v="L2911"/>
  </r>
  <r>
    <m/>
    <m/>
    <x v="1"/>
    <s v="2-4擔保品"/>
    <s v="L2415"/>
    <s v="不動產建物擔保品資料登錄"/>
    <m/>
    <s v="賴文育"/>
    <s v="陳昱衡"/>
    <s v="PJ201800012_URS_2業務作業_V1.29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新交易"/>
    <m/>
    <s v="L2415"/>
  </r>
  <r>
    <m/>
    <m/>
    <x v="1"/>
    <s v="2-4擔保品"/>
    <s v="L2416"/>
    <s v="不動產土地擔保品資料登錄"/>
    <m/>
    <s v="賴文育"/>
    <s v="陳昱衡"/>
    <s v="PJ201800012_URS_2業務作業_V1.29.doc"/>
    <x v="5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208-1"/>
    <s v="押品資料管理-不動產押品土地資料登錄"/>
    <e v="#N/A"/>
  </r>
  <r>
    <m/>
    <m/>
    <x v="1"/>
    <s v="2-4擔保品"/>
    <s v="L2915"/>
    <s v="不動產建物資料查詢                      "/>
    <m/>
    <s v="賴文育"/>
    <s v="陳昱衡"/>
    <s v="PJ201800012_URS_2業務作業_V1.29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s v="陳政皓"/>
    <m/>
    <m/>
    <m/>
    <m/>
    <s v="208-1"/>
    <s v="押品資料管理-不動產押品房屋資料查詢"/>
    <e v="#N/A"/>
  </r>
  <r>
    <m/>
    <m/>
    <x v="1"/>
    <s v="2-4擔保品"/>
    <s v="L2916"/>
    <s v="不動產土地資料查詢                      "/>
    <m/>
    <s v="賴文育"/>
    <s v="陳昱衡"/>
    <s v="PJ201800012_URS_2業務作業_V1.29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s v="陳政皓"/>
    <m/>
    <m/>
    <m/>
    <m/>
    <s v="新交易"/>
    <m/>
    <e v="#N/A"/>
  </r>
  <r>
    <m/>
    <m/>
    <x v="1"/>
    <s v="2-4擔保品"/>
    <s v="L2918"/>
    <s v="擔保品他項權利查詢"/>
    <m/>
    <s v="賴文育"/>
    <s v="余家興"/>
    <s v="PJ201800012_URS_2業務作業_V1.29.doc"/>
    <x v="6"/>
    <d v="2021-08-25T00:00:00"/>
    <d v="2021-12-03T00:00:00"/>
    <s v="吳承憲"/>
    <s v="尹少玄"/>
    <s v="企金"/>
    <m/>
    <m/>
    <m/>
    <m/>
    <m/>
    <m/>
    <m/>
    <s v="放款服務課"/>
    <d v="2021-12-03T00:00:00"/>
    <d v="2021-10-01T00:00:00"/>
    <d v="2021-10-08T00:00:00"/>
    <d v="2021-10-08T00:00:00"/>
    <d v="2021-12-14T00:00:00"/>
    <s v="預計2021/11/12"/>
    <m/>
    <m/>
    <s v="尹少玄"/>
    <m/>
    <m/>
    <m/>
    <m/>
    <s v="新交易"/>
    <s v="新交易"/>
    <e v="#N/A"/>
  </r>
  <r>
    <m/>
    <m/>
    <x v="1"/>
    <s v="2-4擔保品"/>
    <s v="L2418"/>
    <s v="擔保品他項權利登錄"/>
    <m/>
    <s v="賴文育"/>
    <s v="余家興"/>
    <s v="PJ201800012_URS_2業務作業_V1.29.doc"/>
    <x v="6"/>
    <d v="2021-08-25T00:00:00"/>
    <d v="2021-12-07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d v="2021-10-29T00:00:00"/>
    <s v="新交易"/>
    <s v="新交易"/>
    <e v="#N/A"/>
  </r>
  <r>
    <m/>
    <m/>
    <x v="2"/>
    <s v="6-6各類代碼檔維護"/>
    <s v="L6023"/>
    <s v="收件字代碼查詢"/>
    <s v="審後新增2021/10/08 (L2418)"/>
    <s v="賴文育"/>
    <s v="余家興"/>
    <s v="PJ201800012_URS_6共同作業_V1.11.docx"/>
    <x v="6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s v="蔡珮瑜"/>
    <m/>
    <m/>
    <m/>
    <m/>
    <s v="新交易"/>
    <s v="新交易"/>
    <e v="#N/A"/>
  </r>
  <r>
    <m/>
    <m/>
    <x v="2"/>
    <s v="6-6各類代碼檔維護"/>
    <s v="L6203"/>
    <s v="收件字代碼維護"/>
    <s v="審後新增2021/10/08 (L2418)"/>
    <s v="賴文育"/>
    <s v="余家興"/>
    <s v="PJ201800012_URS_6共同作業_V1.11.docx"/>
    <x v="6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s v="蔡珮瑜"/>
    <m/>
    <m/>
    <m/>
    <m/>
    <s v="新交易"/>
    <s v="新交易"/>
    <e v="#N/A"/>
  </r>
  <r>
    <m/>
    <m/>
    <x v="1"/>
    <s v="2-4擔保品"/>
    <s v="L2017"/>
    <s v="額度與擔保品關聯查詢 "/>
    <m/>
    <s v="賴文育"/>
    <s v="陳昱衡"/>
    <s v="PJ201800012_URS_2業務作業_V1.29.doc"/>
    <x v="6"/>
    <d v="2021-08-24T00:00:00"/>
    <d v="2021-12-06T00:00:00"/>
    <s v="吳承憲"/>
    <s v="李珮君"/>
    <s v="企金"/>
    <m/>
    <m/>
    <m/>
    <m/>
    <m/>
    <m/>
    <m/>
    <e v="#REF!"/>
    <d v="2021-12-03T00:00:00"/>
    <d v="2021-12-03T00:00:00"/>
    <d v="2021-12-13T00:00:00"/>
    <d v="2021-12-13T00:00:00"/>
    <d v="2021-12-14T00:00:00"/>
    <m/>
    <m/>
    <m/>
    <s v=""/>
    <m/>
    <m/>
    <m/>
    <d v="2021-10-25T00:00:00"/>
    <s v="新交易"/>
    <m/>
    <e v="#REF!"/>
  </r>
  <r>
    <m/>
    <m/>
    <x v="1"/>
    <s v="2-4擔保品"/>
    <s v="L2417"/>
    <s v="額度與擔保品關聯登錄"/>
    <m/>
    <s v="賴文育"/>
    <s v="陳昱衡"/>
    <s v="PJ201800012_URS_2業務作業_V1.29.doc"/>
    <x v="6"/>
    <d v="2021-08-24T00:00:00"/>
    <d v="2021-12-06T00:00:00"/>
    <s v="吳承憲"/>
    <s v="李珮君"/>
    <s v="企金"/>
    <m/>
    <m/>
    <m/>
    <m/>
    <m/>
    <m/>
    <m/>
    <e v="#REF!"/>
    <d v="2021-12-03T00:00:00"/>
    <d v="2021-10-08T00:00:00"/>
    <d v="2021-10-08T00:00:00"/>
    <d v="2021-10-08T00:00:00"/>
    <d v="2021-12-14T00:00:00"/>
    <s v="預計2021/11/12"/>
    <m/>
    <m/>
    <s v=""/>
    <m/>
    <m/>
    <m/>
    <m/>
    <s v="新交易"/>
    <m/>
    <e v="#REF!"/>
  </r>
  <r>
    <m/>
    <m/>
    <x v="1"/>
    <s v="2-4擔保品"/>
    <s v="L2412"/>
    <s v="動產擔保品資料登錄"/>
    <m/>
    <s v="賴文育"/>
    <s v="陳昱衡"/>
    <s v="PJ201800012_URS_2業務作業_V1.29.doc"/>
    <x v="7"/>
    <d v="2021-08-25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208-1"/>
    <s v="押品資料管理-不動產押品房屋資料查詢"/>
    <s v="L2412"/>
  </r>
  <r>
    <m/>
    <m/>
    <x v="1"/>
    <s v="2-4擔保品"/>
    <s v="L2912"/>
    <s v="動產擔保品資料查詢                      "/>
    <m/>
    <s v="賴文育"/>
    <s v="陳昱衡"/>
    <s v="PJ201800012_URS_2業務作業_V1.29.doc"/>
    <x v="7"/>
    <d v="2021-08-25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m/>
    <e v="#N/A"/>
  </r>
  <r>
    <m/>
    <m/>
    <x v="1"/>
    <s v="2-4擔保品"/>
    <s v="L2413"/>
    <s v="股票擔保品資料登錄"/>
    <m/>
    <s v="賴文育"/>
    <s v="陳昱衡"/>
    <s v="PJ201800012_URS_2業務作業_V1.29.doc"/>
    <x v="8"/>
    <d v="2021-08-26T00:00:00"/>
    <d v="2021-08-27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s v="李穎"/>
    <m/>
    <m/>
    <m/>
    <m/>
    <s v="208-1"/>
    <s v="押品資料管理-火險、地震險資料登錄"/>
    <s v="L2413"/>
  </r>
  <r>
    <m/>
    <m/>
    <x v="1"/>
    <s v="2-4擔保品"/>
    <s v="L2913"/>
    <s v="股票擔保品資料查詢                      "/>
    <m/>
    <s v="賴文育"/>
    <s v="陳昱衡"/>
    <s v="PJ201800012_URS_2業務作業_V1.29.doc"/>
    <x v="8"/>
    <d v="2021-08-26T00:00:00"/>
    <d v="2021-09-02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s v="李穎"/>
    <m/>
    <m/>
    <m/>
    <m/>
    <s v="新交易"/>
    <m/>
    <s v="L2913"/>
  </r>
  <r>
    <m/>
    <m/>
    <x v="1"/>
    <s v="2-4擔保品"/>
    <s v="L2414"/>
    <s v="其他擔保品資料登錄"/>
    <m/>
    <s v="賴文育"/>
    <s v="陳昱衡"/>
    <s v="PJ201800012_URS_2業務作業_V1.29.doc"/>
    <x v="8"/>
    <d v="2021-08-26T00:00:00"/>
    <d v="2021-09-06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s v="李穎"/>
    <m/>
    <m/>
    <m/>
    <m/>
    <s v="新交易"/>
    <m/>
    <s v="L2414"/>
  </r>
  <r>
    <m/>
    <m/>
    <x v="1"/>
    <s v="2-4擔保品"/>
    <s v="L2914"/>
    <s v="其他擔保品資料查詢                      "/>
    <m/>
    <s v="賴文育"/>
    <s v="陳昱衡"/>
    <s v="PJ201800012_URS_2業務作業_V1.29.doc"/>
    <x v="8"/>
    <d v="2021-08-26T00:00:00"/>
    <d v="2021-12-06T00:00:00"/>
    <s v="吳承憲"/>
    <s v="李穎"/>
    <s v="企金"/>
    <m/>
    <m/>
    <m/>
    <m/>
    <m/>
    <m/>
    <m/>
    <s v="放款推展課"/>
    <d v="2021-12-03T00:00:00"/>
    <s v="無調整"/>
    <d v="2021-10-08T00:00:00"/>
    <d v="2021-10-08T00:00:00"/>
    <d v="2021-12-14T00:00:00"/>
    <s v="預計2021/11/12"/>
    <m/>
    <m/>
    <s v="李穎"/>
    <m/>
    <m/>
    <m/>
    <m/>
    <s v="新交易"/>
    <m/>
    <e v="#N/A"/>
  </r>
  <r>
    <m/>
    <m/>
    <x v="1"/>
    <s v="2-9其他"/>
    <s v="L2702"/>
    <s v="顧客控管警訊資料維護                    "/>
    <m/>
    <s v="賴文育"/>
    <s v="陳昱衡"/>
    <s v="PJ201800012_URS_2業務作業_V1.31.docx"/>
    <x v="7"/>
    <d v="2021-08-26T00:00:00"/>
    <d v="2021-10-30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陳政皓"/>
    <m/>
    <m/>
    <m/>
    <m/>
    <n v="231"/>
    <s v="放款專員業績統計作業－統計業績資料"/>
    <s v="L2702"/>
  </r>
  <r>
    <m/>
    <m/>
    <x v="1"/>
    <s v="2-9其他"/>
    <s v="L2072"/>
    <s v="顧客控管警訊明細資料查詢                "/>
    <m/>
    <s v="賴文育"/>
    <s v="陳昱衡"/>
    <s v="PJ201800012_URS_2業務作業_V1.31.docx"/>
    <x v="7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陳政皓"/>
    <m/>
    <m/>
    <m/>
    <m/>
    <n v="209"/>
    <s v="顧客控管警訊明細資料查詢"/>
    <s v="L2072"/>
  </r>
  <r>
    <m/>
    <n v="1"/>
    <x v="3"/>
    <s v="3-1試算"/>
    <s v="L3901"/>
    <s v="貸款試算                 "/>
    <m/>
    <s v="賴文育"/>
    <s v="余家興"/>
    <s v="PJ201800012_URS_3帳務作業_V1.81"/>
    <x v="9"/>
    <d v="2021-08-27T00:00:00"/>
    <d v="2021-08-27T00:00:00"/>
    <s v="李珮琪"/>
    <s v="陳政皓"/>
    <s v="李珮君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陳政皓"/>
    <m/>
    <m/>
    <m/>
    <m/>
    <n v="305"/>
    <s v="客戶洽詢查詢"/>
    <e v="#N/A"/>
  </r>
  <r>
    <m/>
    <m/>
    <x v="4"/>
    <s v="9-9其他"/>
    <s v="L9110"/>
    <s v="首次撥款審核資料表"/>
    <m/>
    <s v="賴文育"/>
    <s v="楊智誠"/>
    <s v="PJ201800012_URS_9報表作業_V1.3"/>
    <x v="9"/>
    <d v="2021-08-27T00:00:00"/>
    <d v="2021-09-06T00:00:00"/>
    <s v="李珮琪"/>
    <s v="陳政皓"/>
    <s v="徐名弘、陳俞辛"/>
    <m/>
    <m/>
    <m/>
    <m/>
    <m/>
    <m/>
    <m/>
    <s v="放款服務課"/>
    <d v="2021-09-06T00:00:00"/>
    <s v="需二審"/>
    <d v="2021-12-14T00:00:00"/>
    <d v="2021-12-14T00:00:00"/>
    <d v="2021-12-14T00:00:00"/>
    <m/>
    <m/>
    <m/>
    <s v="陳政皓"/>
    <m/>
    <m/>
    <m/>
    <m/>
    <s v="5-9-18"/>
    <s v="首次撥款審核資料表         "/>
    <s v="L9110"/>
  </r>
  <r>
    <m/>
    <n v="1"/>
    <x v="3"/>
    <s v="3-2撥款"/>
    <s v="L3003"/>
    <s v="預約撥款明細資料查詢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</r>
  <r>
    <m/>
    <n v="1"/>
    <x v="3"/>
    <s v="3-2撥款"/>
    <s v="L3110"/>
    <s v="預約撥款                 "/>
    <m/>
    <s v="賴文育"/>
    <s v="余家興"/>
    <s v="PJ201800012_URS_3帳務作業_V1.81"/>
    <x v="10"/>
    <d v="2021-08-31T00:00:00"/>
    <d v="2021-10-21T00:00:00"/>
    <s v="涂宇欣"/>
    <s v="尹少玄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尹少玄"/>
    <m/>
    <m/>
    <m/>
    <m/>
    <s v="新交易"/>
    <m/>
    <s v="L3110"/>
  </r>
  <r>
    <m/>
    <n v="1"/>
    <x v="3"/>
    <s v="3-2撥款"/>
    <s v="L3120"/>
    <s v="預約撥款刪除        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</r>
  <r>
    <m/>
    <m/>
    <x v="2"/>
    <s v="6-8其他作業"/>
    <s v="L6984"/>
    <s v="預約撥款到期作業"/>
    <m/>
    <s v="賴文育"/>
    <s v="余家興"/>
    <s v="PJ201800012_URS_6共同作業_V1.11.docx"/>
    <x v="10"/>
    <d v="2021-08-31T00:00:00"/>
    <d v="2021-12-03T00:00:00"/>
    <s v="涂宇欣"/>
    <s v="尹少玄"/>
    <m/>
    <m/>
    <m/>
    <m/>
    <m/>
    <m/>
    <m/>
    <m/>
    <s v="放款服務課"/>
    <d v="2021-12-03T00:00:00"/>
    <d v="2021-10-24T00:00:00"/>
    <d v="2021-11-23T00:00:00"/>
    <d v="2021-11-24T00:00:00"/>
    <d v="2021-12-20T00:00:00"/>
    <m/>
    <m/>
    <m/>
    <s v="尹少玄"/>
    <m/>
    <m/>
    <m/>
    <m/>
    <s v="新交易"/>
    <s v="新交易"/>
    <s v="L6984"/>
  </r>
  <r>
    <m/>
    <n v="1"/>
    <x v="3"/>
    <s v="3-2撥款"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尹少玄"/>
    <m/>
    <m/>
    <m/>
    <s v="2021/10/19, 2021/10/18, 2021/8/30, 7/21"/>
    <n v="325"/>
    <s v="撥款"/>
    <s v="L3100"/>
  </r>
  <r>
    <m/>
    <n v="1"/>
    <x v="3"/>
    <s v="3-2撥款"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002"/>
  </r>
  <r>
    <m/>
    <n v="1"/>
    <x v="3"/>
    <s v="3-2撥款"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916"/>
  </r>
  <r>
    <m/>
    <n v="1"/>
    <x v="3"/>
    <s v="3-2撥款"/>
    <s v="L3001"/>
    <s v="放款明細資料查詢"/>
    <m/>
    <s v="賴文育"/>
    <s v="余家興"/>
    <s v="PJ201800012_URS_3帳務作業_V1.81"/>
    <x v="12"/>
    <d v="2021-08-30T00:00:00"/>
    <d v="2021-08-30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20"/>
    <s v="放款內容查詢"/>
    <e v="#N/A"/>
  </r>
  <r>
    <m/>
    <m/>
    <x v="1"/>
    <s v="2-9其他"/>
    <s v="L2060"/>
    <s v="聯貸案訂約明細資料查詢"/>
    <s v="由L3010更名2021/9/7"/>
    <s v="賴文育"/>
    <s v="余家興"/>
    <s v="PJ201800012_URS_2業務作業_V1.31.docx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許慧玉"/>
    <m/>
    <m/>
    <m/>
    <m/>
    <s v="新交易"/>
    <s v="新交易"/>
    <s v="L2060"/>
  </r>
  <r>
    <m/>
    <m/>
    <x v="1"/>
    <s v="2-9其他"/>
    <s v="L2600"/>
    <s v="聯貸案訂約登錄"/>
    <s v="由L3600更名2021/9/7"/>
    <s v="賴文育"/>
    <s v="余家興"/>
    <s v="PJ201800012_URS_2業務作業_V1.31.docx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許慧玉"/>
    <m/>
    <m/>
    <m/>
    <m/>
    <s v="新交易"/>
    <s v="新交易"/>
    <s v="L2600"/>
  </r>
  <r>
    <m/>
    <m/>
    <x v="1"/>
    <s v="2-9其他"/>
    <s v="L2604"/>
    <s v="聯貸費用維護"/>
    <s v="審後新增2021/11/18 (L2600)"/>
    <s v="賴文育"/>
    <s v="余家興"/>
    <s v="PJ201800012_URS_2業務作業_V1.4.docx"/>
    <x v="12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s v="許慧玉"/>
    <m/>
    <m/>
    <m/>
    <m/>
    <s v="新交易"/>
    <s v="新交易"/>
    <e v="#N/A"/>
  </r>
  <r>
    <m/>
    <m/>
    <x v="1"/>
    <s v="2-9其他"/>
    <s v="L2064"/>
    <s v="聯貸費用明細資料查詢"/>
    <s v="審後新增2021/11/18 (L2600)"/>
    <s v="賴文育"/>
    <s v="余家興"/>
    <s v="PJ201800012_URS_2業務作業_V1.4.docx"/>
    <x v="12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s v="許慧玉"/>
    <m/>
    <m/>
    <m/>
    <m/>
    <s v="新交易"/>
    <s v="新交易"/>
    <e v="#N/A"/>
  </r>
  <r>
    <m/>
    <m/>
    <x v="2"/>
    <s v="6-6各類代碼檔維護"/>
    <s v="L6022"/>
    <s v="聯貸費用代碼查詢"/>
    <s v="審後新增2021/11/23 (L2604)"/>
    <s v="賴文育"/>
    <s v="余家興"/>
    <s v="PJ201800012_URS_6共同作業_V1.11.docx"/>
    <x v="12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s v="許慧玉"/>
    <m/>
    <m/>
    <m/>
    <m/>
    <s v="新交易"/>
    <s v="新交易"/>
    <e v="#N/A"/>
  </r>
  <r>
    <m/>
    <m/>
    <x v="2"/>
    <s v="6-6各類代碼檔維護"/>
    <s v="L6202"/>
    <s v="聯貸費用代碼維護"/>
    <s v="審後新增2021/11/23 (L2604)"/>
    <s v="賴文育"/>
    <s v="余家興"/>
    <s v="PJ201800012_URS_6共同作業_V1.11.docx"/>
    <x v="12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s v="許慧玉"/>
    <m/>
    <m/>
    <m/>
    <m/>
    <s v="新交易"/>
    <s v="新交易"/>
    <e v="#N/A"/>
  </r>
  <r>
    <m/>
    <n v="1"/>
    <x v="3"/>
    <s v="3-2撥款"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d v="2021-10-22T00:00:00"/>
    <n v="315"/>
    <s v="交易明細資料查詢"/>
    <s v="L3912"/>
  </r>
  <r>
    <m/>
    <n v="1"/>
    <x v="3"/>
    <s v="3-2撥款"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15"/>
    <s v="交易明細資料查詢"/>
    <s v="L3005"/>
  </r>
  <r>
    <m/>
    <n v="1"/>
    <x v="3"/>
    <s v="3-5變更、延長年期"/>
    <s v="L3932"/>
    <s v="借戶利率查詢             "/>
    <m/>
    <s v="賴文育"/>
    <s v="余家興"/>
    <s v="PJ201800012_URS_3帳務作業_V1.81"/>
    <x v="13"/>
    <d v="2021-08-31T00:00:00"/>
    <d v="2021-08-31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0"/>
    <s v="借戶利率查詢"/>
    <e v="#N/A"/>
  </r>
  <r>
    <m/>
    <n v="1"/>
    <x v="3"/>
    <s v="3-5變更、延長年期"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1"/>
    <s v="借戶利率變更"/>
    <s v="L3721"/>
  </r>
  <r>
    <m/>
    <n v="1"/>
    <x v="3"/>
    <s v="3-5變更、延長年期"/>
    <s v="L3701"/>
    <s v="放款內容變更             "/>
    <m/>
    <s v="賴文育"/>
    <s v="余家興"/>
    <s v="PJ201800012_URS_3帳務作業_V1.81"/>
    <x v="13"/>
    <d v="2021-08-31T00:00:00"/>
    <d v="2021-08-31T00:00:00"/>
    <s v="涂宇欣"/>
    <s v="蔡珮瑜"/>
    <m/>
    <m/>
    <m/>
    <m/>
    <m/>
    <m/>
    <m/>
    <m/>
    <s v="放款服務課"/>
    <d v="2021-10-27T00:00:00"/>
    <d v="2021-10-19T00:00:00"/>
    <d v="2021-10-28T00:00:00"/>
    <d v="2021-10-28T00:00:00"/>
    <d v="2021-11-12T00:00:00"/>
    <s v="預計2021/11/12"/>
    <m/>
    <m/>
    <s v="蔡珮瑜"/>
    <m/>
    <m/>
    <m/>
    <m/>
    <n v="321"/>
    <s v="放款內容變更"/>
    <s v="L3701"/>
  </r>
  <r>
    <m/>
    <m/>
    <x v="5"/>
    <s v="4-1撥款退款作業"/>
    <s v="L4101"/>
    <s v="撥款退款作業"/>
    <m/>
    <s v="賴文育"/>
    <s v="余家興"/>
    <s v="PJ201800012_URS_4批次作業_V1.10.doc"/>
    <x v="9"/>
    <d v="2021-08-30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4-2-1_x000a_4-2-2_x000a_4-2-3_x000a_4-2-4"/>
    <s v="撥款匯款媒體製作_x000a_匯款單_x000a_匯款單明細表_x000a_撥款傳票明細表"/>
    <s v="L4101"/>
  </r>
  <r>
    <m/>
    <m/>
    <x v="5"/>
    <s v="4-1撥款退款作業"/>
    <s v="L4001"/>
    <s v="撥款退款彙總查詢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s v="尹少玄"/>
    <m/>
    <m/>
    <m/>
    <m/>
    <s v="新交易"/>
    <s v="新交易"/>
    <e v="#N/A"/>
  </r>
  <r>
    <m/>
    <m/>
    <x v="5"/>
    <s v="4-1撥款退款作業"/>
    <s v="L4901"/>
    <s v="撥款匯款記錄檔查詢                   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s v="尹少玄"/>
    <m/>
    <m/>
    <m/>
    <m/>
    <s v="新交易"/>
    <s v="新交易"/>
    <e v="#N/A"/>
  </r>
  <r>
    <m/>
    <m/>
    <x v="2"/>
    <s v="6-8其他作業"/>
    <s v="L6001"/>
    <s v="應處理清單      "/>
    <m/>
    <s v="賴文育"/>
    <s v="余家興"/>
    <s v="PJ201800012_URS_6共同作業_V1.11.docx"/>
    <x v="14"/>
    <d v="2021-09-08T00:00:00"/>
    <d v="2021-12-17T00:00:00"/>
    <s v="李珮琪"/>
    <s v="蔡珮瑜"/>
    <s v="張舜雯"/>
    <m/>
    <m/>
    <m/>
    <m/>
    <m/>
    <m/>
    <m/>
    <s v="放款服務課"/>
    <d v="2021-12-03T00:00:00"/>
    <s v="需二審"/>
    <d v="2021-12-16T00:00:00"/>
    <d v="2021-12-16T00:00:00"/>
    <d v="2021-12-20T00:00:00"/>
    <m/>
    <m/>
    <m/>
    <s v="蔡珮瑜"/>
    <m/>
    <m/>
    <m/>
    <s v="2021/10/19, 2021/10/18, 2021/9/8"/>
    <s v="新交易"/>
    <s v="新交易"/>
    <s v="L6001"/>
  </r>
  <r>
    <m/>
    <m/>
    <x v="5"/>
    <s v="4-4銀行扣款授權"/>
    <s v="L4042"/>
    <s v="ACH授權資料查詢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042"/>
  </r>
  <r>
    <m/>
    <m/>
    <x v="5"/>
    <s v="4-4銀行扣款授權"/>
    <s v="L4410"/>
    <s v="ACH授權資料建檔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4-12-10_x000a_4-12-20"/>
    <s v="授權資料建檔作業_x000a_授權記錄檔資料維護作業"/>
    <s v="L4410"/>
  </r>
  <r>
    <m/>
    <m/>
    <x v="5"/>
    <s v="4-4銀行扣款授權"/>
    <s v="L4040"/>
    <s v="產生ACH授權提出資料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許慧玉"/>
    <m/>
    <m/>
    <m/>
    <m/>
    <s v="4-12-15_x000a_4-12-30_x000a_4-12-31"/>
    <s v="產生授權資料_x000a_授權媒體製作_x000a_重製授權媒體碼"/>
    <e v="#N/A"/>
  </r>
  <r>
    <m/>
    <m/>
    <x v="5"/>
    <s v="4-4銀行扣款授權"/>
    <s v="L4414"/>
    <s v="上傳授權提回檔 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許慧玉"/>
    <m/>
    <m/>
    <m/>
    <m/>
    <s v="4-12-50_x000a_4-8-95-50"/>
    <s v="ＰＣ上傳授權提回檔_x000a_ＰＣ上傳授權提回檔"/>
    <e v="#N/A"/>
  </r>
  <r>
    <m/>
    <m/>
    <x v="5"/>
    <s v="4-4銀行扣款授權"/>
    <s v="L4940"/>
    <s v="帳號授權檔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940"/>
  </r>
  <r>
    <m/>
    <m/>
    <x v="5"/>
    <s v="4-4銀行扣款授權"/>
    <s v="L4941"/>
    <s v="ACH授權資料歷史紀錄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941"/>
  </r>
  <r>
    <m/>
    <m/>
    <x v="5"/>
    <s v="4-4銀行扣款授權"/>
    <s v="L4043"/>
    <s v="郵局授權資料查詢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宋郁宏"/>
    <m/>
    <m/>
    <m/>
    <m/>
    <s v="新交易"/>
    <s v="新交易"/>
    <s v="L4043"/>
  </r>
  <r>
    <m/>
    <m/>
    <x v="5"/>
    <s v="4-4銀行扣款授權"/>
    <s v="L4412"/>
    <s v="郵局授權資料建檔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宋郁宏"/>
    <m/>
    <m/>
    <m/>
    <m/>
    <s v="4-8-95-10_x000a_4-8-95-20"/>
    <s v="授權資料建檔作業_x000a_授權記錄檔資料維護作業"/>
    <s v="L4412"/>
  </r>
  <r>
    <m/>
    <m/>
    <x v="5"/>
    <s v="4-4銀行扣款授權"/>
    <s v="L4041"/>
    <s v="產生郵局授權資料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宋郁宏"/>
    <m/>
    <m/>
    <m/>
    <m/>
    <s v="4-8-95-15_x000a_4-8-95-30_x000a_4-8-95-31"/>
    <s v="產生授權資料_x000a_授權媒體製作_x000a_重製授權媒體碼"/>
    <e v="#N/A"/>
  </r>
  <r>
    <m/>
    <m/>
    <x v="5"/>
    <s v="4-4銀行扣款授權"/>
    <s v="L4942"/>
    <s v="郵局授權資料歷史紀錄查詢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宋郁宏"/>
    <m/>
    <m/>
    <m/>
    <m/>
    <s v="新交易"/>
    <s v="新交易"/>
    <e v="#N/A"/>
  </r>
  <r>
    <m/>
    <n v="1"/>
    <x v="3"/>
    <s v="3-3回收、部分償還、暫收款"/>
    <s v="L3210"/>
    <s v="暫收款登錄               "/>
    <m/>
    <s v="賴文育"/>
    <s v="余家興"/>
    <s v="PJ201800012_URS_3帳務作業_V1.81"/>
    <x v="16"/>
    <d v="2021-09-13T00:00:00"/>
    <d v="2021-09-13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6"/>
    <s v="暫收款登錄"/>
    <e v="#N/A"/>
  </r>
  <r>
    <m/>
    <n v="1"/>
    <x v="3"/>
    <s v="3-3回收、部分償還、暫收款"/>
    <s v="L3220"/>
    <s v="暫收款退還               "/>
    <m/>
    <s v="賴文育"/>
    <s v="余家興"/>
    <s v="PJ201800012_URS_3帳務作業_V1.84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8T00:00:00"/>
    <d v="2021-10-28T00:00:00"/>
    <s v="2021/12/9, 2021/11/12"/>
    <s v="預計2021/11/12"/>
    <m/>
    <m/>
    <s v="邵淑微"/>
    <m/>
    <m/>
    <m/>
    <m/>
    <n v="337"/>
    <s v="暫收款退還"/>
    <s v="L3220"/>
  </r>
  <r>
    <m/>
    <m/>
    <x v="5"/>
    <s v="4-1撥款退款作業"/>
    <s v="L4102"/>
    <s v="撥款退款明細表"/>
    <s v="審後新增2021/10/26"/>
    <s v="賴文育"/>
    <s v="陳昱衡"/>
    <s v="PJ201800012_URS_4批次作業_V1.10.doc"/>
    <x v="17"/>
    <d v="2021-10-15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新交易"/>
    <s v="新交易"/>
    <e v="#N/A"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x v="17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新交易"/>
    <s v="新交易"/>
    <e v="#N/A"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m/>
    <x v="2"/>
    <s v="6-1控制類"/>
    <s v="L6101"/>
    <s v="業務關帳作業"/>
    <m/>
    <s v="賴文育"/>
    <s v="楊智誠"/>
    <s v="PJ201800012_URS_6共同作業_V1.11.docx"/>
    <x v="16"/>
    <d v="2021-09-13T00:00:00"/>
    <d v="2021-12-10T00:00:00"/>
    <s v="涂宇欣"/>
    <s v="蔡珮瑜"/>
    <m/>
    <m/>
    <m/>
    <m/>
    <m/>
    <m/>
    <m/>
    <m/>
    <s v="放款服務課"/>
    <d v="2021-12-10T00:00:00"/>
    <s v="需二審"/>
    <d v="2021-12-16T00:00:00"/>
    <d v="2021-12-16T00:00:00"/>
    <d v="2021-12-20T00:00:00"/>
    <m/>
    <m/>
    <m/>
    <s v="蔡珮瑜"/>
    <m/>
    <m/>
    <m/>
    <s v="2021/10/25, 2021/10/18, 2021/9/13"/>
    <s v="新交易"/>
    <m/>
    <s v="L6101"/>
  </r>
  <r>
    <m/>
    <m/>
    <x v="5"/>
    <s v="4-7其他"/>
    <s v="L4701"/>
    <s v="票據媒體製作                         "/>
    <m/>
    <s v="賴文育"/>
    <s v="余家興"/>
    <s v="PJ201800012_URS_4批次作業_V1.10.doc"/>
    <x v="16"/>
    <d v="2021-09-13T00:00:00"/>
    <d v="2021-06-25T00:00:00"/>
    <s v="李珮琪"/>
    <s v="邵淑微"/>
    <m/>
    <m/>
    <m/>
    <m/>
    <m/>
    <m/>
    <m/>
    <m/>
    <s v="放款服務課"/>
    <d v="2021-10-27T00:00:00"/>
    <s v="無調整"/>
    <d v="2021-11-25T00:00:00"/>
    <d v="2021-11-24T00:00:00"/>
    <d v="2021-12-09T00:00:00"/>
    <m/>
    <m/>
    <m/>
    <s v="邵淑微"/>
    <m/>
    <m/>
    <m/>
    <m/>
    <s v="4-5-1_x000a_"/>
    <s v="票據兌現媒體製作_x000a_"/>
    <e v="#N/A"/>
  </r>
  <r>
    <m/>
    <n v="1"/>
    <x v="3"/>
    <s v="3-3回收、部分償還、暫收款"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8"/>
    <s v="暫收支票查詢"/>
    <s v="L3007"/>
  </r>
  <r>
    <m/>
    <n v="1"/>
    <x v="3"/>
    <s v="3-3回收、部分償還、暫收款"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s v="377_x000a_4-5-4_x000a_4-5-5"/>
    <s v="多餘支明細資料查詢_x000a_暫收支票明細表    _x000a_支票兌現未入帳查詢"/>
    <s v="L3009"/>
  </r>
  <r>
    <m/>
    <n v="1"/>
    <x v="3"/>
    <s v="3-3回收、部分償還、暫收款"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s v="新交易"/>
    <m/>
    <s v="L3943"/>
  </r>
  <r>
    <m/>
    <m/>
    <x v="1"/>
    <s v="2-9其他"/>
    <s v="L2061"/>
    <s v="貸後契變手續費明細資料查詢(未入帳)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蔡珮瑜"/>
    <m/>
    <m/>
    <m/>
    <m/>
    <s v="237-1"/>
    <s v="貸後契變手續費作業(MENU)-"/>
    <s v="L2061"/>
  </r>
  <r>
    <m/>
    <m/>
    <x v="1"/>
    <s v="2-9其他"/>
    <s v="L2670"/>
    <s v="貸後契變手續費維護                      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蔡珮瑜"/>
    <m/>
    <m/>
    <m/>
    <m/>
    <s v="237-1"/>
    <s v="貸後契變手續費作業(MENU)-貸後契變手續費維護"/>
    <s v="L2670"/>
  </r>
  <r>
    <m/>
    <m/>
    <x v="1"/>
    <s v="2-9其他"/>
    <s v="L2062"/>
    <s v="貸後契變手續費明細資料查詢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蔡珮瑜"/>
    <m/>
    <m/>
    <m/>
    <m/>
    <s v="237-2"/>
    <s v="貸後契變手續費作業(MENU)-"/>
    <s v="L2062"/>
  </r>
  <r>
    <m/>
    <m/>
    <x v="5"/>
    <s v="4-6火險作業"/>
    <s v="L4060"/>
    <s v="額度擔保品保險單關聯查詢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新交易"/>
    <s v="新交易"/>
    <e v="#N/A"/>
  </r>
  <r>
    <m/>
    <m/>
    <x v="5"/>
    <s v="4-6火險作業"/>
    <s v="L4610"/>
    <s v="保險單明細資料登錄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d v="2021-09-16T00:00:00"/>
    <s v="4-91-13"/>
    <s v="火險保費資料維護"/>
    <s v="L4610"/>
  </r>
  <r>
    <m/>
    <m/>
    <x v="5"/>
    <s v="4-6火險作業"/>
    <s v="L4600"/>
    <s v="火險到期檔產生作業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1"/>
    <s v="火險到期檔產生作業"/>
    <s v="L4600"/>
  </r>
  <r>
    <m/>
    <m/>
    <x v="5"/>
    <s v="4-6火險作業"/>
    <s v="L4601"/>
    <s v="火險詢價作業      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3_x000a_4-91-4_x000a_4-91-5"/>
    <s v="火險詢價上傳檔轉檔作業_x000a_火險詢價重複投保報表  _x000a_續保資料錯誤明細表    "/>
    <s v="L4601"/>
  </r>
  <r>
    <m/>
    <m/>
    <x v="5"/>
    <s v="4-6火險作業"/>
    <s v="L4611"/>
    <s v="續約保單資料維護    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d v="2021-09-16T00:00:00"/>
    <s v="4-91-13"/>
    <s v="火險保費資料維護"/>
    <s v="L4611"/>
  </r>
  <r>
    <m/>
    <m/>
    <x v="5"/>
    <s v="4-6火險作業"/>
    <s v="L4602"/>
    <s v="火險出單明細表與媒體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4-91-7"/>
    <s v="出單明細表"/>
    <e v="#N/A"/>
  </r>
  <r>
    <d v="2021-12-22T00:00:00"/>
    <m/>
    <x v="5"/>
    <s v="4-6火險作業"/>
    <s v="L4603"/>
    <s v="火險通知作業               "/>
    <m/>
    <s v="賴文育"/>
    <s v="陳昱衡"/>
    <s v="PJ201800012_URS_4批次作業_V1.12.docx"/>
    <x v="19"/>
    <d v="2021-09-16T00:00:00"/>
    <d v="2021-12-20T00:00:00"/>
    <s v="吳承憲"/>
    <s v="邵淑微"/>
    <m/>
    <m/>
    <m/>
    <m/>
    <m/>
    <m/>
    <m/>
    <m/>
    <s v="放款服務課"/>
    <d v="2021-12-20T00:00:00"/>
    <s v="需二審"/>
    <d v="2021-11-24T00:00:00"/>
    <d v="2021-11-24T00:00:00"/>
    <d v="2021-12-20T00:00:00"/>
    <m/>
    <m/>
    <m/>
    <s v="邵淑微"/>
    <m/>
    <m/>
    <m/>
    <m/>
    <s v="4-91-6"/>
    <s v="火險通知單"/>
    <s v="L4603"/>
  </r>
  <r>
    <m/>
    <m/>
    <x v="5"/>
    <s v="4-6火險作業"/>
    <s v="L4962"/>
    <s v="保險單資料檢核作業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s v="2021/10/19, 2021/9/16"/>
    <s v="4-91-15_x000a_4-91-16"/>
    <s v="保費、保單未完成檢核表_x000a_額度無保單檢核表      "/>
    <s v="L4962"/>
  </r>
  <r>
    <m/>
    <m/>
    <x v="5"/>
    <s v="4-6火險作業"/>
    <s v="L4960"/>
    <s v="火險保費資料查詢(By客戶)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新交易"/>
    <s v="新交易"/>
    <e v="#N/A"/>
  </r>
  <r>
    <m/>
    <m/>
    <x v="5"/>
    <s v="4-6火險作業"/>
    <s v="L4961"/>
    <s v="火險保費明細查詢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s v="2021/10/19, 2021/9/16"/>
    <s v="新交易"/>
    <s v="新交易"/>
    <e v="#N/A"/>
  </r>
  <r>
    <m/>
    <m/>
    <x v="5"/>
    <s v="4-6火險作業"/>
    <s v="L4964"/>
    <s v="擔保品保險單資料查詢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4-91-12"/>
    <s v="火險保費查詢"/>
    <e v="#N/A"/>
  </r>
  <r>
    <m/>
    <m/>
    <x v="5"/>
    <s v="4-6火險作業"/>
    <s v="L4965"/>
    <s v="保險單明細資料查詢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s v="2021/10/19, 2021/9/16"/>
    <s v="4-91-12"/>
    <s v="火險保費查詢 "/>
    <s v="L4965"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10 _x000a_4-8-11 _x000a_4-13-10_x000a_4-13-11"/>
    <s v="產生火險銀行扣款檔                    _x000a_產生銀行扣款檔                        _x000a_產生 ACH 扣款檔（火險）               _x000a_產生 ACH 扣款檔－期款帳管費契變手續費 "/>
    <s v="L4450"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s v="2021/10/15, 2021/9/17"/>
    <s v="4-8-25 _x000a_4-13-21"/>
    <s v="郵局扣款檢核表      _x000a_ACH 扣款金額異常報表"/>
    <s v="L4943"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20 _x000a_4-13-20"/>
    <s v="銀行扣款檔資料維護 _x000a_ACH 扣款檔資料維護 "/>
    <s v="L4451"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30 _x000a_4-13-30_x000a_4-13-31"/>
    <s v="銀行扣款（含火險）媒體製作_x000a_ACH 扣款媒體製作          _x000a_重置扣款媒體碼            "/>
    <s v="L4452"/>
  </r>
  <r>
    <m/>
    <m/>
    <x v="5"/>
    <s v="4-4銀行扣款作業(產出銀扣媒體作業)"/>
    <s v="L4453"/>
    <s v="銀扣扣款前通知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35 _x000a_4-13-23"/>
    <s v="銀行扣款前簡訊通知作業_x000a_ACH 扣款前簡訊傳送作業"/>
    <s v="L4453"/>
  </r>
  <r>
    <m/>
    <m/>
    <x v="6"/>
    <s v="5-5債務協商作業"/>
    <s v="L5705"/>
    <s v="債權比例分攤(產出)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06"/>
    <s v="債權比例分攤資料維護(匯入)            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071"/>
  </r>
  <r>
    <m/>
    <m/>
    <x v="6"/>
    <s v="5-5債務協商作業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1"/>
  </r>
  <r>
    <m/>
    <m/>
    <x v="6"/>
    <s v="5-5債務協商作業"/>
    <s v="L5981"/>
    <s v="債權異動歷程查詢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075"/>
  </r>
  <r>
    <m/>
    <m/>
    <x v="6"/>
    <s v="5-5債務協商作業"/>
    <s v="L5974"/>
    <s v="債權銀行帳號明細資料查詢              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073"/>
    <s v="債務協商作業-撥付日期查詢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0"/>
  </r>
  <r>
    <m/>
    <m/>
    <x v="6"/>
    <s v="5-5債務協商作業"/>
    <s v="L5074"/>
    <s v="債務協商作業－債協應處理事項清單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A"/>
  </r>
  <r>
    <m/>
    <m/>
    <x v="6"/>
    <s v="5-5債務協商作業"/>
    <s v="L5702"/>
    <s v="債務協商作業-暫收入帳"/>
    <m/>
    <s v="蘇曉玲"/>
    <s v="蘇曉玲"/>
    <s v="PJ201800012_URS_5管理性作業_V1.2.DOCX"/>
    <x v="23"/>
    <d v="2021-09-24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2"/>
  </r>
  <r>
    <m/>
    <m/>
    <x v="6"/>
    <s v="5-5債務協商作業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1"/>
  </r>
  <r>
    <m/>
    <m/>
    <x v="6"/>
    <s v="5-5債務協商作業"/>
    <s v="L5972"/>
    <s v="債務協商入帳明細資料查詢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03"/>
    <s v="債權銀行帳號登錄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04"/>
    <s v="債務協商作業－撥付日期設定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07"/>
    <s v="最大債權撥付產檔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3"/>
    <s v="最大債權撥付明細查詢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5"/>
    <s v="最大債權撥付統計查詢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6"/>
    <s v="債權案件主檔內容查詢"/>
    <m/>
    <s v="蘇曉玲"/>
    <s v="蘇曉玲"/>
    <s v="PJ201800012_URS_5管理性作業_V1.2.DOCX"/>
    <x v="21"/>
    <d v="2021-09-23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7"/>
    <s v="客戶最大債權撥付統計查詢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11"/>
    <s v="撥付金額調整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11"/>
  </r>
  <r>
    <m/>
    <m/>
    <x v="6"/>
    <s v="5-5債務協商作業"/>
    <s v="L5708"/>
    <s v="最大債權撥付出帳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9"/>
  </r>
  <r>
    <m/>
    <m/>
    <x v="6"/>
    <s v="5-5債務協商作業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10"/>
  </r>
  <r>
    <m/>
    <m/>
    <x v="2"/>
    <s v="6-6各類代碼檔維護"/>
    <s v="L6061"/>
    <s v="會計科子細目查詢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6-30"/>
    <s v="會計科子目維護"/>
    <e v="#N/A"/>
  </r>
  <r>
    <m/>
    <m/>
    <x v="2"/>
    <s v="6-6各類代碼檔維護"/>
    <s v="L6062"/>
    <s v="行業別代號資料查詢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8"/>
    <s v="行業別代號維護"/>
    <e v="#N/A"/>
  </r>
  <r>
    <m/>
    <m/>
    <x v="2"/>
    <s v="6-6各類代碼檔維護"/>
    <s v="L6063"/>
    <s v="擔保品代號資料查詢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12"/>
    <s v="押品別資料維護"/>
    <e v="#N/A"/>
  </r>
  <r>
    <m/>
    <m/>
    <x v="2"/>
    <s v="6-3共同資料維護(利率、營業日)"/>
    <s v="L6030"/>
    <s v="特殊/例假日查詢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s v="需二審"/>
    <s v="2021/12/9, 2021/12/14am"/>
    <d v="2021-12-09T00:00:00"/>
    <d v="2021-12-14T00:00:00"/>
    <m/>
    <m/>
    <m/>
    <s v="邵淑微"/>
    <m/>
    <m/>
    <m/>
    <m/>
    <s v="新交易"/>
    <m/>
    <s v="L6030"/>
  </r>
  <r>
    <m/>
    <m/>
    <x v="2"/>
    <s v="6-3共同資料維護(利率、營業日)"/>
    <s v="L6310"/>
    <s v="特殊/例假日登錄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s v="無調整"/>
    <s v="2021/12/9, 2021/12/14am"/>
    <d v="2021-12-09T00:00:00"/>
    <d v="2021-12-14T00:00:00"/>
    <m/>
    <m/>
    <m/>
    <s v="邵淑微"/>
    <m/>
    <m/>
    <m/>
    <m/>
    <s v="新交易"/>
    <m/>
    <e v="#N/A"/>
  </r>
  <r>
    <m/>
    <m/>
    <x v="2"/>
    <s v="6-6各類代碼檔維護"/>
    <s v="L6064"/>
    <s v="各類代碼檔查詢"/>
    <m/>
    <s v="賴文育"/>
    <s v="楊智誠"/>
    <s v="PJ201800012_URS_6共同作業_V1.11.docx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s v="陳政皓"/>
    <m/>
    <m/>
    <m/>
    <m/>
    <s v="新交易"/>
    <m/>
    <s v="L6064"/>
  </r>
  <r>
    <m/>
    <m/>
    <x v="2"/>
    <s v="6-6各類代碼檔維護"/>
    <s v="L6065"/>
    <s v="逾期新增減少原因查詢"/>
    <m/>
    <s v="賴文育"/>
    <s v="楊智誠"/>
    <s v="PJ201800012_URS_6共同作業_V1.11.docx"/>
    <x v="26"/>
    <d v="2021-09-28T00:00:00"/>
    <d v="2021-09-28T00:00:00"/>
    <s v="李珮琪"/>
    <s v="張舜雯"/>
    <m/>
    <m/>
    <m/>
    <m/>
    <m/>
    <m/>
    <m/>
    <m/>
    <s v="放款管理課"/>
    <d v="2021-12-03T00:00:00"/>
    <s v="無調整"/>
    <d v="2021-11-30T00:00:00"/>
    <d v="2021-11-30T00:00:00"/>
    <d v="2021-12-20T00:00:00"/>
    <m/>
    <m/>
    <m/>
    <s v="張舜雯"/>
    <m/>
    <m/>
    <m/>
    <m/>
    <s v="6-17"/>
    <s v="逾期新增減少原因維護"/>
    <e v="#N/A"/>
  </r>
  <r>
    <m/>
    <m/>
    <x v="2"/>
    <s v="6-6各類代碼檔維護"/>
    <s v="L6066"/>
    <s v="主管理由查詢"/>
    <m/>
    <s v="賴文育"/>
    <s v="楊智誠"/>
    <s v="PJ201800012_URS_6共同作業_V1.11.docx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7"/>
    <s v="主管理由檔維護"/>
    <e v="#N/A"/>
  </r>
  <r>
    <m/>
    <m/>
    <x v="2"/>
    <s v="6-6各類代碼檔維護"/>
    <s v="L6067"/>
    <s v="保證人關係代碼查詢"/>
    <m/>
    <s v="賴文育"/>
    <s v="楊智誠"/>
    <s v="PJ201800012_URS_6共同作業_V1.11.docx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36"/>
    <s v="保證人關係維護"/>
    <e v="#N/A"/>
  </r>
  <r>
    <m/>
    <m/>
    <x v="2"/>
    <s v="6-6各類代碼檔維護"/>
    <s v="L6068"/>
    <s v="報表代號對照檔查詢"/>
    <m/>
    <s v="賴文育"/>
    <s v="楊智誠"/>
    <s v="PJ201800012_URS_6共同作業_V1.11.docx"/>
    <x v="27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d v="2021-12-20T00:00:00"/>
    <m/>
    <m/>
    <m/>
    <s v="蔡珮瑜"/>
    <m/>
    <m/>
    <m/>
    <m/>
    <s v="新交易"/>
    <m/>
    <e v="#N/A"/>
  </r>
  <r>
    <m/>
    <m/>
    <x v="2"/>
    <s v="6-7其他基本資料維護"/>
    <s v="L6071"/>
    <s v="行庫資料查詢"/>
    <m/>
    <s v="賴文育"/>
    <s v="楊智誠"/>
    <s v="PJ201800012_URS_6共同作業_V1.11.docx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28"/>
    <s v="行庫資料維護"/>
    <e v="#N/A"/>
  </r>
  <r>
    <m/>
    <m/>
    <x v="2"/>
    <s v="6-7其他基本資料維護"/>
    <s v="L6072"/>
    <s v="營業單位對照檔查詢"/>
    <m/>
    <s v="賴文育"/>
    <s v="楊智誠"/>
    <s v="PJ201800012_URS_6共同作業_V1.11.docx"/>
    <x v="27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d v="2021-12-20T00:00:00"/>
    <m/>
    <m/>
    <m/>
    <s v="蔡珮瑜"/>
    <m/>
    <m/>
    <m/>
    <m/>
    <s v="6-4"/>
    <s v="營業單位對照檔維護"/>
    <e v="#N/A"/>
  </r>
  <r>
    <m/>
    <m/>
    <x v="2"/>
    <s v="6-7其他基本資料維護"/>
    <s v="L6073"/>
    <s v="保險/鑑定公司資料查詢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10"/>
    <s v="保險／鑑定公司資料維護"/>
    <e v="#N/A"/>
  </r>
  <r>
    <m/>
    <m/>
    <x v="2"/>
    <s v="6-7其他基本資料維護"/>
    <s v="L6074"/>
    <s v="地區別資料查詢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s v="鄧雪美"/>
    <m/>
    <m/>
    <m/>
    <m/>
    <s v="6-35"/>
    <s v="聯徵報送-地區別資料維護"/>
    <s v="L6074"/>
  </r>
  <r>
    <m/>
    <m/>
    <x v="2"/>
    <s v="6-7其他基本資料維護"/>
    <s v="L6075"/>
    <s v="聯徵報送-地區別資料查詢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s v="鄧雪美"/>
    <m/>
    <m/>
    <m/>
    <m/>
    <s v="6-35"/>
    <s v="聯徵報送-地區別資料維護"/>
    <s v="L6075"/>
  </r>
  <r>
    <m/>
    <m/>
    <x v="2"/>
    <s v="6-7其他基本資料維護"/>
    <s v="L6077"/>
    <s v="現金流量預估資料查詢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6-25"/>
    <s v="現金流量預估資料維護"/>
    <e v="#N/A"/>
  </r>
  <r>
    <m/>
    <m/>
    <x v="2"/>
    <s v="6-7其他基本資料維護"/>
    <s v="L6078"/>
    <s v="利息收入預算數查詢"/>
    <m/>
    <s v="賴文育"/>
    <s v="楊智誠"/>
    <s v="PJ201800012_URS_6共同作業_V1.11.docx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新交易"/>
    <m/>
    <e v="#N/A"/>
  </r>
  <r>
    <m/>
    <m/>
    <x v="2"/>
    <s v="6-7其他基本資料維護"/>
    <s v="L6079"/>
    <s v="帳冊別目標金額查詢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40"/>
    <s v="利變目標金額維護"/>
    <e v="#N/A"/>
  </r>
  <r>
    <m/>
    <m/>
    <x v="2"/>
    <s v="6-7其他基本資料維護"/>
    <s v="L6081"/>
    <s v="介紹人加碼獎勵津貼標準設定數查詢"/>
    <m/>
    <s v="賴文育"/>
    <s v="楊智誠"/>
    <s v="PJ201800012_URS_6共同作業_V1.11.docx"/>
    <x v="28"/>
    <d v="2021-07-20T00:00:00"/>
    <d v="2021-07-21T00:00:00"/>
    <s v="李珮琪"/>
    <s v="張淑遠"/>
    <m/>
    <m/>
    <m/>
    <m/>
    <m/>
    <m/>
    <m/>
    <m/>
    <s v="放款推展課"/>
    <d v="2021-12-03T00:00:00"/>
    <s v="無調整"/>
    <d v="2021-07-20T00:00:00"/>
    <d v="2021-07-20T00:00:00"/>
    <d v="2021-12-20T00:00:00"/>
    <m/>
    <m/>
    <m/>
    <s v="張淑遠"/>
    <m/>
    <m/>
    <m/>
    <d v="2021-07-20T00:00:00"/>
    <s v="新交易"/>
    <m/>
    <e v="#N/A"/>
  </r>
  <r>
    <m/>
    <m/>
    <x v="2"/>
    <s v="6-7其他基本資料維護"/>
    <s v="L6082"/>
    <s v="放款業績工作月查詢"/>
    <m/>
    <s v="賴文育"/>
    <s v="楊智誠"/>
    <s v="PJ201800012_URS_6共同作業_V1.11.docx"/>
    <x v="29"/>
    <d v="2021-07-19T00:00:00"/>
    <d v="2021-07-25T00:00:00"/>
    <s v="涂宇欣"/>
    <s v="李珮君(張淑遠)"/>
    <m/>
    <n v="1"/>
    <s v="B"/>
    <m/>
    <m/>
    <m/>
    <m/>
    <m/>
    <e v="#N/A"/>
    <d v="2021-07-25T00:00:00"/>
    <s v="需二審"/>
    <d v="2021-12-20T00:00:00"/>
    <d v="2021-12-20T00:00:00"/>
    <d v="2021-12-20T00:00:00"/>
    <m/>
    <m/>
    <m/>
    <s v="李珮君(張淑遠)"/>
    <m/>
    <m/>
    <m/>
    <d v="2021-07-19T00:00:00"/>
    <s v="6-31"/>
    <s v="放款業績工作日維護"/>
    <s v="L6082"/>
  </r>
  <r>
    <m/>
    <m/>
    <x v="2"/>
    <s v="6-7其他基本資料維護"/>
    <s v="L6084"/>
    <s v="業績件數及金額核算標準查詢"/>
    <m/>
    <s v="賴文育"/>
    <s v="楊智誠"/>
    <s v="PJ201800012_URS_6共同作業_V1.11.docx"/>
    <x v="30"/>
    <d v="2021-07-21T00:00:00"/>
    <d v="2021-07-25T00:00:00"/>
    <s v="涂宇欣"/>
    <s v="張淑遠"/>
    <m/>
    <m/>
    <m/>
    <m/>
    <m/>
    <m/>
    <m/>
    <m/>
    <s v="放款推展課"/>
    <d v="2021-07-25T00:00:00"/>
    <s v="無調整"/>
    <d v="2021-07-21T00:00:00"/>
    <d v="2021-07-21T00:00:00"/>
    <d v="2021-12-20T00:00:00"/>
    <m/>
    <m/>
    <m/>
    <s v="張淑遠"/>
    <m/>
    <m/>
    <m/>
    <d v="2021-07-21T00:00:00"/>
    <s v="新交易"/>
    <m/>
    <e v="#N/A"/>
  </r>
  <r>
    <m/>
    <m/>
    <x v="2"/>
    <s v="6-7其他基本資料維護"/>
    <s v="L6085"/>
    <s v="單位及主管代號查詢"/>
    <m/>
    <s v="賴文育"/>
    <s v="楊智誠"/>
    <s v="PJ201800012_URS_6共同作業_V1.11.docx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m/>
    <s v="6-29"/>
    <s v="單位主管代碼檔維護"/>
    <s v="L6085"/>
  </r>
  <r>
    <m/>
    <m/>
    <x v="2"/>
    <s v="6-7其他基本資料維護"/>
    <s v="L6086"/>
    <s v="單位代號查詢"/>
    <m/>
    <s v="賴文育"/>
    <s v="楊智誠"/>
    <s v="PJ201800012_URS_6共同作業_V1.11.docx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m/>
    <s v="新交易"/>
    <m/>
    <s v="L6086"/>
  </r>
  <r>
    <m/>
    <m/>
    <x v="2"/>
    <s v="6-6各類代碼檔維護"/>
    <s v="L6601"/>
    <s v="會計科子細目維護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6-30"/>
    <s v="會計科子目維護"/>
    <e v="#N/A"/>
  </r>
  <r>
    <m/>
    <m/>
    <x v="2"/>
    <s v="6-6各類代碼檔維護"/>
    <s v="L6602"/>
    <s v="行業別代號維護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8"/>
    <s v="行業別代號維護"/>
    <e v="#N/A"/>
  </r>
  <r>
    <m/>
    <m/>
    <x v="2"/>
    <s v="6-6各類代碼檔維護"/>
    <s v="L6603"/>
    <s v="擔保品代號資料維護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12"/>
    <s v="押品別資料維護"/>
    <e v="#N/A"/>
  </r>
  <r>
    <m/>
    <m/>
    <x v="2"/>
    <s v="6-6各類代碼檔維護"/>
    <s v="L6604"/>
    <s v="各類代碼檔維護"/>
    <m/>
    <s v="賴文育"/>
    <s v="楊智誠"/>
    <s v="PJ201800012_URS_6共同作業_V1.11.docx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s v="陳政皓"/>
    <m/>
    <m/>
    <m/>
    <m/>
    <s v="新交易"/>
    <m/>
    <s v="L6604"/>
  </r>
  <r>
    <m/>
    <m/>
    <x v="2"/>
    <s v="6-6各類代碼檔維護"/>
    <s v="L6605"/>
    <s v="逾期新增減少原因維護"/>
    <m/>
    <s v="賴文育"/>
    <s v="楊智誠"/>
    <s v="PJ201800012_URS_6共同作業_V1.11.docx"/>
    <x v="26"/>
    <d v="2021-09-28T00:00:00"/>
    <d v="2021-10-03T00:00:00"/>
    <s v="李珮琪"/>
    <s v="張舜雯"/>
    <m/>
    <m/>
    <m/>
    <m/>
    <m/>
    <m/>
    <m/>
    <m/>
    <s v="放款管理課"/>
    <d v="2021-10-03T00:00:00"/>
    <s v="需二審"/>
    <d v="2021-11-30T00:00:00"/>
    <d v="2021-11-30T00:00:00"/>
    <d v="2021-12-20T00:00:00"/>
    <m/>
    <m/>
    <m/>
    <s v="張舜雯"/>
    <m/>
    <m/>
    <m/>
    <m/>
    <s v="6-17"/>
    <s v="逾期新增減少原因維護"/>
    <s v="L6605"/>
  </r>
  <r>
    <m/>
    <m/>
    <x v="2"/>
    <s v="6-6各類代碼檔維護"/>
    <s v="L6606"/>
    <s v="主管理由維護"/>
    <m/>
    <s v="賴文育"/>
    <s v="楊智誠"/>
    <s v="PJ201800012_URS_6共同作業_V1.11.docx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7"/>
    <s v="主管理由檔維護"/>
    <e v="#N/A"/>
  </r>
  <r>
    <m/>
    <m/>
    <x v="2"/>
    <s v="6-6各類代碼檔維護"/>
    <s v="L6607"/>
    <s v="保證人關係代碼維護"/>
    <m/>
    <s v="賴文育"/>
    <s v="楊智誠"/>
    <s v="PJ201800012_URS_6共同作業_V1.11.docx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36"/>
    <s v="保證人關係維護"/>
    <e v="#N/A"/>
  </r>
  <r>
    <m/>
    <m/>
    <x v="2"/>
    <s v="6-6各類代碼檔維護"/>
    <s v="L6608"/>
    <s v="報表代號對照檔維護"/>
    <m/>
    <s v="賴文育"/>
    <s v="楊智誠"/>
    <s v="PJ201800012_URS_6共同作業_V1.11.docx"/>
    <x v="27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d v="2021-12-20T00:00:00"/>
    <m/>
    <m/>
    <m/>
    <s v="蔡珮瑜"/>
    <m/>
    <m/>
    <m/>
    <m/>
    <s v="新交易"/>
    <m/>
    <s v="L6608"/>
  </r>
  <r>
    <m/>
    <m/>
    <x v="2"/>
    <s v="6-7其他基本資料維護"/>
    <s v="L6701"/>
    <s v="行庫資料維護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28"/>
    <s v="行庫資料維護"/>
    <e v="#N/A"/>
  </r>
  <r>
    <m/>
    <m/>
    <x v="2"/>
    <s v="6-7其他基本資料維護"/>
    <s v="L6702"/>
    <s v="營業單位對照檔維護"/>
    <m/>
    <s v="賴文育"/>
    <s v="楊智誠"/>
    <s v="PJ201800012_URS_6共同作業_V1.11.docx"/>
    <x v="27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d v="2021-12-20T00:00:00"/>
    <m/>
    <m/>
    <m/>
    <s v="蔡珮瑜"/>
    <m/>
    <m/>
    <m/>
    <m/>
    <s v="6-4"/>
    <s v="營業單位對照檔維護"/>
    <e v="#N/A"/>
  </r>
  <r>
    <m/>
    <m/>
    <x v="2"/>
    <s v="6-5系統變數維護"/>
    <s v="L6052"/>
    <s v="會計變動數值設定查詢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s v="陳政皓"/>
    <m/>
    <m/>
    <m/>
    <m/>
    <s v="新交易"/>
    <m/>
    <s v="L6052"/>
  </r>
  <r>
    <m/>
    <m/>
    <x v="2"/>
    <s v="6-5系統變數維護"/>
    <s v="L6502"/>
    <s v="會計變動數值設定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s v="陳政皓"/>
    <m/>
    <m/>
    <m/>
    <m/>
    <s v="新交易"/>
    <m/>
    <s v="L6502"/>
  </r>
  <r>
    <m/>
    <m/>
    <x v="2"/>
    <s v="6-7其他基本資料維護"/>
    <s v="L6088"/>
    <s v="員工資料檔查詢"/>
    <s v="由L190A更名 2021/12/20"/>
    <s v="張金龍"/>
    <s v="張嘉榮"/>
    <s v="PJ201800012_URS_6共同作業_V1.11.docx"/>
    <x v="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d v="2021-12-20T00:00:00"/>
    <s v="林清河"/>
    <d v="2021-10-14T13:34:00"/>
    <d v="2021-10-18T17:54:00"/>
    <s v="蔡珮瑜"/>
    <m/>
    <m/>
    <m/>
    <m/>
    <s v="4-3-2"/>
    <s v="在職員工明細檔查詢"/>
    <e v="#N/A"/>
  </r>
  <r>
    <m/>
    <m/>
    <x v="5"/>
    <s v="4-5員工扣薪作業-1產出媒體"/>
    <s v="L4500"/>
    <s v="設定員工扣薪日程表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新交易"/>
    <s v="新交易"/>
    <s v="L4500"/>
  </r>
  <r>
    <m/>
    <m/>
    <x v="5"/>
    <s v="4-5員工扣薪作業-1產出媒體"/>
    <s v="L4950"/>
    <s v="員工扣薪設定檢核表    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2"/>
    <s v="員工扣薪設定檢核表"/>
    <e v="#N/A"/>
  </r>
  <r>
    <m/>
    <m/>
    <x v="5"/>
    <s v="4-5員工扣薪作業-1產出媒體"/>
    <s v="L4510"/>
    <s v="產出員工扣薪明細檔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4-7-1 _x000a_4-7-4 _x000a_4-7-10"/>
    <s v="員工扣薪到期明細表        _x000a_１５日薪扣薪資料產生作業  _x000a_非１５日薪扣薪資料產生作業"/>
    <s v="L4510"/>
  </r>
  <r>
    <m/>
    <m/>
    <x v="5"/>
    <s v="4-5員工扣薪作業-1產出媒體"/>
    <s v="L4951"/>
    <s v="員工扣薪媒體檔查詢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16"/>
    <s v="員工扣薪資料查詢"/>
    <e v="#N/A"/>
  </r>
  <r>
    <m/>
    <m/>
    <x v="5"/>
    <s v="4-5員工扣薪作業-1產出媒體"/>
    <s v="L4512"/>
    <s v="員工扣薪媒體檔維護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17"/>
    <s v="員工扣薪資料維護"/>
    <e v="#N/A"/>
  </r>
  <r>
    <m/>
    <m/>
    <x v="5"/>
    <s v="4-5員工扣薪作業-1產出媒體"/>
    <s v="L4511"/>
    <s v="產出員工扣薪媒體檔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4-7-5 _x000a_4-7-11_x000a_4-7-20"/>
    <s v="１５日薪扣薪媒體檔產生作業   _x000a_非１５日薪扣薪媒體檔產生作業 _x000a_員工扣薪媒體下傳報表         "/>
    <s v="L4511"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x v="32"/>
    <d v="2021-09-29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2021/9/29"/>
    <s v="4-7-7 _x000a_4-7-12_x000a_4-1-1_x000a_4-1-6_x000a_4-13-50_x000a_4-8-50 _x000a_"/>
    <s v="１５日薪扣薪媒體回傳作業  _x000a_非１５日薪扣薪媒體回傳作業_x000a_ＰＣ上傳匯款檔轉入暫存檔作業 _x000a_匯款暫存檔轉入匯款轉帳檔     _x000a_上傳 ACH 扣款媒體作業 _x000a_ＰＣ上傳銀行扣款作業  "/>
    <s v="L4200"/>
  </r>
  <r>
    <d v="2021-12-28T00:00:00"/>
    <m/>
    <x v="5"/>
    <s v="4-5員工扣薪作業-1產出媒體"/>
    <s v="L4520"/>
    <s v="產生員工扣薪報表"/>
    <m/>
    <s v="賴文育"/>
    <s v="陳昱衡"/>
    <s v="PJ201800012_URS_4批次作業_V1.12.docx"/>
    <x v="33"/>
    <d v="2021-09-29T00:00:00"/>
    <d v="2021-12-20T00:00:00"/>
    <s v="涂宇欣"/>
    <s v="邵淑微"/>
    <m/>
    <m/>
    <m/>
    <m/>
    <m/>
    <m/>
    <m/>
    <m/>
    <s v="放款服務課"/>
    <d v="2021-12-20T00:00:00"/>
    <s v="需二審"/>
    <d v="2021-12-01T00:00:00"/>
    <d v="2021-12-01T00:00:00"/>
    <d v="2021-12-20T00:00:00"/>
    <m/>
    <m/>
    <m/>
    <s v="邵淑微"/>
    <m/>
    <m/>
    <m/>
    <m/>
    <s v="4-7-15_x000a_"/>
    <s v="員工扣薪報表"/>
    <s v="L4520"/>
  </r>
  <r>
    <m/>
    <m/>
    <x v="5"/>
    <s v="4-5員工扣薪作業-2入賬"/>
    <s v="L4204"/>
    <s v="員工扣薪-明細查詢"/>
    <m/>
    <s v="賴文育"/>
    <s v="陳昱衡"/>
    <s v="PJ201800012_URS_4批次作業_V1.10.doc"/>
    <x v="33"/>
    <d v="2021-09-29T00:00:00"/>
    <d v="2021-07-02T00:00:00"/>
    <s v="李珮琪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新交易"/>
    <s v="新交易"/>
    <e v="#N/A"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x v="34"/>
    <d v="2021-10-01T00:00:00"/>
    <d v="2021-11-23T00:00:00"/>
    <s v="李珮琪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s v="邵淑微"/>
    <m/>
    <m/>
    <m/>
    <m/>
    <s v="新交易"/>
    <s v="新交易"/>
    <e v="#N/A"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x v="32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4-7-14_x000a_4-5-7_x000a_4-1-9_x000a_4-13-60_x000a_4-8-81 _x000a_"/>
    <s v="員工扣薪入帳作業_x000a_票據入帳作業（核心）_x000a_自動匯款作業(入帳) _x000a_ACH 扣款入帳作業_x000a_銀行扣款入帳作業_x000a__x000a__x000a__x000a_"/>
    <s v="L4002"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x v="32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x v="32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x v="32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4-1-4_x000a_4-1-7"/>
    <s v="匯款暫存檔印表作業_x000a_匯款轉帳檔印表作業"/>
    <s v="L4920"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x v="32"/>
    <d v="2021-10-15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新交易"/>
    <s v="新交易"/>
    <s v="L4925"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x v="32"/>
    <d v="2021-10-15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宋郁宏"/>
    <m/>
    <m/>
    <m/>
    <m/>
    <s v="新交易"/>
    <s v="新交易"/>
    <s v="L4930"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x v="32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x v="32"/>
    <d v="2021-10-15T00:00:00"/>
    <d v="2021-11-23T00:00:00"/>
    <s v="李珮琪"/>
    <s v="宋郁宏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宋郁宏"/>
    <m/>
    <m/>
    <m/>
    <m/>
    <s v="新交易"/>
    <s v="新交易"/>
    <e v="#N/A"/>
  </r>
  <r>
    <d v="2021-12-24T00:00:00"/>
    <m/>
    <x v="5"/>
    <s v="4-4銀行扣款作業(產出銀扣媒體作業)"/>
    <s v="L4454"/>
    <s v="產生銀扣失敗通知"/>
    <m/>
    <s v="賴文育"/>
    <s v="陳昱衡"/>
    <s v="PJ201800012_URS_4批次作業_V1.12.docx"/>
    <x v="32"/>
    <d v="2021-10-15T00:00:00"/>
    <d v="2021-12-20T00:00:00"/>
    <s v="李珮琪"/>
    <s v="許慧玉"/>
    <s v="蔡珮瑜、張舜雯"/>
    <m/>
    <m/>
    <m/>
    <m/>
    <m/>
    <m/>
    <m/>
    <s v="放款服務課"/>
    <d v="2021-12-20T00:00:00"/>
    <s v="需二審"/>
    <d v="2021-11-23T00:00:00"/>
    <d v="2021-11-25T00:00:00"/>
    <d v="2021-12-20T00:00:00"/>
    <m/>
    <m/>
    <m/>
    <s v="許慧玉"/>
    <m/>
    <m/>
    <m/>
    <m/>
    <s v="4-13-71_x000a_4-13-72_x000a_4-13-73_x000a_4-13-74_x000a_4-13-75_x000a_4-8-61 _x000a_4-8-62 _x000a_4-8-70 _x000a_4-8-71 _x000a_4-8-75 "/>
    <s v="ACH 存款不足明信片列印       _x000a_ACH 扣款不成功簡訊通知作業   _x000a_ACH 火險扣款成功期款失敗通知 _x000a_ACH 扣款失敗五萬元以上報表   _x000a_ACH 一年內新貸件扣款失敗表   _x000a_期款五萬元以上之銀扣失敗報表 _x000a_一年內新貸件扣款失敗表       _x000a_銀行存款不足明信片列印       _x000a_銀行扣款不成功簡訊通知作業   _x000a_銀扣火險成功期款失敗通知     "/>
    <s v="L4454"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x v="32"/>
    <d v="2021-10-15T00:00:00"/>
    <d v="2021-11-23T00:00:00"/>
    <s v="李珮琪"/>
    <s v="許慧玉"/>
    <s v="蔡珮瑜、張舜雯"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n v="1"/>
    <x v="3"/>
    <s v="3-3回收、部分償還、暫收款"/>
    <s v="L3911"/>
    <s v="繳息情形查詢             "/>
    <m/>
    <s v="賴文育"/>
    <s v="余家興"/>
    <s v="PJ201800012_URS_3帳務作業_V1.84"/>
    <x v="35"/>
    <d v="2021-10-22T00:00:00"/>
    <d v="2021-12-07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1/12/9, 2021/11/12"/>
    <s v="預計2021/11/12"/>
    <m/>
    <m/>
    <s v="蔡珮瑜"/>
    <m/>
    <m/>
    <m/>
    <m/>
    <n v="310"/>
    <s v="繳息情形查詢"/>
    <s v="L3911"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84"/>
    <x v="35"/>
    <d v="2021-10-22T00:00:00"/>
    <d v="2021-12-07T00:00:00"/>
    <s v="李珮琪"/>
    <s v="蔡珮瑜"/>
    <m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s v="蔡珮瑜"/>
    <m/>
    <m/>
    <m/>
    <m/>
    <n v="310"/>
    <s v="繳息情形查詢"/>
    <e v="#N/A"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81"/>
    <x v="35"/>
    <d v="2021-10-22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913"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x v="36"/>
    <d v="2021-10-12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m/>
    <s v="4-1-12_x000a_"/>
    <s v="大額匯款手工增入入帳"/>
    <s v="L4210"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x v="36"/>
    <d v="2021-10-12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蔡珮瑜"/>
    <m/>
    <m/>
    <m/>
    <m/>
    <s v="新交易"/>
    <s v="新交易"/>
    <e v="#N/A"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0.doc"/>
    <x v="36"/>
    <d v="2021-10-12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宋郁宏"/>
    <m/>
    <m/>
    <m/>
    <m/>
    <s v="4-1-3_x000a_4-1-5_x000a_4-1-8"/>
    <s v="匯款暫存檔剔件作業_x000a_匯款暫存檔資料維護_x000a_匯款轉帳檔資料維護"/>
    <s v="L4201"/>
  </r>
  <r>
    <d v="2021-12-22T00:00:00"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2.docx"/>
    <x v="36"/>
    <d v="2021-10-12T00:00:00"/>
    <d v="2021-12-20T00:00:00"/>
    <s v="李珮琪"/>
    <s v="宋郁宏"/>
    <m/>
    <m/>
    <m/>
    <m/>
    <m/>
    <m/>
    <m/>
    <m/>
    <s v="放款服務課"/>
    <d v="2021-12-20T00:00:00"/>
    <s v="審後新增"/>
    <d v="2021-11-23T00:00:00"/>
    <d v="2021-11-25T00:00:00"/>
    <d v="2021-12-20T00:00:00"/>
    <m/>
    <m/>
    <m/>
    <s v="宋郁宏"/>
    <m/>
    <m/>
    <m/>
    <m/>
    <s v="4-1-9"/>
    <s v="匯款轉帳失敗表_x000a_匯款總傳票明細表"/>
    <e v="#N/A"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x v="36"/>
    <d v="2021-10-13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蔡珮瑜"/>
    <m/>
    <m/>
    <m/>
    <m/>
    <s v="新交易"/>
    <s v="新交易"/>
    <e v="#N/A"/>
  </r>
  <r>
    <d v="2021-12-24T00:00:00"/>
    <m/>
    <x v="5"/>
    <s v="4-7其他"/>
    <s v="L4702"/>
    <s v="產生放款本息攤還表暨繳息通知單       "/>
    <m/>
    <s v="賴文育"/>
    <s v="陳昱衡"/>
    <s v="PJ201800012_URS_4批次作業_V1.12.docx"/>
    <x v="36"/>
    <d v="2021-10-12T00:00:00"/>
    <d v="2021-12-20T00:00:00"/>
    <s v="李珮琪"/>
    <s v="邵淑微"/>
    <s v="宋郁宏"/>
    <m/>
    <m/>
    <m/>
    <m/>
    <m/>
    <m/>
    <m/>
    <s v="放款服務課"/>
    <d v="2021-12-20T00:00:00"/>
    <s v="需二審"/>
    <d v="2021-11-25T00:00:00"/>
    <d v="2021-11-24T00:00:00"/>
    <d v="2021-12-20T00:00:00"/>
    <m/>
    <m/>
    <m/>
    <s v="邵淑微"/>
    <m/>
    <m/>
    <m/>
    <m/>
    <s v="4-1-13_x000a_"/>
    <s v="匯款還本繳息通知單"/>
    <s v="L4702"/>
  </r>
  <r>
    <m/>
    <m/>
    <x v="5"/>
    <s v="4-7其他"/>
    <s v="L4703"/>
    <s v="產生滯繳通知單                       "/>
    <m/>
    <s v="賴文育"/>
    <s v="陳昱衡"/>
    <s v="PJ201800012_URS_4批次作業_V1.10.doc"/>
    <x v="36"/>
    <d v="2021-10-12T00:00:00"/>
    <d v="2021-12-03T00:00:00"/>
    <s v="李珮琪"/>
    <s v="邵淑微"/>
    <s v="宋郁宏"/>
    <m/>
    <m/>
    <m/>
    <m/>
    <m/>
    <m/>
    <m/>
    <s v="放款服務課"/>
    <d v="2021-12-03T00:00:00"/>
    <s v="需二審"/>
    <d v="2021-11-25T00:00:00"/>
    <d v="2021-11-24T00:00:00"/>
    <d v="2021-12-09T00:00:00"/>
    <m/>
    <m/>
    <m/>
    <s v="邵淑微"/>
    <m/>
    <m/>
    <m/>
    <m/>
    <s v="4-1-13_x000a_"/>
    <s v="匯款還本繳息通知單"/>
    <s v="L4703"/>
  </r>
  <r>
    <m/>
    <n v="1"/>
    <x v="3"/>
    <s v="3-1試算"/>
    <s v="L3921"/>
    <s v="回收試算                 "/>
    <m/>
    <s v="賴文育"/>
    <s v="余家興"/>
    <s v="PJ201800012_URS_3帳務作業_V1.84"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1/12/9, 2021/11/12"/>
    <s v="預計2021/11/12"/>
    <m/>
    <m/>
    <s v="蔡珮瑜"/>
    <m/>
    <m/>
    <m/>
    <m/>
    <n v="330"/>
    <s v="回收試算"/>
    <e v="#N/A"/>
  </r>
  <r>
    <m/>
    <n v="1"/>
    <x v="3"/>
    <s v="3-1試算"/>
    <s v="L3922"/>
    <s v="結案試算                 "/>
    <m/>
    <s v="賴文育"/>
    <s v="余家興"/>
    <s v="PJ201800012_URS_3帳務作業_V1.81"/>
    <x v="37"/>
    <d v="2021-10-13T00:00:00"/>
    <d v="2021-10-13T00:00:00"/>
    <s v="李珮琪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0"/>
    <s v="結案試算"/>
    <e v="#N/A"/>
  </r>
  <r>
    <m/>
    <n v="1"/>
    <x v="3"/>
    <s v="3-1試算"/>
    <s v="L3923"/>
    <s v="應繳日試算              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5"/>
    <s v="應繳日試算"/>
    <e v="#N/A"/>
  </r>
  <r>
    <m/>
    <n v="1"/>
    <x v="3"/>
    <s v="3-1試算"/>
    <s v="L3924"/>
    <s v="催收回復試算             "/>
    <m/>
    <s v="賴文育"/>
    <s v="余家興"/>
    <s v="PJ201800012_URS_3帳務作業_V1.81"/>
    <x v="37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5"/>
    <s v="催收回復試算"/>
    <e v="#N/A"/>
  </r>
  <r>
    <m/>
    <n v="1"/>
    <x v="3"/>
    <s v="3-1試算"/>
    <s v="L3925"/>
    <s v="還款分配試算            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70"/>
    <s v="還款分配試算"/>
    <e v="#N/A"/>
  </r>
  <r>
    <m/>
    <n v="1"/>
    <x v="3"/>
    <s v="3-1試算"/>
    <s v="L3926"/>
    <s v="變更期款試算             "/>
    <m/>
    <s v="賴文育"/>
    <s v="余家興"/>
    <s v="PJ201800012_URS_3帳務作業_V1.81"/>
    <x v="37"/>
    <d v="2021-10-13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75"/>
    <s v="變更期款試算"/>
    <s v="L3926"/>
  </r>
  <r>
    <m/>
    <n v="1"/>
    <x v="3"/>
    <s v="3-3回收、部分償還、暫收款"/>
    <s v="L3004"/>
    <s v="約定部分償還明細資料查詢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s v="新交易"/>
    <m/>
    <e v="#N/A"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x v="37"/>
    <d v="2021-10-13T00:00:00"/>
    <d v="2021-11-10T00:00:00"/>
    <s v="李珮琪"/>
    <s v="蔡珮瑜"/>
    <s v="宋郁宏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130"/>
  </r>
  <r>
    <m/>
    <n v="1"/>
    <x v="3"/>
    <s v="3-3回收、部分償還、暫收款"/>
    <s v="L3200"/>
    <s v="回收登錄                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31"/>
    <s v="回收登錄"/>
    <s v="L3200"/>
  </r>
  <r>
    <m/>
    <n v="1"/>
    <x v="3"/>
    <s v="3-3回收、部分償還、暫收款"/>
    <s v="L3230"/>
    <s v="暫收款銷帳"/>
    <m/>
    <s v="賴文育"/>
    <s v="余家興"/>
    <s v="PJ201800012_URS_3帳務作業_V1.81"/>
    <x v="37"/>
    <d v="2021-10-13T00:00:00"/>
    <d v="2021-10-18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,2021/9/14"/>
    <s v="新交易"/>
    <m/>
    <s v="L3230"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x v="37"/>
    <d v="2021-10-13T00:00:00"/>
    <d v="2021-12-07T00:00:00"/>
    <s v="李珮琪"/>
    <s v="邵淑微"/>
    <s v="張舜雯"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s v="邵淑微"/>
    <m/>
    <m/>
    <m/>
    <s v="2021/10/19, 2021/10/18, 2021/10/13,2021/9/14"/>
    <s v="新交易"/>
    <m/>
    <e v="#N/A"/>
  </r>
  <r>
    <m/>
    <n v="1"/>
    <x v="3"/>
    <s v="3-4展期、結案、轉催呆"/>
    <s v="L3410"/>
    <s v="結案登錄-可欠繳          "/>
    <m/>
    <s v="賴文育"/>
    <s v="余家興"/>
    <s v="PJ201800012_URS_3帳務作業_V1.81"/>
    <x v="37"/>
    <d v="2021-10-18T00:00:00"/>
    <d v="2021-10-18T00:00:00"/>
    <s v="涂宇欣"/>
    <s v="邵淑微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41"/>
    <s v="結案登錄-可欠繳"/>
    <e v="#N/A"/>
  </r>
  <r>
    <m/>
    <n v="1"/>
    <x v="3"/>
    <s v="3-4展期、結案、轉催呆"/>
    <s v="L3420"/>
    <s v="結案登錄-不可欠繳"/>
    <m/>
    <s v="賴文育"/>
    <s v="余家興"/>
    <s v="PJ201800012_URS_3帳務作業_V1.81"/>
    <x v="37"/>
    <d v="2021-10-13T00:00:00"/>
    <d v="2021-10-13T00:00:00"/>
    <s v="涂宇欣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2"/>
    <s v="結案登錄-不可欠繳"/>
    <e v="#N/A"/>
  </r>
  <r>
    <m/>
    <n v="1"/>
    <x v="3"/>
    <s v="3-3回收、部分償還、暫收款"/>
    <s v="L3731"/>
    <s v="呆帳戶改呆帳結案戶"/>
    <m/>
    <s v="賴文育"/>
    <s v="余家興"/>
    <s v="PJ201800012_URS_3帳務作業_V1.81"/>
    <x v="37"/>
    <d v="2021-10-13T00:00:00"/>
    <d v="2021-11-10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"/>
    <n v="632"/>
    <s v="呆帳戶改呆帳結案戶"/>
    <s v="L3731"/>
  </r>
  <r>
    <m/>
    <m/>
    <x v="2"/>
    <s v="6-8其他作業"/>
    <s v="L6987"/>
    <s v="呆帳戶產生法務費墊付"/>
    <s v="審後新增2021/12/20"/>
    <s v="賴文育"/>
    <s v="余家興"/>
    <s v="PJ201800012_URS_6共同作業_V1.11.docx"/>
    <x v="37"/>
    <d v="2021-10-13T00:00:00"/>
    <s v=""/>
    <s v="李珮琪"/>
    <s v="張舜雯"/>
    <m/>
    <m/>
    <m/>
    <m/>
    <m/>
    <m/>
    <m/>
    <m/>
    <s v="放款管理課"/>
    <d v="2021-10-27T00:00:00"/>
    <d v="2021-11-12T00:00:00"/>
    <d v="2021-10-27T00:00:00"/>
    <d v="2021-10-27T00:00:00"/>
    <d v="2021-11-12T00:00:00"/>
    <m/>
    <m/>
    <m/>
    <s v="張舜雯"/>
    <m/>
    <m/>
    <m/>
    <m/>
    <s v="新交易"/>
    <m/>
    <e v="#N/A"/>
  </r>
  <r>
    <m/>
    <n v="1"/>
    <x v="3"/>
    <s v="3-3回收、部分償還、暫收款"/>
    <s v="L3711"/>
    <s v="應繳日變更-不可欠繳      "/>
    <m/>
    <s v="賴文育"/>
    <s v="余家興"/>
    <s v="PJ201800012_URS_3帳務作業_V1.81"/>
    <x v="37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6"/>
    <s v="應繳日變更-不可欠繳"/>
    <e v="#N/A"/>
  </r>
  <r>
    <m/>
    <n v="1"/>
    <x v="3"/>
    <s v="3-3回收、部分償還、暫收款"/>
    <s v="L3712"/>
    <s v="應繳日變更-可欠繳        "/>
    <m/>
    <s v="賴文育"/>
    <s v="余家興"/>
    <s v="PJ201800012_URS_3帳務作業_V1.81"/>
    <x v="37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7"/>
    <s v="應繳日變更-可欠繳"/>
    <e v="#N/A"/>
  </r>
  <r>
    <m/>
    <m/>
    <x v="1"/>
    <s v="2-5法拍費用"/>
    <s v="L2603"/>
    <s v="法拍費用借支報表列印                    "/>
    <m/>
    <s v="賴文育"/>
    <s v="陳昱衡"/>
    <s v="PJ201800012_URS_2業務作業_V1.28.doc"/>
    <x v="37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報表列印"/>
    <e v="#N/A"/>
  </r>
  <r>
    <m/>
    <m/>
    <x v="1"/>
    <s v="2-5法拍費用"/>
    <s v="L2078"/>
    <s v="法拍費用明細資料查詢              "/>
    <m/>
    <s v="賴文育"/>
    <s v="陳昱衡"/>
    <s v="PJ201800012_URS_2業務作業_V1.28.doc"/>
    <x v="38"/>
    <d v="2021-10-06T00:00:00"/>
    <d v="2021-10-06T00:00:00"/>
    <s v="林清河"/>
    <s v="張舜雯"/>
    <m/>
    <m/>
    <m/>
    <m/>
    <m/>
    <m/>
    <m/>
    <m/>
    <s v="放款管理課"/>
    <d v="2021-12-03T00:00:00"/>
    <s v="需二審"/>
    <d v="2021-11-30T00:00:00"/>
    <d v="2021-11-30T00:00:00"/>
    <d v="2021-12-09T00:00:00"/>
    <m/>
    <m/>
    <m/>
    <s v="張舜雯"/>
    <m/>
    <m/>
    <m/>
    <m/>
    <n v="226"/>
    <s v="法拍費用管理系統-催收法務費沖銷明細資料查詢"/>
    <s v="L2078"/>
  </r>
  <r>
    <m/>
    <m/>
    <x v="1"/>
    <s v="2-5法拍費用"/>
    <s v="L2601"/>
    <s v="法拍費用新增                            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新增"/>
    <e v="#N/A"/>
  </r>
  <r>
    <m/>
    <m/>
    <x v="1"/>
    <s v="2-5法拍費用"/>
    <s v="L2602"/>
    <s v="法拍費用維護                            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維護"/>
    <e v="#N/A"/>
  </r>
  <r>
    <m/>
    <m/>
    <x v="1"/>
    <s v="2-5法拍費用"/>
    <s v="L2941"/>
    <s v="法拍費用查詢-依借戶戶號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查詢-依帳務日期"/>
    <e v="#N/A"/>
  </r>
  <r>
    <m/>
    <m/>
    <x v="1"/>
    <s v="2-5法拍費用"/>
    <s v="L2942"/>
    <s v="法拍費用查詢-依會計日期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查詢-依借戶戶號"/>
    <e v="#N/A"/>
  </r>
  <r>
    <m/>
    <m/>
    <x v="1"/>
    <s v="2-5法拍費用"/>
    <s v="L2605"/>
    <s v="法拍費用未銷明細查詢                    "/>
    <m/>
    <s v="賴文育"/>
    <s v="陳昱衡"/>
    <s v="PJ201800012_URS_2業務作業_V1.28.doc"/>
    <x v="39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季報表"/>
    <e v="#N/A"/>
  </r>
  <r>
    <m/>
    <m/>
    <x v="1"/>
    <s v="2-5法拍費用"/>
    <s v="L2613"/>
    <s v="法務費轉催收明細表                      "/>
    <m/>
    <s v="賴文育"/>
    <s v="陳昱衡"/>
    <s v="PJ201800012_URS_2業務作業_V1.28.doc"/>
    <x v="39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務費轉催收明細表"/>
    <e v="#N/A"/>
  </r>
  <r>
    <m/>
    <m/>
    <x v="1"/>
    <s v="2-5法拍費用"/>
    <s v="L2614"/>
    <s v="法務費轉催收傳票開立作業(列印)"/>
    <m/>
    <s v="賴文育"/>
    <s v="陳昱衡"/>
    <s v="PJ201800012_URS_2業務作業_V1.28.doc"/>
    <x v="39"/>
    <d v="2021-10-19T00:00:00"/>
    <d v="2021-12-06T00:00:00"/>
    <s v="林清河"/>
    <s v="邵淑微"/>
    <s v="張舜雯"/>
    <s v="併入應處理清單"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s v="邵淑微"/>
    <n v="180"/>
    <m/>
    <m/>
    <m/>
    <n v="226"/>
    <s v="法拍費用管理系統-法務費轉催收傳票開立作業"/>
    <e v="#N/A"/>
  </r>
  <r>
    <m/>
    <m/>
    <x v="5"/>
    <s v="4-6火險作業"/>
    <s v="L4604"/>
    <s v="火險保費未繳轉借支作業     "/>
    <m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新交易"/>
    <s v="新交易"/>
    <s v="L4604"/>
  </r>
  <r>
    <m/>
    <m/>
    <x v="5"/>
    <s v="4-6火險作業"/>
    <s v="L4605"/>
    <s v="火險最終保單上傳作業       "/>
    <m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10"/>
    <s v="火險最終保單上傳更新作業"/>
    <s v="L4605"/>
  </r>
  <r>
    <m/>
    <m/>
    <x v="5"/>
    <s v="4-6火險作業"/>
    <s v="L4606"/>
    <s v="火險佣金作業               "/>
    <m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6-1_x000a_4-96-3_x000a_4-96-4"/>
    <s v="ＰＣ上傳媒體檔轉入佣金媒體檔 _x000a_火險佣金發放明細表           _x000a_產生下傳媒體                 "/>
    <s v="L4606"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s v="審後新增"/>
    <d v="2021-11-24T00:00:00"/>
    <d v="2021-11-24T00:00:00"/>
    <d v="2021-12-09T00:00:00"/>
    <m/>
    <m/>
    <m/>
    <s v="邵淑微"/>
    <m/>
    <m/>
    <m/>
    <m/>
    <s v="新交易"/>
    <s v="新交易"/>
    <e v="#N/A"/>
  </r>
  <r>
    <m/>
    <m/>
    <x v="5"/>
    <s v="4-6火險作業"/>
    <s v="L4966"/>
    <s v="火險佣金資料查詢             "/>
    <s v="審後新增2021/11/19"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s v="邵淑微"/>
    <m/>
    <m/>
    <m/>
    <m/>
    <s v="新交易"/>
    <s v="新交易"/>
    <e v="#N/A"/>
  </r>
  <r>
    <m/>
    <m/>
    <x v="2"/>
    <s v="6-8其他作業"/>
    <s v="L6982"/>
    <s v="火險費轉列催收作業"/>
    <m/>
    <s v="賴文育"/>
    <s v="余家興"/>
    <s v="PJ201800012_URS_6共同作業_V1.11.docx"/>
    <x v="40"/>
    <d v="2021-10-22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s v="邵淑微"/>
    <m/>
    <m/>
    <m/>
    <m/>
    <s v="新交易"/>
    <s v="新交易"/>
    <e v="#N/A"/>
  </r>
  <r>
    <m/>
    <m/>
    <x v="2"/>
    <s v="6-8其他作業"/>
    <s v="L6983"/>
    <s v="法務費轉列催收作業"/>
    <m/>
    <s v="賴文育"/>
    <s v="余家興"/>
    <s v="PJ201800012_URS_6共同作業_V1.11.docx"/>
    <x v="40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s v="邵淑微"/>
    <m/>
    <m/>
    <m/>
    <s v="2021/10/19, 2021/10/18"/>
    <s v="新交易"/>
    <s v="新交易"/>
    <e v="#N/A"/>
  </r>
  <r>
    <m/>
    <n v="1"/>
    <x v="3"/>
    <s v="3-4展期、結案、轉催呆"/>
    <s v="L3440"/>
    <s v="催收回復登錄             "/>
    <m/>
    <s v="賴文育"/>
    <s v="余家興"/>
    <s v="PJ201800012_URS_3帳務作業_V1.81"/>
    <x v="39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6"/>
    <s v="催收回復登錄"/>
    <e v="#N/A"/>
  </r>
  <r>
    <m/>
    <m/>
    <x v="1"/>
    <s v="2-2案件申請、額度"/>
    <s v="L2079"/>
    <s v="展期件新舊對照查詢"/>
    <m/>
    <s v="賴文育"/>
    <s v="陳昱衡"/>
    <s v="PJ201800012_URS_2業務作業_V1.29.doc"/>
    <x v="39"/>
    <d v="2021-10-19T00:00:00"/>
    <d v="2021-10-19T00:00:00"/>
    <s v="涂宇欣"/>
    <s v="陳政皓"/>
    <s v="尹少玄"/>
    <m/>
    <m/>
    <m/>
    <m/>
    <m/>
    <m/>
    <m/>
    <s v="放款服務課"/>
    <d v="2021-11-24T00:00:00"/>
    <s v="無調整"/>
    <d v="2021-11-24T00:00:00"/>
    <d v="2021-11-24T00:00:00"/>
    <d v="2021-12-14T00:00:00"/>
    <s v="預計2021/11/12"/>
    <m/>
    <m/>
    <s v="陳政皓"/>
    <m/>
    <m/>
    <m/>
    <s v="2021/10/19, 2021/10/18"/>
    <n v="226"/>
    <s v="法拍費用管理系統-法拍費用明細資料查詢"/>
    <e v="#N/A"/>
  </r>
  <r>
    <m/>
    <m/>
    <x v="2"/>
    <s v="6-8其他作業"/>
    <s v="L6981"/>
    <s v="放款轉列催收作業"/>
    <m/>
    <s v="賴文育"/>
    <s v="余家興"/>
    <s v="PJ201800012_URS_6共同作業_V1.11.docx"/>
    <x v="40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s v="邵淑微"/>
    <m/>
    <m/>
    <m/>
    <s v="2021/10/19, 2021/10/18"/>
    <s v="新交易"/>
    <s v="新交易"/>
    <e v="#N/A"/>
  </r>
  <r>
    <m/>
    <m/>
    <x v="2"/>
    <s v="6-2日結類"/>
    <s v="L6201"/>
    <s v="其他傳票輸入"/>
    <m/>
    <s v="賴文育"/>
    <s v="楊智誠"/>
    <s v="PJ201800012_URS_6共同作業_V1.9"/>
    <x v="39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陳政皓"/>
    <m/>
    <m/>
    <m/>
    <m/>
    <s v="3-79"/>
    <s v="其他傳票輸入作業"/>
    <e v="#N/A"/>
  </r>
  <r>
    <m/>
    <m/>
    <x v="2"/>
    <s v="6-2日結類"/>
    <s v="L6901"/>
    <s v="交易分錄清單查詢"/>
    <m/>
    <s v="賴文育"/>
    <s v="楊智誠"/>
    <s v="PJ201800012_URS_6共同作業_V1.9"/>
    <x v="39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"/>
    <m/>
    <e v="#N/A"/>
  </r>
  <r>
    <m/>
    <m/>
    <x v="2"/>
    <s v="6-2日結類"/>
    <s v="L6902"/>
    <s v="會計總帳查詢"/>
    <m/>
    <s v="賴文育"/>
    <s v="楊智誠"/>
    <s v="PJ201800012_URS_6共同作業_V1.9"/>
    <x v="39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"/>
    <m/>
    <e v="#N/A"/>
  </r>
  <r>
    <m/>
    <m/>
    <x v="2"/>
    <s v="6-2日結類"/>
    <s v="L6903"/>
    <s v="會計帳務明細查詢"/>
    <m/>
    <s v="賴文育"/>
    <s v="楊智誠"/>
    <s v="PJ201800012_URS_6共同作業_V1.9"/>
    <x v="39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陳政皓"/>
    <m/>
    <m/>
    <m/>
    <m/>
    <s v="新交易"/>
    <m/>
    <e v="#N/A"/>
  </r>
  <r>
    <m/>
    <m/>
    <x v="2"/>
    <s v="6-2日結類"/>
    <s v="L6904"/>
    <s v="日結彙計查詢"/>
    <m/>
    <s v="賴文育"/>
    <s v="楊智誠"/>
    <s v="PJ201800012_URS_6共同作業_V1.9"/>
    <x v="39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_x000a_4-5-8_x000a_4-1-11"/>
    <s v="_x000a_支票兌現轉帳總傳票明細表_x000a_匯款總傳票明細表"/>
    <e v="#N/A"/>
  </r>
  <r>
    <m/>
    <m/>
    <x v="2"/>
    <s v="6-2日結類"/>
    <s v="L6905"/>
    <s v="日結明細查詢"/>
    <m/>
    <s v="賴文育"/>
    <s v="楊智誠"/>
    <s v="PJ201800012_URS_6共同作業_V1.9"/>
    <x v="39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蔡珮瑜"/>
    <m/>
    <m/>
    <m/>
    <s v="2021/10/18, 2021/9/14"/>
    <s v="新交易"/>
    <m/>
    <s v="L6905"/>
  </r>
  <r>
    <m/>
    <m/>
    <x v="2"/>
    <s v="6-2日結類"/>
    <s v="L6906"/>
    <s v="會計分錄查詢"/>
    <m/>
    <s v="賴文育"/>
    <s v="楊智誠"/>
    <s v="PJ201800012_URS_6共同作業_V1.9"/>
    <x v="39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陳政皓"/>
    <m/>
    <m/>
    <m/>
    <m/>
    <s v="新交易"/>
    <m/>
    <e v="#N/A"/>
  </r>
  <r>
    <m/>
    <m/>
    <x v="2"/>
    <s v="6-2日結類"/>
    <s v="L6907"/>
    <s v="未銷帳餘額明細查詢"/>
    <m/>
    <s v="賴文育"/>
    <s v="楊智誠"/>
    <s v="PJ201800012_URS_6共同作業_V1.9"/>
    <x v="39"/>
    <d v="2021-10-18T00:00:00"/>
    <d v="2021-10-18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"/>
    <m/>
    <e v="#N/A"/>
  </r>
  <r>
    <m/>
    <m/>
    <x v="2"/>
    <s v="6-2日結類"/>
    <s v="L6908"/>
    <s v="銷帳歷史明細查詢"/>
    <m/>
    <s v="賴文育"/>
    <s v="楊智誠"/>
    <s v="PJ201800012_URS_6共同作業_V1.9"/>
    <x v="39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蔡珮瑜"/>
    <m/>
    <m/>
    <m/>
    <s v="2021/10/18, 2021/9/14"/>
    <s v="新交易"/>
    <m/>
    <s v="L6908"/>
  </r>
  <r>
    <m/>
    <m/>
    <x v="2"/>
    <s v="6-1控制類"/>
    <s v="L6102"/>
    <s v="核心傳票相關單獨作業"/>
    <s v="審後新增2021/10/18"/>
    <s v="賴文育"/>
    <s v="楊智誠"/>
    <s v="PJ201800012_URS_6共同作業_V1.11.docx"/>
    <x v="39"/>
    <d v="2021-10-18T00:00:00"/>
    <d v="2021-10-25T00:00:00"/>
    <s v="涂宇欣"/>
    <s v="蔡珮瑜"/>
    <m/>
    <m/>
    <m/>
    <m/>
    <m/>
    <m/>
    <m/>
    <m/>
    <s v="放款服務課"/>
    <d v="2021-10-25T00:00:00"/>
    <s v="需二審"/>
    <d v="2021-12-16T00:00:00"/>
    <d v="2021-12-16T00:00:00"/>
    <d v="2021-12-20T00:00:00"/>
    <m/>
    <m/>
    <m/>
    <s v="蔡珮瑜"/>
    <m/>
    <m/>
    <m/>
    <m/>
    <s v="新交易"/>
    <m/>
    <s v="L6102"/>
  </r>
  <r>
    <m/>
    <m/>
    <x v="1"/>
    <s v="2-6清償作業"/>
    <s v="L2076"/>
    <s v="領取清償證明作業"/>
    <m/>
    <s v="賴文育"/>
    <s v="余家興"/>
    <s v="PJ201800012_URS_2業務作業_V1.29.doc"/>
    <x v="35"/>
    <d v="2021-10-29T00:00:00"/>
    <d v="2021-12-07T00:00:00"/>
    <s v="李珮琪"/>
    <s v="蔡珮瑜"/>
    <s v="邵淑微"/>
    <m/>
    <m/>
    <m/>
    <m/>
    <m/>
    <m/>
    <m/>
    <s v="放款服務課"/>
    <d v="2021-12-03T00:00:00"/>
    <s v="需二審"/>
    <d v="2021-12-13T00:00:00"/>
    <d v="2021-12-14T00:00:00"/>
    <d v="2021-12-14T00:00:00"/>
    <s v="預計2021/11/12"/>
    <m/>
    <m/>
    <s v="蔡珮瑜"/>
    <m/>
    <m/>
    <m/>
    <s v="2021/11/5, 2021/10/22"/>
    <s v="225-1"/>
    <s v="檔案借閱作業-檔案借閱明細資料查詢"/>
    <s v="L2076"/>
  </r>
  <r>
    <m/>
    <m/>
    <x v="1"/>
    <s v="2-6清償作業"/>
    <s v="L2631"/>
    <s v="清償作業                                "/>
    <m/>
    <s v="賴文育"/>
    <s v="余家興"/>
    <s v="PJ201800012_URS_2業務作業_V1.29.doc"/>
    <x v="35"/>
    <d v="2021-10-29T00:00:00"/>
    <d v="2021-12-07T00:00:00"/>
    <s v="李珮琪"/>
    <s v="蔡珮瑜"/>
    <m/>
    <m/>
    <m/>
    <m/>
    <m/>
    <m/>
    <m/>
    <m/>
    <s v="放款服務課"/>
    <d v="2021-12-03T00:00:00"/>
    <s v="需二審"/>
    <d v="2021-11-29T00:00:00"/>
    <d v="2021-11-29T00:00:00"/>
    <d v="2021-12-14T00:00:00"/>
    <s v="XXX未改好"/>
    <m/>
    <m/>
    <s v="蔡珮瑜"/>
    <m/>
    <m/>
    <m/>
    <d v="2021-10-22T00:00:00"/>
    <n v="232"/>
    <s v="清償作業"/>
    <s v="L2631"/>
  </r>
  <r>
    <m/>
    <m/>
    <x v="1"/>
    <s v="2-6清償作業"/>
    <s v="L2931"/>
    <s v="清償違約明細                            "/>
    <m/>
    <s v="賴文育"/>
    <s v="余家興"/>
    <s v="PJ201800012_URS_2業務作業_V1.29.doc"/>
    <x v="35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n v="232"/>
    <s v="清償作業-清償違約明細"/>
    <e v="#N/A"/>
  </r>
  <r>
    <m/>
    <m/>
    <x v="1"/>
    <s v="2-6清償作業"/>
    <s v="L2077"/>
    <s v="清償作業明細資料查詢                    "/>
    <m/>
    <s v="賴文育"/>
    <s v="余家興"/>
    <s v="PJ201800012_URS_2業務作業_V1.29.doc"/>
    <x v="35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n v="233"/>
    <s v="清償報表作業-清償作業明細資料查詢"/>
    <e v="#N/A"/>
  </r>
  <r>
    <m/>
    <m/>
    <x v="1"/>
    <s v="2-6清償作業"/>
    <s v="L2932"/>
    <s v="額度清償資料"/>
    <m/>
    <s v="賴文育"/>
    <s v="余家興"/>
    <s v="PJ201800012_URS_2業務作業_V1.29.doc"/>
    <x v="35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s v="新交易"/>
    <s v="新交易"/>
    <e v="#N/A"/>
  </r>
  <r>
    <m/>
    <m/>
    <x v="1"/>
    <s v="2-6清償作業"/>
    <s v="L2632"/>
    <s v="清償作業維護                            "/>
    <m/>
    <s v="賴文育"/>
    <s v="余家興"/>
    <s v="PJ201800012_URS_2業務作業_V1.29.doc"/>
    <x v="35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n v="233"/>
    <s v="清償報表作業-清償作業維護"/>
    <e v="#N/A"/>
  </r>
  <r>
    <m/>
    <m/>
    <x v="5"/>
    <s v="4-3利率調整作業"/>
    <s v="L4322"/>
    <s v="地區別利率調整設定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4-4-16_x000a_"/>
    <s v="地區類別資料維護"/>
    <e v="#N/A"/>
  </r>
  <r>
    <m/>
    <m/>
    <x v="5"/>
    <s v="4-3利率調整作業"/>
    <s v="L4320"/>
    <s v="產生利率即將變動資料                 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4-66   _x000a_4-4-1-1_x000a_4-4-2-1"/>
    <s v="整批利率變更作業    _x000a_產生即將變動資料    _x000a_產生定期機動調整資料"/>
    <s v="L4320"/>
  </r>
  <r>
    <m/>
    <m/>
    <x v="5"/>
    <s v="4-3利率調整作業"/>
    <s v="L4031"/>
    <s v="利率調整清單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新交易"/>
    <s v="新交易"/>
    <s v="L4031"/>
  </r>
  <r>
    <m/>
    <m/>
    <x v="5"/>
    <s v="4-3利率調整作業"/>
    <s v="L4321"/>
    <s v="利率調整確認作業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4-4-1-14_x000a_4-4-2-14"/>
    <s v="利率調整－批次更新作業_x000a_利率調整－批次更新作業"/>
    <s v="L4321"/>
  </r>
  <r>
    <m/>
    <m/>
    <x v="5"/>
    <s v="4-3利率調整作業"/>
    <s v="L4325"/>
    <s v="個別利率批次輸入"/>
    <s v="由L4105更名"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新交易"/>
    <s v="新交易"/>
    <e v="#N/A"/>
  </r>
  <r>
    <m/>
    <m/>
    <x v="5"/>
    <s v="4-3利率調整作業"/>
    <s v="L4931"/>
    <s v="個別利率調整作業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新交易"/>
    <s v="新交易"/>
    <s v="L4931"/>
  </r>
  <r>
    <m/>
    <m/>
    <x v="5"/>
    <s v="4-3利率調整作業"/>
    <s v="L4721"/>
    <s v="整批批次產出利率變動對帳單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4-4-13_x000a_"/>
    <s v="利率批次調整繳息通知單"/>
    <e v="#N/A"/>
  </r>
  <r>
    <d v="2021-12-24T00:00:00"/>
    <m/>
    <x v="5"/>
    <s v="4-3利率調整作業"/>
    <s v="L4030"/>
    <s v="調整員工利率作業                     "/>
    <m/>
    <s v="賴文育"/>
    <s v="陳昱衡"/>
    <s v="PJ201800012_URS_4批次作業_V1.12.docx"/>
    <x v="41"/>
    <d v="2021-10-21T00:00:00"/>
    <d v="2021-12-03T00:00:00"/>
    <s v="林清河"/>
    <s v="蔡珮瑜"/>
    <m/>
    <m/>
    <m/>
    <m/>
    <m/>
    <m/>
    <m/>
    <m/>
    <s v="放款服務課"/>
    <d v="2021-12-03T00:00:00"/>
    <s v="需二審"/>
    <d v="2021-12-01T00:00:00"/>
    <d v="2021-12-01T00:00:00"/>
    <d v="2021-12-20T00:00:00"/>
    <m/>
    <m/>
    <m/>
    <s v="蔡珮瑜"/>
    <m/>
    <m/>
    <m/>
    <m/>
    <s v="新交易"/>
    <s v="新交易"/>
    <s v="L4030"/>
  </r>
  <r>
    <m/>
    <m/>
    <x v="2"/>
    <s v="6-3共同資料維護(利率、營業日)"/>
    <s v="L6031"/>
    <s v="指標利率種類查詢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031"/>
  </r>
  <r>
    <m/>
    <m/>
    <x v="2"/>
    <s v="6-3共同資料維護(利率、營業日)"/>
    <s v="L6032"/>
    <s v="指標利率資料查詢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032"/>
  </r>
  <r>
    <m/>
    <m/>
    <x v="2"/>
    <s v="6-3共同資料維護(利率、營業日)"/>
    <s v="L6301"/>
    <s v="指標利率種類維護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301"/>
  </r>
  <r>
    <m/>
    <m/>
    <x v="2"/>
    <s v="6-3共同資料維護(利率、營業日)"/>
    <s v="L6302"/>
    <s v="指標利率登錄/維護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302"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  <m/>
    <m/>
    <d v="2021-12-03T00:00:00"/>
    <s v="無調整"/>
    <d v="2021-10-08T00:00:00"/>
    <d v="2021-10-08T00:00:00"/>
    <d v="2021-12-09T00:00:00"/>
    <s v="預計2021/11/12"/>
    <m/>
    <m/>
    <s v="張舜雯"/>
    <m/>
    <m/>
    <m/>
    <m/>
    <n v="227"/>
    <s v="非本公司關係人親屬明細資料查詢"/>
    <e v="#N/A"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s v="張舜雯"/>
    <m/>
    <m/>
    <m/>
    <m/>
    <n v="227"/>
    <s v="非本公司關係人明細資料查詢"/>
    <s v="L2035"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s v="新交易"/>
    <m/>
    <e v="#N/A"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s v="張舜雯"/>
    <m/>
    <m/>
    <m/>
    <m/>
    <n v="227"/>
    <s v="非本公司關係人資料建立"/>
    <s v="L2306"/>
  </r>
  <r>
    <m/>
    <m/>
    <x v="1"/>
    <s v="2-2案件申請、額度"/>
    <s v="L2022"/>
    <s v="所有關係人資料查詢"/>
    <s v="審後新增2021/10/19"/>
    <s v="張金龍"/>
    <s v="陳昱衡"/>
    <s v="PJ201800012_URS_2業務作業_V1.29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2-13T00:00:00"/>
    <d v="2021-12-13T00:00:00"/>
    <d v="2021-12-14T00:00:00"/>
    <s v="預計2021/11/12"/>
    <m/>
    <m/>
    <s v="張舜雯"/>
    <m/>
    <m/>
    <m/>
    <m/>
    <s v="新交易"/>
    <m/>
    <e v="#N/A"/>
  </r>
  <r>
    <m/>
    <m/>
    <x v="1"/>
    <s v="2-2案件申請、額度"/>
    <s v="L2023"/>
    <s v="ID所有人案件關係查詢"/>
    <s v="審後新增2021/10/25"/>
    <s v="張金龍"/>
    <s v="陳昱衡"/>
    <s v="PJ201800012_URS_2業務作業_V1.29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6T00:00:00"/>
    <s v="需二審"/>
    <d v="2021-12-13T00:00:00"/>
    <d v="2021-12-13T00:00:00"/>
    <d v="2021-12-14T00:00:00"/>
    <m/>
    <m/>
    <m/>
    <s v="張舜雯"/>
    <m/>
    <m/>
    <m/>
    <m/>
    <s v="新交易"/>
    <m/>
    <s v="L2023"/>
  </r>
  <r>
    <m/>
    <m/>
    <x v="1"/>
    <s v="2-2案件申請、額度"/>
    <s v="L2222"/>
    <s v="與授信戶關係登錄"/>
    <s v="審後新增2021/10/19"/>
    <s v="張金龍"/>
    <s v="陳昱衡"/>
    <s v="PJ201800012_URS_2業務作業_V1.29.doc"/>
    <x v="43"/>
    <d v="2021-10-25T00:00:00"/>
    <d v="2021-12-06T00:00:00"/>
    <s v="涂宇欣"/>
    <s v="李珮君"/>
    <s v="陳俞辛(企金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新交易"/>
    <m/>
    <s v="L2222"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x v="43"/>
    <d v="2021-10-25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09T00:00:00"/>
    <s v="預計2021/11/12"/>
    <m/>
    <m/>
    <s v="李珮君"/>
    <m/>
    <m/>
    <m/>
    <m/>
    <n v="217"/>
    <s v="關聯戶查詢"/>
    <e v="#N/A"/>
  </r>
  <r>
    <m/>
    <m/>
    <x v="1"/>
    <s v="2-9其他"/>
    <s v="L2980"/>
    <s v="個人房貸調整作業"/>
    <m/>
    <s v="賴文育"/>
    <s v="陳昱衡"/>
    <s v="PJ201800012_URS_2業務作業_V1.31.docx"/>
    <x v="43"/>
    <d v="2021-10-21T00:00:00"/>
    <d v="2021-10-21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16T00:00:00"/>
    <m/>
    <m/>
    <m/>
    <s v="陳政皓"/>
    <m/>
    <m/>
    <m/>
    <m/>
    <s v="新交易"/>
    <m/>
    <s v="L2980"/>
  </r>
  <r>
    <m/>
    <m/>
    <x v="1"/>
    <s v="2-9其他"/>
    <s v="L2073"/>
    <s v="結清客戶申請個人資料控管查詢"/>
    <m/>
    <s v="賴文育"/>
    <s v="陳昱衡"/>
    <s v="PJ201800012_URS_2業務作業_V1.31.docx"/>
    <x v="43"/>
    <d v="2021-10-25T00:00:00"/>
    <d v="2021-12-06T00:00:00"/>
    <s v="涂宇欣"/>
    <s v="陳政皓"/>
    <m/>
    <m/>
    <m/>
    <m/>
    <m/>
    <m/>
    <m/>
    <m/>
    <s v="放款服務課"/>
    <d v="2021-12-03T00:00:00"/>
    <s v="無調整"/>
    <d v="2021-10-08T00:00:00"/>
    <d v="2021-10-08T00:00:00"/>
    <d v="2021-12-16T00:00:00"/>
    <s v="預計2021/11/12"/>
    <m/>
    <m/>
    <s v="陳政皓"/>
    <m/>
    <m/>
    <m/>
    <m/>
    <n v="210"/>
    <s v="客戶個人資料控管明細資料查詢"/>
    <e v="#N/A"/>
  </r>
  <r>
    <m/>
    <m/>
    <x v="1"/>
    <s v="2-9其他"/>
    <s v="L2703"/>
    <s v="結清客戶申請個人資料控管維護"/>
    <m/>
    <s v="賴文育"/>
    <s v="陳昱衡"/>
    <s v="PJ201800012_URS_2業務作業_V1.31.docx"/>
    <x v="43"/>
    <d v="2021-10-25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d v="2021-12-16T00:00:00"/>
    <m/>
    <m/>
    <m/>
    <s v="陳政皓"/>
    <m/>
    <m/>
    <m/>
    <m/>
    <n v="231"/>
    <s v="放款專員業績統計作業－區域中心經理所屬區域中心維護"/>
    <s v="L2703"/>
  </r>
  <r>
    <m/>
    <m/>
    <x v="1"/>
    <s v="2-4擔保品"/>
    <s v="L2039"/>
    <s v="擔保品重評明細資料查詢                  "/>
    <m/>
    <s v="賴文育"/>
    <s v="陳昱衡"/>
    <s v="PJ201800012_URS_2業務作業_V1.29.doc"/>
    <x v="43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新交易"/>
    <m/>
    <s v="L2039"/>
  </r>
  <r>
    <m/>
    <m/>
    <x v="1"/>
    <s v="2-4擔保品"/>
    <s v="L2040"/>
    <s v="擔保品號碼新舊對照查詢"/>
    <m/>
    <s v="賴文育"/>
    <s v="陳昱衡"/>
    <s v="PJ201800012_URS_2業務作業_V1.31.docx"/>
    <x v="43"/>
    <d v="2021-11-17T00:00:00"/>
    <d v="2021-11-17T00:00:00"/>
    <s v="吳承憲"/>
    <s v="邵淑微"/>
    <m/>
    <m/>
    <m/>
    <m/>
    <m/>
    <m/>
    <m/>
    <m/>
    <s v="放款服務課"/>
    <d v="2021-12-03T00:00:00"/>
    <s v="無調整"/>
    <d v="2021-11-17T00:00:00"/>
    <d v="2021-11-17T00:00:00"/>
    <d v="2021-12-16T00:00:00"/>
    <m/>
    <m/>
    <m/>
    <s v="邵淑微"/>
    <m/>
    <m/>
    <m/>
    <m/>
    <s v="新交易"/>
    <m/>
    <e v="#N/A"/>
  </r>
  <r>
    <m/>
    <m/>
    <x v="1"/>
    <s v="2-4擔保品"/>
    <s v="L2480"/>
    <s v="擔保品重評資料登錄                      "/>
    <m/>
    <s v="賴文育"/>
    <s v="陳昱衡"/>
    <s v="PJ201800012_URS_2業務作業_V1.29.doc"/>
    <x v="43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新交易"/>
    <m/>
    <s v="L2480"/>
  </r>
  <r>
    <m/>
    <m/>
    <x v="6"/>
    <s v="5-4法催紀錄作業"/>
    <s v="L5060"/>
    <s v="案件處理清單         "/>
    <m/>
    <s v="蘇曉玲"/>
    <s v="蘇曉玲"/>
    <s v="PJ201800012_URS_5管理性作業_V1.3.DOCX"/>
    <x v="44"/>
    <d v="2021-10-27T00:00:00"/>
    <d v="2021-12-07T00:00:00"/>
    <s v="林清河"/>
    <s v="張舜雯"/>
    <s v="邱怡婷"/>
    <m/>
    <m/>
    <m/>
    <m/>
    <m/>
    <m/>
    <m/>
    <s v="放款管理課"/>
    <d v="2021-12-07T00:00:00"/>
    <s v="需二審"/>
    <d v="2021-12-09T00:00:00"/>
    <d v="2021-12-09T00:00:00"/>
    <d v="2021-12-09T00:00:00"/>
    <m/>
    <m/>
    <m/>
    <s v="張舜雯"/>
    <m/>
    <m/>
    <m/>
    <d v="2021-10-19T00:00:00"/>
    <s v="催收及債協系統"/>
    <s v="催收案件清單"/>
    <s v="L5060"/>
  </r>
  <r>
    <m/>
    <m/>
    <x v="6"/>
    <s v="5-4法催紀錄作業"/>
    <s v="L5960"/>
    <s v="案件資料查詢         "/>
    <m/>
    <s v="蘇曉玲"/>
    <s v="蘇曉玲"/>
    <s v="PJ201800012_URS_5管理性作業_V1.3.DOCX"/>
    <x v="44"/>
    <d v="2021-10-27T00:00:00"/>
    <d v="2021-10-27T00:00:00"/>
    <s v="林清河"/>
    <s v="張舜雯"/>
    <s v="邱怡婷"/>
    <m/>
    <m/>
    <m/>
    <m/>
    <m/>
    <m/>
    <m/>
    <s v="放款管理課"/>
    <d v="2021-10-27T00:00:00"/>
    <s v="無調整"/>
    <d v="2021-12-09T00:00:00"/>
    <d v="2021-12-09T00:00:00"/>
    <d v="2021-12-09T00:00:00"/>
    <m/>
    <m/>
    <m/>
    <s v="張舜雯"/>
    <m/>
    <m/>
    <m/>
    <m/>
    <s v="催收及債協系統"/>
    <s v="催收案件清單"/>
    <e v="#N/A"/>
  </r>
  <r>
    <m/>
    <m/>
    <x v="6"/>
    <s v="5-4法催紀錄作業"/>
    <s v="L5961"/>
    <s v="電催明細資料查詢     "/>
    <m/>
    <s v="蘇曉玲"/>
    <s v="蘇曉玲"/>
    <s v="PJ201800012_URS_5管理性作業_V1.3.DOCX"/>
    <x v="44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1"/>
  </r>
  <r>
    <m/>
    <m/>
    <x v="6"/>
    <s v="5-4法催紀錄作業"/>
    <s v="L5601"/>
    <s v="電催登錄             "/>
    <m/>
    <s v="蘇曉玲"/>
    <s v="蘇曉玲"/>
    <s v="PJ201800012_URS_5管理性作業_V1.3.DOCX"/>
    <x v="44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1"/>
  </r>
  <r>
    <m/>
    <m/>
    <x v="6"/>
    <s v="5-4法催紀錄作業"/>
    <s v="L5962"/>
    <s v="面催明細資料查詢     "/>
    <m/>
    <s v="蘇曉玲"/>
    <s v="蘇曉玲"/>
    <s v="PJ201800012_URS_5管理性作業_V1.3.DOCX"/>
    <x v="44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2"/>
  </r>
  <r>
    <m/>
    <m/>
    <x v="6"/>
    <s v="5-4法催紀錄作業"/>
    <s v="L5602"/>
    <s v="面催登錄             "/>
    <m/>
    <s v="蘇曉玲"/>
    <s v="蘇曉玲"/>
    <s v="PJ201800012_URS_5管理性作業_V1.3.DOCX"/>
    <x v="44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2"/>
  </r>
  <r>
    <m/>
    <m/>
    <x v="6"/>
    <s v="5-4法催紀錄作業"/>
    <s v="L5963"/>
    <s v="函催明細資料查詢     "/>
    <m/>
    <s v="蘇曉玲"/>
    <s v="蘇曉玲"/>
    <s v="PJ201800012_URS_5管理性作業_V1.3.DOCX"/>
    <x v="44"/>
    <d v="2021-10-27T00:00:00"/>
    <d v="2021-11-16T00:00:00"/>
    <s v="林清河"/>
    <s v="張舜雯"/>
    <s v="邱怡婷"/>
    <m/>
    <m/>
    <m/>
    <m/>
    <m/>
    <m/>
    <m/>
    <s v="放款管理課"/>
    <d v="2021-11-16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3"/>
  </r>
  <r>
    <m/>
    <m/>
    <x v="6"/>
    <s v="5-4法催紀錄作業"/>
    <s v="L5603"/>
    <s v="函催登錄             "/>
    <m/>
    <s v="蘇曉玲"/>
    <s v="蘇曉玲"/>
    <s v="PJ201800012_URS_5管理性作業_V1.3.DOCX"/>
    <x v="44"/>
    <d v="2021-10-27T00:00:00"/>
    <d v="2021-11-17T00:00:00"/>
    <s v="林清河"/>
    <s v="張舜雯"/>
    <s v="邱怡婷"/>
    <m/>
    <m/>
    <m/>
    <m/>
    <m/>
    <m/>
    <m/>
    <s v="放款管理課"/>
    <d v="2021-11-17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3"/>
  </r>
  <r>
    <m/>
    <m/>
    <x v="6"/>
    <s v="5-4法催紀錄作業"/>
    <s v="L5964"/>
    <s v="法務進度明細資料查詢 "/>
    <m/>
    <s v="蘇曉玲"/>
    <s v="蘇曉玲"/>
    <s v="PJ201800012_URS_5管理性作業_V1.3.DOCX"/>
    <x v="45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4"/>
  </r>
  <r>
    <m/>
    <m/>
    <x v="6"/>
    <s v="5-4法催紀錄作業"/>
    <s v="L5604"/>
    <s v="法務進度登錄         "/>
    <m/>
    <s v="蘇曉玲"/>
    <s v="蘇曉玲"/>
    <s v="PJ201800012_URS_5管理性作業_V1.3.DOCX"/>
    <x v="45"/>
    <d v="2021-10-27T00:00:00"/>
    <d v="2021-11-24T00:00:00"/>
    <s v="林清河"/>
    <s v="張舜雯"/>
    <s v="邱怡婷"/>
    <m/>
    <m/>
    <m/>
    <m/>
    <m/>
    <m/>
    <m/>
    <s v="放款管理課"/>
    <d v="2021-11-24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4"/>
  </r>
  <r>
    <m/>
    <m/>
    <x v="6"/>
    <s v="5-4法催紀錄作業"/>
    <s v="L5965"/>
    <s v="提醒事項查詢         "/>
    <m/>
    <s v="蘇曉玲"/>
    <s v="蘇曉玲"/>
    <s v="PJ201800012_URS_5管理性作業_V1.3.DOCX"/>
    <x v="45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5"/>
  </r>
  <r>
    <m/>
    <m/>
    <x v="6"/>
    <s v="5-4法催紀錄作業"/>
    <s v="L5605"/>
    <s v="提醒事項登錄         "/>
    <m/>
    <s v="蘇曉玲"/>
    <s v="蘇曉玲"/>
    <s v="PJ201800012_URS_5管理性作業_V1.3.DOCX"/>
    <x v="45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5"/>
  </r>
  <r>
    <m/>
    <m/>
    <x v="6"/>
    <s v="5-4法催紀錄作業"/>
    <s v="L5061"/>
    <s v="催收催繳明細"/>
    <m/>
    <s v="蘇曉玲"/>
    <s v="蘇曉玲"/>
    <s v="PJ201800012_URS_5管理性作業_V1.3.DOCX"/>
    <x v="45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061"/>
  </r>
  <r>
    <m/>
    <m/>
    <x v="6"/>
    <s v="5-4法催紀錄作業"/>
    <s v="L5062"/>
    <s v="法務催收人員查詢"/>
    <s v="審後新增2021/10/28"/>
    <s v="蘇曉玲"/>
    <s v="蘇曉玲"/>
    <s v="PJ201800012_URS_5管理性作業_V1.3.DOCX"/>
    <x v="45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062"/>
  </r>
  <r>
    <m/>
    <m/>
    <x v="6"/>
    <s v="5-4法催紀錄作業"/>
    <s v="L5606"/>
    <s v="法務催收人員維護"/>
    <s v="審後新增2021/10/28"/>
    <s v="蘇曉玲"/>
    <s v="蘇曉玲"/>
    <s v="PJ201800012_URS_5管理性作業_V1.3.DOCX"/>
    <x v="45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6"/>
  </r>
  <r>
    <m/>
    <m/>
    <x v="7"/>
    <s v="8-1AML檢核"/>
    <s v="L8080"/>
    <s v="AML姓名檢核查詢"/>
    <m/>
    <s v="賴文育"/>
    <s v="余家興"/>
    <s v="PJ201800012_URS_8遵循法令作業_V1.5.docx"/>
    <x v="46"/>
    <d v="2021-11-03T00:00:00"/>
    <d v="2021-12-07T00:00:00"/>
    <s v="林清河"/>
    <s v="施美娟"/>
    <s v="王薏涵、鄧雪美"/>
    <m/>
    <m/>
    <m/>
    <m/>
    <m/>
    <m/>
    <m/>
    <s v="放款審查課"/>
    <d v="2021-12-03T00:00:00"/>
    <d v="2021-11-26T00:00:00"/>
    <d v="2021-11-26T00:00:00"/>
    <d v="2021-11-26T00:00:00"/>
    <d v="2021-12-16T00:00:00"/>
    <m/>
    <m/>
    <m/>
    <s v="施美娟"/>
    <m/>
    <m/>
    <m/>
    <d v="2021-08-30T00:00:00"/>
    <s v="新交易"/>
    <m/>
    <s v="L8080"/>
  </r>
  <r>
    <m/>
    <m/>
    <x v="7"/>
    <s v="8-1AML檢核"/>
    <s v="L8100"/>
    <s v="AML姓名檢核"/>
    <m/>
    <s v="賴文育"/>
    <s v="楊智誠"/>
    <s v="PJ201800012_URS_8遵循法令作業_V1.5.docx"/>
    <x v="46"/>
    <d v="2021-11-03T00:00:00"/>
    <d v="2021-11-03T00:00:00"/>
    <s v="林清河"/>
    <s v="施美娟"/>
    <s v="王薏涵、鄧雪美"/>
    <m/>
    <m/>
    <m/>
    <m/>
    <m/>
    <m/>
    <m/>
    <s v="放款審查課"/>
    <d v="2021-12-03T00:00:00"/>
    <s v="無調整"/>
    <d v="2021-11-26T00:00:00"/>
    <d v="2021-11-26T00:00:00"/>
    <d v="2021-12-16T00:00:00"/>
    <m/>
    <m/>
    <m/>
    <s v="施美娟"/>
    <m/>
    <m/>
    <m/>
    <m/>
    <s v="新交易"/>
    <m/>
    <e v="#N/A"/>
  </r>
  <r>
    <m/>
    <m/>
    <x v="7"/>
    <s v="8-1AML檢核"/>
    <s v="L8081"/>
    <s v="AML定審高風險資料查詢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</r>
  <r>
    <m/>
    <m/>
    <x v="7"/>
    <s v="8-1AML檢核"/>
    <s v="L8082"/>
    <s v="AML定審中風險資料查詢"/>
    <s v="新增2021/11/2"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</r>
  <r>
    <m/>
    <m/>
    <x v="7"/>
    <s v="8-1AML檢核"/>
    <s v="L8083"/>
    <s v="AML定審低風險資料查詢"/>
    <s v="新增2021/11/26"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</r>
  <r>
    <m/>
    <m/>
    <x v="7"/>
    <s v="8-1AML檢核"/>
    <s v="L8084"/>
    <s v="AML定審通知查詢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</r>
  <r>
    <m/>
    <m/>
    <x v="7"/>
    <s v="8-1AML檢核"/>
    <s v="L8110"/>
    <s v="產製AML每日有效客戶名單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d v="2021-12-07T00:00:00"/>
    <s v="無調整"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</r>
  <r>
    <m/>
    <m/>
    <x v="7"/>
    <s v="8-1AML檢核"/>
    <s v="L8101"/>
    <s v="AML定審通知處理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</r>
  <r>
    <m/>
    <m/>
    <x v="7"/>
    <s v="8-7公務人員報送"/>
    <s v="L8701"/>
    <s v="產製公務人員報送資料"/>
    <m/>
    <s v="賴文育"/>
    <s v="楊智誠"/>
    <s v="PJ201800012_URS_8遵循法令作業_V1.3"/>
    <x v="48"/>
    <d v="2021-11-03T00:00:00"/>
    <d v="2021-12-03T00:00:00"/>
    <s v="林清河"/>
    <s v="許慧玉"/>
    <m/>
    <m/>
    <m/>
    <m/>
    <m/>
    <m/>
    <m/>
    <m/>
    <s v="放款服務課"/>
    <d v="2021-12-03T00:00:00"/>
    <s v="需二審"/>
    <d v="2021-12-13T00:00:00"/>
    <d v="2021-12-13T00:00:00"/>
    <d v="2021-12-14T00:00:00"/>
    <m/>
    <m/>
    <m/>
    <s v="許慧玉"/>
    <m/>
    <m/>
    <m/>
    <m/>
    <s v="5-22-6"/>
    <s v="公職人員財產申報作業  "/>
    <s v="L8701"/>
  </r>
  <r>
    <m/>
    <m/>
    <x v="7"/>
    <s v="8-2疑似洗錢"/>
    <s v="L8921"/>
    <s v="疑似洗錢樣態檢核查詢"/>
    <m/>
    <s v="賴文育"/>
    <s v="楊智誠"/>
    <s v="PJ201800012_URS_8遵循法令作業_V1.3"/>
    <x v="49"/>
    <d v="2021-10-29T00:00:00"/>
    <d v="2021-10-29T00:00:00"/>
    <s v="林清河"/>
    <s v="邵淑微"/>
    <m/>
    <m/>
    <m/>
    <m/>
    <m/>
    <m/>
    <m/>
    <m/>
    <s v="放款服務課"/>
    <d v="2021-12-03T00:00:00"/>
    <s v="需二審"/>
    <s v="2021/12/14 am,2021/10/29"/>
    <d v="2021-12-14T00:00:00"/>
    <d v="2021-12-14T00:00:00"/>
    <m/>
    <m/>
    <m/>
    <s v="邵淑微"/>
    <m/>
    <m/>
    <m/>
    <m/>
    <s v="新交易"/>
    <m/>
    <e v="#N/A"/>
  </r>
  <r>
    <m/>
    <m/>
    <x v="7"/>
    <s v="8-2疑似洗錢"/>
    <s v="L8201"/>
    <s v="疑似洗錢樣態條件設定"/>
    <m/>
    <s v="賴文育"/>
    <s v="楊智誠"/>
    <s v="PJ201800012_URS_8遵循法令作業_V1.3"/>
    <x v="49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s v="邵淑微"/>
    <m/>
    <m/>
    <m/>
    <m/>
    <s v="5-24-1"/>
    <s v="疑似洗錢樣態條件設定  "/>
    <s v="L8201"/>
  </r>
  <r>
    <m/>
    <m/>
    <x v="7"/>
    <s v="8-2疑似洗錢"/>
    <s v="L8924"/>
    <s v="疑似洗錢資料變更查詢"/>
    <m/>
    <s v="賴文育"/>
    <s v="楊智誠"/>
    <s v="PJ201800012_URS_8遵循法令作業_V1.3"/>
    <x v="49"/>
    <d v="2021-10-29T00:00:00"/>
    <d v="2021-12-03T00:00:00"/>
    <s v="林清河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s v="邵淑微"/>
    <m/>
    <m/>
    <m/>
    <m/>
    <s v="新交易"/>
    <m/>
    <s v="L8924"/>
  </r>
  <r>
    <m/>
    <m/>
    <x v="7"/>
    <s v="8-2疑似洗錢"/>
    <s v="L8925"/>
    <s v="疑似洗錢資料明細查詢"/>
    <s v="二審後新增2021/12/9"/>
    <s v="賴文育"/>
    <s v="楊智誠"/>
    <s v="PJ201800012_URS_8遵循法令作業_V1.3"/>
    <x v="49"/>
    <d v="2021-10-29T00:00:00"/>
    <d v="2021-12-03T00:00:00"/>
    <s v="林清河"/>
    <s v="邵淑微"/>
    <m/>
    <m/>
    <m/>
    <m/>
    <m/>
    <m/>
    <m/>
    <m/>
    <s v="放款服務課"/>
    <d v="2021-12-03T00:00:00"/>
    <s v="需二審"/>
    <d v="2021-12-14T00:00:00"/>
    <d v="2021-12-14T00:00:00"/>
    <d v="2021-12-14T00:00:00"/>
    <m/>
    <m/>
    <m/>
    <s v="邵淑微"/>
    <m/>
    <m/>
    <m/>
    <m/>
    <s v="新交易"/>
    <m/>
    <e v="#N/A"/>
  </r>
  <r>
    <m/>
    <m/>
    <x v="7"/>
    <s v="8-2疑似洗錢"/>
    <s v="L8202"/>
    <s v="疑似洗錢樣態資料產生"/>
    <m/>
    <s v="賴文育"/>
    <s v="楊智誠"/>
    <s v="PJ201800012_URS_8遵循法令作業_V1.3"/>
    <x v="49"/>
    <d v="2021-10-29T00:00:00"/>
    <d v="2021-12-07T00:00:00"/>
    <s v="林清河"/>
    <s v="邵淑微"/>
    <m/>
    <m/>
    <m/>
    <m/>
    <m/>
    <m/>
    <m/>
    <m/>
    <s v="放款服務課"/>
    <d v="2021-12-07T00:00:00"/>
    <s v="需二審"/>
    <s v="2021/12/9, 2021/12/14am"/>
    <d v="2021-12-14T00:00:00"/>
    <d v="2021-12-14T00:00:00"/>
    <m/>
    <m/>
    <m/>
    <s v="邵淑微"/>
    <m/>
    <m/>
    <m/>
    <m/>
    <s v="5-24-2"/>
    <s v="產生疑似洗錢樣態檢核資料"/>
    <s v="L8202"/>
  </r>
  <r>
    <m/>
    <m/>
    <x v="7"/>
    <s v="8-2疑似洗錢"/>
    <s v="L8922"/>
    <s v="疑似洗錢交易合理性查詢"/>
    <m/>
    <s v="賴文育"/>
    <s v="楊智誠"/>
    <s v="PJ201800012_URS_8遵循法令作業_V1.3"/>
    <x v="49"/>
    <d v="2021-10-29T00:00:00"/>
    <d v="2021-10-29T00:00:00"/>
    <s v="涂宇欣"/>
    <s v="蔡珮瑜"/>
    <m/>
    <m/>
    <m/>
    <m/>
    <m/>
    <m/>
    <m/>
    <m/>
    <s v="放款服務課"/>
    <d v="2021-12-03T00:00:00"/>
    <s v="無調整"/>
    <d v="2021-10-29T00:00:00"/>
    <d v="2021-12-14T00:00:00"/>
    <d v="2021-12-14T00:00:00"/>
    <m/>
    <m/>
    <m/>
    <s v="蔡珮瑜"/>
    <m/>
    <m/>
    <m/>
    <m/>
    <s v="5-24-4-1"/>
    <s v="疑似洗錢交易合理性維護"/>
    <e v="#N/A"/>
  </r>
  <r>
    <m/>
    <m/>
    <x v="7"/>
    <s v="8-2疑似洗錢"/>
    <s v="L8203"/>
    <s v="疑似洗錢交易合理性維護"/>
    <m/>
    <s v="賴文育"/>
    <s v="楊智誠"/>
    <s v="PJ201800012_URS_8遵循法令作業_V1.3"/>
    <x v="49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s v="邵淑微"/>
    <m/>
    <m/>
    <m/>
    <m/>
    <s v="5-24-4-1"/>
    <s v="疑似洗錢交易合理性維護"/>
    <s v="L8203"/>
  </r>
  <r>
    <m/>
    <m/>
    <x v="7"/>
    <s v="8-2疑似洗錢"/>
    <s v="L8923"/>
    <s v="疑似洗錢交易訪談記錄查詢"/>
    <m/>
    <s v="賴文育"/>
    <s v="楊智誠"/>
    <s v="PJ201800012_URS_8遵循法令作業_V1.3"/>
    <x v="49"/>
    <d v="2021-10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m/>
    <s v="5-24-5-1"/>
    <s v="疑似洗錢交易訪談維護  "/>
    <s v="L8923"/>
  </r>
  <r>
    <m/>
    <m/>
    <x v="7"/>
    <s v="8-2疑似洗錢"/>
    <s v="L8204"/>
    <s v="疑似洗錢交易訪談記錄維護"/>
    <m/>
    <s v="賴文育"/>
    <s v="楊智誠"/>
    <s v="PJ201800012_URS_8遵循法令作業_V1.3"/>
    <x v="49"/>
    <d v="2021-10-29T00:00:00"/>
    <d v="2021-12-03T00:00:00"/>
    <s v="涂宇欣"/>
    <s v="陳政皓"/>
    <s v="張舜雯"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陳政皓"/>
    <m/>
    <m/>
    <m/>
    <d v="2021-10-13T00:00:00"/>
    <s v="5-24-5-1"/>
    <s v="疑似洗錢交易訪談維護  "/>
    <s v="L8204"/>
  </r>
  <r>
    <m/>
    <m/>
    <x v="7"/>
    <s v="8-2疑似洗錢"/>
    <s v="L8205"/>
    <s v="產生疑似洗錢報表"/>
    <s v="審後新增2021/10/29"/>
    <s v="賴文育"/>
    <s v="楊智誠"/>
    <s v="PJ201800012_URS_8遵循法令作業_V1.3"/>
    <x v="49"/>
    <d v="2021-10-29T00:00:00"/>
    <d v="2021-12-03T00:00:00"/>
    <s v="涂宇欣"/>
    <s v="陳政皓"/>
    <s v="張舜雯"/>
    <m/>
    <m/>
    <m/>
    <m/>
    <m/>
    <m/>
    <m/>
    <s v="放款服務課"/>
    <d v="2021-12-03T00:00:00"/>
    <s v="審後新增"/>
    <s v="2021/12/14am"/>
    <d v="2021-12-14T00:00:00"/>
    <d v="2021-12-14T00:00:00"/>
    <m/>
    <m/>
    <m/>
    <s v="陳政皓"/>
    <m/>
    <m/>
    <m/>
    <d v="2021-10-13T00:00:00"/>
    <s v="5-24-5-1"/>
    <s v="疑似洗錢交易訪談維護  "/>
    <e v="#N/A"/>
  </r>
  <r>
    <m/>
    <m/>
    <x v="6"/>
    <s v="5-1一般作業"/>
    <s v="L5801"/>
    <s v="補貼息作業"/>
    <m/>
    <s v="賴文育"/>
    <s v="陳昱衡"/>
    <s v="PJ201800012_URS_5管理性作業_V1.4"/>
    <x v="47"/>
    <d v="2021-11-24T00:00:00"/>
    <d v="2021-12-10T00:00:00"/>
    <s v="涂宇欣"/>
    <s v="邵淑微"/>
    <m/>
    <m/>
    <m/>
    <m/>
    <m/>
    <m/>
    <m/>
    <m/>
    <s v="放款服務課"/>
    <d v="2021-12-03T00:00:00"/>
    <d v="2021-12-01T00:00:00"/>
    <d v="2021-12-01T00:00:00"/>
    <d v="2021-12-01T00:00:00"/>
    <d v="2021-12-14T00:00:00"/>
    <m/>
    <m/>
    <m/>
    <s v="邵淑微"/>
    <m/>
    <m/>
    <m/>
    <m/>
    <s v="新交易"/>
    <m/>
    <e v="#N/A"/>
  </r>
  <r>
    <m/>
    <m/>
    <x v="6"/>
    <s v="5-7國稅局申報作業"/>
    <s v="L5982"/>
    <s v="國稅局申報檔查詢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14T00:00:00"/>
    <d v="2021-12-14T00:00:00"/>
    <m/>
    <m/>
    <m/>
    <s v="邵淑微"/>
    <m/>
    <m/>
    <m/>
    <m/>
    <s v="新交易"/>
    <m/>
    <s v="L5982"/>
  </r>
  <r>
    <m/>
    <m/>
    <x v="6"/>
    <s v="5-7國稅局申報作業"/>
    <s v="L5812"/>
    <s v="國稅局申報檔維護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14 am, 2021/12/9, 2021/12/13"/>
    <d v="2021-12-14T00:00:00"/>
    <d v="2021-12-14T00:00:00"/>
    <m/>
    <m/>
    <m/>
    <s v="邵淑微"/>
    <m/>
    <m/>
    <m/>
    <m/>
    <s v="新交易"/>
    <m/>
    <s v="L5812"/>
  </r>
  <r>
    <m/>
    <m/>
    <x v="6"/>
    <s v="5-7國稅局申報作業"/>
    <s v="L5811"/>
    <s v="產生國稅局申報檢核檔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s v="邵淑微"/>
    <m/>
    <m/>
    <m/>
    <m/>
    <s v="新交易"/>
    <m/>
    <s v="L5811"/>
  </r>
  <r>
    <m/>
    <m/>
    <x v="6"/>
    <s v="5-7國稅局申報作業"/>
    <s v="L5813"/>
    <s v="產生國稅局申報媒體檔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s v="邵淑微"/>
    <m/>
    <m/>
    <m/>
    <m/>
    <s v="新交易"/>
    <m/>
    <s v="L5813"/>
  </r>
  <r>
    <m/>
    <m/>
    <x v="6"/>
    <s v="5-1一般作業"/>
    <s v="L5901"/>
    <s v="資金運用概況明細資料查詢              "/>
    <m/>
    <s v="賴文育"/>
    <s v="楊智誠"/>
    <s v="PJ201800012_URS_5管理性作業_V1.4"/>
    <x v="50"/>
    <d v="2021-11-05T00:00:00"/>
    <d v="2021-11-05T00:00:00"/>
    <s v="李珮琪"/>
    <s v="蔡珮瑜"/>
    <m/>
    <m/>
    <m/>
    <m/>
    <m/>
    <m/>
    <m/>
    <m/>
    <s v="放款服務課"/>
    <d v="2021-12-03T00:00:00"/>
    <s v="無調整"/>
    <d v="2021-11-05T00:00:00"/>
    <d v="2021-11-05T00:00:00"/>
    <d v="2021-12-14T00:00:00"/>
    <m/>
    <m/>
    <m/>
    <s v="蔡珮瑜"/>
    <m/>
    <m/>
    <m/>
    <m/>
    <s v="2-11 "/>
    <s v="資金運用概況明細資料查詢"/>
    <e v="#N/A"/>
  </r>
  <r>
    <m/>
    <m/>
    <x v="6"/>
    <s v="5-1一般作業"/>
    <s v="L5101"/>
    <s v="資金運用概況維護      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11 "/>
    <s v="資金運用概況明細"/>
    <s v="L5101"/>
  </r>
  <r>
    <m/>
    <m/>
    <x v="6"/>
    <s v="5-1一般作業"/>
    <s v="L5902"/>
    <s v="授信審議委員會會議紀錄明細資料查詢"/>
    <m/>
    <s v="賴文育"/>
    <s v="張嘉榮"/>
    <s v="PJ201800012_URS_5管理性作業_V1.4"/>
    <x v="5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d v="2021-12-14T00:00:00"/>
    <m/>
    <m/>
    <m/>
    <s v="施美娟"/>
    <m/>
    <m/>
    <m/>
    <m/>
    <s v="2-12 "/>
    <s v="放審會維護"/>
    <s v="L5902"/>
  </r>
  <r>
    <m/>
    <m/>
    <x v="6"/>
    <s v="5-1一般作業"/>
    <s v="L5102"/>
    <s v="授信審議委員會會議紀錄維護"/>
    <m/>
    <s v="賴文育"/>
    <s v="張嘉榮"/>
    <s v="PJ201800012_URS_5管理性作業_V1.4"/>
    <x v="5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d v="2021-12-14T00:00:00"/>
    <m/>
    <m/>
    <m/>
    <s v="施美娟"/>
    <m/>
    <m/>
    <m/>
    <m/>
    <s v="2-12 "/>
    <s v="放審會維護"/>
    <s v="L5102"/>
  </r>
  <r>
    <m/>
    <m/>
    <x v="6"/>
    <s v="5-1一般作業"/>
    <s v="L5903"/>
    <s v="檔案借閱明細資料查詢  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25-1"/>
    <s v="檔案借閱作業-檔案借閱維護"/>
    <s v="L5903"/>
  </r>
  <r>
    <m/>
    <m/>
    <x v="6"/>
    <s v="5-1一般作業"/>
    <s v="L5103"/>
    <s v="檔案借閱維護          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25-1"/>
    <s v="檔案借閱作業-檔案借閱維護"/>
    <s v="L5103"/>
  </r>
  <r>
    <m/>
    <m/>
    <x v="6"/>
    <s v="5-1一般作業"/>
    <s v="L5104"/>
    <s v="檔案借閱報表作業(列印)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25-2"/>
    <s v="檔案借閱作業-檔案借閱報表作業(列印)"/>
    <s v="L5104"/>
  </r>
  <r>
    <m/>
    <m/>
    <x v="6"/>
    <s v="5-1一般作業"/>
    <s v="L5905"/>
    <s v="覆審案件明細檔查詢"/>
    <m/>
    <s v="賴文育"/>
    <s v="張嘉榮"/>
    <s v="PJ201800012_URS_5管理性作業_V1.4"/>
    <x v="51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5-9"/>
    <s v="覆審案件"/>
    <s v="L5905"/>
  </r>
  <r>
    <m/>
    <m/>
    <x v="6"/>
    <s v="5-1一般作業"/>
    <s v="L5105"/>
    <s v="覆審案件明細檔維護"/>
    <m/>
    <s v="賴文育"/>
    <s v="張嘉榮"/>
    <s v="PJ201800012_URS_5管理性作業_V1.4"/>
    <x v="51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5-9"/>
    <s v="覆審案件"/>
    <s v="L5105"/>
  </r>
  <r>
    <m/>
    <m/>
    <x v="6"/>
    <s v="5-1一般作業"/>
    <s v="L5106"/>
    <s v="產生覆審案件資料明細"/>
    <m/>
    <s v="賴文育"/>
    <s v="張嘉榮"/>
    <s v="PJ201800012_URS_5管理性作業_V1.4"/>
    <x v="51"/>
    <d v="2021-11-04T00:00:00"/>
    <d v="2021-12-06T00:00:00"/>
    <s v="林清河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5-9"/>
    <s v="覆審案件"/>
    <e v="#N/A"/>
  </r>
  <r>
    <m/>
    <m/>
    <x v="6"/>
    <s v="5-1一般作業"/>
    <s v="L5906"/>
    <s v="寬限條件控管繳息查詢"/>
    <m/>
    <s v="賴文育"/>
    <s v="張嘉榮"/>
    <s v="PJ201800012_URS_5管理性作業_V1.4"/>
    <x v="47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s v="邵淑微"/>
    <m/>
    <m/>
    <m/>
    <m/>
    <s v="5-22"/>
    <s v="寬限條件控管"/>
    <e v="#N/A"/>
  </r>
  <r>
    <m/>
    <m/>
    <x v="6"/>
    <s v="5-1一般作業"/>
    <s v="L5116"/>
    <s v="寬限條件控管維護"/>
    <m/>
    <s v="賴文育"/>
    <s v="張嘉榮"/>
    <s v="PJ201800012_URS_5管理性作業_V1.4"/>
    <x v="47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s v="邵淑微"/>
    <m/>
    <m/>
    <m/>
    <m/>
    <s v="5-22"/>
    <s v="寬限條件控管"/>
    <e v="#N/A"/>
  </r>
  <r>
    <m/>
    <m/>
    <x v="6"/>
    <s v="5-1一般作業"/>
    <s v="L5907"/>
    <s v="指定覆審名單查詢"/>
    <s v="審後新增2021/11/16 (L5905)"/>
    <s v="賴文育"/>
    <s v="張嘉榮"/>
    <s v="PJ201800012_URS_5管理性作業_V1.4"/>
    <x v="51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e v="#N/A"/>
  </r>
  <r>
    <m/>
    <m/>
    <x v="6"/>
    <s v="5-1一般作業"/>
    <s v="L5107"/>
    <s v="指定覆審案件資料維護"/>
    <s v="審後新增2021/11/16 (L5105)"/>
    <s v="賴文育"/>
    <s v="張嘉榮"/>
    <s v="PJ201800012_URS_5管理性作業_V1.4"/>
    <x v="51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e v="#N/A"/>
  </r>
  <r>
    <m/>
    <m/>
    <x v="2"/>
    <s v="6-7其他基本資料維護"/>
    <s v="L6703"/>
    <s v="保險/鑑定公司資料維護"/>
    <m/>
    <s v="賴文育"/>
    <s v="楊智誠"/>
    <s v="PJ201800012_URS_6共同作業_V1.11.docx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s v="陳政皓"/>
    <m/>
    <m/>
    <m/>
    <m/>
    <s v="6-10"/>
    <s v="保險／鑑定公司資料維護"/>
    <s v="L6703"/>
  </r>
  <r>
    <m/>
    <m/>
    <x v="2"/>
    <s v="6-7其他基本資料維護"/>
    <s v="L6704"/>
    <s v="地區別資料維護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s v="鄧雪美"/>
    <m/>
    <m/>
    <m/>
    <m/>
    <s v="6-35"/>
    <s v="聯徵報送-地區別資料維護"/>
    <s v="L6704"/>
  </r>
  <r>
    <m/>
    <m/>
    <x v="6"/>
    <s v="5-2房貸專員業績統計作業"/>
    <s v="L5402"/>
    <s v="年度業績目標更新                    "/>
    <m/>
    <s v="張金龍"/>
    <s v="張嘉榮"/>
    <s v="PJ201800012_URS_5管理性作業_V1.6.docx"/>
    <x v="29"/>
    <d v="2021-07-19T00:00:00"/>
    <d v="2021-12-10T00:00:00"/>
    <s v="涂宇欣"/>
    <s v="李珮君(張淑遠)"/>
    <m/>
    <n v="1"/>
    <s v="T"/>
    <m/>
    <m/>
    <m/>
    <m/>
    <m/>
    <e v="#N/A"/>
    <d v="2021-12-10T00:00:00"/>
    <s v="需二審"/>
    <d v="2021-12-20T00:00:00"/>
    <d v="2021-12-20T00:00:00"/>
    <d v="2021-12-20T00:00:00"/>
    <m/>
    <m/>
    <m/>
    <s v="李珮君(張淑遠)"/>
    <m/>
    <m/>
    <m/>
    <d v="2021-07-19T00:00:00"/>
    <s v="2-31 "/>
    <s v="96年度放款專員業績統計作業"/>
    <s v="L5402"/>
  </r>
  <r>
    <m/>
    <m/>
    <x v="6"/>
    <s v="5-2房貸專員業績統計作業"/>
    <s v="L5021"/>
    <s v="房貸專員明細資料查詢                "/>
    <m/>
    <s v="張金龍"/>
    <s v="張嘉榮"/>
    <s v="PJ201800012_URS_5管理性作業_V1.6.docx"/>
    <x v="29"/>
    <d v="2021-07-19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19T00:00:00"/>
    <s v="2-31 "/>
    <s v="96年度放款專員業績統計作業"/>
    <s v="L5021"/>
  </r>
  <r>
    <m/>
    <m/>
    <x v="6"/>
    <s v="5-2房貸專員業績統計作業"/>
    <s v="L5401"/>
    <s v="房貸專員資料維護                    "/>
    <m/>
    <s v="張金龍"/>
    <s v="張嘉榮"/>
    <s v="PJ201800012_URS_5管理性作業_V1.6.docx"/>
    <x v="29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19T00:00:00"/>
    <s v="2-31 "/>
    <s v="96年度放款專員業績統計作業"/>
    <s v="L5401"/>
  </r>
  <r>
    <m/>
    <m/>
    <x v="6"/>
    <s v="5-2房貸專員業績統計作業"/>
    <s v="L5023"/>
    <s v="晤談人員明細資料查詢                "/>
    <m/>
    <s v="張金龍"/>
    <s v="張嘉榮"/>
    <s v="PJ201800012_URS_5管理性作業_V1.6.docx"/>
    <x v="28"/>
    <d v="2021-07-20T00:00:00"/>
    <d v="2021-12-03T00:00:00"/>
    <s v="涂宇欣"/>
    <s v="李珮君"/>
    <m/>
    <n v="1"/>
    <s v="B"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d v="2021-07-20T00:00:00"/>
    <s v="2-31 "/>
    <s v="96年度放款專員業績統計作業"/>
    <s v="L5023"/>
  </r>
  <r>
    <m/>
    <m/>
    <x v="6"/>
    <s v="5-2房貸專員業績統計作業"/>
    <s v="L5406"/>
    <s v="晤談人員資料維護                    "/>
    <m/>
    <s v="張金龍"/>
    <s v="張嘉榮"/>
    <s v="PJ201800012_URS_5管理性作業_V1.6.docx"/>
    <x v="28"/>
    <d v="2021-07-20T00:00:00"/>
    <d v="2021-12-03T00:00:00"/>
    <s v="涂宇欣"/>
    <s v="李珮君"/>
    <m/>
    <n v="1"/>
    <s v="T"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d v="2021-07-20T00:00:00"/>
    <s v="2-31 "/>
    <s v="96年度放款專員業績統計作業"/>
    <s v="L5406"/>
  </r>
  <r>
    <m/>
    <m/>
    <x v="6"/>
    <s v="5-2房貸專員業績統計作業"/>
    <s v="L5024"/>
    <s v="目標金額、累計目標金額查詢          "/>
    <m/>
    <s v="張金龍"/>
    <s v="張嘉榮"/>
    <s v="PJ201800012_URS_5管理性作業_V1.6.docx"/>
    <x v="29"/>
    <d v="2021-07-19T00:00:00"/>
    <d v="2021-07-19T00:00:00"/>
    <s v="涂宇欣"/>
    <s v="李珮君(張淑遠)"/>
    <m/>
    <n v="1"/>
    <s v="B"/>
    <m/>
    <m/>
    <m/>
    <m/>
    <m/>
    <e v="#N/A"/>
    <d v="2021-12-03T00:00:00"/>
    <s v="無調整"/>
    <m/>
    <d v="2021-07-19T00:00:00"/>
    <d v="2021-12-20T00:00:00"/>
    <m/>
    <m/>
    <m/>
    <s v="李珮君(張淑遠)"/>
    <m/>
    <m/>
    <m/>
    <d v="2021-07-19T00:00:00"/>
    <s v="2-31 "/>
    <s v="96年度放款專員業績統計作業"/>
    <e v="#N/A"/>
  </r>
  <r>
    <m/>
    <m/>
    <x v="6"/>
    <s v="5-2房貸專員業績統計作業"/>
    <s v="L5405"/>
    <s v="更改目標金額、累計目標金額          "/>
    <m/>
    <s v="張金龍"/>
    <s v="張嘉榮"/>
    <s v="PJ201800012_URS_5管理性作業_V1.6.docx"/>
    <x v="29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19T00:00:00"/>
    <s v="2-31 "/>
    <s v="96年度放款專員業績統計作業"/>
    <s v="L5405"/>
  </r>
  <r>
    <m/>
    <m/>
    <x v="6"/>
    <s v="5-2房貸專員業績統計作業"/>
    <s v="L5022"/>
    <s v="協辦人員等級明細資料查詢            "/>
    <m/>
    <s v="張金龍"/>
    <s v="張嘉榮"/>
    <s v="PJ201800012_URS_5管理性作業_V1.6.docx"/>
    <x v="28"/>
    <d v="2021-07-20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20T00:00:00"/>
    <s v="2-31 "/>
    <s v="96年度放款專員業績統計作業"/>
    <s v="L5022"/>
  </r>
  <r>
    <m/>
    <m/>
    <x v="6"/>
    <s v="5-2房貸專員業績統計作業"/>
    <s v="L5914"/>
    <s v="協辦人員等級歷程查詢"/>
    <s v="審後新增2021/10/26"/>
    <s v="張金龍"/>
    <s v="張嘉榮"/>
    <s v="PJ201800012_URS_5管理性作業_V1.6.docx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20T00:00:00"/>
    <m/>
    <m/>
    <m/>
    <s v="李珮君(張淑遠)"/>
    <m/>
    <m/>
    <m/>
    <m/>
    <s v="新交易"/>
    <m/>
    <e v="#N/A"/>
  </r>
  <r>
    <m/>
    <m/>
    <x v="6"/>
    <s v="5-2房貸專員業績統計作業"/>
    <s v="L5407"/>
    <s v="房貸協辦人員等級維護                "/>
    <m/>
    <s v="張金龍"/>
    <s v="張嘉榮"/>
    <s v="PJ201800012_URS_5管理性作業_V1.6.docx"/>
    <x v="28"/>
    <d v="2021-07-20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20T00:00:00"/>
    <s v="2-31 "/>
    <s v="96年度放款專員業績統計作業"/>
    <s v="L5407"/>
  </r>
  <r>
    <m/>
    <m/>
    <x v="2"/>
    <s v="6-7其他基本資料維護"/>
    <s v="L6705"/>
    <s v="聯徵報送-地區別資料維護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s v="鄧雪美"/>
    <m/>
    <m/>
    <m/>
    <m/>
    <s v="6-35"/>
    <s v="聯徵報送-地區別資料維護"/>
    <s v="L6705"/>
  </r>
  <r>
    <m/>
    <m/>
    <x v="2"/>
    <s v="6-7其他基本資料維護"/>
    <s v="L6994"/>
    <s v="業績件數及金額核算標準設定查詢"/>
    <m/>
    <s v="張金龍"/>
    <s v="張嘉榮"/>
    <s v="PJ201800012_URS_6共同作業_V1.11.docx"/>
    <x v="30"/>
    <d v="2021-07-21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21T00:00:00"/>
    <s v="新交易"/>
    <m/>
    <s v="L6994"/>
  </r>
  <r>
    <m/>
    <m/>
    <x v="2"/>
    <s v="6-7其他基本資料維護"/>
    <s v="L6707"/>
    <s v="現金流量預估資料維護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6-25"/>
    <s v="現金流量預估資料維護"/>
    <e v="#N/A"/>
  </r>
  <r>
    <m/>
    <m/>
    <x v="2"/>
    <s v="6-7其他基本資料維護"/>
    <s v="L6757"/>
    <s v="業績件數及金額核算標準設定(整月)"/>
    <m/>
    <s v="張金龍"/>
    <s v="張嘉榮"/>
    <s v="PJ201800012_URS_6共同作業_V1.11.docx"/>
    <x v="30"/>
    <d v="2021-07-21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d v="2021-12-20T00:00:00"/>
    <m/>
    <m/>
    <m/>
    <s v="李珮君(張淑遠)"/>
    <m/>
    <m/>
    <m/>
    <d v="2021-07-21T00:00:00"/>
    <s v="新交易"/>
    <m/>
    <s v="L6757"/>
  </r>
  <r>
    <m/>
    <m/>
    <x v="2"/>
    <s v="6-7其他基本資料維護"/>
    <s v="L6708"/>
    <s v="利息收入預算數維護"/>
    <m/>
    <s v="賴文育"/>
    <s v="楊智誠"/>
    <s v="PJ201800012_URS_6共同作業_V1.11.docx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新交易"/>
    <m/>
    <e v="#N/A"/>
  </r>
  <r>
    <m/>
    <m/>
    <x v="2"/>
    <s v="6-7其他基本資料維護"/>
    <s v="L6709"/>
    <s v="帳冊別目標金額維護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40"/>
    <s v="利變目標金額維護"/>
    <e v="#N/A"/>
  </r>
  <r>
    <m/>
    <m/>
    <x v="2"/>
    <s v="6-7其他基本資料維護"/>
    <s v="L6087"/>
    <s v="協辦獎勵津貼標準查詢"/>
    <m/>
    <s v="張金龍"/>
    <s v="張嘉榮"/>
    <s v="PJ201800012_URS_6共同作業_V1.11.docx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20T00:00:00"/>
    <m/>
    <m/>
    <m/>
    <s v="李珮君(張淑遠)"/>
    <m/>
    <m/>
    <m/>
    <d v="2021-07-20T00:00:00"/>
    <s v="新交易"/>
    <m/>
    <e v="#N/A"/>
  </r>
  <r>
    <m/>
    <m/>
    <x v="2"/>
    <s v="6-7其他基本資料維護"/>
    <s v="L6787"/>
    <s v="協辦獎勵津貼標準設定"/>
    <m/>
    <s v="張金龍"/>
    <s v="張嘉榮"/>
    <s v="PJ201800012_URS_6共同作業_V1.11.docx"/>
    <x v="28"/>
    <d v="2021-07-20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d v="2021-12-20T00:00:00"/>
    <m/>
    <m/>
    <m/>
    <s v="李珮君(張淑遠)"/>
    <m/>
    <m/>
    <m/>
    <d v="2021-07-20T00:00:00"/>
    <s v="新交易"/>
    <m/>
    <s v="L6787"/>
  </r>
  <r>
    <m/>
    <m/>
    <x v="2"/>
    <s v="6-5系統變數維護"/>
    <s v="L6501"/>
    <s v="系統變數及系統值設定"/>
    <m/>
    <s v="賴文育"/>
    <s v="楊智誠"/>
    <s v="PJ201800012_URS_6共同作業_V1.9"/>
    <x v="28"/>
    <d v="2021-07-20T00:00:00"/>
    <d v="2021-12-07T00:00:00"/>
    <s v="涂宇欣"/>
    <s v="陳政皓"/>
    <m/>
    <m/>
    <m/>
    <m/>
    <m/>
    <m/>
    <m/>
    <m/>
    <s v="放款服務課"/>
    <d v="2021-12-07T00:00:00"/>
    <s v="需二審"/>
    <d v="2021-12-14T00:00:00"/>
    <d v="2021-12-14T00:00:00"/>
    <d v="2021-12-14T00:00:00"/>
    <m/>
    <m/>
    <m/>
    <s v="陳政皓"/>
    <m/>
    <m/>
    <m/>
    <d v="2021-07-20T00:00:00"/>
    <s v="新交易"/>
    <m/>
    <s v="L6501"/>
  </r>
  <r>
    <m/>
    <m/>
    <x v="2"/>
    <s v="6-5系統變數維護"/>
    <s v="L650A"/>
    <s v="業績計算特殊參數設定(排除商品別)"/>
    <s v="由L6503更名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</r>
  <r>
    <m/>
    <m/>
    <x v="2"/>
    <s v="6-5系統變數維護"/>
    <s v="L650B"/>
    <s v="業績計算特殊參數設定(排除部門別)"/>
    <s v="審後新增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</r>
  <r>
    <m/>
    <m/>
    <x v="2"/>
    <s v="6-5系統變數維護"/>
    <s v="L650C"/>
    <s v="業績計算特殊參數設定(是否排除15日薪非業績人員)"/>
    <s v="審後新增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</r>
  <r>
    <m/>
    <m/>
    <x v="2"/>
    <s v="6-5系統變數維護"/>
    <s v="L650D"/>
    <s v="業績計算特殊參數設定(業績追回通知設定)"/>
    <s v="審後新增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</r>
  <r>
    <m/>
    <m/>
    <x v="6"/>
    <s v="5-3業績調整作業"/>
    <s v="L5051"/>
    <s v="房貸介紹人業績維護查詢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m/>
    <s v="新交易"/>
    <m/>
    <s v="L5051"/>
  </r>
  <r>
    <m/>
    <m/>
    <x v="6"/>
    <s v="5-3業績調整作業"/>
    <s v="L5501"/>
    <s v="介紹人業績案件維護            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m/>
    <s v="2-36-3"/>
    <s v="介紹人業績案件維護"/>
    <e v="#N/A"/>
  </r>
  <r>
    <m/>
    <m/>
    <x v="6"/>
    <s v="5-3業績調整作業"/>
    <s v="L5505"/>
    <s v="業績案件計件代碼維護"/>
    <s v="新增 2021/11/10"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s v="李珮君"/>
    <m/>
    <m/>
    <m/>
    <m/>
    <s v="2-36-1"/>
    <s v="業績案件計件代碼維護"/>
    <e v="#N/A"/>
  </r>
  <r>
    <m/>
    <m/>
    <x v="6"/>
    <s v="5-3業績調整作業"/>
    <s v="L5052"/>
    <s v="房貸專員業績維護查詢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  <m/>
    <s v="放款推展課"/>
    <d v="2021-12-16T00:00:00"/>
    <d v="2021-12-03T00:00:00"/>
    <d v="2021-12-03T00:00:00"/>
    <d v="2021-12-03T00:00:00"/>
    <d v="2021-12-20T00:00:00"/>
    <m/>
    <m/>
    <m/>
    <s v="李珮君"/>
    <m/>
    <m/>
    <m/>
    <m/>
    <s v="新交易"/>
    <m/>
    <s v="L5052"/>
  </r>
  <r>
    <m/>
    <m/>
    <x v="6"/>
    <s v="5-3業績調整作業"/>
    <s v="L5502"/>
    <s v="房貸專員件數金額資料維護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  <m/>
    <s v="放款推展課"/>
    <s v="20212/12/16"/>
    <d v="2021-12-03T00:00:00"/>
    <d v="2021-12-03T00:00:00"/>
    <d v="2021-12-03T00:00:00"/>
    <d v="2021-12-20T00:00:00"/>
    <m/>
    <m/>
    <m/>
    <s v="李珮君"/>
    <m/>
    <m/>
    <m/>
    <m/>
    <s v="2-36-4"/>
    <s v="房貸專員件數金額資料維護"/>
    <e v="#N/A"/>
  </r>
  <r>
    <m/>
    <m/>
    <x v="6"/>
    <s v="5-3業績調整作業"/>
    <s v="L5056"/>
    <s v="內網報表業績維護查詢"/>
    <s v="新增 2021/11/10"/>
    <s v="張金龍"/>
    <s v="張金龍"/>
    <s v="PJ201800012_URS_5管理性作業_V1.6.docx"/>
    <x v="52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s v="李珮君"/>
    <m/>
    <m/>
    <m/>
    <m/>
    <s v="新交易"/>
    <m/>
    <e v="#N/A"/>
  </r>
  <r>
    <m/>
    <m/>
    <x v="6"/>
    <s v="5-3業績調整作業"/>
    <s v="L5506"/>
    <s v="內網報表業績維護"/>
    <s v="新增 2021/11/10"/>
    <s v="張金龍"/>
    <s v="張金龍"/>
    <s v="PJ201800012_URS_5管理性作業_V1.6.docx"/>
    <x v="52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s v="李珮君"/>
    <m/>
    <m/>
    <m/>
    <m/>
    <s v="2-36-6"/>
    <s v="內網報表業績維護"/>
    <e v="#N/A"/>
  </r>
  <r>
    <m/>
    <m/>
    <x v="6"/>
    <s v="5-3業績調整作業"/>
    <s v="L5500"/>
    <s v="工作日業績結算"/>
    <m/>
    <s v="張金龍"/>
    <s v="張金龍"/>
    <s v="PJ201800012_URS_5管理性作業_V1.6.docx"/>
    <x v="53"/>
    <d v="2021-11-18T00:00:00"/>
    <d v="2021-12-17T00:00:00"/>
    <s v="涂宇欣"/>
    <s v="李珮君(張淑遠)"/>
    <m/>
    <m/>
    <m/>
    <m/>
    <m/>
    <m/>
    <m/>
    <m/>
    <e v="#N/A"/>
    <d v="2021-12-16T00:00:00"/>
    <s v="需二審"/>
    <d v="2021-12-20T00:00:00"/>
    <d v="2021-12-20T00:00:00"/>
    <d v="2021-12-20T00:00:00"/>
    <m/>
    <m/>
    <m/>
    <s v="李珮君(張淑遠)"/>
    <m/>
    <m/>
    <m/>
    <d v="2021-07-21T00:00:00"/>
    <s v="新交易"/>
    <m/>
    <s v="L5500"/>
  </r>
  <r>
    <m/>
    <m/>
    <x v="6"/>
    <s v="5-3業績調整作業"/>
    <s v="L5510"/>
    <s v="產生換算業績、業務報酬發放媒體"/>
    <m/>
    <s v="張金龍"/>
    <s v="張金龍"/>
    <s v="PJ201800012_URS_5管理性作業_V1.6.docx"/>
    <x v="52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s v="李珮君(張淑遠)"/>
    <m/>
    <m/>
    <m/>
    <m/>
    <s v="新交易"/>
    <m/>
    <e v="#N/A"/>
  </r>
  <r>
    <m/>
    <m/>
    <x v="6"/>
    <s v="5-3業績調整作業"/>
    <s v="L5511"/>
    <s v="產生介紹、協辦、專業獎勵獎金發放媒體"/>
    <m/>
    <s v="張金龍"/>
    <s v="張金龍"/>
    <s v="PJ201800012_URS_5管理性作業_V1.6.docx"/>
    <x v="54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s v="尹少玄"/>
    <m/>
    <m/>
    <m/>
    <m/>
    <s v="新交易"/>
    <m/>
    <e v="#N/A"/>
  </r>
  <r>
    <m/>
    <m/>
    <x v="6"/>
    <s v="5-3業績調整作業"/>
    <s v="L5053"/>
    <s v="介紹、協辦獎金明細查詢"/>
    <m/>
    <s v="張金龍"/>
    <s v="張金龍"/>
    <s v="PJ201800012_URS_5管理性作業_V1.6.docx"/>
    <x v="54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s v="尹少玄"/>
    <m/>
    <m/>
    <m/>
    <m/>
    <s v="新交易"/>
    <m/>
    <e v="#N/A"/>
  </r>
  <r>
    <m/>
    <m/>
    <x v="6"/>
    <s v="5-3業績調整作業"/>
    <s v="L5503"/>
    <s v="介紹、協辦獎金案件維護            "/>
    <m/>
    <s v="張金龍"/>
    <s v="張金龍"/>
    <s v="PJ201800012_URS_5管理性作業_V1.6.docx"/>
    <x v="54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s v="尹少玄"/>
    <m/>
    <m/>
    <m/>
    <m/>
    <s v="新交易"/>
    <m/>
    <e v="#N/A"/>
  </r>
  <r>
    <m/>
    <m/>
    <x v="6"/>
    <s v="5-3業績調整作業"/>
    <s v="L5512"/>
    <s v="產生介紹人加碼獎金發放媒體"/>
    <m/>
    <s v="張金龍"/>
    <s v="張金龍"/>
    <s v="PJ201800012_URS_5管理性作業_V1.6.docx"/>
    <x v="55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s v="李珮君(張淑遠)"/>
    <m/>
    <m/>
    <m/>
    <m/>
    <s v="新交易"/>
    <m/>
    <e v="#N/A"/>
  </r>
  <r>
    <m/>
    <m/>
    <x v="6"/>
    <s v="5-3業績調整作業"/>
    <s v="L5054"/>
    <s v="介紹人加碼獎金處理清單"/>
    <m/>
    <s v="張金龍"/>
    <s v="張金龍"/>
    <s v="PJ201800012_URS_5管理性作業_V1.6.docx"/>
    <x v="55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s v="李珮君(張淑遠)"/>
    <m/>
    <m/>
    <m/>
    <m/>
    <s v="新交易"/>
    <m/>
    <e v="#N/A"/>
  </r>
  <r>
    <m/>
    <m/>
    <x v="6"/>
    <s v="5-3業績調整作業"/>
    <s v="L5504"/>
    <s v="介紹人加碼獎金案件維護      "/>
    <m/>
    <s v="張金龍"/>
    <s v="張金龍"/>
    <s v="PJ201800012_URS_5管理性作業_V1.6.docx"/>
    <x v="55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s v="李珮君(張淑遠)"/>
    <m/>
    <m/>
    <m/>
    <m/>
    <s v="新交易"/>
    <m/>
    <e v="#N/A"/>
  </r>
  <r>
    <m/>
    <m/>
    <x v="6"/>
    <s v="5-2房貸專員業績統計作業"/>
    <s v="L5910"/>
    <s v="新撥款利率案件資料產生              "/>
    <m/>
    <s v="張金龍"/>
    <s v="張嘉榮"/>
    <s v="PJ201800012_URS_5管理性作業_V1.6.docx"/>
    <x v="55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m/>
    <s v="2-31 "/>
    <s v="96年度放款專員業績統計作業"/>
    <e v="#N/A"/>
  </r>
  <r>
    <m/>
    <m/>
    <x v="6"/>
    <s v="5-2房貸專員業績統計作業"/>
    <s v="L5912"/>
    <s v="新光銀銀扣案件資料產生              "/>
    <m/>
    <s v="張金龍"/>
    <s v="張嘉榮"/>
    <s v="PJ201800012_URS_5管理性作業_V1.6.docx"/>
    <x v="55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m/>
    <s v="2-31 "/>
    <s v="96年度放款專員業績統計作業"/>
    <e v="#N/A"/>
  </r>
  <r>
    <m/>
    <m/>
    <x v="2"/>
    <s v="6-4作業控管維護"/>
    <s v="L6042"/>
    <s v="交易控制檔查詢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d v="2021-10-22T00:00:00"/>
    <s v="新交易"/>
    <m/>
    <s v="L6042"/>
  </r>
  <r>
    <m/>
    <m/>
    <x v="2"/>
    <s v="6-4作業控管維護"/>
    <s v="L6402"/>
    <s v="交易控制檔維護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m/>
    <s v="新交易"/>
    <m/>
    <s v="L6402"/>
  </r>
  <r>
    <m/>
    <m/>
    <x v="2"/>
    <s v="6-4作業控管維護"/>
    <s v="L6043"/>
    <s v="權限群組查詢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s v="蔡珮瑜"/>
    <m/>
    <m/>
    <m/>
    <m/>
    <s v="新交易"/>
    <m/>
    <e v="#N/A"/>
  </r>
  <r>
    <m/>
    <m/>
    <x v="2"/>
    <s v="6-4作業控管維護"/>
    <s v="L6403"/>
    <s v="權限群組維護  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s v="蔡珮瑜"/>
    <m/>
    <m/>
    <m/>
    <m/>
    <s v="新交易"/>
    <m/>
    <e v="#N/A"/>
  </r>
  <r>
    <m/>
    <m/>
    <x v="2"/>
    <s v="6-7其他基本資料維護"/>
    <s v="L6751"/>
    <s v="介紹人加碼獎勵津貼標準設定"/>
    <m/>
    <s v="賴文育"/>
    <s v="楊智誠"/>
    <s v="PJ201800012_URS_6共同作業_V1.11.docx"/>
    <x v="28"/>
    <d v="2021-07-20T00:00:00"/>
    <d v="2021-07-25T00:00:00"/>
    <s v="李珮琪"/>
    <s v="李珮君(張淑遠)"/>
    <m/>
    <m/>
    <m/>
    <m/>
    <m/>
    <m/>
    <m/>
    <m/>
    <e v="#N/A"/>
    <d v="2021-07-25T00:00:00"/>
    <s v="需二審"/>
    <d v="2021-12-20T00:00:00"/>
    <d v="2021-12-20T00:00:00"/>
    <d v="2021-12-20T00:00:00"/>
    <m/>
    <m/>
    <m/>
    <s v="李珮君(張淑遠)"/>
    <m/>
    <m/>
    <m/>
    <d v="2021-07-20T00:00:00"/>
    <s v="新交易"/>
    <m/>
    <s v="L6751"/>
  </r>
  <r>
    <m/>
    <m/>
    <x v="2"/>
    <s v="6-7其他基本資料維護"/>
    <s v="L6752"/>
    <s v="放款業績工作月維護"/>
    <m/>
    <s v="賴文育"/>
    <s v="楊智誠"/>
    <s v="PJ201800012_URS_6共同作業_V1.11.docx"/>
    <x v="29"/>
    <d v="2021-07-19T00:00:00"/>
    <d v="2021-07-25T00:00:00"/>
    <s v="涂宇欣"/>
    <s v="李珮君(張淑遠)"/>
    <m/>
    <n v="1"/>
    <s v="T"/>
    <m/>
    <m/>
    <m/>
    <m/>
    <m/>
    <e v="#N/A"/>
    <d v="2021-07-25T00:00:00"/>
    <s v="需二審"/>
    <d v="2021-12-20T00:00:00"/>
    <d v="2021-12-20T00:00:00"/>
    <d v="2021-12-20T00:00:00"/>
    <m/>
    <m/>
    <m/>
    <s v="李珮君(張淑遠)"/>
    <m/>
    <m/>
    <m/>
    <d v="2021-07-19T00:00:00"/>
    <s v="6-31"/>
    <s v="放款業績工作日維護"/>
    <s v="L6752"/>
  </r>
  <r>
    <m/>
    <m/>
    <x v="2"/>
    <s v="6-4作業控管維護"/>
    <s v="L6041"/>
    <s v="使用者資料查詢"/>
    <m/>
    <s v="張金龍"/>
    <s v="楊智誠"/>
    <s v="PJ201800012_URS_6共同作業_V1.11.docx"/>
    <x v="27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m/>
    <s v="新交易"/>
    <m/>
    <s v="L6041"/>
  </r>
  <r>
    <m/>
    <m/>
    <x v="2"/>
    <s v="6-4作業控管維護"/>
    <s v="L6401"/>
    <s v="使用者資料維護"/>
    <m/>
    <s v="張金龍"/>
    <s v="楊智誠"/>
    <s v="PJ201800012_URS_6共同作業_V1.11.docx"/>
    <x v="27"/>
    <d v="2021-11-20T00:00:00"/>
    <d v="2021-12-03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s v="2021/12/20、12/14"/>
    <m/>
    <m/>
    <m/>
    <s v="陳政皓"/>
    <m/>
    <m/>
    <m/>
    <m/>
    <s v="新交易"/>
    <m/>
    <s v="L6401"/>
  </r>
  <r>
    <m/>
    <m/>
    <x v="2"/>
    <s v="6-4作業控管維護"/>
    <s v="L6943"/>
    <s v="使用者交易權限查詢"/>
    <s v="審後新增2021/12/20"/>
    <s v="張金龍"/>
    <s v="楊智誠"/>
    <s v="PJ201800012_URS_6共同作業_V1.11.docx"/>
    <x v="27"/>
    <d v="2021-11-20T00:00:00"/>
    <d v="2021-12-03T00:00:00"/>
    <s v="涂宇欣"/>
    <s v="陳政皓"/>
    <m/>
    <m/>
    <m/>
    <m/>
    <m/>
    <m/>
    <m/>
    <m/>
    <s v="放款服務課"/>
    <d v="2021-12-03T00:00:00"/>
    <s v="審後新增"/>
    <s v="2021/12/14am"/>
    <d v="2021-12-14T00:00:00"/>
    <d v="2021-12-20T00:00:00"/>
    <m/>
    <m/>
    <m/>
    <s v="陳政皓"/>
    <m/>
    <m/>
    <m/>
    <m/>
    <s v="新交易"/>
    <e v="#N/A"/>
    <e v="#N/A"/>
  </r>
  <r>
    <m/>
    <m/>
    <x v="2"/>
    <s v="6-1控制類"/>
    <s v="L6104"/>
    <s v="代理人設定"/>
    <m/>
    <s v="張金龍"/>
    <s v="楊智誠"/>
    <s v="PJ201800012_URS_6共同作業_V1.11.docx"/>
    <x v="27"/>
    <d v="2021-11-29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s v="陳政皓"/>
    <m/>
    <m/>
    <m/>
    <m/>
    <s v="新交易"/>
    <m/>
    <e v="#N/A"/>
  </r>
  <r>
    <m/>
    <m/>
    <x v="2"/>
    <s v="6-4作業控管維護"/>
    <s v="L6044"/>
    <s v="主管授權紀錄查詢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s v="2021/12/20、12/14"/>
    <m/>
    <m/>
    <m/>
    <s v="蔡珮瑜"/>
    <m/>
    <m/>
    <m/>
    <m/>
    <s v="新交易"/>
    <m/>
    <e v="#N/A"/>
  </r>
  <r>
    <m/>
    <m/>
    <x v="2"/>
    <s v="6-4作業控管維護"/>
    <s v="L6932"/>
    <s v="資料變更交易查詢"/>
    <m/>
    <s v="賴文育"/>
    <s v="楊智誠"/>
    <s v="PJ201800012_URS_6共同作業_V1.9"/>
    <x v="27"/>
    <d v="2021-11-29T00:00:00"/>
    <d v="2021-12-08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陳政皓"/>
    <m/>
    <m/>
    <m/>
    <m/>
    <s v="新交易"/>
    <m/>
    <e v="#N/A"/>
  </r>
  <r>
    <m/>
    <m/>
    <x v="2"/>
    <s v="6-4作業控管維護"/>
    <s v="L6933"/>
    <s v="資料變更明細查詢"/>
    <s v="審後新增2021/11/29"/>
    <s v="賴文育"/>
    <s v="楊智誠"/>
    <s v="PJ201800012_URS_6共同作業_V1.9"/>
    <x v="27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s v="陳政皓"/>
    <m/>
    <m/>
    <m/>
    <m/>
    <s v="新交易"/>
    <m/>
    <e v="#N/A"/>
  </r>
  <r>
    <m/>
    <m/>
    <x v="2"/>
    <s v="6-4作業控管維護"/>
    <s v="L6934"/>
    <s v="資料變更內容查詢"/>
    <s v="審後新增2021/11/29"/>
    <s v="賴文育"/>
    <s v="楊智誠"/>
    <s v="PJ201800012_URS_6共同作業_V1.11.docx"/>
    <x v="27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s v="陳政皓"/>
    <m/>
    <m/>
    <m/>
    <m/>
    <s v="新交易"/>
    <m/>
    <e v="#N/A"/>
  </r>
  <r>
    <m/>
    <m/>
    <x v="2"/>
    <s v="6-7其他基本資料維護"/>
    <s v="L6754"/>
    <s v="業績件數及金額核算標準設定"/>
    <m/>
    <s v="賴文育"/>
    <s v="楊智誠"/>
    <s v="PJ201800012_URS_6共同作業_V1.11.docx"/>
    <x v="30"/>
    <d v="2021-07-21T00:00:00"/>
    <d v="2021-07-25T00:00:00"/>
    <s v="涂宇欣"/>
    <s v="陳政皓"/>
    <m/>
    <m/>
    <m/>
    <m/>
    <m/>
    <m/>
    <m/>
    <m/>
    <s v="放款服務課"/>
    <d v="2021-07-25T00:00:00"/>
    <s v="需二審"/>
    <d v="2021-12-14T00:00:00"/>
    <d v="2021-12-14T00:00:00"/>
    <d v="2021-12-20T00:00:00"/>
    <m/>
    <m/>
    <m/>
    <s v="陳政皓"/>
    <m/>
    <m/>
    <m/>
    <d v="2021-07-21T00:00:00"/>
    <s v="新交易"/>
    <m/>
    <s v="L6754"/>
  </r>
  <r>
    <m/>
    <m/>
    <x v="2"/>
    <s v="6-7其他基本資料維護"/>
    <s v="L6755"/>
    <s v="單位及主管代號維護"/>
    <m/>
    <s v="賴文育"/>
    <s v="楊智誠"/>
    <s v="PJ201800012_URS_6共同作業_V1.11.docx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m/>
    <s v="6-29"/>
    <s v="單位主管代碼檔維護"/>
    <s v="L6755"/>
  </r>
  <r>
    <m/>
    <m/>
    <x v="2"/>
    <s v="6-1控制類"/>
    <s v="L6103"/>
    <s v="報表查詢作業申請    "/>
    <m/>
    <s v="賴文育"/>
    <s v="楊智誠"/>
    <s v="PJ201800012_URS_6共同作業_V1.11.docx"/>
    <x v="27"/>
    <d v="2021-12-03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s v="陳政皓"/>
    <m/>
    <m/>
    <m/>
    <m/>
    <s v="新交易"/>
    <m/>
    <e v="#N/A"/>
  </r>
  <r>
    <m/>
    <m/>
    <x v="7"/>
    <s v="8-3債協報送作業"/>
    <s v="L8030"/>
    <s v="消債條列JCIC報送資料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s v="L8030"/>
  </r>
  <r>
    <m/>
    <m/>
    <x v="7"/>
    <s v="8-3債協報送作業"/>
    <s v="L8031"/>
    <s v="消債條列JCIC報送資料歷程查詢(040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32"/>
    <s v="消債條列JCIC報送資料歷程查詢(041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32"/>
  </r>
  <r>
    <m/>
    <m/>
    <x v="7"/>
    <s v="8-3債協報送作業"/>
    <s v="L8033"/>
    <s v="消債條列JCIC報送資料歷程查詢(042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34"/>
    <s v="消債條列JCIC報送資料歷程查詢(043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35"/>
    <s v="消債條列JCIC報送資料歷程查詢(044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36"/>
    <s v="消債條列JCIC報送資料歷程查詢(045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37"/>
    <s v="消債條列JCIC報送資料歷程查詢(046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38"/>
    <s v="消債條列JCIC報送資料歷程查詢(047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38"/>
  </r>
  <r>
    <m/>
    <m/>
    <x v="7"/>
    <s v="8-3債協報送作業"/>
    <s v="L8039"/>
    <s v="消債條列JCIC報送資料歷程查詢(048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39"/>
  </r>
  <r>
    <m/>
    <m/>
    <x v="7"/>
    <s v="8-3債協報送作業"/>
    <s v="L8040"/>
    <s v="消債條列JCIC報送資料歷程查詢(049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1"/>
    <s v="消債條列JCIC報送資料歷程查詢(050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2"/>
    <s v="消債條列JCIC報送資料歷程查詢(051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3"/>
    <s v="消債條列JCIC報送資料歷程查詢(052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4"/>
    <s v="消債條列JCIC報送資料歷程查詢(053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5"/>
    <s v="消債條列JCIC報送資料歷程查詢(054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6"/>
    <s v="消債條列JCIC報送資料歷程查詢(055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7"/>
    <s v="消債條列JCIC報送資料歷程查詢(056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8"/>
    <s v="消債條列JCIC報送資料歷程查詢(060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9"/>
    <s v="消債條列JCIC報送資料歷程查詢(061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0"/>
    <s v="消債條列JCIC報送資料歷程查詢(062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1"/>
    <s v="消債條列JCIC報送資料歷程查詢(063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2"/>
    <s v="消債條列JCIC報送資料歷程查詢(44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3"/>
    <s v="消債條列JCIC報送資料歷程查詢(442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4"/>
    <s v="消債條列JCIC報送資料歷程查詢(443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5"/>
    <s v="消債條列JCIC報送資料歷程查詢(44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6"/>
    <s v="消債條列JCIC報送資料歷程查詢(446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7"/>
    <s v="消債條列JCIC報送資料歷程查詢(447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8"/>
    <s v="消債條列JCIC報送資料歷程查詢(448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9"/>
    <s v="消債條列JCIC報送資料歷程查詢(45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60"/>
    <s v="消債條列JCIC報送資料歷程查詢(451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61"/>
    <s v="消債條列JCIC報送資料歷程查詢(45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62"/>
    <s v="消債條列JCIC報送資料歷程查詢(570)"/>
    <s v="新增2021/10/21"/>
    <s v="張金龍"/>
    <s v="張嘉榮"/>
    <s v="PJ201800012_URS_8遵循法令作業_債協報送_V1.0.docx"/>
    <x v="5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62"/>
  </r>
  <r>
    <m/>
    <m/>
    <x v="7"/>
    <s v="8-3債協報送作業"/>
    <s v="L8063"/>
    <s v="消債條列JCIC報送資料歷程查詢(571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64"/>
    <s v="消債條列JCIC報送資料歷程查詢(572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65"/>
    <s v="消債條列JCIC報送資料歷程查詢(573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66"/>
    <s v="消債條列JCIC報送資料歷程查詢(574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67"/>
    <s v="消債條列JCIC報送資料歷程查詢(575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301"/>
    <s v="(40)前置協商受理申請暨請求回報償權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2"/>
    <s v="(41)協商開始暨停催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3"/>
    <s v="(42)回報無擔保債權金額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4"/>
    <s v="(43)回報有擔保債權金額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5"/>
    <s v="(44)請求同意債務清償方案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6"/>
    <s v="(45)回報是否同意債務清償方案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7"/>
    <s v="(46)結案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8"/>
    <s v="(47)金融機構無擔保債務協議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9"/>
    <s v="(48)債務人基本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0"/>
    <s v="(49)債務清償方案法院認可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1"/>
    <s v="(50)債務人繳款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2"/>
    <s v="(51)延期繳款（喘息期）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3"/>
    <s v="(52)前置協商相關資料報送例外處理檔案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4"/>
    <s v="(53)同意報送例外處理檔案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5"/>
    <s v="(54)單獨全數受清償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6"/>
    <s v="(55)更生案件通報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7"/>
    <s v="(56)清算案件通報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8"/>
    <s v="(60)前置協商受理變更還款條件申請暨請求回報剩餘債權通知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9"/>
    <s v="(61)回報協商剩餘債權金額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0"/>
    <s v="(62)金融機構無擔保債務變更還款條件協議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1"/>
    <s v="(63)變更還款方案結案通知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2"/>
    <s v="(440)前置調解受理申請暨請求回報債權通知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3"/>
    <s v="(442)前置調解回報無擔保債權金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4"/>
    <s v="(443)前置調解回報有擔保債權金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5"/>
    <s v="(444)前置調解債務人基本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6"/>
    <s v="(446)前置調解結案通知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7"/>
    <s v="(447)前置調解金融機構無擔保債務協議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8"/>
    <s v="(448)前置調解無擔保債務還款分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9"/>
    <s v="(450)前置調解債務人繳款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30"/>
    <s v="(451)前置調解延期繳款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31"/>
    <s v="(454)前置調解單獨全數受清償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32"/>
    <s v="(570)受理更生款項統一收付通知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33"/>
    <s v="(571)更生款項統一收付回報債權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34"/>
    <s v="(572)更生款項統一收款及撥付款項分配表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35"/>
    <s v="(573)債務人繳款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36"/>
    <s v="(574)更生款項統一收付結案通知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s v="L8336"/>
  </r>
  <r>
    <m/>
    <m/>
    <x v="7"/>
    <s v="8-3債協報送作業"/>
    <s v="L8337"/>
    <s v="(575)債權金額異動通知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403"/>
    <s v="JCIC檔案匯出作業(040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04"/>
    <s v="JCIC檔案匯出作業(041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05"/>
    <s v="JCIC檔案匯出作業(042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06"/>
    <s v="JCIC檔案匯出作業(043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07"/>
    <s v="JCIC檔案匯出作業(044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08"/>
    <s v="JCIC檔案匯出作業(045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09"/>
    <s v="JCIC檔案匯出作業(046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0"/>
    <s v="JCIC檔案匯出作業(047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1"/>
    <s v="JCIC檔案匯出作業(048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2"/>
    <s v="JCIC檔案匯出作業(049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3"/>
    <s v="JCIC檔案匯出作業(050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4"/>
    <s v="JCIC檔案匯出作業(051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5"/>
    <s v="JCIC檔案匯出作業(052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6"/>
    <s v="JCIC檔案匯出作業(053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7"/>
    <s v="JCIC檔案匯出作業(054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8"/>
    <s v="JCIC檔案匯出作業(055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9"/>
    <s v="JCIC檔案匯出作業(056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0"/>
    <s v="JCIC檔案匯出作業(060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1"/>
    <s v="JCIC檔案匯出作業(061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2"/>
    <s v="JCIC檔案匯出作業(062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3"/>
    <s v="JCIC檔案匯出作業(063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4"/>
    <s v="JCIC檔案匯出作業(44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5"/>
    <s v="JCIC檔案匯出作業(442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6"/>
    <s v="JCIC檔案匯出作業(443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7"/>
    <s v="JCIC檔案匯出作業(44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8"/>
    <s v="JCIC檔案匯出作業(446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9"/>
    <s v="JCIC檔案匯出作業(447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0"/>
    <s v="JCIC檔案匯出作業(448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1"/>
    <s v="JCIC檔案匯出作業(45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2"/>
    <s v="JCIC檔案匯出作業(451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3"/>
    <s v="JCIC檔案匯出作業(45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4"/>
    <s v="JCIC檔案匯出作業(570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5"/>
    <s v="JCIC檔案匯出作業(571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6"/>
    <s v="JCIC檔案匯出作業(572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7"/>
    <s v="JCIC檔案匯出作業(573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8"/>
    <s v="JCIC檔案匯出作業(574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9"/>
    <s v="JCIC檔案匯出作業(575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5聯徵產品報送"/>
    <s v="L8950"/>
    <s v="MU1人員名冊查詢"/>
    <s v="新增2021/10/26"/>
    <s v="張金龍"/>
    <s v="張嘉榮"/>
    <s v="PJ201800012_URS_8遵循法令作業_V1.3"/>
    <x v="47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s v="程慧娟"/>
    <m/>
    <m/>
    <m/>
    <m/>
    <s v="催收及債協系統"/>
    <s v="JCIC-&gt;聯徵產品查詢"/>
    <e v="#N/A"/>
  </r>
  <r>
    <m/>
    <m/>
    <x v="7"/>
    <s v="8-5聯徵產品報送"/>
    <s v="L8350"/>
    <s v="MU1人員名冊報送"/>
    <s v="新增2021/10/26"/>
    <s v="張金龍"/>
    <s v="張嘉榮"/>
    <s v="PJ201800012_URS_8遵循法令作業_V1.3"/>
    <x v="47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s v="程慧娟"/>
    <m/>
    <m/>
    <m/>
    <m/>
    <s v="催收及債協系統"/>
    <s v="JCIC-&gt;聯徵產品查詢"/>
    <e v="#N/A"/>
  </r>
  <r>
    <m/>
    <m/>
    <x v="7"/>
    <s v="8-5聯徵產品報送"/>
    <s v="L8351"/>
    <s v="聯徵產品檔案匯出作業"/>
    <s v="新增2021/10/26"/>
    <s v="張金龍"/>
    <s v="張嘉榮"/>
    <s v="PJ201800012_URS_8遵循法令作業_V1.3"/>
    <x v="47"/>
    <d v="2021-11-25T00:00:00"/>
    <d v="2021-12-03T00:00:00"/>
    <s v="林清河"/>
    <s v="邱怡婷"/>
    <s v="程慧娟"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s v="邱怡婷"/>
    <m/>
    <m/>
    <m/>
    <m/>
    <s v="催收及債協系統"/>
    <s v="JCIC-&gt;聯徵產品檔案匯出作業"/>
    <e v="#N/A"/>
  </r>
  <r>
    <m/>
    <m/>
    <x v="7"/>
    <s v="8-4JCIC放款報送"/>
    <s v="L8401"/>
    <s v="產生JCIC日報媒體檔"/>
    <s v="新增2021/11/17，B204 聯徵授信餘額日報檔、B211 聯徵每日授信餘額變動資料檔"/>
    <s v="蘇曉玲"/>
    <s v="蘇曉玲"/>
    <s v="PJ201800012_URS_8遵循法令作業_V1.3"/>
    <x v="47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d v="2021-12-14T00:00:00"/>
    <m/>
    <m/>
    <m/>
    <s v="鄧雪美"/>
    <m/>
    <m/>
    <m/>
    <m/>
    <s v="4-80_x000a_"/>
    <s v=" 每日新增授信及清償資料    _x000a_ 每日新增授信明細表        _x000a_ 每日新增清償明細表（撥款）_x000a_ 每日授信餘額變動資料      "/>
    <s v="L8401"/>
  </r>
  <r>
    <m/>
    <m/>
    <x v="7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V1.3"/>
    <x v="47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d v="2021-12-14T00:00:00"/>
    <m/>
    <m/>
    <m/>
    <s v="鄧雪美"/>
    <m/>
    <m/>
    <m/>
    <m/>
    <s v="4-79"/>
    <s v=" 帳號轉換資料０８５檔        _x000a_ 正常件月報資料              _x000a_ 催收件月報資料              _x000a_ 呆帳件月報資料              _x000a_ 結案件月報資料              _x000a_ 額度資料媒體檔              _x000a_ 當月結案件新增到額度檔      _x000a_ 授信戶基本資料媒體檔        _x000a_ 擔保品關聯檔                _x000a_ 合併各月報資料 --&gt; B201 檔  _x000a_ JCIC 授信額度檔檢核作業     _x000a_ JCIC 授信餘額月報檔檢核作業 _x000a_ JCIC B680 檔產生作業"/>
    <s v="L8402"/>
  </r>
  <r>
    <m/>
    <m/>
    <x v="8"/>
    <s v="7-2IFRS9作業"/>
    <s v="L7022"/>
    <s v="違約損失率檔查詢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s v="張舜雯"/>
    <m/>
    <m/>
    <m/>
    <m/>
    <s v="5-15-6_x000a_5-16-6"/>
    <s v="違約損失率維護"/>
    <e v="#N/A"/>
  </r>
  <r>
    <m/>
    <m/>
    <x v="8"/>
    <s v="7-2IFRS9作業"/>
    <s v="L7202"/>
    <s v="違約損失率登錄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s v="張舜雯"/>
    <m/>
    <m/>
    <m/>
    <m/>
    <s v="5-15-6_x000a_5-16-6"/>
    <s v="違約損失率維護"/>
    <s v="L7202"/>
  </r>
  <r>
    <m/>
    <m/>
    <x v="8"/>
    <s v="7-2IFRS9作業"/>
    <s v="L7903"/>
    <s v="商品分類資料查詢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s v="張舜雯"/>
    <m/>
    <m/>
    <m/>
    <m/>
    <s v="5-15-2_x000a_5-16-2"/>
    <s v="商品分類資料設定"/>
    <e v="#N/A"/>
  </r>
  <r>
    <m/>
    <m/>
    <x v="8"/>
    <s v="7-2IFRS9作業"/>
    <s v="L7210"/>
    <s v="商品分類資料維護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s v="張舜雯"/>
    <m/>
    <m/>
    <m/>
    <m/>
    <s v="5-15-2_x000a_5-16-2"/>
    <s v="商品分類資料設定"/>
    <s v="L7210"/>
  </r>
  <r>
    <m/>
    <m/>
    <x v="8"/>
    <s v="7-2IFRS9作業"/>
    <s v="L7904"/>
    <s v="特殊客觀減損狀況查詢"/>
    <s v="新增2021/11/17"/>
    <s v="蘇曉玲"/>
    <s v="蘇曉玲"/>
    <s v="PJ201800012_URS_7介接外部系統_V1.8.docx"/>
    <x v="56"/>
    <d v="2021-11-30T00:00:00"/>
    <d v="2021-12-03T00:00:00"/>
    <s v="林清河"/>
    <s v="張舜雯"/>
    <m/>
    <m/>
    <m/>
    <m/>
    <m/>
    <m/>
    <m/>
    <m/>
    <s v="放款管理課"/>
    <d v="2021-12-03T00:00:00"/>
    <s v="需二審"/>
    <d v="2021-12-16T00:00:00"/>
    <d v="2021-12-16T00:00:00"/>
    <d v="2021-12-16T00:00:00"/>
    <m/>
    <m/>
    <m/>
    <s v="張舜雯"/>
    <m/>
    <m/>
    <m/>
    <m/>
    <s v="5-15-3_x000a_5-16-3"/>
    <s v="特殊客觀減損狀況資料維護"/>
    <s v="L7904"/>
  </r>
  <r>
    <m/>
    <m/>
    <x v="8"/>
    <s v="7-2IFRS9作業"/>
    <s v="L7204"/>
    <s v="特殊客觀減損狀況維護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s v="張舜雯"/>
    <m/>
    <m/>
    <m/>
    <m/>
    <s v="5-15-3_x000a_5-16-3"/>
    <s v="特殊客觀減損狀況資料維護"/>
    <s v="L7204"/>
  </r>
  <r>
    <m/>
    <m/>
    <x v="8"/>
    <s v="7-2IFRS9作業"/>
    <s v="L7203"/>
    <s v="利息法帳面資料上傳作業"/>
    <s v="新增2021/11/17"/>
    <s v="蘇曉玲"/>
    <s v="蘇曉玲"/>
    <s v="PJ201800012_URS_7介接外部系統_V1.8.docx"/>
    <x v="56"/>
    <d v="2021-11-30T00:00:00"/>
    <d v="2021-12-03T00:00:00"/>
    <s v="林清河"/>
    <s v="蔡珮瑜"/>
    <s v="蔡珮瑜"/>
    <m/>
    <m/>
    <m/>
    <m/>
    <m/>
    <m/>
    <m/>
    <s v="放款服務課"/>
    <d v="2021-12-03T00:00:00"/>
    <s v="需二審"/>
    <d v="2021-12-16T00:00:00"/>
    <d v="2021-12-16T00:00:00"/>
    <d v="2021-12-16T00:00:00"/>
    <m/>
    <m/>
    <m/>
    <s v="蔡珮瑜"/>
    <m/>
    <m/>
    <m/>
    <m/>
    <s v="5-15-13_x000a_5-16-13"/>
    <s v="利息法帳面資料上傳作業"/>
    <s v="L7203"/>
  </r>
  <r>
    <m/>
    <m/>
    <x v="8"/>
    <s v="7-2IFRS9作業"/>
    <s v="L7901"/>
    <s v="３４號公報欄位清單產生作業"/>
    <s v="新增2021/11/17"/>
    <s v="蘇曉玲"/>
    <s v="蘇曉玲"/>
    <s v="PJ201800012_URS_7介接外部系統_V1.8.docx"/>
    <x v="56"/>
    <d v="2021-11-30T00:00:00"/>
    <d v="2021-12-03T00:00:00"/>
    <s v="林清河"/>
    <s v="張舜雯"/>
    <s v="蔡珮瑜"/>
    <m/>
    <m/>
    <m/>
    <m/>
    <m/>
    <m/>
    <m/>
    <s v="放款管理課"/>
    <d v="2021-12-03T00:00:00"/>
    <s v="需二審"/>
    <d v="2021-12-16T00:00:00"/>
    <d v="2021-12-16T00:00:00"/>
    <d v="2021-12-16T00:00:00"/>
    <m/>
    <m/>
    <m/>
    <s v="張舜雯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s v="L7901"/>
  </r>
  <r>
    <d v="2021-12-31T00:00:00"/>
    <m/>
    <x v="8"/>
    <s v="7-2IFRS9作業"/>
    <s v="L7902"/>
    <s v="ＩＦＲＳ９欄位清單產生作業"/>
    <s v="新增2021/11/17"/>
    <s v="蘇曉玲"/>
    <s v="蘇曉玲"/>
    <s v="PJ201800012_URS_7介接外部系統_V1.8.docx"/>
    <x v="56"/>
    <d v="2021-11-30T00:00:00"/>
    <d v="2021-12-16T00:00:00"/>
    <s v="林清河"/>
    <s v="蔡珮瑜"/>
    <s v="張舜雯"/>
    <m/>
    <m/>
    <m/>
    <m/>
    <m/>
    <m/>
    <m/>
    <s v="放款服務課"/>
    <d v="2021-12-16T00:00:00"/>
    <s v="需二審"/>
    <d v="2021-12-16T00:00:00"/>
    <d v="2021-12-16T00:00:00"/>
    <d v="2021-12-16T00:00:00"/>
    <m/>
    <m/>
    <m/>
    <s v="蔡珮瑜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s v="L7902"/>
  </r>
  <r>
    <m/>
    <m/>
    <x v="8"/>
    <s v="7-1E-Loan"/>
    <s v="L7913"/>
    <s v="(eloan)評級資訊查詢"/>
    <s v="新增2021/11/18"/>
    <s v="張金龍"/>
    <s v="陳昱衡"/>
    <s v="PJ201800012_URS_7介接外部系統_V1.6(eLoan)"/>
    <x v="47"/>
    <d v="2021-11-26T00:00:00"/>
    <d v="2021-12-06T00:00:00"/>
    <s v="吳承憲"/>
    <s v="施美娟"/>
    <m/>
    <m/>
    <m/>
    <m/>
    <m/>
    <m/>
    <m/>
    <m/>
    <s v="放款審查課"/>
    <d v="2021-12-03T00:00:00"/>
    <s v="無調整"/>
    <d v="2021-11-24T00:00:00"/>
    <d v="2021-11-26T00:00:00"/>
    <d v="2021-12-14T00:00:00"/>
    <m/>
    <m/>
    <m/>
    <s v="施美娟"/>
    <m/>
    <m/>
    <m/>
    <m/>
    <s v="新交易"/>
    <m/>
    <e v="#N/A"/>
  </r>
  <r>
    <m/>
    <m/>
    <x v="9"/>
    <s v="LC.共同作業"/>
    <s v="LC001"/>
    <s v="訂正資料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</r>
  <r>
    <m/>
    <m/>
    <x v="9"/>
    <s v="LC.共同作業"/>
    <s v="LC002"/>
    <s v="修正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</r>
  <r>
    <m/>
    <m/>
    <x v="9"/>
    <s v="LC.共同作業"/>
    <s v="LC003"/>
    <s v="放行資料查詢"/>
    <s v="新增2021/11/29(主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s v="陳政皓"/>
    <m/>
    <m/>
    <m/>
    <m/>
    <s v="新交易"/>
    <m/>
    <s v="LC003"/>
  </r>
  <r>
    <m/>
    <m/>
    <x v="9"/>
    <s v="LC.共同作業"/>
    <s v="LC004"/>
    <s v="審核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</r>
  <r>
    <m/>
    <m/>
    <x v="9"/>
    <s v="LC.共同作業"/>
    <s v="LC005"/>
    <s v="登錄提交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</r>
  <r>
    <m/>
    <m/>
    <x v="9"/>
    <s v="LC.共同作業"/>
    <s v="LC009"/>
    <s v="報表及檔案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s v="陳政皓"/>
    <m/>
    <m/>
    <m/>
    <m/>
    <s v="新交易"/>
    <m/>
    <s v="LC009"/>
  </r>
  <r>
    <m/>
    <m/>
    <x v="9"/>
    <s v="LC.共同作業"/>
    <s v="LC010"/>
    <s v="鎖定戶號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</r>
  <r>
    <m/>
    <m/>
    <x v="9"/>
    <s v="LC.共同作業"/>
    <s v="LC011"/>
    <s v="交易明細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s v="陳政皓"/>
    <m/>
    <m/>
    <m/>
    <m/>
    <s v="新交易"/>
    <m/>
    <s v="LC011"/>
  </r>
  <r>
    <m/>
    <m/>
    <x v="9"/>
    <s v="LC.共同作業"/>
    <s v="LC109"/>
    <s v="報表簽核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</r>
  <r>
    <m/>
    <m/>
    <x v="9"/>
    <s v="LC.共同作業"/>
    <s v="LC110"/>
    <s v="解除戶號鎖定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</r>
  <r>
    <m/>
    <m/>
    <x v="9"/>
    <s v="LC.共同作業"/>
    <s v="LC014"/>
    <s v="上傳附件查詢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</r>
  <r>
    <m/>
    <m/>
    <x v="9"/>
    <s v="LC.共同作業"/>
    <s v="LC104"/>
    <s v="上傳附件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52">
  <r>
    <m/>
    <n v="1"/>
    <x v="0"/>
    <s v="1-1顧客基本資料"/>
    <s v="L1001"/>
    <s v="顧客明細資料查詢"/>
    <m/>
    <s v="張金龍"/>
    <s v="張嘉榮"/>
    <s v="PJ201800012_URS_1顧客管理作業_V1.43.docx"/>
    <x v="0"/>
    <d v="2021-07-22T00:00:00"/>
    <d v="2021-07-22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1/12/24(1.43)、11/15(1.42)、10/15(1.41)、10/1(1.4)"/>
    <s v="李珮琪"/>
    <d v="2021-10-14T17:13:00"/>
    <d v="2021-10-18T17:54:00"/>
    <s v="李珮君"/>
    <m/>
    <m/>
    <m/>
    <d v="2021-07-26T00:00:00"/>
    <n v="1"/>
    <s v="顧客管理作業"/>
    <s v="L1001"/>
    <x v="0"/>
  </r>
  <r>
    <m/>
    <n v="1"/>
    <x v="0"/>
    <s v="1-1顧客基本資料"/>
    <s v="L1101"/>
    <s v="顧客基本資料維護-自然人"/>
    <m/>
    <s v="張金龍"/>
    <s v="張嘉榮"/>
    <s v="PJ201800012_URS_1顧客管理作業_V1.43.docx"/>
    <x v="0"/>
    <d v="2021-07-22T00:00:00"/>
    <d v="2021-09-17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1/12/24(1.43)、11/15(1.42)、10/1(1.4)"/>
    <s v="涂宇欣"/>
    <d v="2021-10-13T09:24:00"/>
    <d v="2021-10-18T17:54:00"/>
    <s v="李珮君"/>
    <m/>
    <m/>
    <m/>
    <d v="2021-07-26T00:00:00"/>
    <s v="1-1"/>
    <s v="顧客基本資料維護(新增)"/>
    <s v="L1101"/>
    <x v="0"/>
  </r>
  <r>
    <m/>
    <n v="1"/>
    <x v="0"/>
    <s v="1-1顧客基本資料"/>
    <s v="L1102"/>
    <s v="顧客基本資料維護-法人"/>
    <m/>
    <s v="張金龍"/>
    <s v="張嘉榮"/>
    <s v="PJ201800012_URS_1顧客管理作業_V1.43.docx"/>
    <x v="1"/>
    <d v="2021-07-26T00:00:00"/>
    <d v="2021-09-21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s v="2021/12/24(1.43)、11/15(1.42)、2021/10/1"/>
    <s v="林清河"/>
    <s v="2021/10/13 09:24:00 AM 涂宇欣_x000a_2021/10/14  01:34:00 PM 林清河"/>
    <d v="2021-10-18T17:54:00"/>
    <s v="陳俞辛"/>
    <m/>
    <m/>
    <m/>
    <m/>
    <s v="1-1"/>
    <s v="顧客基本資料維護(新增)"/>
    <s v="L1102"/>
    <x v="0"/>
  </r>
  <r>
    <m/>
    <n v="1"/>
    <x v="0"/>
    <s v="1-1顧客基本資料"/>
    <s v="L1103"/>
    <s v="顧客基本資料修改-自然人"/>
    <m/>
    <s v="張金龍"/>
    <s v="張嘉榮"/>
    <s v="PJ201800012_URS_1顧客管理作業_V1.43.docx"/>
    <x v="0"/>
    <d v="2021-07-22T00:00:00"/>
    <d v="2021-09-30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1/12/24(1.43)、11/15(1.42)、2021/10/1"/>
    <s v="涂宇欣"/>
    <d v="2021-10-13T09:24:00"/>
    <d v="2021-10-18T17:54:00"/>
    <s v="李珮君"/>
    <m/>
    <m/>
    <m/>
    <m/>
    <s v="1-2"/>
    <s v="顧客基本資料維護(修改)"/>
    <s v="L1103"/>
    <x v="0"/>
  </r>
  <r>
    <m/>
    <n v="1"/>
    <x v="0"/>
    <s v="1-1顧客基本資料"/>
    <s v="L1104"/>
    <s v="顧客基本資料修改-法人"/>
    <m/>
    <s v="張金龍"/>
    <s v="張嘉榮"/>
    <s v="PJ201800012_URS_1顧客管理作業_V1.43.docx"/>
    <x v="1"/>
    <d v="2021-07-26T00:00:00"/>
    <d v="2021-09-17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s v="2021/12/24(1.43)、2021/10/1"/>
    <s v="涂宇欣"/>
    <d v="2021-10-13T09:24:00"/>
    <d v="2021-10-18T17:54:00"/>
    <s v="陳俞辛"/>
    <m/>
    <m/>
    <m/>
    <m/>
    <s v="1-2"/>
    <s v="顧客基本資料維護(修改)"/>
    <s v="L1104"/>
    <x v="0"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x v="2"/>
    <d v="2021-09-22T00:00:00"/>
    <d v="2021-11-15T00:00:00"/>
    <s v="吳承憲"/>
    <s v="蔡珮瑜"/>
    <m/>
    <m/>
    <m/>
    <m/>
    <m/>
    <m/>
    <m/>
    <m/>
    <s v="放款服務課"/>
    <d v="2021-11-15T00:00:00"/>
    <d v="2021-09-24T00:00:00"/>
    <d v="2021-09-22T00:00:00"/>
    <d v="2021-09-22T00:00:00"/>
    <d v="2021-11-15T00:00:00"/>
    <s v="吳承憲"/>
    <d v="2021-10-14T17:13:00"/>
    <d v="2021-10-18T17:54:00"/>
    <s v="蔡珮瑜"/>
    <m/>
    <m/>
    <m/>
    <m/>
    <s v="CUSP01 CU190"/>
    <s v="開放查詢變更"/>
    <e v="#N/A"/>
    <x v="1"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x v="2"/>
    <d v="2021-09-22T00:00:00"/>
    <d v="2021-10-20T00:00:00"/>
    <s v="吳承憲"/>
    <s v="李珮君"/>
    <s v="陳俞辛"/>
    <m/>
    <m/>
    <m/>
    <m/>
    <m/>
    <m/>
    <m/>
    <s v="放款推展課"/>
    <d v="2021-10-01T00:00:00"/>
    <d v="2021-09-24T00:00:00"/>
    <d v="2021-09-22T00:00:00"/>
    <d v="2021-09-22T00:00:00"/>
    <s v="11/15(1.42)、2021/10/1"/>
    <s v="李珮琪"/>
    <d v="2021-10-14T17:13:00"/>
    <d v="2021-10-18T17:54:00"/>
    <s v="李珮君"/>
    <m/>
    <m/>
    <m/>
    <m/>
    <s v="1-E"/>
    <s v="顧客基本資料維護(編號變更)"/>
    <e v="#N/A"/>
    <x v="2"/>
  </r>
  <r>
    <m/>
    <n v="1"/>
    <x v="0"/>
    <s v="1-1顧客基本資料"/>
    <s v="L1905"/>
    <s v="顧客聯絡電話查詢"/>
    <m/>
    <s v="張金龍"/>
    <s v="張嘉榮"/>
    <s v="PJ201800012_URS_1顧客管理作業_V1.42.docx"/>
    <x v="0"/>
    <d v="2021-07-22T00:00:00"/>
    <d v="2021-07-22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s v="2021/11/15(1.42)、10/1(1.4)"/>
    <s v="涂宇欣"/>
    <d v="2021-10-13T09:24:00"/>
    <d v="2021-10-18T17:54:00"/>
    <s v="陳俞辛"/>
    <m/>
    <m/>
    <m/>
    <d v="2021-10-22T00:00:00"/>
    <m/>
    <s v="1-1欄位拆出新交易"/>
    <s v="L1905"/>
    <x v="0"/>
  </r>
  <r>
    <m/>
    <n v="1"/>
    <x v="0"/>
    <s v="1-1顧客基本資料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s v="11/15(1.42)、2021/10/1"/>
    <s v="涂宇欣"/>
    <d v="2021-10-13T09:24:00"/>
    <d v="2021-10-18T17:54:00"/>
    <s v="陳俞辛"/>
    <m/>
    <m/>
    <m/>
    <m/>
    <m/>
    <s v="1-1欄位拆出新交易"/>
    <s v="L1105"/>
    <x v="0"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s v="11/15(1.42)、2021/10/1"/>
    <s v="李珮琪"/>
    <d v="2021-10-14T17:13:00"/>
    <d v="2021-10-18T17:54:00"/>
    <s v="陳政皓"/>
    <m/>
    <m/>
    <m/>
    <m/>
    <s v="5-22-04"/>
    <s v="申請不列印書面通知書控管報表"/>
    <s v="L1908"/>
    <x v="0"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s v="11/15(1.42)、2021/10/1"/>
    <s v="李珮琪"/>
    <d v="2021-10-14T17:13:00"/>
    <d v="2021-10-18T17:54:00"/>
    <s v="陳政皓"/>
    <m/>
    <m/>
    <m/>
    <m/>
    <s v="5-22-04"/>
    <s v="申請不列印書面通知書控管報表"/>
    <s v="L1108"/>
    <x v="0"/>
  </r>
  <r>
    <m/>
    <n v="1"/>
    <x v="0"/>
    <s v="1-1顧客基本資料"/>
    <s v="L1109"/>
    <s v="客戶交互運用維護"/>
    <m/>
    <s v="張金龍"/>
    <s v="張嘉榮"/>
    <s v="PJ201800012_URS_1顧客管理作業_V1.42.docx"/>
    <x v="0"/>
    <d v="2021-07-23T00:00:00"/>
    <d v="2021-09-30T00:00:00"/>
    <s v="吳承憲"/>
    <s v="李珮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吳承憲"/>
    <d v="2021-10-14T13:35:00"/>
    <d v="2021-10-18T17:54:00"/>
    <s v="李珮君"/>
    <m/>
    <m/>
    <m/>
    <m/>
    <m/>
    <s v="1-1欄位拆出新交易"/>
    <s v="L1109"/>
    <x v="0"/>
  </r>
  <r>
    <m/>
    <n v="1"/>
    <x v="0"/>
    <s v="1-2公司戶財務狀況"/>
    <s v="L1907"/>
    <s v="公司戶財務報表查詢"/>
    <m/>
    <s v="張金龍"/>
    <s v="張金龍"/>
    <s v="PJ201800012_URS_1顧客管理作業_V1.42.docx"/>
    <x v="1"/>
    <d v="2021-07-23T00:00:00"/>
    <d v="2021-07-23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明細資料查詢"/>
    <e v="#N/A"/>
    <x v="0"/>
  </r>
  <r>
    <m/>
    <n v="1"/>
    <x v="0"/>
    <s v="1-2公司戶財務狀況"/>
    <s v="L1107"/>
    <s v="公司戶財務報表維護"/>
    <m/>
    <s v="張金龍"/>
    <s v="張金龍"/>
    <s v="PJ201800012_URS_1顧客管理作業_V1.42.docx"/>
    <x v="1"/>
    <d v="2021-07-23T00:00:00"/>
    <d v="2021-09-30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s v="11/15(1.42)、2021/10/1"/>
    <s v="吳承憲"/>
    <d v="2021-10-14T13:35:00"/>
    <d v="2021-10-18T17:54:00"/>
    <s v="施美娟"/>
    <d v="2021-10-12T00:00:00"/>
    <s v="2021/10/18,22"/>
    <m/>
    <m/>
    <s v="2-5"/>
    <s v="公司戶財務狀況管理"/>
    <e v="#N/A"/>
    <x v="0"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x v="2"/>
    <d v="2021-09-22T00:00:00"/>
    <d v="2021-11-15T00:00:00"/>
    <s v="吳承憲"/>
    <s v="施美娟"/>
    <m/>
    <m/>
    <m/>
    <m/>
    <m/>
    <m/>
    <m/>
    <m/>
    <s v="放款審查課"/>
    <d v="2021-11-15T00:00:00"/>
    <d v="2021-09-24T00:00:00"/>
    <d v="2021-09-29T00:00:00"/>
    <d v="2021-09-29T00:00:00"/>
    <d v="2021-11-15T00:00:00"/>
    <s v="吳承憲"/>
    <m/>
    <m/>
    <s v="施美娟"/>
    <m/>
    <m/>
    <m/>
    <m/>
    <m/>
    <s v="新交易"/>
    <e v="#N/A"/>
    <x v="1"/>
  </r>
  <r>
    <m/>
    <m/>
    <x v="1"/>
    <s v="2-1商品作業"/>
    <s v="L2001"/>
    <s v="商品參數明細資料查詢                    "/>
    <m/>
    <s v="賴文育"/>
    <s v="余家興"/>
    <s v="PJ201800012_URS_2業務作業_V1.28.doc"/>
    <x v="1"/>
    <d v="2021-07-26T00:00:00"/>
    <d v="2021-12-03T00:00:00"/>
    <s v="吳承憲"/>
    <s v="蔡珮瑜"/>
    <m/>
    <m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s v="蔡珮瑜"/>
    <m/>
    <m/>
    <m/>
    <m/>
    <s v="Eloan"/>
    <s v="商品參數明細資料查詢"/>
    <e v="#N/A"/>
    <x v="3"/>
  </r>
  <r>
    <m/>
    <m/>
    <x v="1"/>
    <s v="2-1商品作業"/>
    <s v="L2101"/>
    <s v="商品參數維護"/>
    <m/>
    <s v="賴文育"/>
    <s v="余家興"/>
    <s v="PJ201800012_URS_2業務作業_V1.28.doc"/>
    <x v="1"/>
    <d v="2021-07-26T00:00:00"/>
    <d v="2021-08-24T00:00:00"/>
    <s v="吳承憲"/>
    <s v="蔡珮瑜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s v="蔡珮瑜"/>
    <m/>
    <m/>
    <m/>
    <m/>
    <s v="Eloan"/>
    <s v="商品參數維護"/>
    <s v="L2101"/>
    <x v="3"/>
  </r>
  <r>
    <m/>
    <m/>
    <x v="1"/>
    <s v="2-2案件申請、額度"/>
    <s v="L2010"/>
    <s v="申請案件明細資料查詢                    "/>
    <m/>
    <s v="賴文育"/>
    <s v="陳昱衡"/>
    <s v="PJ201800012_URS_2業務作業_V1.29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s v="李珮君"/>
    <m/>
    <m/>
    <m/>
    <m/>
    <n v="201"/>
    <s v="申請案件明細資料查詢"/>
    <s v="L2010"/>
    <x v="3"/>
  </r>
  <r>
    <m/>
    <m/>
    <x v="1"/>
    <s v="2-2案件申請、額度"/>
    <s v="L2111"/>
    <s v="案件申請登錄"/>
    <m/>
    <s v="賴文育"/>
    <s v="余家興"/>
    <s v="PJ201800012_URS_2業務作業_V1.29.doc"/>
    <x v="1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s v="李珮君"/>
    <m/>
    <m/>
    <m/>
    <m/>
    <n v="201"/>
    <s v="案件申請登錄"/>
    <s v="L2111"/>
    <x v="3"/>
  </r>
  <r>
    <m/>
    <m/>
    <x v="1"/>
    <s v="2-2案件申請、額度"/>
    <s v="L2153"/>
    <s v="核准額度登錄"/>
    <m/>
    <s v="賴文育"/>
    <s v="余家興"/>
    <s v="PJ201800012_URS_2業務作業_V1.29.doc"/>
    <x v="3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s v="李珮君"/>
    <m/>
    <m/>
    <m/>
    <m/>
    <n v="203"/>
    <s v="核准額度登錄"/>
    <s v="L2153"/>
    <x v="3"/>
  </r>
  <r>
    <m/>
    <m/>
    <x v="1"/>
    <s v="2-2案件申請、額度"/>
    <s v="L2151"/>
    <s v="額度登錄准駁查詢"/>
    <m/>
    <s v="賴文育"/>
    <s v="陳昱衡"/>
    <s v="PJ201800012_URS_2業務作業_V1.29.doc"/>
    <x v="3"/>
    <d v="2021-07-26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n v="203"/>
    <s v="駁回額度登錄"/>
    <e v="#N/A"/>
    <x v="3"/>
  </r>
  <r>
    <m/>
    <m/>
    <x v="1"/>
    <s v="2-2案件申請、額度"/>
    <s v="L2112"/>
    <s v="團體戶申請登錄                          "/>
    <m/>
    <s v="賴文育"/>
    <s v="陳昱衡"/>
    <s v="PJ201800012_URS_2業務作業_V1.29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s v="李珮君"/>
    <m/>
    <m/>
    <m/>
    <m/>
    <n v="202"/>
    <s v="團體戶申請登錄"/>
    <s v="L2112"/>
    <x v="3"/>
  </r>
  <r>
    <m/>
    <m/>
    <x v="1"/>
    <s v="2-2案件申請、額度"/>
    <s v="L2015"/>
    <s v="額度明細資料查詢                        "/>
    <m/>
    <s v="賴文育"/>
    <s v="陳昱衡"/>
    <s v="PJ201800012_URS_2業務作業_V1.29.doc"/>
    <x v="3"/>
    <d v="2021-07-27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s v="李珮君"/>
    <m/>
    <m/>
    <m/>
    <m/>
    <n v="204"/>
    <s v="額度明細資料查詢"/>
    <s v="L2015"/>
    <x v="3"/>
  </r>
  <r>
    <m/>
    <m/>
    <x v="1"/>
    <s v="2-2案件申請、額度"/>
    <s v="L2154"/>
    <s v="額度資料維護                            "/>
    <m/>
    <s v="賴文育"/>
    <s v="余家興"/>
    <s v="PJ201800012_URS_2業務作業_V1.29.doc"/>
    <x v="3"/>
    <d v="2021-07-27T00:00:00"/>
    <d v="2021-09-30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s v="李珮君"/>
    <m/>
    <m/>
    <m/>
    <m/>
    <n v="204"/>
    <s v="額度資料維護"/>
    <s v="L2154"/>
    <x v="3"/>
  </r>
  <r>
    <m/>
    <m/>
    <x v="1"/>
    <s v="2-2案件申請、額度"/>
    <s v="L2016"/>
    <s v="核准號碼明細資料查詢                    "/>
    <m/>
    <s v="賴文育"/>
    <s v="余家興"/>
    <s v="PJ201800012_URS_2業務作業_V1.29.doc"/>
    <x v="3"/>
    <d v="2021-07-27T00:00:00"/>
    <d v="2021-07-27T00:00:00"/>
    <s v="吳承憲"/>
    <s v="李珮君"/>
    <m/>
    <m/>
    <m/>
    <m/>
    <m/>
    <m/>
    <m/>
    <m/>
    <s v="放款推展課"/>
    <d v="2021-07-27T00:00:00"/>
    <d v="2021-12-03T00:00:00"/>
    <d v="2021-12-03T00:00:00"/>
    <d v="2021-07-27T00:00:00"/>
    <d v="2021-12-14T00:00:00"/>
    <m/>
    <m/>
    <m/>
    <s v="李珮君"/>
    <m/>
    <m/>
    <m/>
    <m/>
    <n v="204"/>
    <s v="核准號碼明細資料查詢"/>
    <s v="L2016"/>
    <x v="3"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n v="206"/>
    <s v="保證人明細資料查詢"/>
    <s v="L2020"/>
    <x v="3"/>
  </r>
  <r>
    <m/>
    <m/>
    <x v="1"/>
    <s v="2-3保證人、關係人"/>
    <s v="L2250"/>
    <s v="保證人資料登錄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n v="206"/>
    <s v="保證人資料登錄"/>
    <s v="L2250"/>
    <x v="3"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x v="3"/>
    <d v="2021-07-28T00:00:00"/>
    <d v="2021-08-20T00:00:00"/>
    <s v="吳承憲"/>
    <s v="陳政皓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s v="陳政皓"/>
    <m/>
    <m/>
    <m/>
    <m/>
    <n v="214"/>
    <s v="保證人保證資料查詢"/>
    <s v="L2902"/>
    <x v="3"/>
  </r>
  <r>
    <m/>
    <m/>
    <x v="2"/>
    <s v="6-6各類代碼檔維護"/>
    <s v="L6070"/>
    <s v="未齊件代碼查詢                          "/>
    <m/>
    <s v="賴文育"/>
    <s v="陳昱衡"/>
    <s v="PJ201800012_URS_6共同作業_V1.11.docx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無調整"/>
    <d v="2021-12-14T00:00:00"/>
    <d v="2021-12-14T00:00:00"/>
    <d v="2021-12-20T00:00:00"/>
    <m/>
    <m/>
    <m/>
    <s v="徐名弘"/>
    <m/>
    <m/>
    <m/>
    <m/>
    <s v="新交易"/>
    <m/>
    <e v="#N/A"/>
    <x v="4"/>
  </r>
  <r>
    <m/>
    <m/>
    <x v="2"/>
    <s v="6-6各類代碼檔維護"/>
    <s v="L6700"/>
    <s v="未齊件代碼維護"/>
    <m/>
    <s v="賴文育"/>
    <s v="陳昱衡"/>
    <s v="PJ201800012_URS_6共同作業_V1.11.docx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需二審"/>
    <d v="2021-12-14T00:00:00"/>
    <d v="2021-12-14T00:00:00"/>
    <d v="2021-12-20T00:00:00"/>
    <m/>
    <m/>
    <m/>
    <s v="徐名弘"/>
    <m/>
    <m/>
    <m/>
    <m/>
    <s v="新交易"/>
    <m/>
    <s v="L6700"/>
    <x v="4"/>
  </r>
  <r>
    <m/>
    <m/>
    <x v="1"/>
    <s v="2-2案件申請、額度"/>
    <s v="L2921"/>
    <s v="未齊件資料查詢                          "/>
    <m/>
    <s v="賴文育"/>
    <s v="陳昱衡"/>
    <s v="PJ201800012_URS_2業務作業_V1.29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s v="徐名弘"/>
    <m/>
    <m/>
    <m/>
    <m/>
    <n v="213"/>
    <s v="未齊件資料查詢"/>
    <s v="L2921"/>
    <x v="3"/>
  </r>
  <r>
    <m/>
    <m/>
    <x v="1"/>
    <s v="2-2案件申請、額度"/>
    <s v="L2801"/>
    <s v="未齊案件管理             "/>
    <m/>
    <s v="賴文育"/>
    <s v="陳昱衡"/>
    <s v="PJ201800012_URS_2業務作業_V1.29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s v="徐名弘"/>
    <m/>
    <m/>
    <m/>
    <m/>
    <n v="355"/>
    <s v="未齊案件管理"/>
    <s v="L2801"/>
    <x v="3"/>
  </r>
  <r>
    <m/>
    <m/>
    <x v="1"/>
    <s v="2-2案件申請、額度"/>
    <s v="L2018"/>
    <s v="共同借款人資料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  <x v="3"/>
  </r>
  <r>
    <m/>
    <m/>
    <x v="1"/>
    <s v="2-2案件申請、額度"/>
    <s v="L2118"/>
    <s v="共同借款人資料登錄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  <x v="3"/>
  </r>
  <r>
    <m/>
    <m/>
    <x v="1"/>
    <s v="2-2案件申請、額度"/>
    <s v="L291A"/>
    <s v="共同借款人額度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  <x v="3"/>
  </r>
  <r>
    <m/>
    <m/>
    <x v="1"/>
    <s v="2-2案件申請、額度"/>
    <s v="L2019"/>
    <s v="合併額度控管資料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  <x v="3"/>
  </r>
  <r>
    <m/>
    <m/>
    <x v="1"/>
    <s v="2-2案件申請、額度"/>
    <s v="L2119"/>
    <s v="合併額度控管登錄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  <x v="3"/>
  </r>
  <r>
    <m/>
    <m/>
    <x v="1"/>
    <s v="2-2案件申請、額度"/>
    <s v="L291B"/>
    <s v="合併額度控管額度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  <x v="3"/>
  </r>
  <r>
    <m/>
    <m/>
    <x v="1"/>
    <s v="2-3保證人、關係人"/>
    <s v="L2021"/>
    <s v="交易關係人查詢"/>
    <m/>
    <s v="賴文育"/>
    <s v="陳昱衡"/>
    <s v="PJ201800012_URS_2業務作業_V1.28.doc"/>
    <x v="4"/>
    <d v="2021-08-23T00:00:00"/>
    <d v="2021-12-06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s v="新交易"/>
    <m/>
    <e v="#N/A"/>
    <x v="3"/>
  </r>
  <r>
    <m/>
    <m/>
    <x v="1"/>
    <s v="2-3保證人、關係人"/>
    <s v="L2221"/>
    <s v="交易關係人維護"/>
    <m/>
    <s v="賴文育"/>
    <s v="陳昱衡"/>
    <s v="PJ201800012_URS_2業務作業_V1.28.doc"/>
    <x v="4"/>
    <d v="2021-08-23T00:00:00"/>
    <d v="2021-09-17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s v="新交易"/>
    <m/>
    <s v="L2221"/>
    <x v="3"/>
  </r>
  <r>
    <m/>
    <m/>
    <x v="1"/>
    <s v="2-4擔保品"/>
    <s v="L2038"/>
    <s v="擔保品明細資料查詢                      "/>
    <m/>
    <s v="賴文育"/>
    <s v="陳昱衡"/>
    <s v="PJ201800012_URS_2業務作業_V1.29.doc"/>
    <x v="4"/>
    <d v="2021-08-24T00:00:00"/>
    <d v="2021-08-2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新交易"/>
    <m/>
    <s v="L2038"/>
    <x v="3"/>
  </r>
  <r>
    <m/>
    <m/>
    <x v="1"/>
    <s v="2-4擔保品"/>
    <s v="L2411"/>
    <s v="不動產擔保品資料登錄"/>
    <m/>
    <s v="賴文育"/>
    <s v="陳昱衡"/>
    <s v="PJ201800012_URS_2業務作業_V1.29.doc"/>
    <x v="5"/>
    <d v="2021-08-24T00:00:00"/>
    <d v="2021-09-08T00:00:00"/>
    <s v="吳承憲"/>
    <s v="李珮君"/>
    <s v="企金、(可分配金額+張舜雯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208-1"/>
    <s v="押品資料管理-不動產押品資料登錄"/>
    <s v="L2411"/>
    <x v="3"/>
  </r>
  <r>
    <m/>
    <m/>
    <x v="1"/>
    <s v="2-4擔保品"/>
    <s v="L2911"/>
    <s v="不動產擔保品資料查詢                    "/>
    <m/>
    <s v="賴文育"/>
    <s v="陳昱衡"/>
    <s v="PJ201800012_URS_2業務作業_V1.29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d v="2021-10-25T00:00:00"/>
    <s v="208-1"/>
    <s v="押品資料管理-不動產押品土地資料登錄"/>
    <s v="L2911"/>
    <x v="3"/>
  </r>
  <r>
    <m/>
    <m/>
    <x v="1"/>
    <s v="2-4擔保品"/>
    <s v="L2415"/>
    <s v="不動產建物擔保品資料登錄"/>
    <m/>
    <s v="賴文育"/>
    <s v="陳昱衡"/>
    <s v="PJ201800012_URS_2業務作業_V1.29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新交易"/>
    <m/>
    <s v="L2415"/>
    <x v="3"/>
  </r>
  <r>
    <m/>
    <m/>
    <x v="1"/>
    <s v="2-4擔保品"/>
    <s v="L2416"/>
    <s v="不動產土地擔保品資料登錄"/>
    <m/>
    <s v="賴文育"/>
    <s v="陳昱衡"/>
    <s v="PJ201800012_URS_2業務作業_V1.29.doc"/>
    <x v="5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208-1"/>
    <s v="押品資料管理-不動產押品土地資料登錄"/>
    <e v="#N/A"/>
    <x v="3"/>
  </r>
  <r>
    <m/>
    <m/>
    <x v="1"/>
    <s v="2-4擔保品"/>
    <s v="L2915"/>
    <s v="不動產建物資料查詢                      "/>
    <m/>
    <s v="賴文育"/>
    <s v="陳昱衡"/>
    <s v="PJ201800012_URS_2業務作業_V1.29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s v="陳政皓"/>
    <m/>
    <m/>
    <m/>
    <m/>
    <s v="208-1"/>
    <s v="押品資料管理-不動產押品房屋資料查詢"/>
    <e v="#N/A"/>
    <x v="3"/>
  </r>
  <r>
    <m/>
    <m/>
    <x v="1"/>
    <s v="2-4擔保品"/>
    <s v="L2916"/>
    <s v="不動產土地資料查詢                      "/>
    <m/>
    <s v="賴文育"/>
    <s v="陳昱衡"/>
    <s v="PJ201800012_URS_2業務作業_V1.29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s v="陳政皓"/>
    <m/>
    <m/>
    <m/>
    <m/>
    <s v="新交易"/>
    <m/>
    <e v="#N/A"/>
    <x v="3"/>
  </r>
  <r>
    <m/>
    <m/>
    <x v="1"/>
    <s v="2-4擔保品"/>
    <s v="L2918"/>
    <s v="擔保品他項權利查詢"/>
    <m/>
    <s v="賴文育"/>
    <s v="余家興"/>
    <s v="PJ201800012_URS_2業務作業_V1.29.doc"/>
    <x v="6"/>
    <d v="2021-08-25T00:00:00"/>
    <d v="2021-12-03T00:00:00"/>
    <s v="吳承憲"/>
    <s v="尹少玄"/>
    <s v="企金"/>
    <m/>
    <m/>
    <m/>
    <m/>
    <m/>
    <m/>
    <m/>
    <s v="放款服務課"/>
    <d v="2021-12-03T00:00:00"/>
    <d v="2021-10-01T00:00:00"/>
    <d v="2021-10-08T00:00:00"/>
    <d v="2021-10-08T00:00:00"/>
    <d v="2021-12-14T00:00:00"/>
    <s v="預計2021/11/12"/>
    <m/>
    <m/>
    <s v="尹少玄"/>
    <m/>
    <m/>
    <m/>
    <m/>
    <s v="新交易"/>
    <s v="新交易"/>
    <e v="#N/A"/>
    <x v="3"/>
  </r>
  <r>
    <m/>
    <m/>
    <x v="1"/>
    <s v="2-4擔保品"/>
    <s v="L2418"/>
    <s v="擔保品他項權利登錄"/>
    <m/>
    <s v="賴文育"/>
    <s v="余家興"/>
    <s v="PJ201800012_URS_2業務作業_V1.29.doc"/>
    <x v="6"/>
    <d v="2021-08-25T00:00:00"/>
    <d v="2021-12-07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d v="2021-10-29T00:00:00"/>
    <s v="新交易"/>
    <s v="新交易"/>
    <e v="#N/A"/>
    <x v="3"/>
  </r>
  <r>
    <m/>
    <m/>
    <x v="2"/>
    <s v="6-6各類代碼檔維護"/>
    <s v="L6023"/>
    <s v="收件字代碼查詢"/>
    <s v="審後新增2021/10/08 (L2418)"/>
    <s v="賴文育"/>
    <s v="余家興"/>
    <s v="PJ201800012_URS_6共同作業_V1.11.docx"/>
    <x v="6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s v="蔡珮瑜"/>
    <m/>
    <m/>
    <m/>
    <m/>
    <s v="新交易"/>
    <s v="新交易"/>
    <e v="#N/A"/>
    <x v="4"/>
  </r>
  <r>
    <m/>
    <m/>
    <x v="2"/>
    <s v="6-6各類代碼檔維護"/>
    <s v="L6203"/>
    <s v="收件字代碼維護"/>
    <s v="審後新增2021/10/08 (L2418)"/>
    <s v="賴文育"/>
    <s v="余家興"/>
    <s v="PJ201800012_URS_6共同作業_V1.11.docx"/>
    <x v="6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s v="蔡珮瑜"/>
    <m/>
    <m/>
    <m/>
    <m/>
    <s v="新交易"/>
    <s v="新交易"/>
    <e v="#N/A"/>
    <x v="4"/>
  </r>
  <r>
    <m/>
    <m/>
    <x v="1"/>
    <s v="2-4擔保品"/>
    <s v="L2017"/>
    <s v="額度與擔保品關聯查詢 "/>
    <m/>
    <s v="賴文育"/>
    <s v="陳昱衡"/>
    <s v="PJ201800012_URS_2業務作業_V1.29.doc"/>
    <x v="6"/>
    <d v="2021-08-24T00:00:00"/>
    <d v="2021-12-06T00:00:00"/>
    <s v="吳承憲"/>
    <s v="李珮君"/>
    <s v="企金"/>
    <m/>
    <m/>
    <m/>
    <m/>
    <m/>
    <m/>
    <m/>
    <e v="#REF!"/>
    <d v="2021-12-03T00:00:00"/>
    <d v="2021-12-03T00:00:00"/>
    <d v="2021-12-13T00:00:00"/>
    <d v="2021-12-13T00:00:00"/>
    <d v="2021-12-14T00:00:00"/>
    <m/>
    <m/>
    <m/>
    <s v=""/>
    <m/>
    <m/>
    <m/>
    <d v="2021-10-25T00:00:00"/>
    <s v="新交易"/>
    <m/>
    <e v="#REF!"/>
    <x v="3"/>
  </r>
  <r>
    <m/>
    <m/>
    <x v="1"/>
    <s v="2-4擔保品"/>
    <s v="L2417"/>
    <s v="額度與擔保品關聯登錄"/>
    <m/>
    <s v="賴文育"/>
    <s v="陳昱衡"/>
    <s v="PJ201800012_URS_2業務作業_V1.29.doc"/>
    <x v="6"/>
    <d v="2021-08-24T00:00:00"/>
    <d v="2021-12-06T00:00:00"/>
    <s v="吳承憲"/>
    <s v="李珮君"/>
    <s v="企金"/>
    <m/>
    <m/>
    <m/>
    <m/>
    <m/>
    <m/>
    <m/>
    <e v="#REF!"/>
    <d v="2021-12-03T00:00:00"/>
    <d v="2021-10-08T00:00:00"/>
    <d v="2021-10-08T00:00:00"/>
    <d v="2021-10-08T00:00:00"/>
    <d v="2021-12-14T00:00:00"/>
    <s v="預計2021/11/12"/>
    <m/>
    <m/>
    <s v=""/>
    <m/>
    <m/>
    <m/>
    <m/>
    <s v="新交易"/>
    <m/>
    <e v="#REF!"/>
    <x v="3"/>
  </r>
  <r>
    <m/>
    <m/>
    <x v="1"/>
    <s v="2-4擔保品"/>
    <s v="L2412"/>
    <s v="動產擔保品資料登錄"/>
    <m/>
    <s v="賴文育"/>
    <s v="陳昱衡"/>
    <s v="PJ201800012_URS_2業務作業_V1.29.doc"/>
    <x v="7"/>
    <d v="2021-08-25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208-1"/>
    <s v="押品資料管理-不動產押品房屋資料查詢"/>
    <s v="L2412"/>
    <x v="3"/>
  </r>
  <r>
    <m/>
    <m/>
    <x v="1"/>
    <s v="2-4擔保品"/>
    <s v="L2912"/>
    <s v="動產擔保品資料查詢                      "/>
    <m/>
    <s v="賴文育"/>
    <s v="陳昱衡"/>
    <s v="PJ201800012_URS_2業務作業_V1.29.doc"/>
    <x v="7"/>
    <d v="2021-08-25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m/>
    <e v="#N/A"/>
    <x v="3"/>
  </r>
  <r>
    <m/>
    <m/>
    <x v="1"/>
    <s v="2-4擔保品"/>
    <s v="L2413"/>
    <s v="股票擔保品資料登錄"/>
    <m/>
    <s v="賴文育"/>
    <s v="陳昱衡"/>
    <s v="PJ201800012_URS_2業務作業_V1.29.doc"/>
    <x v="8"/>
    <d v="2021-08-26T00:00:00"/>
    <d v="2021-08-27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s v="李穎"/>
    <m/>
    <m/>
    <m/>
    <m/>
    <s v="208-1"/>
    <s v="押品資料管理-火險、地震險資料登錄"/>
    <s v="L2413"/>
    <x v="3"/>
  </r>
  <r>
    <m/>
    <m/>
    <x v="1"/>
    <s v="2-4擔保品"/>
    <s v="L2913"/>
    <s v="股票擔保品資料查詢                      "/>
    <m/>
    <s v="賴文育"/>
    <s v="陳昱衡"/>
    <s v="PJ201800012_URS_2業務作業_V1.29.doc"/>
    <x v="8"/>
    <d v="2021-08-26T00:00:00"/>
    <d v="2021-09-02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s v="李穎"/>
    <m/>
    <m/>
    <m/>
    <m/>
    <s v="新交易"/>
    <m/>
    <s v="L2913"/>
    <x v="3"/>
  </r>
  <r>
    <m/>
    <m/>
    <x v="1"/>
    <s v="2-4擔保品"/>
    <s v="L2414"/>
    <s v="其他擔保品資料登錄"/>
    <m/>
    <s v="賴文育"/>
    <s v="陳昱衡"/>
    <s v="PJ201800012_URS_2業務作業_V1.29.doc"/>
    <x v="8"/>
    <d v="2021-08-26T00:00:00"/>
    <d v="2021-09-06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s v="李穎"/>
    <m/>
    <m/>
    <m/>
    <m/>
    <s v="新交易"/>
    <m/>
    <s v="L2414"/>
    <x v="3"/>
  </r>
  <r>
    <m/>
    <m/>
    <x v="1"/>
    <s v="2-4擔保品"/>
    <s v="L2914"/>
    <s v="其他擔保品資料查詢                      "/>
    <m/>
    <s v="賴文育"/>
    <s v="陳昱衡"/>
    <s v="PJ201800012_URS_2業務作業_V1.29.doc"/>
    <x v="8"/>
    <d v="2021-08-26T00:00:00"/>
    <d v="2021-12-06T00:00:00"/>
    <s v="吳承憲"/>
    <s v="李穎"/>
    <s v="企金"/>
    <m/>
    <m/>
    <m/>
    <m/>
    <m/>
    <m/>
    <m/>
    <s v="放款推展課"/>
    <d v="2021-12-03T00:00:00"/>
    <s v="無調整"/>
    <d v="2021-10-08T00:00:00"/>
    <d v="2021-10-08T00:00:00"/>
    <d v="2021-12-14T00:00:00"/>
    <s v="預計2021/11/12"/>
    <m/>
    <m/>
    <s v="李穎"/>
    <m/>
    <m/>
    <m/>
    <m/>
    <s v="新交易"/>
    <m/>
    <e v="#N/A"/>
    <x v="3"/>
  </r>
  <r>
    <m/>
    <m/>
    <x v="1"/>
    <s v="2-9其他"/>
    <s v="L2702"/>
    <s v="顧客控管警訊資料維護                    "/>
    <m/>
    <s v="賴文育"/>
    <s v="陳昱衡"/>
    <s v="PJ201800012_URS_2業務作業_V1.31.docx"/>
    <x v="7"/>
    <d v="2021-08-26T00:00:00"/>
    <d v="2021-10-30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陳政皓"/>
    <m/>
    <m/>
    <m/>
    <m/>
    <n v="231"/>
    <s v="放款專員業績統計作業－統計業績資料"/>
    <s v="L2702"/>
    <x v="3"/>
  </r>
  <r>
    <m/>
    <m/>
    <x v="1"/>
    <s v="2-9其他"/>
    <s v="L2072"/>
    <s v="顧客控管警訊明細資料查詢                "/>
    <m/>
    <s v="賴文育"/>
    <s v="陳昱衡"/>
    <s v="PJ201800012_URS_2業務作業_V1.31.docx"/>
    <x v="7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陳政皓"/>
    <m/>
    <m/>
    <m/>
    <m/>
    <n v="209"/>
    <s v="顧客控管警訊明細資料查詢"/>
    <s v="L2072"/>
    <x v="3"/>
  </r>
  <r>
    <m/>
    <n v="1"/>
    <x v="3"/>
    <s v="3-1試算"/>
    <s v="L3901"/>
    <s v="貸款試算                 "/>
    <m/>
    <s v="賴文育"/>
    <s v="余家興"/>
    <s v="PJ201800012_URS_3帳務作業_V1.81"/>
    <x v="9"/>
    <d v="2021-08-27T00:00:00"/>
    <d v="2021-08-27T00:00:00"/>
    <s v="李珮琪"/>
    <s v="陳政皓"/>
    <s v="李珮君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陳政皓"/>
    <m/>
    <m/>
    <m/>
    <m/>
    <n v="305"/>
    <s v="客戶洽詢查詢"/>
    <e v="#N/A"/>
    <x v="5"/>
  </r>
  <r>
    <m/>
    <m/>
    <x v="4"/>
    <s v="9-9其他"/>
    <s v="L9110"/>
    <s v="首次撥款審核資料表"/>
    <m/>
    <s v="賴文育"/>
    <s v="楊智誠"/>
    <s v="PJ201800012_URS_9報表作業_V1.3"/>
    <x v="9"/>
    <d v="2021-08-27T00:00:00"/>
    <d v="2021-09-06T00:00:00"/>
    <s v="李珮琪"/>
    <s v="陳政皓"/>
    <s v="徐名弘、陳俞辛"/>
    <m/>
    <m/>
    <m/>
    <m/>
    <m/>
    <m/>
    <m/>
    <s v="放款服務課"/>
    <d v="2021-09-06T00:00:00"/>
    <s v="需二審"/>
    <d v="2021-12-14T00:00:00"/>
    <d v="2021-12-14T00:00:00"/>
    <d v="2021-12-14T00:00:00"/>
    <m/>
    <m/>
    <m/>
    <s v="陳政皓"/>
    <m/>
    <m/>
    <m/>
    <m/>
    <s v="5-9-18"/>
    <s v="首次撥款審核資料表         "/>
    <s v="L9110"/>
    <x v="4"/>
  </r>
  <r>
    <m/>
    <n v="1"/>
    <x v="3"/>
    <s v="3-2撥款"/>
    <s v="L3003"/>
    <s v="預約撥款明細資料查詢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  <x v="5"/>
  </r>
  <r>
    <m/>
    <n v="1"/>
    <x v="3"/>
    <s v="3-2撥款"/>
    <s v="L3110"/>
    <s v="預約撥款                 "/>
    <m/>
    <s v="賴文育"/>
    <s v="余家興"/>
    <s v="PJ201800012_URS_3帳務作業_V1.81"/>
    <x v="10"/>
    <d v="2021-08-31T00:00:00"/>
    <d v="2021-10-21T00:00:00"/>
    <s v="涂宇欣"/>
    <s v="尹少玄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尹少玄"/>
    <m/>
    <m/>
    <m/>
    <m/>
    <s v="新交易"/>
    <m/>
    <s v="L3110"/>
    <x v="5"/>
  </r>
  <r>
    <m/>
    <n v="1"/>
    <x v="3"/>
    <s v="3-2撥款"/>
    <s v="L3120"/>
    <s v="預約撥款刪除        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  <x v="5"/>
  </r>
  <r>
    <m/>
    <m/>
    <x v="2"/>
    <s v="6-8其他作業"/>
    <s v="L6984"/>
    <s v="預約撥款到期作業"/>
    <m/>
    <s v="賴文育"/>
    <s v="余家興"/>
    <s v="PJ201800012_URS_6共同作業_V1.11.docx"/>
    <x v="10"/>
    <d v="2021-08-31T00:00:00"/>
    <d v="2021-12-03T00:00:00"/>
    <s v="涂宇欣"/>
    <s v="尹少玄"/>
    <m/>
    <m/>
    <m/>
    <m/>
    <m/>
    <m/>
    <m/>
    <m/>
    <s v="放款服務課"/>
    <d v="2021-12-03T00:00:00"/>
    <d v="2021-10-24T00:00:00"/>
    <d v="2021-11-23T00:00:00"/>
    <d v="2021-11-24T00:00:00"/>
    <d v="2021-12-20T00:00:00"/>
    <m/>
    <m/>
    <m/>
    <s v="尹少玄"/>
    <m/>
    <m/>
    <m/>
    <m/>
    <s v="新交易"/>
    <s v="新交易"/>
    <s v="L6984"/>
    <x v="4"/>
  </r>
  <r>
    <m/>
    <n v="1"/>
    <x v="3"/>
    <s v="3-2撥款"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尹少玄"/>
    <m/>
    <m/>
    <m/>
    <s v="2021/10/19, 2021/10/18, 2021/8/30, 7/21"/>
    <n v="325"/>
    <s v="撥款"/>
    <s v="L3100"/>
    <x v="5"/>
  </r>
  <r>
    <m/>
    <n v="1"/>
    <x v="3"/>
    <s v="3-2撥款"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002"/>
    <x v="5"/>
  </r>
  <r>
    <m/>
    <n v="1"/>
    <x v="3"/>
    <s v="3-2撥款"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916"/>
    <x v="5"/>
  </r>
  <r>
    <m/>
    <n v="1"/>
    <x v="3"/>
    <s v="3-2撥款"/>
    <s v="L3001"/>
    <s v="放款明細資料查詢"/>
    <m/>
    <s v="賴文育"/>
    <s v="余家興"/>
    <s v="PJ201800012_URS_3帳務作業_V1.81"/>
    <x v="12"/>
    <d v="2021-08-30T00:00:00"/>
    <d v="2021-08-30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20"/>
    <s v="放款內容查詢"/>
    <e v="#N/A"/>
    <x v="5"/>
  </r>
  <r>
    <m/>
    <m/>
    <x v="1"/>
    <s v="2-9其他"/>
    <s v="L2060"/>
    <s v="聯貸案訂約明細資料查詢"/>
    <s v="由L3010更名2021/9/7"/>
    <s v="賴文育"/>
    <s v="余家興"/>
    <s v="PJ201800012_URS_2業務作業_V1.31.docx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許慧玉"/>
    <m/>
    <m/>
    <m/>
    <m/>
    <s v="新交易"/>
    <s v="新交易"/>
    <s v="L2060"/>
    <x v="3"/>
  </r>
  <r>
    <m/>
    <m/>
    <x v="1"/>
    <s v="2-9其他"/>
    <s v="L2600"/>
    <s v="聯貸案訂約登錄"/>
    <s v="由L3600更名2021/9/7"/>
    <s v="賴文育"/>
    <s v="余家興"/>
    <s v="PJ201800012_URS_2業務作業_V1.31.docx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許慧玉"/>
    <m/>
    <m/>
    <m/>
    <m/>
    <s v="新交易"/>
    <s v="新交易"/>
    <s v="L2600"/>
    <x v="3"/>
  </r>
  <r>
    <m/>
    <m/>
    <x v="1"/>
    <s v="2-9其他"/>
    <s v="L2604"/>
    <s v="聯貸費用維護"/>
    <s v="審後新增2021/11/18 (L2600)"/>
    <s v="賴文育"/>
    <s v="余家興"/>
    <s v="PJ201800012_URS_2業務作業_V1.4.docx"/>
    <x v="12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s v="許慧玉"/>
    <m/>
    <m/>
    <m/>
    <m/>
    <s v="新交易"/>
    <s v="新交易"/>
    <e v="#N/A"/>
    <x v="3"/>
  </r>
  <r>
    <m/>
    <m/>
    <x v="1"/>
    <s v="2-9其他"/>
    <s v="L2064"/>
    <s v="聯貸費用明細資料查詢"/>
    <s v="審後新增2021/11/18 (L2600)"/>
    <s v="賴文育"/>
    <s v="余家興"/>
    <s v="PJ201800012_URS_2業務作業_V1.4.docx"/>
    <x v="12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s v="許慧玉"/>
    <m/>
    <m/>
    <m/>
    <m/>
    <s v="新交易"/>
    <s v="新交易"/>
    <e v="#N/A"/>
    <x v="3"/>
  </r>
  <r>
    <m/>
    <m/>
    <x v="2"/>
    <s v="6-6各類代碼檔維護"/>
    <s v="L6022"/>
    <s v="聯貸費用代碼查詢"/>
    <s v="審後新增2021/11/23 (L2604)"/>
    <s v="賴文育"/>
    <s v="余家興"/>
    <s v="PJ201800012_URS_6共同作業_V1.11.docx"/>
    <x v="12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s v="許慧玉"/>
    <m/>
    <m/>
    <m/>
    <m/>
    <s v="新交易"/>
    <s v="新交易"/>
    <e v="#N/A"/>
    <x v="4"/>
  </r>
  <r>
    <m/>
    <m/>
    <x v="2"/>
    <s v="6-6各類代碼檔維護"/>
    <s v="L6202"/>
    <s v="聯貸費用代碼維護"/>
    <s v="審後新增2021/11/23 (L2604)"/>
    <s v="賴文育"/>
    <s v="余家興"/>
    <s v="PJ201800012_URS_6共同作業_V1.11.docx"/>
    <x v="12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s v="許慧玉"/>
    <m/>
    <m/>
    <m/>
    <m/>
    <s v="新交易"/>
    <s v="新交易"/>
    <e v="#N/A"/>
    <x v="4"/>
  </r>
  <r>
    <m/>
    <n v="1"/>
    <x v="3"/>
    <s v="3-2撥款"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d v="2021-10-22T00:00:00"/>
    <n v="315"/>
    <s v="交易明細資料查詢"/>
    <s v="L3912"/>
    <x v="5"/>
  </r>
  <r>
    <m/>
    <n v="1"/>
    <x v="3"/>
    <s v="3-2撥款"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15"/>
    <s v="交易明細資料查詢"/>
    <s v="L3005"/>
    <x v="5"/>
  </r>
  <r>
    <m/>
    <n v="1"/>
    <x v="3"/>
    <s v="3-5變更、延長年期"/>
    <s v="L3932"/>
    <s v="借戶利率查詢             "/>
    <m/>
    <s v="賴文育"/>
    <s v="余家興"/>
    <s v="PJ201800012_URS_3帳務作業_V1.81"/>
    <x v="13"/>
    <d v="2021-08-31T00:00:00"/>
    <d v="2021-08-31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0"/>
    <s v="借戶利率查詢"/>
    <e v="#N/A"/>
    <x v="5"/>
  </r>
  <r>
    <m/>
    <n v="1"/>
    <x v="3"/>
    <s v="3-5變更、延長年期"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1"/>
    <s v="借戶利率變更"/>
    <s v="L3721"/>
    <x v="5"/>
  </r>
  <r>
    <m/>
    <n v="1"/>
    <x v="3"/>
    <s v="3-5變更、延長年期"/>
    <s v="L3701"/>
    <s v="放款內容變更             "/>
    <m/>
    <s v="賴文育"/>
    <s v="余家興"/>
    <s v="PJ201800012_URS_3帳務作業_V1.81"/>
    <x v="13"/>
    <d v="2021-08-31T00:00:00"/>
    <d v="2021-08-31T00:00:00"/>
    <s v="涂宇欣"/>
    <s v="蔡珮瑜"/>
    <m/>
    <m/>
    <m/>
    <m/>
    <m/>
    <m/>
    <m/>
    <m/>
    <s v="放款服務課"/>
    <d v="2021-10-27T00:00:00"/>
    <d v="2021-10-19T00:00:00"/>
    <d v="2021-10-28T00:00:00"/>
    <d v="2021-10-28T00:00:00"/>
    <d v="2021-11-12T00:00:00"/>
    <s v="預計2021/11/12"/>
    <m/>
    <m/>
    <s v="蔡珮瑜"/>
    <m/>
    <m/>
    <m/>
    <m/>
    <n v="321"/>
    <s v="放款內容變更"/>
    <s v="L3701"/>
    <x v="5"/>
  </r>
  <r>
    <m/>
    <m/>
    <x v="5"/>
    <s v="4-1撥款退款作業"/>
    <s v="L4101"/>
    <s v="撥款退款作業"/>
    <m/>
    <s v="賴文育"/>
    <s v="余家興"/>
    <s v="PJ201800012_URS_4批次作業_V1.10.doc"/>
    <x v="9"/>
    <d v="2021-08-30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4-2-1_x000a_4-2-2_x000a_4-2-3_x000a_4-2-4"/>
    <s v="撥款匯款媒體製作_x000a_匯款單_x000a_匯款單明細表_x000a_撥款傳票明細表"/>
    <s v="L4101"/>
    <x v="6"/>
  </r>
  <r>
    <m/>
    <m/>
    <x v="5"/>
    <s v="4-1撥款退款作業"/>
    <s v="L4001"/>
    <s v="撥款退款彙總查詢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s v="尹少玄"/>
    <m/>
    <m/>
    <m/>
    <m/>
    <s v="新交易"/>
    <s v="新交易"/>
    <e v="#N/A"/>
    <x v="3"/>
  </r>
  <r>
    <m/>
    <m/>
    <x v="5"/>
    <s v="4-1撥款退款作業"/>
    <s v="L4901"/>
    <s v="撥款匯款記錄檔查詢                   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s v="尹少玄"/>
    <m/>
    <m/>
    <m/>
    <m/>
    <s v="新交易"/>
    <s v="新交易"/>
    <e v="#N/A"/>
    <x v="3"/>
  </r>
  <r>
    <m/>
    <m/>
    <x v="2"/>
    <s v="6-8其他作業"/>
    <s v="L6001"/>
    <s v="應處理清單      "/>
    <m/>
    <s v="賴文育"/>
    <s v="余家興"/>
    <s v="PJ201800012_URS_6共同作業_V1.11.docx"/>
    <x v="14"/>
    <d v="2021-09-08T00:00:00"/>
    <d v="2021-12-17T00:00:00"/>
    <s v="李珮琪"/>
    <s v="蔡珮瑜"/>
    <s v="張舜雯"/>
    <m/>
    <m/>
    <m/>
    <m/>
    <m/>
    <m/>
    <m/>
    <s v="放款服務課"/>
    <d v="2021-12-03T00:00:00"/>
    <s v="需二審"/>
    <d v="2021-12-16T00:00:00"/>
    <d v="2021-12-16T00:00:00"/>
    <d v="2021-12-20T00:00:00"/>
    <m/>
    <m/>
    <m/>
    <s v="蔡珮瑜"/>
    <m/>
    <m/>
    <m/>
    <s v="2021/10/19, 2021/10/18, 2021/9/8"/>
    <s v="新交易"/>
    <s v="新交易"/>
    <s v="L6001"/>
    <x v="7"/>
  </r>
  <r>
    <m/>
    <m/>
    <x v="5"/>
    <s v="4-4銀行扣款授權"/>
    <s v="L4042"/>
    <s v="ACH授權資料查詢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042"/>
    <x v="3"/>
  </r>
  <r>
    <m/>
    <m/>
    <x v="5"/>
    <s v="4-4銀行扣款授權"/>
    <s v="L4410"/>
    <s v="ACH授權資料建檔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4-12-10_x000a_4-12-20"/>
    <s v="授權資料建檔作業_x000a_授權記錄檔資料維護作業"/>
    <s v="L4410"/>
    <x v="3"/>
  </r>
  <r>
    <m/>
    <m/>
    <x v="5"/>
    <s v="4-4銀行扣款授權"/>
    <s v="L4040"/>
    <s v="產生ACH授權提出資料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許慧玉"/>
    <m/>
    <m/>
    <m/>
    <m/>
    <s v="4-12-15_x000a_4-12-30_x000a_4-12-31"/>
    <s v="產生授權資料_x000a_授權媒體製作_x000a_重製授權媒體碼"/>
    <e v="#N/A"/>
    <x v="3"/>
  </r>
  <r>
    <m/>
    <m/>
    <x v="5"/>
    <s v="4-4銀行扣款授權"/>
    <s v="L4414"/>
    <s v="上傳授權提回檔 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許慧玉"/>
    <m/>
    <m/>
    <m/>
    <m/>
    <s v="4-12-50_x000a_4-8-95-50"/>
    <s v="ＰＣ上傳授權提回檔_x000a_ＰＣ上傳授權提回檔"/>
    <e v="#N/A"/>
    <x v="3"/>
  </r>
  <r>
    <m/>
    <m/>
    <x v="5"/>
    <s v="4-4銀行扣款授權"/>
    <s v="L4940"/>
    <s v="帳號授權檔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940"/>
    <x v="3"/>
  </r>
  <r>
    <m/>
    <m/>
    <x v="5"/>
    <s v="4-4銀行扣款授權"/>
    <s v="L4941"/>
    <s v="ACH授權資料歷史紀錄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941"/>
    <x v="3"/>
  </r>
  <r>
    <m/>
    <m/>
    <x v="5"/>
    <s v="4-4銀行扣款授權"/>
    <s v="L4043"/>
    <s v="郵局授權資料查詢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宋郁宏"/>
    <m/>
    <m/>
    <m/>
    <m/>
    <s v="新交易"/>
    <s v="新交易"/>
    <s v="L4043"/>
    <x v="3"/>
  </r>
  <r>
    <m/>
    <m/>
    <x v="5"/>
    <s v="4-4銀行扣款授權"/>
    <s v="L4412"/>
    <s v="郵局授權資料建檔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宋郁宏"/>
    <m/>
    <m/>
    <m/>
    <m/>
    <s v="4-8-95-10_x000a_4-8-95-20"/>
    <s v="授權資料建檔作業_x000a_授權記錄檔資料維護作業"/>
    <s v="L4412"/>
    <x v="3"/>
  </r>
  <r>
    <m/>
    <m/>
    <x v="5"/>
    <s v="4-4銀行扣款授權"/>
    <s v="L4041"/>
    <s v="產生郵局授權資料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宋郁宏"/>
    <m/>
    <m/>
    <m/>
    <m/>
    <s v="4-8-95-15_x000a_4-8-95-30_x000a_4-8-95-31"/>
    <s v="產生授權資料_x000a_授權媒體製作_x000a_重製授權媒體碼"/>
    <e v="#N/A"/>
    <x v="3"/>
  </r>
  <r>
    <m/>
    <m/>
    <x v="5"/>
    <s v="4-4銀行扣款授權"/>
    <s v="L4942"/>
    <s v="郵局授權資料歷史紀錄查詢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宋郁宏"/>
    <m/>
    <m/>
    <m/>
    <m/>
    <s v="新交易"/>
    <s v="新交易"/>
    <e v="#N/A"/>
    <x v="3"/>
  </r>
  <r>
    <m/>
    <n v="1"/>
    <x v="3"/>
    <s v="3-3回收、部分償還、暫收款"/>
    <s v="L3210"/>
    <s v="暫收款登錄               "/>
    <m/>
    <s v="賴文育"/>
    <s v="余家興"/>
    <s v="PJ201800012_URS_3帳務作業_V1.81"/>
    <x v="16"/>
    <d v="2021-09-13T00:00:00"/>
    <d v="2021-09-13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6"/>
    <s v="暫收款登錄"/>
    <e v="#N/A"/>
    <x v="5"/>
  </r>
  <r>
    <m/>
    <n v="1"/>
    <x v="3"/>
    <s v="3-3回收、部分償還、暫收款"/>
    <s v="L3220"/>
    <s v="暫收款退還               "/>
    <m/>
    <s v="賴文育"/>
    <s v="余家興"/>
    <s v="PJ201800012_URS_3帳務作業_V1.84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8T00:00:00"/>
    <d v="2021-10-28T00:00:00"/>
    <s v="2021/12/9, 2021/11/12"/>
    <s v="預計2021/11/12"/>
    <m/>
    <m/>
    <s v="邵淑微"/>
    <m/>
    <m/>
    <m/>
    <m/>
    <n v="337"/>
    <s v="暫收款退還"/>
    <s v="L3220"/>
    <x v="5"/>
  </r>
  <r>
    <m/>
    <m/>
    <x v="5"/>
    <s v="4-1撥款退款作業"/>
    <s v="L4102"/>
    <s v="撥款退款明細表"/>
    <s v="審後新增2021/10/26"/>
    <s v="賴文育"/>
    <s v="陳昱衡"/>
    <s v="PJ201800012_URS_4批次作業_V1.10.doc"/>
    <x v="17"/>
    <d v="2021-10-15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新交易"/>
    <s v="新交易"/>
    <e v="#N/A"/>
    <x v="6"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x v="17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新交易"/>
    <s v="新交易"/>
    <e v="#N/A"/>
    <x v="3"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m/>
    <x v="2"/>
    <s v="6-1控制類"/>
    <s v="L6101"/>
    <s v="業務關帳作業"/>
    <m/>
    <s v="賴文育"/>
    <s v="楊智誠"/>
    <s v="PJ201800012_URS_6共同作業_V1.11.docx"/>
    <x v="16"/>
    <d v="2021-09-13T00:00:00"/>
    <d v="2021-12-10T00:00:00"/>
    <s v="涂宇欣"/>
    <s v="蔡珮瑜"/>
    <m/>
    <m/>
    <m/>
    <m/>
    <m/>
    <m/>
    <m/>
    <m/>
    <s v="放款服務課"/>
    <d v="2021-12-10T00:00:00"/>
    <s v="需二審"/>
    <d v="2021-12-16T00:00:00"/>
    <d v="2021-12-16T00:00:00"/>
    <d v="2021-12-20T00:00:00"/>
    <m/>
    <m/>
    <m/>
    <s v="蔡珮瑜"/>
    <m/>
    <m/>
    <m/>
    <s v="2021/10/25, 2021/10/18, 2021/9/13"/>
    <s v="新交易"/>
    <m/>
    <s v="L6101"/>
    <x v="6"/>
  </r>
  <r>
    <m/>
    <m/>
    <x v="5"/>
    <s v="4-7其他"/>
    <s v="L4701"/>
    <s v="票據媒體製作                         "/>
    <m/>
    <s v="賴文育"/>
    <s v="余家興"/>
    <s v="PJ201800012_URS_4批次作業_V1.10.doc"/>
    <x v="16"/>
    <d v="2021-09-13T00:00:00"/>
    <d v="2021-06-25T00:00:00"/>
    <s v="李珮琪"/>
    <s v="邵淑微"/>
    <m/>
    <m/>
    <m/>
    <m/>
    <m/>
    <m/>
    <m/>
    <m/>
    <s v="放款服務課"/>
    <d v="2021-10-27T00:00:00"/>
    <s v="無調整"/>
    <d v="2021-11-25T00:00:00"/>
    <d v="2021-11-24T00:00:00"/>
    <d v="2021-12-09T00:00:00"/>
    <m/>
    <m/>
    <m/>
    <s v="邵淑微"/>
    <m/>
    <m/>
    <m/>
    <m/>
    <s v="4-5-1_x000a_"/>
    <s v="票據兌現媒體製作_x000a_"/>
    <e v="#N/A"/>
    <x v="3"/>
  </r>
  <r>
    <m/>
    <n v="1"/>
    <x v="3"/>
    <s v="3-3回收、部分償還、暫收款"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8"/>
    <s v="暫收支票查詢"/>
    <s v="L3007"/>
    <x v="5"/>
  </r>
  <r>
    <m/>
    <n v="1"/>
    <x v="3"/>
    <s v="3-3回收、部分償還、暫收款"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s v="377_x000a_4-5-4_x000a_4-5-5"/>
    <s v="多餘支明細資料查詢_x000a_暫收支票明細表    _x000a_支票兌現未入帳查詢"/>
    <s v="L3009"/>
    <x v="5"/>
  </r>
  <r>
    <m/>
    <n v="1"/>
    <x v="3"/>
    <s v="3-3回收、部分償還、暫收款"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s v="新交易"/>
    <m/>
    <s v="L3943"/>
    <x v="5"/>
  </r>
  <r>
    <m/>
    <m/>
    <x v="1"/>
    <s v="2-9其他"/>
    <s v="L2061"/>
    <s v="貸後契變手續費明細資料查詢(未入帳)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蔡珮瑜"/>
    <m/>
    <m/>
    <m/>
    <m/>
    <s v="237-1"/>
    <s v="貸後契變手續費作業(MENU)-"/>
    <s v="L2061"/>
    <x v="3"/>
  </r>
  <r>
    <m/>
    <m/>
    <x v="1"/>
    <s v="2-9其他"/>
    <s v="L2670"/>
    <s v="貸後契變手續費維護                      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蔡珮瑜"/>
    <m/>
    <m/>
    <m/>
    <m/>
    <s v="237-1"/>
    <s v="貸後契變手續費作業(MENU)-貸後契變手續費維護"/>
    <s v="L2670"/>
    <x v="3"/>
  </r>
  <r>
    <m/>
    <m/>
    <x v="1"/>
    <s v="2-9其他"/>
    <s v="L2062"/>
    <s v="貸後契變手續費明細資料查詢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蔡珮瑜"/>
    <m/>
    <m/>
    <m/>
    <m/>
    <s v="237-2"/>
    <s v="貸後契變手續費作業(MENU)-"/>
    <s v="L2062"/>
    <x v="3"/>
  </r>
  <r>
    <m/>
    <m/>
    <x v="5"/>
    <s v="4-6火險作業"/>
    <s v="L4060"/>
    <s v="額度擔保品保險單關聯查詢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新交易"/>
    <s v="新交易"/>
    <e v="#N/A"/>
    <x v="3"/>
  </r>
  <r>
    <m/>
    <m/>
    <x v="5"/>
    <s v="4-6火險作業"/>
    <s v="L4610"/>
    <s v="保險單明細資料登錄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d v="2021-09-16T00:00:00"/>
    <s v="4-91-13"/>
    <s v="火險保費資料維護"/>
    <s v="L4610"/>
    <x v="6"/>
  </r>
  <r>
    <m/>
    <m/>
    <x v="5"/>
    <s v="4-6火險作業"/>
    <s v="L4600"/>
    <s v="火險到期檔產生作業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1"/>
    <s v="火險到期檔產生作業"/>
    <s v="L4600"/>
    <x v="3"/>
  </r>
  <r>
    <m/>
    <m/>
    <x v="5"/>
    <s v="4-6火險作業"/>
    <s v="L4601"/>
    <s v="火險詢價作業      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3_x000a_4-91-4_x000a_4-91-5"/>
    <s v="火險詢價上傳檔轉檔作業_x000a_火險詢價重複投保報表  _x000a_續保資料錯誤明細表    "/>
    <s v="L4601"/>
    <x v="3"/>
  </r>
  <r>
    <m/>
    <m/>
    <x v="5"/>
    <s v="4-6火險作業"/>
    <s v="L4611"/>
    <s v="續約保單資料維護    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d v="2021-09-16T00:00:00"/>
    <s v="4-91-13"/>
    <s v="火險保費資料維護"/>
    <s v="L4611"/>
    <x v="6"/>
  </r>
  <r>
    <m/>
    <m/>
    <x v="5"/>
    <s v="4-6火險作業"/>
    <s v="L4602"/>
    <s v="火險出單明細表與媒體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4-91-7"/>
    <s v="出單明細表"/>
    <e v="#N/A"/>
    <x v="3"/>
  </r>
  <r>
    <d v="2021-12-22T00:00:00"/>
    <m/>
    <x v="5"/>
    <s v="4-6火險作業"/>
    <s v="L4603"/>
    <s v="火險通知作業               "/>
    <m/>
    <s v="賴文育"/>
    <s v="陳昱衡"/>
    <s v="PJ201800012_URS_4批次作業_V1.12.docx"/>
    <x v="19"/>
    <d v="2021-09-16T00:00:00"/>
    <d v="2021-12-20T00:00:00"/>
    <s v="吳承憲"/>
    <s v="邵淑微"/>
    <m/>
    <m/>
    <m/>
    <m/>
    <m/>
    <m/>
    <m/>
    <m/>
    <s v="放款服務課"/>
    <d v="2021-12-20T00:00:00"/>
    <s v="需二審"/>
    <d v="2021-11-24T00:00:00"/>
    <d v="2021-11-24T00:00:00"/>
    <d v="2021-12-20T00:00:00"/>
    <m/>
    <m/>
    <m/>
    <s v="邵淑微"/>
    <m/>
    <m/>
    <m/>
    <m/>
    <s v="4-91-6"/>
    <s v="火險通知單"/>
    <s v="L4603"/>
    <x v="7"/>
  </r>
  <r>
    <m/>
    <m/>
    <x v="5"/>
    <s v="4-6火險作業"/>
    <s v="L4962"/>
    <s v="保險單資料檢核作業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s v="2021/10/19, 2021/9/16"/>
    <s v="4-91-15_x000a_4-91-16"/>
    <s v="保費、保單未完成檢核表_x000a_額度無保單檢核表      "/>
    <s v="L4962"/>
    <x v="6"/>
  </r>
  <r>
    <m/>
    <m/>
    <x v="5"/>
    <s v="4-6火險作業"/>
    <s v="L4960"/>
    <s v="火險保費資料查詢(By客戶)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新交易"/>
    <s v="新交易"/>
    <e v="#N/A"/>
    <x v="3"/>
  </r>
  <r>
    <m/>
    <m/>
    <x v="5"/>
    <s v="4-6火險作業"/>
    <s v="L4961"/>
    <s v="火險保費明細查詢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s v="2021/10/19, 2021/9/16"/>
    <s v="新交易"/>
    <s v="新交易"/>
    <e v="#N/A"/>
    <x v="3"/>
  </r>
  <r>
    <m/>
    <m/>
    <x v="5"/>
    <s v="4-6火險作業"/>
    <s v="L4964"/>
    <s v="擔保品保險單資料查詢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4-91-12"/>
    <s v="火險保費查詢"/>
    <e v="#N/A"/>
    <x v="3"/>
  </r>
  <r>
    <m/>
    <m/>
    <x v="5"/>
    <s v="4-6火險作業"/>
    <s v="L4965"/>
    <s v="保險單明細資料查詢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s v="2021/10/19, 2021/9/16"/>
    <s v="4-91-12"/>
    <s v="火險保費查詢 "/>
    <s v="L4965"/>
    <x v="3"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10 _x000a_4-8-11 _x000a_4-13-10_x000a_4-13-11"/>
    <s v="產生火險銀行扣款檔                    _x000a_產生銀行扣款檔                        _x000a_產生 ACH 扣款檔（火險）               _x000a_產生 ACH 扣款檔－期款帳管費契變手續費 "/>
    <s v="L4450"/>
    <x v="3"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s v="2021/10/15, 2021/9/17"/>
    <s v="4-8-25 _x000a_4-13-21"/>
    <s v="郵局扣款檢核表      _x000a_ACH 扣款金額異常報表"/>
    <s v="L4943"/>
    <x v="3"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20 _x000a_4-13-20"/>
    <s v="銀行扣款檔資料維護 _x000a_ACH 扣款檔資料維護 "/>
    <s v="L4451"/>
    <x v="3"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30 _x000a_4-13-30_x000a_4-13-31"/>
    <s v="銀行扣款（含火險）媒體製作_x000a_ACH 扣款媒體製作          _x000a_重置扣款媒體碼            "/>
    <s v="L4452"/>
    <x v="3"/>
  </r>
  <r>
    <m/>
    <m/>
    <x v="5"/>
    <s v="4-4銀行扣款作業(產出銀扣媒體作業)"/>
    <s v="L4453"/>
    <s v="銀扣扣款前通知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35 _x000a_4-13-23"/>
    <s v="銀行扣款前簡訊通知作業_x000a_ACH 扣款前簡訊傳送作業"/>
    <s v="L4453"/>
    <x v="3"/>
  </r>
  <r>
    <m/>
    <m/>
    <x v="6"/>
    <s v="5-5債務協商作業"/>
    <s v="L5705"/>
    <s v="債權比例分攤(產出)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706"/>
    <s v="債權比例分攤資料維護(匯入)            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071"/>
    <x v="8"/>
  </r>
  <r>
    <m/>
    <m/>
    <x v="6"/>
    <s v="5-5債務協商作業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1"/>
    <x v="8"/>
  </r>
  <r>
    <m/>
    <m/>
    <x v="6"/>
    <s v="5-5債務協商作業"/>
    <s v="L5981"/>
    <s v="債權異動歷程查詢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075"/>
    <x v="8"/>
  </r>
  <r>
    <m/>
    <m/>
    <x v="6"/>
    <s v="5-5債務協商作業"/>
    <s v="L5974"/>
    <s v="債權銀行帳號明細資料查詢              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073"/>
    <s v="債務協商作業-撥付日期查詢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0"/>
    <x v="8"/>
  </r>
  <r>
    <m/>
    <m/>
    <x v="6"/>
    <s v="5-5債務協商作業"/>
    <s v="L5074"/>
    <s v="債務協商作業－債協應處理事項清單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A"/>
    <x v="8"/>
  </r>
  <r>
    <m/>
    <m/>
    <x v="6"/>
    <s v="5-5債務協商作業"/>
    <s v="L5702"/>
    <s v="債務協商作業-暫收入帳"/>
    <m/>
    <s v="蘇曉玲"/>
    <s v="蘇曉玲"/>
    <s v="PJ201800012_URS_5管理性作業_V1.2.DOCX"/>
    <x v="23"/>
    <d v="2021-09-24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2"/>
    <x v="8"/>
  </r>
  <r>
    <m/>
    <m/>
    <x v="6"/>
    <s v="5-5債務協商作業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1"/>
    <x v="8"/>
  </r>
  <r>
    <m/>
    <m/>
    <x v="6"/>
    <s v="5-5債務協商作業"/>
    <s v="L5972"/>
    <s v="債務協商入帳明細資料查詢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703"/>
    <s v="債權銀行帳號登錄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704"/>
    <s v="債務協商作業－撥付日期設定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707"/>
    <s v="最大債權撥付產檔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973"/>
    <s v="最大債權撥付明細查詢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975"/>
    <s v="最大債權撥付統計查詢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976"/>
    <s v="債權案件主檔內容查詢"/>
    <m/>
    <s v="蘇曉玲"/>
    <s v="蘇曉玲"/>
    <s v="PJ201800012_URS_5管理性作業_V1.2.DOCX"/>
    <x v="21"/>
    <d v="2021-09-23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977"/>
    <s v="客戶最大債權撥付統計查詢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711"/>
    <s v="撥付金額調整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11"/>
    <x v="8"/>
  </r>
  <r>
    <m/>
    <m/>
    <x v="6"/>
    <s v="5-5債務協商作業"/>
    <s v="L5708"/>
    <s v="最大債權撥付出帳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9"/>
    <x v="8"/>
  </r>
  <r>
    <m/>
    <m/>
    <x v="6"/>
    <s v="5-5債務協商作業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10"/>
    <x v="8"/>
  </r>
  <r>
    <m/>
    <m/>
    <x v="2"/>
    <s v="6-6各類代碼檔維護"/>
    <s v="L6061"/>
    <s v="會計科子細目查詢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6-30"/>
    <s v="會計科子目維護"/>
    <e v="#N/A"/>
    <x v="4"/>
  </r>
  <r>
    <m/>
    <m/>
    <x v="2"/>
    <s v="6-6各類代碼檔維護"/>
    <s v="L6062"/>
    <s v="行業別代號資料查詢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8"/>
    <s v="行業別代號維護"/>
    <e v="#N/A"/>
    <x v="4"/>
  </r>
  <r>
    <m/>
    <m/>
    <x v="2"/>
    <s v="6-6各類代碼檔維護"/>
    <s v="L6063"/>
    <s v="擔保品代號資料查詢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12"/>
    <s v="押品別資料維護"/>
    <e v="#N/A"/>
    <x v="4"/>
  </r>
  <r>
    <m/>
    <m/>
    <x v="2"/>
    <s v="6-3共同資料維護(利率、營業日)"/>
    <s v="L6030"/>
    <s v="特殊/例假日查詢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s v="需二審"/>
    <s v="2021/12/9, 2021/12/14am"/>
    <d v="2021-12-09T00:00:00"/>
    <d v="2021-12-14T00:00:00"/>
    <m/>
    <m/>
    <m/>
    <s v="邵淑微"/>
    <m/>
    <m/>
    <m/>
    <m/>
    <s v="新交易"/>
    <m/>
    <s v="L6030"/>
    <x v="4"/>
  </r>
  <r>
    <m/>
    <m/>
    <x v="2"/>
    <s v="6-3共同資料維護(利率、營業日)"/>
    <s v="L6310"/>
    <s v="特殊/例假日登錄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s v="無調整"/>
    <s v="2021/12/9, 2021/12/14am"/>
    <d v="2021-12-09T00:00:00"/>
    <d v="2021-12-14T00:00:00"/>
    <m/>
    <m/>
    <m/>
    <s v="邵淑微"/>
    <m/>
    <m/>
    <m/>
    <m/>
    <s v="新交易"/>
    <m/>
    <e v="#N/A"/>
    <x v="4"/>
  </r>
  <r>
    <m/>
    <m/>
    <x v="2"/>
    <s v="6-6各類代碼檔維護"/>
    <s v="L6064"/>
    <s v="各類代碼檔查詢"/>
    <m/>
    <s v="賴文育"/>
    <s v="楊智誠"/>
    <s v="PJ201800012_URS_6共同作業_V1.11.docx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s v="陳政皓"/>
    <m/>
    <m/>
    <m/>
    <m/>
    <s v="新交易"/>
    <m/>
    <s v="L6064"/>
    <x v="4"/>
  </r>
  <r>
    <m/>
    <m/>
    <x v="2"/>
    <s v="6-6各類代碼檔維護"/>
    <s v="L6065"/>
    <s v="逾期新增減少原因查詢"/>
    <m/>
    <s v="賴文育"/>
    <s v="楊智誠"/>
    <s v="PJ201800012_URS_6共同作業_V1.11.docx"/>
    <x v="26"/>
    <d v="2021-09-28T00:00:00"/>
    <d v="2021-09-28T00:00:00"/>
    <s v="李珮琪"/>
    <s v="張舜雯"/>
    <m/>
    <m/>
    <m/>
    <m/>
    <m/>
    <m/>
    <m/>
    <m/>
    <s v="放款管理課"/>
    <d v="2021-12-03T00:00:00"/>
    <s v="無調整"/>
    <d v="2021-11-30T00:00:00"/>
    <d v="2021-11-30T00:00:00"/>
    <d v="2021-12-20T00:00:00"/>
    <m/>
    <m/>
    <m/>
    <s v="張舜雯"/>
    <m/>
    <m/>
    <m/>
    <m/>
    <s v="6-17"/>
    <s v="逾期新增減少原因維護"/>
    <e v="#N/A"/>
    <x v="4"/>
  </r>
  <r>
    <m/>
    <m/>
    <x v="2"/>
    <s v="6-6各類代碼檔維護"/>
    <s v="L6066"/>
    <s v="主管理由查詢"/>
    <m/>
    <s v="賴文育"/>
    <s v="楊智誠"/>
    <s v="PJ201800012_URS_6共同作業_V1.11.docx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7"/>
    <s v="主管理由檔維護"/>
    <e v="#N/A"/>
    <x v="4"/>
  </r>
  <r>
    <m/>
    <m/>
    <x v="2"/>
    <s v="6-6各類代碼檔維護"/>
    <s v="L6067"/>
    <s v="保證人關係代碼查詢"/>
    <m/>
    <s v="賴文育"/>
    <s v="楊智誠"/>
    <s v="PJ201800012_URS_6共同作業_V1.11.docx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36"/>
    <s v="保證人關係維護"/>
    <e v="#N/A"/>
    <x v="4"/>
  </r>
  <r>
    <m/>
    <m/>
    <x v="2"/>
    <s v="6-6各類代碼檔維護"/>
    <s v="L6068"/>
    <s v="報表代號對照檔查詢"/>
    <m/>
    <s v="賴文育"/>
    <s v="楊智誠"/>
    <s v="PJ201800012_URS_6共同作業_V1.11.docx"/>
    <x v="27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d v="2021-12-20T00:00:00"/>
    <m/>
    <m/>
    <m/>
    <s v="蔡珮瑜"/>
    <m/>
    <m/>
    <m/>
    <m/>
    <s v="新交易"/>
    <m/>
    <e v="#N/A"/>
    <x v="7"/>
  </r>
  <r>
    <m/>
    <m/>
    <x v="2"/>
    <s v="6-7其他基本資料維護"/>
    <s v="L6071"/>
    <s v="行庫資料查詢"/>
    <m/>
    <s v="賴文育"/>
    <s v="楊智誠"/>
    <s v="PJ201800012_URS_6共同作業_V1.11.docx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28"/>
    <s v="行庫資料維護"/>
    <e v="#N/A"/>
    <x v="4"/>
  </r>
  <r>
    <m/>
    <m/>
    <x v="2"/>
    <s v="6-7其他基本資料維護"/>
    <s v="L6072"/>
    <s v="營業單位對照檔查詢"/>
    <m/>
    <s v="賴文育"/>
    <s v="楊智誠"/>
    <s v="PJ201800012_URS_6共同作業_V1.11.docx"/>
    <x v="27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d v="2021-12-20T00:00:00"/>
    <m/>
    <m/>
    <m/>
    <s v="蔡珮瑜"/>
    <m/>
    <m/>
    <m/>
    <m/>
    <s v="6-4"/>
    <s v="營業單位對照檔維護"/>
    <e v="#N/A"/>
    <x v="7"/>
  </r>
  <r>
    <m/>
    <m/>
    <x v="2"/>
    <s v="6-7其他基本資料維護"/>
    <s v="L6073"/>
    <s v="保險/鑑定公司資料查詢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10"/>
    <s v="保險／鑑定公司資料維護"/>
    <e v="#N/A"/>
    <x v="4"/>
  </r>
  <r>
    <m/>
    <m/>
    <x v="2"/>
    <s v="6-7其他基本資料維護"/>
    <s v="L6074"/>
    <s v="地區別資料查詢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s v="鄧雪美"/>
    <m/>
    <m/>
    <m/>
    <m/>
    <s v="6-35"/>
    <s v="聯徵報送-地區別資料維護"/>
    <s v="L6074"/>
    <x v="4"/>
  </r>
  <r>
    <m/>
    <m/>
    <x v="2"/>
    <s v="6-7其他基本資料維護"/>
    <s v="L6075"/>
    <s v="聯徵報送-地區別資料查詢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s v="鄧雪美"/>
    <m/>
    <m/>
    <m/>
    <m/>
    <s v="6-35"/>
    <s v="聯徵報送-地區別資料維護"/>
    <s v="L6075"/>
    <x v="4"/>
  </r>
  <r>
    <m/>
    <m/>
    <x v="2"/>
    <s v="6-7其他基本資料維護"/>
    <s v="L6077"/>
    <s v="現金流量預估資料查詢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6-25"/>
    <s v="現金流量預估資料維護"/>
    <e v="#N/A"/>
    <x v="4"/>
  </r>
  <r>
    <m/>
    <m/>
    <x v="2"/>
    <s v="6-7其他基本資料維護"/>
    <s v="L6078"/>
    <s v="利息收入預算數查詢"/>
    <m/>
    <s v="賴文育"/>
    <s v="楊智誠"/>
    <s v="PJ201800012_URS_6共同作業_V1.11.docx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新交易"/>
    <m/>
    <e v="#N/A"/>
    <x v="4"/>
  </r>
  <r>
    <m/>
    <m/>
    <x v="2"/>
    <s v="6-7其他基本資料維護"/>
    <s v="L6079"/>
    <s v="帳冊別目標金額查詢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40"/>
    <s v="利變目標金額維護"/>
    <e v="#N/A"/>
    <x v="4"/>
  </r>
  <r>
    <m/>
    <m/>
    <x v="2"/>
    <s v="6-7其他基本資料維護"/>
    <s v="L6081"/>
    <s v="介紹人加碼獎勵津貼標準設定數查詢"/>
    <m/>
    <s v="賴文育"/>
    <s v="楊智誠"/>
    <s v="PJ201800012_URS_6共同作業_V1.11.docx"/>
    <x v="28"/>
    <d v="2021-07-20T00:00:00"/>
    <d v="2021-07-21T00:00:00"/>
    <s v="李珮琪"/>
    <s v="張淑遠"/>
    <m/>
    <m/>
    <m/>
    <m/>
    <m/>
    <m/>
    <m/>
    <m/>
    <s v="放款推展課"/>
    <d v="2021-12-03T00:00:00"/>
    <s v="無調整"/>
    <d v="2021-07-20T00:00:00"/>
    <d v="2021-07-20T00:00:00"/>
    <d v="2021-12-20T00:00:00"/>
    <m/>
    <m/>
    <m/>
    <s v="張淑遠"/>
    <m/>
    <m/>
    <m/>
    <d v="2021-07-20T00:00:00"/>
    <s v="新交易"/>
    <m/>
    <e v="#N/A"/>
    <x v="4"/>
  </r>
  <r>
    <m/>
    <m/>
    <x v="2"/>
    <s v="6-7其他基本資料維護"/>
    <s v="L6082"/>
    <s v="放款業績工作月查詢"/>
    <m/>
    <s v="賴文育"/>
    <s v="楊智誠"/>
    <s v="PJ201800012_URS_6共同作業_V1.11.docx"/>
    <x v="29"/>
    <d v="2021-07-19T00:00:00"/>
    <d v="2021-07-25T00:00:00"/>
    <s v="涂宇欣"/>
    <s v="李珮君(張淑遠)"/>
    <m/>
    <n v="1"/>
    <s v="B"/>
    <m/>
    <m/>
    <m/>
    <m/>
    <m/>
    <e v="#N/A"/>
    <d v="2021-07-25T00:00:00"/>
    <s v="需二審"/>
    <d v="2021-12-20T00:00:00"/>
    <d v="2021-12-20T00:00:00"/>
    <d v="2021-12-20T00:00:00"/>
    <m/>
    <m/>
    <m/>
    <s v="李珮君(張淑遠)"/>
    <m/>
    <m/>
    <m/>
    <d v="2021-07-19T00:00:00"/>
    <s v="6-31"/>
    <s v="放款業績工作日維護"/>
    <s v="L6082"/>
    <x v="4"/>
  </r>
  <r>
    <m/>
    <m/>
    <x v="2"/>
    <s v="6-7其他基本資料維護"/>
    <s v="L6084"/>
    <s v="業績件數及金額核算標準查詢"/>
    <m/>
    <s v="賴文育"/>
    <s v="楊智誠"/>
    <s v="PJ201800012_URS_6共同作業_V1.11.docx"/>
    <x v="30"/>
    <d v="2021-07-21T00:00:00"/>
    <d v="2021-07-25T00:00:00"/>
    <s v="涂宇欣"/>
    <s v="張淑遠"/>
    <m/>
    <m/>
    <m/>
    <m/>
    <m/>
    <m/>
    <m/>
    <m/>
    <s v="放款推展課"/>
    <d v="2021-07-25T00:00:00"/>
    <s v="無調整"/>
    <d v="2021-07-21T00:00:00"/>
    <d v="2021-07-21T00:00:00"/>
    <d v="2021-12-20T00:00:00"/>
    <m/>
    <m/>
    <m/>
    <s v="張淑遠"/>
    <m/>
    <m/>
    <m/>
    <d v="2021-07-21T00:00:00"/>
    <s v="新交易"/>
    <m/>
    <e v="#N/A"/>
    <x v="4"/>
  </r>
  <r>
    <m/>
    <m/>
    <x v="2"/>
    <s v="6-7其他基本資料維護"/>
    <s v="L6085"/>
    <s v="單位及主管代號查詢"/>
    <m/>
    <s v="賴文育"/>
    <s v="楊智誠"/>
    <s v="PJ201800012_URS_6共同作業_V1.11.docx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m/>
    <s v="6-29"/>
    <s v="單位主管代碼檔維護"/>
    <s v="L6085"/>
    <x v="4"/>
  </r>
  <r>
    <m/>
    <m/>
    <x v="2"/>
    <s v="6-7其他基本資料維護"/>
    <s v="L6086"/>
    <s v="單位代號查詢"/>
    <m/>
    <s v="賴文育"/>
    <s v="楊智誠"/>
    <s v="PJ201800012_URS_6共同作業_V1.11.docx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m/>
    <s v="新交易"/>
    <m/>
    <s v="L6086"/>
    <x v="4"/>
  </r>
  <r>
    <m/>
    <m/>
    <x v="2"/>
    <s v="6-6各類代碼檔維護"/>
    <s v="L6601"/>
    <s v="會計科子細目維護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6-30"/>
    <s v="會計科子目維護"/>
    <e v="#N/A"/>
    <x v="4"/>
  </r>
  <r>
    <m/>
    <m/>
    <x v="2"/>
    <s v="6-6各類代碼檔維護"/>
    <s v="L6602"/>
    <s v="行業別代號維護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8"/>
    <s v="行業別代號維護"/>
    <e v="#N/A"/>
    <x v="4"/>
  </r>
  <r>
    <m/>
    <m/>
    <x v="2"/>
    <s v="6-6各類代碼檔維護"/>
    <s v="L6603"/>
    <s v="擔保品代號資料維護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12"/>
    <s v="押品別資料維護"/>
    <e v="#N/A"/>
    <x v="4"/>
  </r>
  <r>
    <m/>
    <m/>
    <x v="2"/>
    <s v="6-6各類代碼檔維護"/>
    <s v="L6604"/>
    <s v="各類代碼檔維護"/>
    <m/>
    <s v="賴文育"/>
    <s v="楊智誠"/>
    <s v="PJ201800012_URS_6共同作業_V1.11.docx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s v="陳政皓"/>
    <m/>
    <m/>
    <m/>
    <m/>
    <s v="新交易"/>
    <m/>
    <s v="L6604"/>
    <x v="4"/>
  </r>
  <r>
    <m/>
    <m/>
    <x v="2"/>
    <s v="6-6各類代碼檔維護"/>
    <s v="L6605"/>
    <s v="逾期新增減少原因維護"/>
    <m/>
    <s v="賴文育"/>
    <s v="楊智誠"/>
    <s v="PJ201800012_URS_6共同作業_V1.11.docx"/>
    <x v="26"/>
    <d v="2021-09-28T00:00:00"/>
    <d v="2021-10-03T00:00:00"/>
    <s v="李珮琪"/>
    <s v="張舜雯"/>
    <m/>
    <m/>
    <m/>
    <m/>
    <m/>
    <m/>
    <m/>
    <m/>
    <s v="放款管理課"/>
    <d v="2021-10-03T00:00:00"/>
    <s v="需二審"/>
    <d v="2021-11-30T00:00:00"/>
    <d v="2021-11-30T00:00:00"/>
    <d v="2021-12-20T00:00:00"/>
    <m/>
    <m/>
    <m/>
    <s v="張舜雯"/>
    <m/>
    <m/>
    <m/>
    <m/>
    <s v="6-17"/>
    <s v="逾期新增減少原因維護"/>
    <s v="L6605"/>
    <x v="4"/>
  </r>
  <r>
    <m/>
    <m/>
    <x v="2"/>
    <s v="6-6各類代碼檔維護"/>
    <s v="L6606"/>
    <s v="主管理由維護"/>
    <m/>
    <s v="賴文育"/>
    <s v="楊智誠"/>
    <s v="PJ201800012_URS_6共同作業_V1.11.docx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7"/>
    <s v="主管理由檔維護"/>
    <e v="#N/A"/>
    <x v="4"/>
  </r>
  <r>
    <m/>
    <m/>
    <x v="2"/>
    <s v="6-6各類代碼檔維護"/>
    <s v="L6607"/>
    <s v="保證人關係代碼維護"/>
    <m/>
    <s v="賴文育"/>
    <s v="楊智誠"/>
    <s v="PJ201800012_URS_6共同作業_V1.11.docx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36"/>
    <s v="保證人關係維護"/>
    <e v="#N/A"/>
    <x v="4"/>
  </r>
  <r>
    <m/>
    <m/>
    <x v="2"/>
    <s v="6-6各類代碼檔維護"/>
    <s v="L6608"/>
    <s v="報表代號對照檔維護"/>
    <m/>
    <s v="賴文育"/>
    <s v="楊智誠"/>
    <s v="PJ201800012_URS_6共同作業_V1.11.docx"/>
    <x v="27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d v="2021-12-20T00:00:00"/>
    <m/>
    <m/>
    <m/>
    <s v="蔡珮瑜"/>
    <m/>
    <m/>
    <m/>
    <m/>
    <s v="新交易"/>
    <m/>
    <s v="L6608"/>
    <x v="7"/>
  </r>
  <r>
    <m/>
    <m/>
    <x v="2"/>
    <s v="6-7其他基本資料維護"/>
    <s v="L6701"/>
    <s v="行庫資料維護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28"/>
    <s v="行庫資料維護"/>
    <e v="#N/A"/>
    <x v="4"/>
  </r>
  <r>
    <m/>
    <m/>
    <x v="2"/>
    <s v="6-7其他基本資料維護"/>
    <s v="L6702"/>
    <s v="營業單位對照檔維護"/>
    <m/>
    <s v="賴文育"/>
    <s v="楊智誠"/>
    <s v="PJ201800012_URS_6共同作業_V1.11.docx"/>
    <x v="27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d v="2021-12-20T00:00:00"/>
    <m/>
    <m/>
    <m/>
    <s v="蔡珮瑜"/>
    <m/>
    <m/>
    <m/>
    <m/>
    <s v="6-4"/>
    <s v="營業單位對照檔維護"/>
    <e v="#N/A"/>
    <x v="7"/>
  </r>
  <r>
    <m/>
    <m/>
    <x v="2"/>
    <s v="6-5系統變數維護"/>
    <s v="L6052"/>
    <s v="會計變動數值設定查詢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s v="陳政皓"/>
    <m/>
    <m/>
    <m/>
    <m/>
    <s v="新交易"/>
    <m/>
    <s v="L6052"/>
    <x v="4"/>
  </r>
  <r>
    <m/>
    <m/>
    <x v="2"/>
    <s v="6-5系統變數維護"/>
    <s v="L6502"/>
    <s v="會計變動數值設定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s v="陳政皓"/>
    <m/>
    <m/>
    <m/>
    <m/>
    <s v="新交易"/>
    <m/>
    <s v="L6502"/>
    <x v="4"/>
  </r>
  <r>
    <m/>
    <m/>
    <x v="2"/>
    <s v="6-7其他基本資料維護"/>
    <s v="L6088"/>
    <s v="員工資料檔查詢"/>
    <s v="由L190A更名 2021/12/20"/>
    <s v="張金龍"/>
    <s v="張嘉榮"/>
    <s v="PJ201800012_URS_6共同作業_V1.11.docx"/>
    <x v="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d v="2021-12-20T00:00:00"/>
    <s v="林清河"/>
    <d v="2021-10-14T13:34:00"/>
    <d v="2021-10-18T17:54:00"/>
    <s v="蔡珮瑜"/>
    <m/>
    <m/>
    <m/>
    <m/>
    <s v="4-3-2"/>
    <s v="在職員工明細檔查詢"/>
    <e v="#N/A"/>
    <x v="4"/>
  </r>
  <r>
    <m/>
    <m/>
    <x v="5"/>
    <s v="4-5員工扣薪作業-1產出媒體"/>
    <s v="L4500"/>
    <s v="設定員工扣薪日程表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新交易"/>
    <s v="新交易"/>
    <s v="L4500"/>
    <x v="6"/>
  </r>
  <r>
    <m/>
    <m/>
    <x v="5"/>
    <s v="4-5員工扣薪作業-1產出媒體"/>
    <s v="L4950"/>
    <s v="員工扣薪設定檢核表    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2"/>
    <s v="員工扣薪設定檢核表"/>
    <e v="#N/A"/>
    <x v="6"/>
  </r>
  <r>
    <m/>
    <m/>
    <x v="5"/>
    <s v="4-5員工扣薪作業-1產出媒體"/>
    <s v="L4510"/>
    <s v="產出員工扣薪明細檔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4-7-1 _x000a_4-7-4 _x000a_4-7-10"/>
    <s v="員工扣薪到期明細表        _x000a_１５日薪扣薪資料產生作業  _x000a_非１５日薪扣薪資料產生作業"/>
    <s v="L4510"/>
    <x v="6"/>
  </r>
  <r>
    <m/>
    <m/>
    <x v="5"/>
    <s v="4-5員工扣薪作業-1產出媒體"/>
    <s v="L4951"/>
    <s v="員工扣薪媒體檔查詢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16"/>
    <s v="員工扣薪資料查詢"/>
    <e v="#N/A"/>
    <x v="6"/>
  </r>
  <r>
    <m/>
    <m/>
    <x v="5"/>
    <s v="4-5員工扣薪作業-1產出媒體"/>
    <s v="L4512"/>
    <s v="員工扣薪媒體檔維護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17"/>
    <s v="員工扣薪資料維護"/>
    <e v="#N/A"/>
    <x v="6"/>
  </r>
  <r>
    <m/>
    <m/>
    <x v="5"/>
    <s v="4-5員工扣薪作業-1產出媒體"/>
    <s v="L4511"/>
    <s v="產出員工扣薪媒體檔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4-7-5 _x000a_4-7-11_x000a_4-7-20"/>
    <s v="１５日薪扣薪媒體檔產生作業   _x000a_非１５日薪扣薪媒體檔產生作業 _x000a_員工扣薪媒體下傳報表         "/>
    <s v="L4511"/>
    <x v="6"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x v="32"/>
    <d v="2021-09-29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2021/9/29"/>
    <s v="4-7-7 _x000a_4-7-12_x000a_4-1-1_x000a_4-1-6_x000a_4-13-50_x000a_4-8-50 _x000a_"/>
    <s v="１５日薪扣薪媒體回傳作業  _x000a_非１５日薪扣薪媒體回傳作業_x000a_ＰＣ上傳匯款檔轉入暫存檔作業 _x000a_匯款暫存檔轉入匯款轉帳檔     _x000a_上傳 ACH 扣款媒體作業 _x000a_ＰＣ上傳銀行扣款作業  "/>
    <s v="L4200"/>
    <x v="3"/>
  </r>
  <r>
    <d v="2021-12-28T00:00:00"/>
    <m/>
    <x v="5"/>
    <s v="4-5員工扣薪作業-1產出媒體"/>
    <s v="L4520"/>
    <s v="產生員工扣薪報表"/>
    <m/>
    <s v="賴文育"/>
    <s v="陳昱衡"/>
    <s v="PJ201800012_URS_4批次作業_V1.12.docx"/>
    <x v="33"/>
    <d v="2021-09-29T00:00:00"/>
    <d v="2021-12-20T00:00:00"/>
    <s v="涂宇欣"/>
    <s v="邵淑微"/>
    <m/>
    <m/>
    <m/>
    <m/>
    <m/>
    <m/>
    <m/>
    <m/>
    <s v="放款服務課"/>
    <d v="2021-12-20T00:00:00"/>
    <s v="需二審"/>
    <d v="2021-12-01T00:00:00"/>
    <d v="2021-12-01T00:00:00"/>
    <d v="2021-12-20T00:00:00"/>
    <m/>
    <m/>
    <m/>
    <s v="邵淑微"/>
    <m/>
    <m/>
    <m/>
    <m/>
    <s v="4-7-15_x000a_"/>
    <s v="員工扣薪報表"/>
    <s v="L4520"/>
    <x v="7"/>
  </r>
  <r>
    <m/>
    <m/>
    <x v="5"/>
    <s v="4-5員工扣薪作業-2入賬"/>
    <s v="L4204"/>
    <s v="員工扣薪-明細查詢"/>
    <m/>
    <s v="賴文育"/>
    <s v="陳昱衡"/>
    <s v="PJ201800012_URS_4批次作業_V1.10.doc"/>
    <x v="33"/>
    <d v="2021-09-29T00:00:00"/>
    <d v="2021-07-02T00:00:00"/>
    <s v="李珮琪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新交易"/>
    <s v="新交易"/>
    <e v="#N/A"/>
    <x v="3"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x v="34"/>
    <d v="2021-10-01T00:00:00"/>
    <d v="2021-11-23T00:00:00"/>
    <s v="李珮琪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s v="邵淑微"/>
    <m/>
    <m/>
    <m/>
    <m/>
    <s v="新交易"/>
    <s v="新交易"/>
    <e v="#N/A"/>
    <x v="3"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x v="32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4-7-14_x000a_4-5-7_x000a_4-1-9_x000a_4-13-60_x000a_4-8-81 _x000a_"/>
    <s v="員工扣薪入帳作業_x000a_票據入帳作業（核心）_x000a_自動匯款作業(入帳) _x000a_ACH 扣款入帳作業_x000a_銀行扣款入帳作業_x000a__x000a__x000a__x000a_"/>
    <s v="L4002"/>
    <x v="3"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x v="32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x v="32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x v="32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4-1-4_x000a_4-1-7"/>
    <s v="匯款暫存檔印表作業_x000a_匯款轉帳檔印表作業"/>
    <s v="L4920"/>
    <x v="3"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x v="32"/>
    <d v="2021-10-15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新交易"/>
    <s v="新交易"/>
    <s v="L4925"/>
    <x v="3"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x v="32"/>
    <d v="2021-10-15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宋郁宏"/>
    <m/>
    <m/>
    <m/>
    <m/>
    <s v="新交易"/>
    <s v="新交易"/>
    <s v="L4930"/>
    <x v="3"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x v="32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x v="32"/>
    <d v="2021-10-15T00:00:00"/>
    <d v="2021-11-23T00:00:00"/>
    <s v="李珮琪"/>
    <s v="宋郁宏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宋郁宏"/>
    <m/>
    <m/>
    <m/>
    <m/>
    <s v="新交易"/>
    <s v="新交易"/>
    <e v="#N/A"/>
    <x v="3"/>
  </r>
  <r>
    <d v="2021-12-24T00:00:00"/>
    <m/>
    <x v="5"/>
    <s v="4-4銀行扣款作業(產出銀扣媒體作業)"/>
    <s v="L4454"/>
    <s v="產生銀扣失敗通知"/>
    <m/>
    <s v="賴文育"/>
    <s v="陳昱衡"/>
    <s v="PJ201800012_URS_4批次作業_V1.12.docx"/>
    <x v="32"/>
    <d v="2021-10-15T00:00:00"/>
    <d v="2021-12-20T00:00:00"/>
    <s v="李珮琪"/>
    <s v="許慧玉"/>
    <s v="蔡珮瑜、張舜雯"/>
    <m/>
    <m/>
    <m/>
    <m/>
    <m/>
    <m/>
    <m/>
    <s v="放款服務課"/>
    <d v="2021-12-20T00:00:00"/>
    <s v="需二審"/>
    <d v="2021-11-23T00:00:00"/>
    <d v="2021-11-25T00:00:00"/>
    <d v="2021-12-20T00:00:00"/>
    <m/>
    <m/>
    <m/>
    <s v="許慧玉"/>
    <m/>
    <m/>
    <m/>
    <m/>
    <s v="4-13-71_x000a_4-13-72_x000a_4-13-73_x000a_4-13-74_x000a_4-13-75_x000a_4-8-61 _x000a_4-8-62 _x000a_4-8-70 _x000a_4-8-71 _x000a_4-8-75 "/>
    <s v="ACH 存款不足明信片列印       _x000a_ACH 扣款不成功簡訊通知作業   _x000a_ACH 火險扣款成功期款失敗通知 _x000a_ACH 扣款失敗五萬元以上報表   _x000a_ACH 一年內新貸件扣款失敗表   _x000a_期款五萬元以上之銀扣失敗報表 _x000a_一年內新貸件扣款失敗表       _x000a_銀行存款不足明信片列印       _x000a_銀行扣款不成功簡訊通知作業   _x000a_銀扣火險成功期款失敗通知     "/>
    <s v="L4454"/>
    <x v="7"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x v="32"/>
    <d v="2021-10-15T00:00:00"/>
    <d v="2021-11-23T00:00:00"/>
    <s v="李珮琪"/>
    <s v="許慧玉"/>
    <s v="蔡珮瑜、張舜雯"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n v="1"/>
    <x v="3"/>
    <s v="3-3回收、部分償還、暫收款"/>
    <s v="L3911"/>
    <s v="繳息情形查詢             "/>
    <m/>
    <s v="賴文育"/>
    <s v="余家興"/>
    <s v="PJ201800012_URS_3帳務作業_V1.84"/>
    <x v="35"/>
    <d v="2021-10-22T00:00:00"/>
    <d v="2021-12-07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1/12/9, 2021/11/12"/>
    <s v="預計2021/11/12"/>
    <m/>
    <m/>
    <s v="蔡珮瑜"/>
    <m/>
    <m/>
    <m/>
    <m/>
    <n v="310"/>
    <s v="繳息情形查詢"/>
    <s v="L3911"/>
    <x v="5"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84"/>
    <x v="35"/>
    <d v="2021-10-22T00:00:00"/>
    <d v="2021-12-07T00:00:00"/>
    <s v="李珮琪"/>
    <s v="蔡珮瑜"/>
    <m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s v="蔡珮瑜"/>
    <m/>
    <m/>
    <m/>
    <m/>
    <n v="310"/>
    <s v="繳息情形查詢"/>
    <e v="#N/A"/>
    <x v="7"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81"/>
    <x v="35"/>
    <d v="2021-10-22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913"/>
    <x v="5"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x v="36"/>
    <d v="2021-10-12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m/>
    <s v="4-1-12_x000a_"/>
    <s v="大額匯款手工增入入帳"/>
    <s v="L4210"/>
    <x v="3"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x v="36"/>
    <d v="2021-10-12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蔡珮瑜"/>
    <m/>
    <m/>
    <m/>
    <m/>
    <s v="新交易"/>
    <s v="新交易"/>
    <e v="#N/A"/>
    <x v="3"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0.doc"/>
    <x v="36"/>
    <d v="2021-10-12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宋郁宏"/>
    <m/>
    <m/>
    <m/>
    <m/>
    <s v="4-1-3_x000a_4-1-5_x000a_4-1-8"/>
    <s v="匯款暫存檔剔件作業_x000a_匯款暫存檔資料維護_x000a_匯款轉帳檔資料維護"/>
    <s v="L4201"/>
    <x v="3"/>
  </r>
  <r>
    <d v="2021-12-22T00:00:00"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2.docx"/>
    <x v="36"/>
    <d v="2021-10-12T00:00:00"/>
    <d v="2021-12-20T00:00:00"/>
    <s v="李珮琪"/>
    <s v="宋郁宏"/>
    <m/>
    <m/>
    <m/>
    <m/>
    <m/>
    <m/>
    <m/>
    <m/>
    <s v="放款服務課"/>
    <d v="2021-12-20T00:00:00"/>
    <s v="審後新增"/>
    <d v="2021-11-23T00:00:00"/>
    <d v="2021-11-25T00:00:00"/>
    <d v="2021-12-20T00:00:00"/>
    <m/>
    <m/>
    <m/>
    <s v="宋郁宏"/>
    <m/>
    <m/>
    <m/>
    <m/>
    <s v="4-1-9"/>
    <s v="匯款轉帳失敗表_x000a_匯款總傳票明細表"/>
    <e v="#N/A"/>
    <x v="7"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x v="36"/>
    <d v="2021-10-13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蔡珮瑜"/>
    <m/>
    <m/>
    <m/>
    <m/>
    <s v="新交易"/>
    <s v="新交易"/>
    <e v="#N/A"/>
    <x v="3"/>
  </r>
  <r>
    <d v="2021-12-24T00:00:00"/>
    <m/>
    <x v="5"/>
    <s v="4-7其他"/>
    <s v="L4702"/>
    <s v="產生放款本息攤還表暨繳息通知單       "/>
    <m/>
    <s v="賴文育"/>
    <s v="陳昱衡"/>
    <s v="PJ201800012_URS_4批次作業_V1.12.docx"/>
    <x v="36"/>
    <d v="2021-10-12T00:00:00"/>
    <d v="2021-12-20T00:00:00"/>
    <s v="李珮琪"/>
    <s v="邵淑微"/>
    <s v="宋郁宏"/>
    <m/>
    <m/>
    <m/>
    <m/>
    <m/>
    <m/>
    <m/>
    <s v="放款服務課"/>
    <d v="2021-12-20T00:00:00"/>
    <s v="需二審"/>
    <d v="2021-11-25T00:00:00"/>
    <d v="2021-11-24T00:00:00"/>
    <d v="2021-12-20T00:00:00"/>
    <m/>
    <m/>
    <m/>
    <s v="邵淑微"/>
    <m/>
    <m/>
    <m/>
    <m/>
    <s v="4-1-13_x000a_"/>
    <s v="匯款還本繳息通知單"/>
    <s v="L4702"/>
    <x v="7"/>
  </r>
  <r>
    <m/>
    <m/>
    <x v="5"/>
    <s v="4-7其他"/>
    <s v="L4703"/>
    <s v="產生滯繳通知單                       "/>
    <m/>
    <s v="賴文育"/>
    <s v="陳昱衡"/>
    <s v="PJ201800012_URS_4批次作業_V1.10.doc"/>
    <x v="36"/>
    <d v="2021-10-12T00:00:00"/>
    <d v="2021-12-03T00:00:00"/>
    <s v="李珮琪"/>
    <s v="邵淑微"/>
    <s v="宋郁宏"/>
    <m/>
    <m/>
    <m/>
    <m/>
    <m/>
    <m/>
    <m/>
    <s v="放款服務課"/>
    <d v="2021-12-03T00:00:00"/>
    <s v="需二審"/>
    <d v="2021-11-25T00:00:00"/>
    <d v="2021-11-24T00:00:00"/>
    <d v="2021-12-09T00:00:00"/>
    <m/>
    <m/>
    <m/>
    <s v="邵淑微"/>
    <m/>
    <m/>
    <m/>
    <m/>
    <s v="4-1-13_x000a_"/>
    <s v="匯款還本繳息通知單"/>
    <s v="L4703"/>
    <x v="3"/>
  </r>
  <r>
    <m/>
    <n v="1"/>
    <x v="3"/>
    <s v="3-1試算"/>
    <s v="L3921"/>
    <s v="回收試算                 "/>
    <m/>
    <s v="賴文育"/>
    <s v="余家興"/>
    <s v="PJ201800012_URS_3帳務作業_V1.84"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1/12/9, 2021/11/12"/>
    <s v="預計2021/11/12"/>
    <m/>
    <m/>
    <s v="蔡珮瑜"/>
    <m/>
    <m/>
    <m/>
    <m/>
    <n v="330"/>
    <s v="回收試算"/>
    <e v="#N/A"/>
    <x v="5"/>
  </r>
  <r>
    <m/>
    <n v="1"/>
    <x v="3"/>
    <s v="3-1試算"/>
    <s v="L3922"/>
    <s v="結案試算                 "/>
    <m/>
    <s v="賴文育"/>
    <s v="余家興"/>
    <s v="PJ201800012_URS_3帳務作業_V1.81"/>
    <x v="37"/>
    <d v="2021-10-13T00:00:00"/>
    <d v="2021-10-13T00:00:00"/>
    <s v="李珮琪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0"/>
    <s v="結案試算"/>
    <e v="#N/A"/>
    <x v="5"/>
  </r>
  <r>
    <m/>
    <n v="1"/>
    <x v="3"/>
    <s v="3-1試算"/>
    <s v="L3923"/>
    <s v="應繳日試算              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5"/>
    <s v="應繳日試算"/>
    <e v="#N/A"/>
    <x v="5"/>
  </r>
  <r>
    <m/>
    <n v="1"/>
    <x v="3"/>
    <s v="3-1試算"/>
    <s v="L3924"/>
    <s v="催收回復試算             "/>
    <m/>
    <s v="賴文育"/>
    <s v="余家興"/>
    <s v="PJ201800012_URS_3帳務作業_V1.81"/>
    <x v="37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5"/>
    <s v="催收回復試算"/>
    <e v="#N/A"/>
    <x v="5"/>
  </r>
  <r>
    <m/>
    <n v="1"/>
    <x v="3"/>
    <s v="3-1試算"/>
    <s v="L3925"/>
    <s v="還款分配試算            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70"/>
    <s v="還款分配試算"/>
    <e v="#N/A"/>
    <x v="5"/>
  </r>
  <r>
    <m/>
    <n v="1"/>
    <x v="3"/>
    <s v="3-1試算"/>
    <s v="L3926"/>
    <s v="變更期款試算             "/>
    <m/>
    <s v="賴文育"/>
    <s v="余家興"/>
    <s v="PJ201800012_URS_3帳務作業_V1.81"/>
    <x v="37"/>
    <d v="2021-10-13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75"/>
    <s v="變更期款試算"/>
    <s v="L3926"/>
    <x v="5"/>
  </r>
  <r>
    <m/>
    <n v="1"/>
    <x v="3"/>
    <s v="3-3回收、部分償還、暫收款"/>
    <s v="L3004"/>
    <s v="約定部分償還明細資料查詢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s v="新交易"/>
    <m/>
    <e v="#N/A"/>
    <x v="5"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x v="37"/>
    <d v="2021-10-13T00:00:00"/>
    <d v="2021-11-10T00:00:00"/>
    <s v="李珮琪"/>
    <s v="蔡珮瑜"/>
    <s v="宋郁宏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130"/>
    <x v="5"/>
  </r>
  <r>
    <m/>
    <n v="1"/>
    <x v="3"/>
    <s v="3-3回收、部分償還、暫收款"/>
    <s v="L3200"/>
    <s v="回收登錄                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31"/>
    <s v="回收登錄"/>
    <s v="L3200"/>
    <x v="5"/>
  </r>
  <r>
    <m/>
    <n v="1"/>
    <x v="3"/>
    <s v="3-3回收、部分償還、暫收款"/>
    <s v="L3230"/>
    <s v="暫收款銷帳"/>
    <m/>
    <s v="賴文育"/>
    <s v="余家興"/>
    <s v="PJ201800012_URS_3帳務作業_V1.81"/>
    <x v="37"/>
    <d v="2021-10-13T00:00:00"/>
    <d v="2021-10-18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,2021/9/14"/>
    <s v="新交易"/>
    <m/>
    <s v="L3230"/>
    <x v="5"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x v="37"/>
    <d v="2021-10-13T00:00:00"/>
    <d v="2021-12-07T00:00:00"/>
    <s v="李珮琪"/>
    <s v="邵淑微"/>
    <s v="張舜雯"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s v="邵淑微"/>
    <m/>
    <m/>
    <m/>
    <s v="2021/10/19, 2021/10/18, 2021/10/13,2021/9/14"/>
    <s v="新交易"/>
    <m/>
    <e v="#N/A"/>
    <x v="7"/>
  </r>
  <r>
    <m/>
    <n v="1"/>
    <x v="3"/>
    <s v="3-4展期、結案、轉催呆"/>
    <s v="L3410"/>
    <s v="結案登錄-可欠繳          "/>
    <m/>
    <s v="賴文育"/>
    <s v="余家興"/>
    <s v="PJ201800012_URS_3帳務作業_V1.81"/>
    <x v="37"/>
    <d v="2021-10-18T00:00:00"/>
    <d v="2021-10-18T00:00:00"/>
    <s v="涂宇欣"/>
    <s v="邵淑微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41"/>
    <s v="結案登錄-可欠繳"/>
    <e v="#N/A"/>
    <x v="5"/>
  </r>
  <r>
    <m/>
    <n v="1"/>
    <x v="3"/>
    <s v="3-4展期、結案、轉催呆"/>
    <s v="L3420"/>
    <s v="結案登錄-不可欠繳"/>
    <m/>
    <s v="賴文育"/>
    <s v="余家興"/>
    <s v="PJ201800012_URS_3帳務作業_V1.81"/>
    <x v="37"/>
    <d v="2021-10-13T00:00:00"/>
    <d v="2021-10-13T00:00:00"/>
    <s v="涂宇欣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2"/>
    <s v="結案登錄-不可欠繳"/>
    <e v="#N/A"/>
    <x v="5"/>
  </r>
  <r>
    <m/>
    <n v="1"/>
    <x v="3"/>
    <s v="3-3回收、部分償還、暫收款"/>
    <s v="L3731"/>
    <s v="呆帳戶改呆帳結案戶"/>
    <m/>
    <s v="賴文育"/>
    <s v="余家興"/>
    <s v="PJ201800012_URS_3帳務作業_V1.81"/>
    <x v="37"/>
    <d v="2021-10-13T00:00:00"/>
    <d v="2021-11-10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"/>
    <n v="632"/>
    <s v="呆帳戶改呆帳結案戶"/>
    <s v="L3731"/>
    <x v="5"/>
  </r>
  <r>
    <m/>
    <m/>
    <x v="2"/>
    <s v="6-8其他作業"/>
    <s v="L6987"/>
    <s v="呆帳戶產生法務費墊付"/>
    <s v="審後新增2021/12/20"/>
    <s v="賴文育"/>
    <s v="余家興"/>
    <s v="PJ201800012_URS_6共同作業_V1.11.docx"/>
    <x v="37"/>
    <d v="2021-10-13T00:00:00"/>
    <s v=""/>
    <s v="李珮琪"/>
    <s v="張舜雯"/>
    <m/>
    <m/>
    <m/>
    <m/>
    <m/>
    <m/>
    <m/>
    <m/>
    <s v="放款管理課"/>
    <d v="2021-10-27T00:00:00"/>
    <d v="2021-11-12T00:00:00"/>
    <d v="2021-10-27T00:00:00"/>
    <d v="2021-10-27T00:00:00"/>
    <d v="2021-11-12T00:00:00"/>
    <m/>
    <m/>
    <m/>
    <s v="張舜雯"/>
    <m/>
    <m/>
    <m/>
    <m/>
    <s v="新交易"/>
    <m/>
    <e v="#N/A"/>
    <x v="7"/>
  </r>
  <r>
    <m/>
    <n v="1"/>
    <x v="3"/>
    <s v="3-3回收、部分償還、暫收款"/>
    <s v="L3711"/>
    <s v="應繳日變更-不可欠繳      "/>
    <m/>
    <s v="賴文育"/>
    <s v="余家興"/>
    <s v="PJ201800012_URS_3帳務作業_V1.81"/>
    <x v="37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6"/>
    <s v="應繳日變更-不可欠繳"/>
    <e v="#N/A"/>
    <x v="5"/>
  </r>
  <r>
    <m/>
    <n v="1"/>
    <x v="3"/>
    <s v="3-3回收、部分償還、暫收款"/>
    <s v="L3712"/>
    <s v="應繳日變更-可欠繳        "/>
    <m/>
    <s v="賴文育"/>
    <s v="余家興"/>
    <s v="PJ201800012_URS_3帳務作業_V1.81"/>
    <x v="37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7"/>
    <s v="應繳日變更-可欠繳"/>
    <e v="#N/A"/>
    <x v="5"/>
  </r>
  <r>
    <m/>
    <m/>
    <x v="1"/>
    <s v="2-5法拍費用"/>
    <s v="L2603"/>
    <s v="法拍費用借支報表列印                    "/>
    <m/>
    <s v="賴文育"/>
    <s v="陳昱衡"/>
    <s v="PJ201800012_URS_2業務作業_V1.28.doc"/>
    <x v="37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報表列印"/>
    <e v="#N/A"/>
    <x v="3"/>
  </r>
  <r>
    <m/>
    <m/>
    <x v="1"/>
    <s v="2-5法拍費用"/>
    <s v="L2078"/>
    <s v="法拍費用明細資料查詢              "/>
    <m/>
    <s v="賴文育"/>
    <s v="陳昱衡"/>
    <s v="PJ201800012_URS_2業務作業_V1.28.doc"/>
    <x v="38"/>
    <d v="2021-10-06T00:00:00"/>
    <d v="2021-10-06T00:00:00"/>
    <s v="林清河"/>
    <s v="張舜雯"/>
    <m/>
    <m/>
    <m/>
    <m/>
    <m/>
    <m/>
    <m/>
    <m/>
    <s v="放款管理課"/>
    <d v="2021-12-03T00:00:00"/>
    <s v="需二審"/>
    <d v="2021-11-30T00:00:00"/>
    <d v="2021-11-30T00:00:00"/>
    <d v="2021-12-09T00:00:00"/>
    <m/>
    <m/>
    <m/>
    <s v="張舜雯"/>
    <m/>
    <m/>
    <m/>
    <m/>
    <n v="226"/>
    <s v="法拍費用管理系統-催收法務費沖銷明細資料查詢"/>
    <s v="L2078"/>
    <x v="3"/>
  </r>
  <r>
    <m/>
    <m/>
    <x v="1"/>
    <s v="2-5法拍費用"/>
    <s v="L2601"/>
    <s v="法拍費用新增                            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新增"/>
    <e v="#N/A"/>
    <x v="3"/>
  </r>
  <r>
    <m/>
    <m/>
    <x v="1"/>
    <s v="2-5法拍費用"/>
    <s v="L2602"/>
    <s v="法拍費用維護                            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維護"/>
    <e v="#N/A"/>
    <x v="3"/>
  </r>
  <r>
    <m/>
    <m/>
    <x v="1"/>
    <s v="2-5法拍費用"/>
    <s v="L2941"/>
    <s v="法拍費用查詢-依借戶戶號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查詢-依帳務日期"/>
    <e v="#N/A"/>
    <x v="3"/>
  </r>
  <r>
    <m/>
    <m/>
    <x v="1"/>
    <s v="2-5法拍費用"/>
    <s v="L2942"/>
    <s v="法拍費用查詢-依會計日期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查詢-依借戶戶號"/>
    <e v="#N/A"/>
    <x v="3"/>
  </r>
  <r>
    <m/>
    <m/>
    <x v="1"/>
    <s v="2-5法拍費用"/>
    <s v="L2605"/>
    <s v="法拍費用未銷明細查詢                    "/>
    <m/>
    <s v="賴文育"/>
    <s v="陳昱衡"/>
    <s v="PJ201800012_URS_2業務作業_V1.28.doc"/>
    <x v="39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季報表"/>
    <e v="#N/A"/>
    <x v="3"/>
  </r>
  <r>
    <m/>
    <m/>
    <x v="1"/>
    <s v="2-5法拍費用"/>
    <s v="L2613"/>
    <s v="法務費轉催收明細表                      "/>
    <m/>
    <s v="賴文育"/>
    <s v="陳昱衡"/>
    <s v="PJ201800012_URS_2業務作業_V1.28.doc"/>
    <x v="39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務費轉催收明細表"/>
    <e v="#N/A"/>
    <x v="3"/>
  </r>
  <r>
    <m/>
    <m/>
    <x v="1"/>
    <s v="2-5法拍費用"/>
    <s v="L2614"/>
    <s v="法務費轉催收傳票開立作業(列印)"/>
    <m/>
    <s v="賴文育"/>
    <s v="陳昱衡"/>
    <s v="PJ201800012_URS_2業務作業_V1.28.doc"/>
    <x v="39"/>
    <d v="2021-10-19T00:00:00"/>
    <d v="2021-12-06T00:00:00"/>
    <s v="林清河"/>
    <s v="邵淑微"/>
    <s v="張舜雯"/>
    <s v="併入應處理清單"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s v="邵淑微"/>
    <n v="180"/>
    <m/>
    <m/>
    <m/>
    <n v="226"/>
    <s v="法拍費用管理系統-法務費轉催收傳票開立作業"/>
    <e v="#N/A"/>
    <x v="3"/>
  </r>
  <r>
    <m/>
    <m/>
    <x v="5"/>
    <s v="4-6火險作業"/>
    <s v="L4604"/>
    <s v="火險保費未繳轉借支作業     "/>
    <m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新交易"/>
    <s v="新交易"/>
    <s v="L4604"/>
    <x v="3"/>
  </r>
  <r>
    <m/>
    <m/>
    <x v="5"/>
    <s v="4-6火險作業"/>
    <s v="L4605"/>
    <s v="火險最終保單上傳作業       "/>
    <m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10"/>
    <s v="火險最終保單上傳更新作業"/>
    <s v="L4605"/>
    <x v="3"/>
  </r>
  <r>
    <m/>
    <m/>
    <x v="5"/>
    <s v="4-6火險作業"/>
    <s v="L4606"/>
    <s v="火險佣金作業               "/>
    <m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6-1_x000a_4-96-3_x000a_4-96-4"/>
    <s v="ＰＣ上傳媒體檔轉入佣金媒體檔 _x000a_火險佣金發放明細表           _x000a_產生下傳媒體                 "/>
    <s v="L4606"/>
    <x v="3"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s v="審後新增"/>
    <d v="2021-11-24T00:00:00"/>
    <d v="2021-11-24T00:00:00"/>
    <d v="2021-12-09T00:00:00"/>
    <m/>
    <m/>
    <m/>
    <s v="邵淑微"/>
    <m/>
    <m/>
    <m/>
    <m/>
    <s v="新交易"/>
    <s v="新交易"/>
    <e v="#N/A"/>
    <x v="3"/>
  </r>
  <r>
    <m/>
    <m/>
    <x v="5"/>
    <s v="4-6火險作業"/>
    <s v="L4966"/>
    <s v="火險佣金資料查詢             "/>
    <s v="審後新增2021/11/19"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s v="邵淑微"/>
    <m/>
    <m/>
    <m/>
    <m/>
    <s v="新交易"/>
    <s v="新交易"/>
    <e v="#N/A"/>
    <x v="3"/>
  </r>
  <r>
    <m/>
    <m/>
    <x v="2"/>
    <s v="6-8其他作業"/>
    <s v="L6982"/>
    <s v="火險費轉列催收作業"/>
    <m/>
    <s v="賴文育"/>
    <s v="余家興"/>
    <s v="PJ201800012_URS_6共同作業_V1.11.docx"/>
    <x v="40"/>
    <d v="2021-10-22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s v="邵淑微"/>
    <m/>
    <m/>
    <m/>
    <m/>
    <s v="新交易"/>
    <s v="新交易"/>
    <e v="#N/A"/>
    <x v="4"/>
  </r>
  <r>
    <m/>
    <m/>
    <x v="2"/>
    <s v="6-8其他作業"/>
    <s v="L6983"/>
    <s v="法務費轉列催收作業"/>
    <m/>
    <s v="賴文育"/>
    <s v="余家興"/>
    <s v="PJ201800012_URS_6共同作業_V1.11.docx"/>
    <x v="40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s v="邵淑微"/>
    <m/>
    <m/>
    <m/>
    <s v="2021/10/19, 2021/10/18"/>
    <s v="新交易"/>
    <s v="新交易"/>
    <e v="#N/A"/>
    <x v="4"/>
  </r>
  <r>
    <m/>
    <n v="1"/>
    <x v="3"/>
    <s v="3-4展期、結案、轉催呆"/>
    <s v="L3440"/>
    <s v="催收回復登錄             "/>
    <m/>
    <s v="賴文育"/>
    <s v="余家興"/>
    <s v="PJ201800012_URS_3帳務作業_V1.81"/>
    <x v="39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6"/>
    <s v="催收回復登錄"/>
    <e v="#N/A"/>
    <x v="5"/>
  </r>
  <r>
    <m/>
    <m/>
    <x v="1"/>
    <s v="2-2案件申請、額度"/>
    <s v="L2079"/>
    <s v="展期件新舊對照查詢"/>
    <m/>
    <s v="賴文育"/>
    <s v="陳昱衡"/>
    <s v="PJ201800012_URS_2業務作業_V1.29.doc"/>
    <x v="39"/>
    <d v="2021-10-19T00:00:00"/>
    <d v="2021-10-19T00:00:00"/>
    <s v="涂宇欣"/>
    <s v="陳政皓"/>
    <s v="尹少玄"/>
    <m/>
    <m/>
    <m/>
    <m/>
    <m/>
    <m/>
    <m/>
    <s v="放款服務課"/>
    <d v="2021-11-24T00:00:00"/>
    <s v="無調整"/>
    <d v="2021-11-24T00:00:00"/>
    <d v="2021-11-24T00:00:00"/>
    <d v="2021-12-14T00:00:00"/>
    <s v="預計2021/11/12"/>
    <m/>
    <m/>
    <s v="陳政皓"/>
    <m/>
    <m/>
    <m/>
    <s v="2021/10/19, 2021/10/18"/>
    <n v="226"/>
    <s v="法拍費用管理系統-法拍費用明細資料查詢"/>
    <e v="#N/A"/>
    <x v="3"/>
  </r>
  <r>
    <m/>
    <m/>
    <x v="2"/>
    <s v="6-8其他作業"/>
    <s v="L6981"/>
    <s v="放款轉列催收作業"/>
    <m/>
    <s v="賴文育"/>
    <s v="余家興"/>
    <s v="PJ201800012_URS_6共同作業_V1.11.docx"/>
    <x v="40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s v="邵淑微"/>
    <m/>
    <m/>
    <m/>
    <s v="2021/10/19, 2021/10/18"/>
    <s v="新交易"/>
    <s v="新交易"/>
    <e v="#N/A"/>
    <x v="4"/>
  </r>
  <r>
    <m/>
    <m/>
    <x v="2"/>
    <s v="6-2日結類"/>
    <s v="L6201"/>
    <s v="其他傳票輸入"/>
    <m/>
    <s v="賴文育"/>
    <s v="楊智誠"/>
    <s v="PJ201800012_URS_6共同作業_V1.9"/>
    <x v="39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陳政皓"/>
    <m/>
    <m/>
    <m/>
    <m/>
    <s v="3-79"/>
    <s v="其他傳票輸入作業"/>
    <e v="#N/A"/>
    <x v="4"/>
  </r>
  <r>
    <m/>
    <m/>
    <x v="2"/>
    <s v="6-2日結類"/>
    <s v="L6901"/>
    <s v="交易分錄清單查詢"/>
    <m/>
    <s v="賴文育"/>
    <s v="楊智誠"/>
    <s v="PJ201800012_URS_6共同作業_V1.9"/>
    <x v="39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"/>
    <m/>
    <e v="#N/A"/>
    <x v="4"/>
  </r>
  <r>
    <m/>
    <m/>
    <x v="2"/>
    <s v="6-2日結類"/>
    <s v="L6902"/>
    <s v="會計總帳查詢"/>
    <m/>
    <s v="賴文育"/>
    <s v="楊智誠"/>
    <s v="PJ201800012_URS_6共同作業_V1.9"/>
    <x v="39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"/>
    <m/>
    <e v="#N/A"/>
    <x v="4"/>
  </r>
  <r>
    <m/>
    <m/>
    <x v="2"/>
    <s v="6-2日結類"/>
    <s v="L6903"/>
    <s v="會計帳務明細查詢"/>
    <m/>
    <s v="賴文育"/>
    <s v="楊智誠"/>
    <s v="PJ201800012_URS_6共同作業_V1.9"/>
    <x v="39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陳政皓"/>
    <m/>
    <m/>
    <m/>
    <m/>
    <s v="新交易"/>
    <m/>
    <e v="#N/A"/>
    <x v="4"/>
  </r>
  <r>
    <m/>
    <m/>
    <x v="2"/>
    <s v="6-2日結類"/>
    <s v="L6904"/>
    <s v="日結彙計查詢"/>
    <m/>
    <s v="賴文育"/>
    <s v="楊智誠"/>
    <s v="PJ201800012_URS_6共同作業_V1.9"/>
    <x v="39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_x000a_4-5-8_x000a_4-1-11"/>
    <s v="_x000a_支票兌現轉帳總傳票明細表_x000a_匯款總傳票明細表"/>
    <e v="#N/A"/>
    <x v="4"/>
  </r>
  <r>
    <m/>
    <m/>
    <x v="2"/>
    <s v="6-2日結類"/>
    <s v="L6905"/>
    <s v="日結明細查詢"/>
    <m/>
    <s v="賴文育"/>
    <s v="楊智誠"/>
    <s v="PJ201800012_URS_6共同作業_V1.9"/>
    <x v="39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蔡珮瑜"/>
    <m/>
    <m/>
    <m/>
    <s v="2021/10/18, 2021/9/14"/>
    <s v="新交易"/>
    <m/>
    <s v="L6905"/>
    <x v="4"/>
  </r>
  <r>
    <m/>
    <m/>
    <x v="2"/>
    <s v="6-2日結類"/>
    <s v="L6906"/>
    <s v="會計分錄查詢"/>
    <m/>
    <s v="賴文育"/>
    <s v="楊智誠"/>
    <s v="PJ201800012_URS_6共同作業_V1.9"/>
    <x v="39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陳政皓"/>
    <m/>
    <m/>
    <m/>
    <m/>
    <s v="新交易"/>
    <m/>
    <e v="#N/A"/>
    <x v="4"/>
  </r>
  <r>
    <m/>
    <m/>
    <x v="2"/>
    <s v="6-2日結類"/>
    <s v="L6907"/>
    <s v="未銷帳餘額明細查詢"/>
    <m/>
    <s v="賴文育"/>
    <s v="楊智誠"/>
    <s v="PJ201800012_URS_6共同作業_V1.9"/>
    <x v="39"/>
    <d v="2021-10-18T00:00:00"/>
    <d v="2021-10-18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"/>
    <m/>
    <e v="#N/A"/>
    <x v="4"/>
  </r>
  <r>
    <m/>
    <m/>
    <x v="2"/>
    <s v="6-2日結類"/>
    <s v="L6908"/>
    <s v="銷帳歷史明細查詢"/>
    <m/>
    <s v="賴文育"/>
    <s v="楊智誠"/>
    <s v="PJ201800012_URS_6共同作業_V1.9"/>
    <x v="39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蔡珮瑜"/>
    <m/>
    <m/>
    <m/>
    <s v="2021/10/18, 2021/9/14"/>
    <s v="新交易"/>
    <m/>
    <s v="L6908"/>
    <x v="4"/>
  </r>
  <r>
    <m/>
    <m/>
    <x v="2"/>
    <s v="6-1控制類"/>
    <s v="L6102"/>
    <s v="核心傳票相關單獨作業"/>
    <s v="審後新增2021/10/18"/>
    <s v="賴文育"/>
    <s v="楊智誠"/>
    <s v="PJ201800012_URS_6共同作業_V1.11.docx"/>
    <x v="39"/>
    <d v="2021-10-18T00:00:00"/>
    <d v="2021-10-25T00:00:00"/>
    <s v="涂宇欣"/>
    <s v="蔡珮瑜"/>
    <m/>
    <m/>
    <m/>
    <m/>
    <m/>
    <m/>
    <m/>
    <m/>
    <s v="放款服務課"/>
    <d v="2021-10-25T00:00:00"/>
    <s v="需二審"/>
    <d v="2021-12-16T00:00:00"/>
    <d v="2021-12-16T00:00:00"/>
    <d v="2021-12-20T00:00:00"/>
    <m/>
    <m/>
    <m/>
    <s v="蔡珮瑜"/>
    <m/>
    <m/>
    <m/>
    <m/>
    <s v="新交易"/>
    <m/>
    <s v="L6102"/>
    <x v="4"/>
  </r>
  <r>
    <m/>
    <m/>
    <x v="1"/>
    <s v="2-6清償作業"/>
    <s v="L2076"/>
    <s v="領取清償證明作業"/>
    <m/>
    <s v="賴文育"/>
    <s v="余家興"/>
    <s v="PJ201800012_URS_2業務作業_V1.29.doc"/>
    <x v="35"/>
    <d v="2021-10-29T00:00:00"/>
    <d v="2021-12-07T00:00:00"/>
    <s v="李珮琪"/>
    <s v="蔡珮瑜"/>
    <s v="邵淑微"/>
    <m/>
    <m/>
    <m/>
    <m/>
    <m/>
    <m/>
    <m/>
    <s v="放款服務課"/>
    <d v="2021-12-03T00:00:00"/>
    <s v="需二審"/>
    <d v="2021-12-13T00:00:00"/>
    <d v="2021-12-14T00:00:00"/>
    <d v="2021-12-14T00:00:00"/>
    <s v="預計2021/11/12"/>
    <m/>
    <m/>
    <s v="蔡珮瑜"/>
    <m/>
    <m/>
    <m/>
    <s v="2021/11/5, 2021/10/22"/>
    <s v="225-1"/>
    <s v="檔案借閱作業-檔案借閱明細資料查詢"/>
    <s v="L2076"/>
    <x v="4"/>
  </r>
  <r>
    <m/>
    <m/>
    <x v="1"/>
    <s v="2-6清償作業"/>
    <s v="L2631"/>
    <s v="清償作業                                "/>
    <m/>
    <s v="賴文育"/>
    <s v="余家興"/>
    <s v="PJ201800012_URS_2業務作業_V1.29.doc"/>
    <x v="35"/>
    <d v="2021-10-29T00:00:00"/>
    <d v="2021-12-07T00:00:00"/>
    <s v="李珮琪"/>
    <s v="蔡珮瑜"/>
    <m/>
    <m/>
    <m/>
    <m/>
    <m/>
    <m/>
    <m/>
    <m/>
    <s v="放款服務課"/>
    <d v="2021-12-03T00:00:00"/>
    <s v="需二審"/>
    <d v="2021-11-29T00:00:00"/>
    <d v="2021-11-29T00:00:00"/>
    <d v="2021-12-14T00:00:00"/>
    <s v="XXX未改好"/>
    <m/>
    <m/>
    <s v="蔡珮瑜"/>
    <m/>
    <m/>
    <m/>
    <d v="2021-10-22T00:00:00"/>
    <n v="232"/>
    <s v="清償作業"/>
    <s v="L2631"/>
    <x v="4"/>
  </r>
  <r>
    <m/>
    <m/>
    <x v="1"/>
    <s v="2-6清償作業"/>
    <s v="L2931"/>
    <s v="清償違約明細                            "/>
    <m/>
    <s v="賴文育"/>
    <s v="余家興"/>
    <s v="PJ201800012_URS_2業務作業_V1.29.doc"/>
    <x v="35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n v="232"/>
    <s v="清償作業-清償違約明細"/>
    <e v="#N/A"/>
    <x v="4"/>
  </r>
  <r>
    <m/>
    <m/>
    <x v="1"/>
    <s v="2-6清償作業"/>
    <s v="L2077"/>
    <s v="清償作業明細資料查詢                    "/>
    <m/>
    <s v="賴文育"/>
    <s v="余家興"/>
    <s v="PJ201800012_URS_2業務作業_V1.29.doc"/>
    <x v="35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n v="233"/>
    <s v="清償報表作業-清償作業明細資料查詢"/>
    <e v="#N/A"/>
    <x v="4"/>
  </r>
  <r>
    <m/>
    <m/>
    <x v="1"/>
    <s v="2-6清償作業"/>
    <s v="L2932"/>
    <s v="額度清償資料"/>
    <m/>
    <s v="賴文育"/>
    <s v="余家興"/>
    <s v="PJ201800012_URS_2業務作業_V1.29.doc"/>
    <x v="35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s v="新交易"/>
    <s v="新交易"/>
    <e v="#N/A"/>
    <x v="4"/>
  </r>
  <r>
    <m/>
    <m/>
    <x v="1"/>
    <s v="2-6清償作業"/>
    <s v="L2632"/>
    <s v="清償作業維護                            "/>
    <m/>
    <s v="賴文育"/>
    <s v="余家興"/>
    <s v="PJ201800012_URS_2業務作業_V1.29.doc"/>
    <x v="35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n v="233"/>
    <s v="清償報表作業-清償作業維護"/>
    <e v="#N/A"/>
    <x v="4"/>
  </r>
  <r>
    <m/>
    <m/>
    <x v="5"/>
    <s v="4-3利率調整作業"/>
    <s v="L4322"/>
    <s v="地區別利率調整設定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4-4-16_x000a_"/>
    <s v="地區類別資料維護"/>
    <e v="#N/A"/>
    <x v="6"/>
  </r>
  <r>
    <m/>
    <m/>
    <x v="5"/>
    <s v="4-3利率調整作業"/>
    <s v="L4320"/>
    <s v="產生利率即將變動資料                 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4-66   _x000a_4-4-1-1_x000a_4-4-2-1"/>
    <s v="整批利率變更作業    _x000a_產生即將變動資料    _x000a_產生定期機動調整資料"/>
    <s v="L4320"/>
    <x v="6"/>
  </r>
  <r>
    <m/>
    <m/>
    <x v="5"/>
    <s v="4-3利率調整作業"/>
    <s v="L4031"/>
    <s v="利率調整清單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新交易"/>
    <s v="新交易"/>
    <s v="L4031"/>
    <x v="6"/>
  </r>
  <r>
    <m/>
    <m/>
    <x v="5"/>
    <s v="4-3利率調整作業"/>
    <s v="L4321"/>
    <s v="利率調整確認作業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4-4-1-14_x000a_4-4-2-14"/>
    <s v="利率調整－批次更新作業_x000a_利率調整－批次更新作業"/>
    <s v="L4321"/>
    <x v="6"/>
  </r>
  <r>
    <m/>
    <m/>
    <x v="5"/>
    <s v="4-3利率調整作業"/>
    <s v="L4325"/>
    <s v="個別利率批次輸入"/>
    <s v="由L4105更名"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新交易"/>
    <s v="新交易"/>
    <e v="#N/A"/>
    <x v="6"/>
  </r>
  <r>
    <m/>
    <m/>
    <x v="5"/>
    <s v="4-3利率調整作業"/>
    <s v="L4931"/>
    <s v="個別利率調整作業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新交易"/>
    <s v="新交易"/>
    <s v="L4931"/>
    <x v="6"/>
  </r>
  <r>
    <m/>
    <m/>
    <x v="5"/>
    <s v="4-3利率調整作業"/>
    <s v="L4721"/>
    <s v="整批批次產出利率變動對帳單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4-4-13_x000a_"/>
    <s v="利率批次調整繳息通知單"/>
    <e v="#N/A"/>
    <x v="6"/>
  </r>
  <r>
    <d v="2021-12-24T00:00:00"/>
    <m/>
    <x v="5"/>
    <s v="4-3利率調整作業"/>
    <s v="L4030"/>
    <s v="調整員工利率作業                     "/>
    <m/>
    <s v="賴文育"/>
    <s v="陳昱衡"/>
    <s v="PJ201800012_URS_4批次作業_V1.12.docx"/>
    <x v="41"/>
    <d v="2021-10-21T00:00:00"/>
    <d v="2021-12-03T00:00:00"/>
    <s v="林清河"/>
    <s v="蔡珮瑜"/>
    <m/>
    <m/>
    <m/>
    <m/>
    <m/>
    <m/>
    <m/>
    <m/>
    <s v="放款服務課"/>
    <d v="2021-12-03T00:00:00"/>
    <s v="需二審"/>
    <d v="2021-12-01T00:00:00"/>
    <d v="2021-12-01T00:00:00"/>
    <d v="2021-12-20T00:00:00"/>
    <m/>
    <m/>
    <m/>
    <s v="蔡珮瑜"/>
    <m/>
    <m/>
    <m/>
    <m/>
    <s v="新交易"/>
    <s v="新交易"/>
    <s v="L4030"/>
    <x v="6"/>
  </r>
  <r>
    <m/>
    <m/>
    <x v="2"/>
    <s v="6-3共同資料維護(利率、營業日)"/>
    <s v="L6031"/>
    <s v="指標利率種類查詢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031"/>
    <x v="4"/>
  </r>
  <r>
    <m/>
    <m/>
    <x v="2"/>
    <s v="6-3共同資料維護(利率、營業日)"/>
    <s v="L6032"/>
    <s v="指標利率資料查詢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032"/>
    <x v="4"/>
  </r>
  <r>
    <m/>
    <m/>
    <x v="2"/>
    <s v="6-3共同資料維護(利率、營業日)"/>
    <s v="L6301"/>
    <s v="指標利率種類維護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301"/>
    <x v="4"/>
  </r>
  <r>
    <m/>
    <m/>
    <x v="2"/>
    <s v="6-3共同資料維護(利率、營業日)"/>
    <s v="L6302"/>
    <s v="指標利率登錄/維護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302"/>
    <x v="4"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  <m/>
    <m/>
    <d v="2021-12-03T00:00:00"/>
    <s v="無調整"/>
    <d v="2021-10-08T00:00:00"/>
    <d v="2021-10-08T00:00:00"/>
    <d v="2021-12-09T00:00:00"/>
    <s v="預計2021/11/12"/>
    <m/>
    <m/>
    <s v="張舜雯"/>
    <m/>
    <m/>
    <m/>
    <m/>
    <n v="227"/>
    <s v="非本公司關係人親屬明細資料查詢"/>
    <e v="#N/A"/>
    <x v="3"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s v="張舜雯"/>
    <m/>
    <m/>
    <m/>
    <m/>
    <n v="227"/>
    <s v="非本公司關係人明細資料查詢"/>
    <s v="L2035"/>
    <x v="3"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s v="新交易"/>
    <m/>
    <e v="#N/A"/>
    <x v="3"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s v="張舜雯"/>
    <m/>
    <m/>
    <m/>
    <m/>
    <n v="227"/>
    <s v="非本公司關係人資料建立"/>
    <s v="L2306"/>
    <x v="3"/>
  </r>
  <r>
    <m/>
    <m/>
    <x v="1"/>
    <s v="2-2案件申請、額度"/>
    <s v="L2022"/>
    <s v="所有關係人資料查詢"/>
    <s v="審後新增2021/10/19"/>
    <s v="張金龍"/>
    <s v="陳昱衡"/>
    <s v="PJ201800012_URS_2業務作業_V1.29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2-13T00:00:00"/>
    <d v="2021-12-13T00:00:00"/>
    <d v="2021-12-14T00:00:00"/>
    <s v="預計2021/11/12"/>
    <m/>
    <m/>
    <s v="張舜雯"/>
    <m/>
    <m/>
    <m/>
    <m/>
    <s v="新交易"/>
    <m/>
    <e v="#N/A"/>
    <x v="3"/>
  </r>
  <r>
    <m/>
    <m/>
    <x v="1"/>
    <s v="2-2案件申請、額度"/>
    <s v="L2023"/>
    <s v="ID所有人案件關係查詢"/>
    <s v="審後新增2021/10/25"/>
    <s v="張金龍"/>
    <s v="陳昱衡"/>
    <s v="PJ201800012_URS_2業務作業_V1.29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6T00:00:00"/>
    <s v="需二審"/>
    <d v="2021-12-13T00:00:00"/>
    <d v="2021-12-13T00:00:00"/>
    <d v="2021-12-14T00:00:00"/>
    <m/>
    <m/>
    <m/>
    <s v="張舜雯"/>
    <m/>
    <m/>
    <m/>
    <m/>
    <s v="新交易"/>
    <m/>
    <s v="L2023"/>
    <x v="9"/>
  </r>
  <r>
    <m/>
    <m/>
    <x v="1"/>
    <s v="2-2案件申請、額度"/>
    <s v="L2222"/>
    <s v="與授信戶關係登錄"/>
    <s v="審後新增2021/10/19"/>
    <s v="張金龍"/>
    <s v="陳昱衡"/>
    <s v="PJ201800012_URS_2業務作業_V1.29.doc"/>
    <x v="43"/>
    <d v="2021-10-25T00:00:00"/>
    <d v="2021-12-06T00:00:00"/>
    <s v="涂宇欣"/>
    <s v="李珮君"/>
    <s v="陳俞辛(企金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新交易"/>
    <m/>
    <s v="L2222"/>
    <x v="3"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x v="43"/>
    <d v="2021-10-25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09T00:00:00"/>
    <s v="預計2021/11/12"/>
    <m/>
    <m/>
    <s v="李珮君"/>
    <m/>
    <m/>
    <m/>
    <m/>
    <n v="217"/>
    <s v="關聯戶查詢"/>
    <e v="#N/A"/>
    <x v="3"/>
  </r>
  <r>
    <m/>
    <m/>
    <x v="1"/>
    <s v="2-9其他"/>
    <s v="L2980"/>
    <s v="個人房貸調整作業"/>
    <m/>
    <s v="賴文育"/>
    <s v="陳昱衡"/>
    <s v="PJ201800012_URS_2業務作業_V1.31.docx"/>
    <x v="43"/>
    <d v="2021-10-21T00:00:00"/>
    <d v="2021-10-21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16T00:00:00"/>
    <m/>
    <m/>
    <m/>
    <s v="陳政皓"/>
    <m/>
    <m/>
    <m/>
    <m/>
    <s v="新交易"/>
    <m/>
    <s v="L2980"/>
    <x v="3"/>
  </r>
  <r>
    <m/>
    <m/>
    <x v="1"/>
    <s v="2-9其他"/>
    <s v="L2073"/>
    <s v="結清客戶申請個人資料控管查詢"/>
    <m/>
    <s v="賴文育"/>
    <s v="陳昱衡"/>
    <s v="PJ201800012_URS_2業務作業_V1.31.docx"/>
    <x v="43"/>
    <d v="2021-10-25T00:00:00"/>
    <d v="2021-12-06T00:00:00"/>
    <s v="涂宇欣"/>
    <s v="陳政皓"/>
    <m/>
    <m/>
    <m/>
    <m/>
    <m/>
    <m/>
    <m/>
    <m/>
    <s v="放款服務課"/>
    <d v="2021-12-03T00:00:00"/>
    <s v="無調整"/>
    <d v="2021-10-08T00:00:00"/>
    <d v="2021-10-08T00:00:00"/>
    <d v="2021-12-16T00:00:00"/>
    <s v="預計2021/11/12"/>
    <m/>
    <m/>
    <s v="陳政皓"/>
    <m/>
    <m/>
    <m/>
    <m/>
    <n v="210"/>
    <s v="客戶個人資料控管明細資料查詢"/>
    <e v="#N/A"/>
    <x v="3"/>
  </r>
  <r>
    <m/>
    <m/>
    <x v="1"/>
    <s v="2-9其他"/>
    <s v="L2703"/>
    <s v="結清客戶申請個人資料控管維護"/>
    <m/>
    <s v="賴文育"/>
    <s v="陳昱衡"/>
    <s v="PJ201800012_URS_2業務作業_V1.31.docx"/>
    <x v="43"/>
    <d v="2021-10-25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d v="2021-12-16T00:00:00"/>
    <m/>
    <m/>
    <m/>
    <s v="陳政皓"/>
    <m/>
    <m/>
    <m/>
    <m/>
    <n v="231"/>
    <s v="放款專員業績統計作業－區域中心經理所屬區域中心維護"/>
    <s v="L2703"/>
    <x v="3"/>
  </r>
  <r>
    <m/>
    <m/>
    <x v="1"/>
    <s v="2-4擔保品"/>
    <s v="L2039"/>
    <s v="擔保品重評明細資料查詢                  "/>
    <m/>
    <s v="賴文育"/>
    <s v="陳昱衡"/>
    <s v="PJ201800012_URS_2業務作業_V1.29.doc"/>
    <x v="43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新交易"/>
    <m/>
    <s v="L2039"/>
    <x v="3"/>
  </r>
  <r>
    <m/>
    <m/>
    <x v="1"/>
    <s v="2-4擔保品"/>
    <s v="L2040"/>
    <s v="擔保品號碼新舊對照查詢"/>
    <m/>
    <s v="賴文育"/>
    <s v="陳昱衡"/>
    <s v="PJ201800012_URS_2業務作業_V1.31.docx"/>
    <x v="43"/>
    <d v="2021-11-17T00:00:00"/>
    <d v="2021-11-17T00:00:00"/>
    <s v="吳承憲"/>
    <s v="邵淑微"/>
    <m/>
    <m/>
    <m/>
    <m/>
    <m/>
    <m/>
    <m/>
    <m/>
    <s v="放款服務課"/>
    <d v="2021-12-03T00:00:00"/>
    <s v="無調整"/>
    <d v="2021-11-17T00:00:00"/>
    <d v="2021-11-17T00:00:00"/>
    <d v="2021-12-16T00:00:00"/>
    <m/>
    <m/>
    <m/>
    <s v="邵淑微"/>
    <m/>
    <m/>
    <m/>
    <m/>
    <s v="新交易"/>
    <m/>
    <e v="#N/A"/>
    <x v="3"/>
  </r>
  <r>
    <m/>
    <m/>
    <x v="1"/>
    <s v="2-4擔保品"/>
    <s v="L2480"/>
    <s v="擔保品重評資料登錄                      "/>
    <m/>
    <s v="賴文育"/>
    <s v="陳昱衡"/>
    <s v="PJ201800012_URS_2業務作業_V1.29.doc"/>
    <x v="43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新交易"/>
    <m/>
    <s v="L2480"/>
    <x v="3"/>
  </r>
  <r>
    <m/>
    <m/>
    <x v="6"/>
    <s v="5-4法催紀錄作業"/>
    <s v="L5060"/>
    <s v="案件處理清單         "/>
    <m/>
    <s v="蘇曉玲"/>
    <s v="蘇曉玲"/>
    <s v="PJ201800012_URS_5管理性作業_V1.3.DOCX"/>
    <x v="44"/>
    <d v="2021-10-27T00:00:00"/>
    <d v="2021-12-07T00:00:00"/>
    <s v="林清河"/>
    <s v="張舜雯"/>
    <s v="邱怡婷"/>
    <m/>
    <m/>
    <m/>
    <m/>
    <m/>
    <m/>
    <m/>
    <s v="放款管理課"/>
    <d v="2021-12-07T00:00:00"/>
    <s v="需二審"/>
    <d v="2021-12-09T00:00:00"/>
    <d v="2021-12-09T00:00:00"/>
    <d v="2021-12-09T00:00:00"/>
    <m/>
    <m/>
    <m/>
    <s v="張舜雯"/>
    <m/>
    <m/>
    <m/>
    <d v="2021-10-19T00:00:00"/>
    <s v="催收及債協系統"/>
    <s v="催收案件清單"/>
    <s v="L5060"/>
    <x v="7"/>
  </r>
  <r>
    <m/>
    <m/>
    <x v="6"/>
    <s v="5-4法催紀錄作業"/>
    <s v="L5960"/>
    <s v="案件資料查詢         "/>
    <m/>
    <s v="蘇曉玲"/>
    <s v="蘇曉玲"/>
    <s v="PJ201800012_URS_5管理性作業_V1.3.DOCX"/>
    <x v="44"/>
    <d v="2021-10-27T00:00:00"/>
    <d v="2021-10-27T00:00:00"/>
    <s v="林清河"/>
    <s v="張舜雯"/>
    <s v="邱怡婷"/>
    <m/>
    <m/>
    <m/>
    <m/>
    <m/>
    <m/>
    <m/>
    <s v="放款管理課"/>
    <d v="2021-10-27T00:00:00"/>
    <s v="無調整"/>
    <d v="2021-12-09T00:00:00"/>
    <d v="2021-12-09T00:00:00"/>
    <d v="2021-12-09T00:00:00"/>
    <m/>
    <m/>
    <m/>
    <s v="張舜雯"/>
    <m/>
    <m/>
    <m/>
    <m/>
    <s v="催收及債協系統"/>
    <s v="催收案件清單"/>
    <e v="#N/A"/>
    <x v="4"/>
  </r>
  <r>
    <m/>
    <m/>
    <x v="6"/>
    <s v="5-4法催紀錄作業"/>
    <s v="L5961"/>
    <s v="電催明細資料查詢     "/>
    <m/>
    <s v="蘇曉玲"/>
    <s v="蘇曉玲"/>
    <s v="PJ201800012_URS_5管理性作業_V1.3.DOCX"/>
    <x v="44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1"/>
    <x v="4"/>
  </r>
  <r>
    <m/>
    <m/>
    <x v="6"/>
    <s v="5-4法催紀錄作業"/>
    <s v="L5601"/>
    <s v="電催登錄             "/>
    <m/>
    <s v="蘇曉玲"/>
    <s v="蘇曉玲"/>
    <s v="PJ201800012_URS_5管理性作業_V1.3.DOCX"/>
    <x v="44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1"/>
    <x v="4"/>
  </r>
  <r>
    <m/>
    <m/>
    <x v="6"/>
    <s v="5-4法催紀錄作業"/>
    <s v="L5962"/>
    <s v="面催明細資料查詢     "/>
    <m/>
    <s v="蘇曉玲"/>
    <s v="蘇曉玲"/>
    <s v="PJ201800012_URS_5管理性作業_V1.3.DOCX"/>
    <x v="44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2"/>
    <x v="4"/>
  </r>
  <r>
    <m/>
    <m/>
    <x v="6"/>
    <s v="5-4法催紀錄作業"/>
    <s v="L5602"/>
    <s v="面催登錄             "/>
    <m/>
    <s v="蘇曉玲"/>
    <s v="蘇曉玲"/>
    <s v="PJ201800012_URS_5管理性作業_V1.3.DOCX"/>
    <x v="44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2"/>
    <x v="4"/>
  </r>
  <r>
    <m/>
    <m/>
    <x v="6"/>
    <s v="5-4法催紀錄作業"/>
    <s v="L5963"/>
    <s v="函催明細資料查詢     "/>
    <m/>
    <s v="蘇曉玲"/>
    <s v="蘇曉玲"/>
    <s v="PJ201800012_URS_5管理性作業_V1.3.DOCX"/>
    <x v="44"/>
    <d v="2021-10-27T00:00:00"/>
    <d v="2021-11-16T00:00:00"/>
    <s v="林清河"/>
    <s v="張舜雯"/>
    <s v="邱怡婷"/>
    <m/>
    <m/>
    <m/>
    <m/>
    <m/>
    <m/>
    <m/>
    <s v="放款管理課"/>
    <d v="2021-11-16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3"/>
    <x v="4"/>
  </r>
  <r>
    <m/>
    <m/>
    <x v="6"/>
    <s v="5-4法催紀錄作業"/>
    <s v="L5603"/>
    <s v="函催登錄             "/>
    <m/>
    <s v="蘇曉玲"/>
    <s v="蘇曉玲"/>
    <s v="PJ201800012_URS_5管理性作業_V1.3.DOCX"/>
    <x v="44"/>
    <d v="2021-10-27T00:00:00"/>
    <d v="2021-11-17T00:00:00"/>
    <s v="林清河"/>
    <s v="張舜雯"/>
    <s v="邱怡婷"/>
    <m/>
    <m/>
    <m/>
    <m/>
    <m/>
    <m/>
    <m/>
    <s v="放款管理課"/>
    <d v="2021-11-17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3"/>
    <x v="4"/>
  </r>
  <r>
    <m/>
    <m/>
    <x v="6"/>
    <s v="5-4法催紀錄作業"/>
    <s v="L5964"/>
    <s v="法務進度明細資料查詢 "/>
    <m/>
    <s v="蘇曉玲"/>
    <s v="蘇曉玲"/>
    <s v="PJ201800012_URS_5管理性作業_V1.3.DOCX"/>
    <x v="45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4"/>
    <x v="4"/>
  </r>
  <r>
    <m/>
    <m/>
    <x v="6"/>
    <s v="5-4法催紀錄作業"/>
    <s v="L5604"/>
    <s v="法務進度登錄         "/>
    <m/>
    <s v="蘇曉玲"/>
    <s v="蘇曉玲"/>
    <s v="PJ201800012_URS_5管理性作業_V1.3.DOCX"/>
    <x v="45"/>
    <d v="2021-10-27T00:00:00"/>
    <d v="2021-11-24T00:00:00"/>
    <s v="林清河"/>
    <s v="張舜雯"/>
    <s v="邱怡婷"/>
    <m/>
    <m/>
    <m/>
    <m/>
    <m/>
    <m/>
    <m/>
    <s v="放款管理課"/>
    <d v="2021-11-24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4"/>
    <x v="4"/>
  </r>
  <r>
    <m/>
    <m/>
    <x v="6"/>
    <s v="5-4法催紀錄作業"/>
    <s v="L5965"/>
    <s v="提醒事項查詢         "/>
    <m/>
    <s v="蘇曉玲"/>
    <s v="蘇曉玲"/>
    <s v="PJ201800012_URS_5管理性作業_V1.3.DOCX"/>
    <x v="45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5"/>
    <x v="4"/>
  </r>
  <r>
    <m/>
    <m/>
    <x v="6"/>
    <s v="5-4法催紀錄作業"/>
    <s v="L5605"/>
    <s v="提醒事項登錄         "/>
    <m/>
    <s v="蘇曉玲"/>
    <s v="蘇曉玲"/>
    <s v="PJ201800012_URS_5管理性作業_V1.3.DOCX"/>
    <x v="45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5"/>
    <x v="4"/>
  </r>
  <r>
    <m/>
    <m/>
    <x v="6"/>
    <s v="5-4法催紀錄作業"/>
    <s v="L5061"/>
    <s v="催收催繳明細"/>
    <m/>
    <s v="蘇曉玲"/>
    <s v="蘇曉玲"/>
    <s v="PJ201800012_URS_5管理性作業_V1.3.DOCX"/>
    <x v="45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061"/>
    <x v="4"/>
  </r>
  <r>
    <m/>
    <m/>
    <x v="6"/>
    <s v="5-4法催紀錄作業"/>
    <s v="L5062"/>
    <s v="法務催收人員查詢"/>
    <s v="審後新增2021/10/28"/>
    <s v="蘇曉玲"/>
    <s v="蘇曉玲"/>
    <s v="PJ201800012_URS_5管理性作業_V1.3.DOCX"/>
    <x v="45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062"/>
    <x v="4"/>
  </r>
  <r>
    <m/>
    <m/>
    <x v="6"/>
    <s v="5-4法催紀錄作業"/>
    <s v="L5606"/>
    <s v="法務催收人員維護"/>
    <s v="審後新增2021/10/28"/>
    <s v="蘇曉玲"/>
    <s v="蘇曉玲"/>
    <s v="PJ201800012_URS_5管理性作業_V1.3.DOCX"/>
    <x v="45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6"/>
    <x v="4"/>
  </r>
  <r>
    <m/>
    <m/>
    <x v="7"/>
    <s v="8-1AML檢核"/>
    <s v="L8080"/>
    <s v="AML姓名檢核查詢"/>
    <m/>
    <s v="賴文育"/>
    <s v="余家興"/>
    <s v="PJ201800012_URS_8遵循法令作業_V1.5.docx"/>
    <x v="46"/>
    <d v="2021-11-03T00:00:00"/>
    <d v="2021-12-07T00:00:00"/>
    <s v="林清河"/>
    <s v="施美娟"/>
    <s v="王薏涵、鄧雪美"/>
    <m/>
    <m/>
    <m/>
    <m/>
    <m/>
    <m/>
    <m/>
    <s v="放款審查課"/>
    <d v="2021-12-03T00:00:00"/>
    <d v="2021-11-26T00:00:00"/>
    <d v="2021-11-26T00:00:00"/>
    <d v="2021-11-26T00:00:00"/>
    <d v="2021-12-16T00:00:00"/>
    <m/>
    <m/>
    <m/>
    <s v="施美娟"/>
    <m/>
    <m/>
    <m/>
    <d v="2021-08-30T00:00:00"/>
    <s v="新交易"/>
    <m/>
    <s v="L8080"/>
    <x v="4"/>
  </r>
  <r>
    <m/>
    <m/>
    <x v="7"/>
    <s v="8-1AML檢核"/>
    <s v="L8100"/>
    <s v="AML姓名檢核"/>
    <m/>
    <s v="賴文育"/>
    <s v="楊智誠"/>
    <s v="PJ201800012_URS_8遵循法令作業_V1.5.docx"/>
    <x v="46"/>
    <d v="2021-11-03T00:00:00"/>
    <d v="2021-11-03T00:00:00"/>
    <s v="林清河"/>
    <s v="施美娟"/>
    <s v="王薏涵、鄧雪美"/>
    <m/>
    <m/>
    <m/>
    <m/>
    <m/>
    <m/>
    <m/>
    <s v="放款審查課"/>
    <d v="2021-12-03T00:00:00"/>
    <s v="無調整"/>
    <d v="2021-11-26T00:00:00"/>
    <d v="2021-11-26T00:00:00"/>
    <d v="2021-12-16T00:00:00"/>
    <m/>
    <m/>
    <m/>
    <s v="施美娟"/>
    <m/>
    <m/>
    <m/>
    <m/>
    <s v="新交易"/>
    <m/>
    <e v="#N/A"/>
    <x v="4"/>
  </r>
  <r>
    <m/>
    <m/>
    <x v="7"/>
    <s v="8-1AML檢核"/>
    <s v="L8081"/>
    <s v="AML定審高風險資料查詢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  <x v="7"/>
  </r>
  <r>
    <m/>
    <m/>
    <x v="7"/>
    <s v="8-1AML檢核"/>
    <s v="L8082"/>
    <s v="AML定審中風險資料查詢"/>
    <s v="新增2021/11/2"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  <x v="7"/>
  </r>
  <r>
    <m/>
    <m/>
    <x v="7"/>
    <s v="8-1AML檢核"/>
    <s v="L8083"/>
    <s v="AML定審低風險資料查詢"/>
    <s v="新增2021/11/26"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  <x v="7"/>
  </r>
  <r>
    <m/>
    <m/>
    <x v="7"/>
    <s v="8-1AML檢核"/>
    <s v="L8084"/>
    <s v="AML定審通知查詢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  <x v="7"/>
  </r>
  <r>
    <m/>
    <m/>
    <x v="7"/>
    <s v="8-1AML檢核"/>
    <s v="L8110"/>
    <s v="產製AML每日有效客戶名單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d v="2021-12-07T00:00:00"/>
    <s v="無調整"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  <x v="7"/>
  </r>
  <r>
    <m/>
    <m/>
    <x v="7"/>
    <s v="8-1AML檢核"/>
    <s v="L8101"/>
    <s v="AML定審通知處理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  <x v="7"/>
  </r>
  <r>
    <m/>
    <m/>
    <x v="7"/>
    <s v="8-7公務人員報送"/>
    <s v="L8701"/>
    <s v="產製公務人員報送資料"/>
    <m/>
    <s v="賴文育"/>
    <s v="楊智誠"/>
    <s v="PJ201800012_URS_8遵循法令作業_V1.3"/>
    <x v="48"/>
    <d v="2021-11-03T00:00:00"/>
    <d v="2021-12-03T00:00:00"/>
    <s v="林清河"/>
    <s v="許慧玉"/>
    <m/>
    <m/>
    <m/>
    <m/>
    <m/>
    <m/>
    <m/>
    <m/>
    <s v="放款服務課"/>
    <d v="2021-12-03T00:00:00"/>
    <s v="需二審"/>
    <d v="2021-12-13T00:00:00"/>
    <d v="2021-12-13T00:00:00"/>
    <d v="2021-12-14T00:00:00"/>
    <m/>
    <m/>
    <m/>
    <s v="許慧玉"/>
    <m/>
    <m/>
    <m/>
    <m/>
    <s v="5-22-6"/>
    <s v="公職人員財產申報作業  "/>
    <s v="L8701"/>
    <x v="6"/>
  </r>
  <r>
    <m/>
    <m/>
    <x v="7"/>
    <s v="8-2疑似洗錢"/>
    <s v="L8921"/>
    <s v="疑似洗錢樣態檢核查詢"/>
    <m/>
    <s v="賴文育"/>
    <s v="楊智誠"/>
    <s v="PJ201800012_URS_8遵循法令作業_V1.3"/>
    <x v="49"/>
    <d v="2021-10-29T00:00:00"/>
    <d v="2021-10-29T00:00:00"/>
    <s v="林清河"/>
    <s v="邵淑微"/>
    <m/>
    <m/>
    <m/>
    <m/>
    <m/>
    <m/>
    <m/>
    <m/>
    <s v="放款服務課"/>
    <d v="2021-12-03T00:00:00"/>
    <s v="需二審"/>
    <s v="2021/12/14 am,2021/10/29"/>
    <d v="2021-12-14T00:00:00"/>
    <d v="2021-12-14T00:00:00"/>
    <m/>
    <m/>
    <m/>
    <s v="邵淑微"/>
    <m/>
    <m/>
    <m/>
    <m/>
    <s v="新交易"/>
    <m/>
    <e v="#N/A"/>
    <x v="6"/>
  </r>
  <r>
    <m/>
    <m/>
    <x v="7"/>
    <s v="8-2疑似洗錢"/>
    <s v="L8201"/>
    <s v="疑似洗錢樣態條件設定"/>
    <m/>
    <s v="賴文育"/>
    <s v="楊智誠"/>
    <s v="PJ201800012_URS_8遵循法令作業_V1.3"/>
    <x v="49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s v="邵淑微"/>
    <m/>
    <m/>
    <m/>
    <m/>
    <s v="5-24-1"/>
    <s v="疑似洗錢樣態條件設定  "/>
    <s v="L8201"/>
    <x v="6"/>
  </r>
  <r>
    <m/>
    <m/>
    <x v="7"/>
    <s v="8-2疑似洗錢"/>
    <s v="L8924"/>
    <s v="疑似洗錢資料變更查詢"/>
    <m/>
    <s v="賴文育"/>
    <s v="楊智誠"/>
    <s v="PJ201800012_URS_8遵循法令作業_V1.3"/>
    <x v="49"/>
    <d v="2021-10-29T00:00:00"/>
    <d v="2021-12-03T00:00:00"/>
    <s v="林清河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s v="邵淑微"/>
    <m/>
    <m/>
    <m/>
    <m/>
    <s v="新交易"/>
    <m/>
    <s v="L8924"/>
    <x v="6"/>
  </r>
  <r>
    <m/>
    <m/>
    <x v="7"/>
    <s v="8-2疑似洗錢"/>
    <s v="L8925"/>
    <s v="疑似洗錢資料明細查詢"/>
    <s v="二審後新增2021/12/9"/>
    <s v="賴文育"/>
    <s v="楊智誠"/>
    <s v="PJ201800012_URS_8遵循法令作業_V1.3"/>
    <x v="49"/>
    <d v="2021-10-29T00:00:00"/>
    <d v="2021-12-03T00:00:00"/>
    <s v="林清河"/>
    <s v="邵淑微"/>
    <m/>
    <m/>
    <m/>
    <m/>
    <m/>
    <m/>
    <m/>
    <m/>
    <s v="放款服務課"/>
    <d v="2021-12-03T00:00:00"/>
    <s v="需二審"/>
    <d v="2021-12-14T00:00:00"/>
    <d v="2021-12-14T00:00:00"/>
    <d v="2021-12-14T00:00:00"/>
    <m/>
    <m/>
    <m/>
    <s v="邵淑微"/>
    <m/>
    <m/>
    <m/>
    <m/>
    <s v="新交易"/>
    <m/>
    <e v="#N/A"/>
    <x v="6"/>
  </r>
  <r>
    <m/>
    <m/>
    <x v="7"/>
    <s v="8-2疑似洗錢"/>
    <s v="L8202"/>
    <s v="疑似洗錢樣態資料產生"/>
    <m/>
    <s v="賴文育"/>
    <s v="楊智誠"/>
    <s v="PJ201800012_URS_8遵循法令作業_V1.3"/>
    <x v="49"/>
    <d v="2021-10-29T00:00:00"/>
    <d v="2021-12-07T00:00:00"/>
    <s v="林清河"/>
    <s v="邵淑微"/>
    <m/>
    <m/>
    <m/>
    <m/>
    <m/>
    <m/>
    <m/>
    <m/>
    <s v="放款服務課"/>
    <d v="2021-12-07T00:00:00"/>
    <s v="需二審"/>
    <s v="2021/12/9, 2021/12/14am"/>
    <d v="2021-12-14T00:00:00"/>
    <d v="2021-12-14T00:00:00"/>
    <m/>
    <m/>
    <m/>
    <s v="邵淑微"/>
    <m/>
    <m/>
    <m/>
    <m/>
    <s v="5-24-2"/>
    <s v="產生疑似洗錢樣態檢核資料"/>
    <s v="L8202"/>
    <x v="6"/>
  </r>
  <r>
    <m/>
    <m/>
    <x v="7"/>
    <s v="8-2疑似洗錢"/>
    <s v="L8922"/>
    <s v="疑似洗錢交易合理性查詢"/>
    <m/>
    <s v="賴文育"/>
    <s v="楊智誠"/>
    <s v="PJ201800012_URS_8遵循法令作業_V1.3"/>
    <x v="49"/>
    <d v="2021-10-29T00:00:00"/>
    <d v="2021-10-29T00:00:00"/>
    <s v="涂宇欣"/>
    <s v="蔡珮瑜"/>
    <m/>
    <m/>
    <m/>
    <m/>
    <m/>
    <m/>
    <m/>
    <m/>
    <s v="放款服務課"/>
    <d v="2021-12-03T00:00:00"/>
    <s v="無調整"/>
    <d v="2021-10-29T00:00:00"/>
    <d v="2021-12-14T00:00:00"/>
    <d v="2021-12-14T00:00:00"/>
    <m/>
    <m/>
    <m/>
    <s v="蔡珮瑜"/>
    <m/>
    <m/>
    <m/>
    <m/>
    <s v="5-24-4-1"/>
    <s v="疑似洗錢交易合理性維護"/>
    <e v="#N/A"/>
    <x v="6"/>
  </r>
  <r>
    <m/>
    <m/>
    <x v="7"/>
    <s v="8-2疑似洗錢"/>
    <s v="L8203"/>
    <s v="疑似洗錢交易合理性維護"/>
    <m/>
    <s v="賴文育"/>
    <s v="楊智誠"/>
    <s v="PJ201800012_URS_8遵循法令作業_V1.3"/>
    <x v="49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s v="邵淑微"/>
    <m/>
    <m/>
    <m/>
    <m/>
    <s v="5-24-4-1"/>
    <s v="疑似洗錢交易合理性維護"/>
    <s v="L8203"/>
    <x v="6"/>
  </r>
  <r>
    <m/>
    <m/>
    <x v="7"/>
    <s v="8-2疑似洗錢"/>
    <s v="L8923"/>
    <s v="疑似洗錢交易訪談記錄查詢"/>
    <m/>
    <s v="賴文育"/>
    <s v="楊智誠"/>
    <s v="PJ201800012_URS_8遵循法令作業_V1.3"/>
    <x v="49"/>
    <d v="2021-10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m/>
    <s v="5-24-5-1"/>
    <s v="疑似洗錢交易訪談維護  "/>
    <s v="L8923"/>
    <x v="6"/>
  </r>
  <r>
    <m/>
    <m/>
    <x v="7"/>
    <s v="8-2疑似洗錢"/>
    <s v="L8204"/>
    <s v="疑似洗錢交易訪談記錄維護"/>
    <m/>
    <s v="賴文育"/>
    <s v="楊智誠"/>
    <s v="PJ201800012_URS_8遵循法令作業_V1.3"/>
    <x v="49"/>
    <d v="2021-10-29T00:00:00"/>
    <d v="2021-12-03T00:00:00"/>
    <s v="涂宇欣"/>
    <s v="陳政皓"/>
    <s v="張舜雯"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陳政皓"/>
    <m/>
    <m/>
    <m/>
    <d v="2021-10-13T00:00:00"/>
    <s v="5-24-5-1"/>
    <s v="疑似洗錢交易訪談維護  "/>
    <s v="L8204"/>
    <x v="6"/>
  </r>
  <r>
    <m/>
    <m/>
    <x v="7"/>
    <s v="8-2疑似洗錢"/>
    <s v="L8205"/>
    <s v="產生疑似洗錢報表"/>
    <s v="審後新增2021/10/29"/>
    <s v="賴文育"/>
    <s v="楊智誠"/>
    <s v="PJ201800012_URS_8遵循法令作業_V1.3"/>
    <x v="49"/>
    <d v="2021-10-29T00:00:00"/>
    <d v="2021-12-03T00:00:00"/>
    <s v="涂宇欣"/>
    <s v="陳政皓"/>
    <s v="張舜雯"/>
    <m/>
    <m/>
    <m/>
    <m/>
    <m/>
    <m/>
    <m/>
    <s v="放款服務課"/>
    <d v="2021-12-03T00:00:00"/>
    <s v="審後新增"/>
    <s v="2021/12/14am"/>
    <d v="2021-12-14T00:00:00"/>
    <d v="2021-12-14T00:00:00"/>
    <m/>
    <m/>
    <m/>
    <s v="陳政皓"/>
    <m/>
    <m/>
    <m/>
    <d v="2021-10-13T00:00:00"/>
    <s v="5-24-5-1"/>
    <s v="疑似洗錢交易訪談維護  "/>
    <e v="#N/A"/>
    <x v="6"/>
  </r>
  <r>
    <m/>
    <m/>
    <x v="6"/>
    <s v="5-1一般作業"/>
    <s v="L5801"/>
    <s v="補貼息作業"/>
    <m/>
    <s v="賴文育"/>
    <s v="陳昱衡"/>
    <s v="PJ201800012_URS_5管理性作業_V1.4"/>
    <x v="47"/>
    <d v="2021-11-24T00:00:00"/>
    <d v="2021-12-10T00:00:00"/>
    <s v="涂宇欣"/>
    <s v="邵淑微"/>
    <m/>
    <m/>
    <m/>
    <m/>
    <m/>
    <m/>
    <m/>
    <m/>
    <s v="放款服務課"/>
    <d v="2021-12-03T00:00:00"/>
    <d v="2021-12-01T00:00:00"/>
    <d v="2021-12-01T00:00:00"/>
    <d v="2021-12-01T00:00:00"/>
    <d v="2021-12-14T00:00:00"/>
    <m/>
    <m/>
    <m/>
    <s v="邵淑微"/>
    <m/>
    <m/>
    <m/>
    <m/>
    <s v="新交易"/>
    <m/>
    <e v="#N/A"/>
    <x v="6"/>
  </r>
  <r>
    <m/>
    <m/>
    <x v="6"/>
    <s v="5-7國稅局申報作業"/>
    <s v="L5982"/>
    <s v="國稅局申報檔查詢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14T00:00:00"/>
    <d v="2021-12-14T00:00:00"/>
    <m/>
    <m/>
    <m/>
    <s v="邵淑微"/>
    <m/>
    <m/>
    <m/>
    <m/>
    <s v="新交易"/>
    <m/>
    <s v="L5982"/>
    <x v="6"/>
  </r>
  <r>
    <m/>
    <m/>
    <x v="6"/>
    <s v="5-7國稅局申報作業"/>
    <s v="L5812"/>
    <s v="國稅局申報檔維護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14 am, 2021/12/9, 2021/12/13"/>
    <d v="2021-12-14T00:00:00"/>
    <d v="2021-12-14T00:00:00"/>
    <m/>
    <m/>
    <m/>
    <s v="邵淑微"/>
    <m/>
    <m/>
    <m/>
    <m/>
    <s v="新交易"/>
    <m/>
    <s v="L5812"/>
    <x v="6"/>
  </r>
  <r>
    <m/>
    <m/>
    <x v="6"/>
    <s v="5-7國稅局申報作業"/>
    <s v="L5811"/>
    <s v="產生國稅局申報檢核檔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s v="邵淑微"/>
    <m/>
    <m/>
    <m/>
    <m/>
    <s v="新交易"/>
    <m/>
    <s v="L5811"/>
    <x v="6"/>
  </r>
  <r>
    <m/>
    <m/>
    <x v="6"/>
    <s v="5-7國稅局申報作業"/>
    <s v="L5813"/>
    <s v="產生國稅局申報媒體檔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s v="邵淑微"/>
    <m/>
    <m/>
    <m/>
    <m/>
    <s v="新交易"/>
    <m/>
    <s v="L5813"/>
    <x v="6"/>
  </r>
  <r>
    <m/>
    <m/>
    <x v="6"/>
    <s v="5-1一般作業"/>
    <s v="L5901"/>
    <s v="資金運用概況明細資料查詢              "/>
    <m/>
    <s v="賴文育"/>
    <s v="楊智誠"/>
    <s v="PJ201800012_URS_5管理性作業_V1.4"/>
    <x v="50"/>
    <d v="2021-11-05T00:00:00"/>
    <d v="2021-11-05T00:00:00"/>
    <s v="李珮琪"/>
    <s v="蔡珮瑜"/>
    <m/>
    <m/>
    <m/>
    <m/>
    <m/>
    <m/>
    <m/>
    <m/>
    <s v="放款服務課"/>
    <d v="2021-12-03T00:00:00"/>
    <s v="無調整"/>
    <d v="2021-11-05T00:00:00"/>
    <d v="2021-11-05T00:00:00"/>
    <d v="2021-12-14T00:00:00"/>
    <m/>
    <m/>
    <m/>
    <s v="蔡珮瑜"/>
    <m/>
    <m/>
    <m/>
    <m/>
    <s v="2-11 "/>
    <s v="資金運用概況明細資料查詢"/>
    <e v="#N/A"/>
    <x v="4"/>
  </r>
  <r>
    <m/>
    <m/>
    <x v="6"/>
    <s v="5-1一般作業"/>
    <s v="L5101"/>
    <s v="資金運用概況維護      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11 "/>
    <s v="資金運用概況明細"/>
    <s v="L5101"/>
    <x v="4"/>
  </r>
  <r>
    <m/>
    <m/>
    <x v="6"/>
    <s v="5-1一般作業"/>
    <s v="L5902"/>
    <s v="授信審議委員會會議紀錄明細資料查詢"/>
    <m/>
    <s v="賴文育"/>
    <s v="張嘉榮"/>
    <s v="PJ201800012_URS_5管理性作業_V1.4"/>
    <x v="5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d v="2021-12-14T00:00:00"/>
    <m/>
    <m/>
    <m/>
    <s v="施美娟"/>
    <m/>
    <m/>
    <m/>
    <m/>
    <s v="2-12 "/>
    <s v="放審會維護"/>
    <s v="L5902"/>
    <x v="4"/>
  </r>
  <r>
    <m/>
    <m/>
    <x v="6"/>
    <s v="5-1一般作業"/>
    <s v="L5102"/>
    <s v="授信審議委員會會議紀錄維護"/>
    <m/>
    <s v="賴文育"/>
    <s v="張嘉榮"/>
    <s v="PJ201800012_URS_5管理性作業_V1.4"/>
    <x v="5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d v="2021-12-14T00:00:00"/>
    <m/>
    <m/>
    <m/>
    <s v="施美娟"/>
    <m/>
    <m/>
    <m/>
    <m/>
    <s v="2-12 "/>
    <s v="放審會維護"/>
    <s v="L5102"/>
    <x v="4"/>
  </r>
  <r>
    <m/>
    <m/>
    <x v="6"/>
    <s v="5-1一般作業"/>
    <s v="L5903"/>
    <s v="檔案借閱明細資料查詢  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25-1"/>
    <s v="檔案借閱作業-檔案借閱維護"/>
    <s v="L5903"/>
    <x v="4"/>
  </r>
  <r>
    <m/>
    <m/>
    <x v="6"/>
    <s v="5-1一般作業"/>
    <s v="L5103"/>
    <s v="檔案借閱維護          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25-1"/>
    <s v="檔案借閱作業-檔案借閱維護"/>
    <s v="L5103"/>
    <x v="7"/>
  </r>
  <r>
    <m/>
    <m/>
    <x v="6"/>
    <s v="5-1一般作業"/>
    <s v="L5104"/>
    <s v="檔案借閱報表作業(列印)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25-2"/>
    <s v="檔案借閱作業-檔案借閱報表作業(列印)"/>
    <s v="L5104"/>
    <x v="4"/>
  </r>
  <r>
    <m/>
    <m/>
    <x v="6"/>
    <s v="5-1一般作業"/>
    <s v="L5905"/>
    <s v="覆審案件明細檔查詢"/>
    <m/>
    <s v="賴文育"/>
    <s v="張嘉榮"/>
    <s v="PJ201800012_URS_5管理性作業_V1.4"/>
    <x v="51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5-9"/>
    <s v="覆審案件"/>
    <s v="L5905"/>
    <x v="4"/>
  </r>
  <r>
    <m/>
    <m/>
    <x v="6"/>
    <s v="5-1一般作業"/>
    <s v="L5105"/>
    <s v="覆審案件明細檔維護"/>
    <m/>
    <s v="賴文育"/>
    <s v="張嘉榮"/>
    <s v="PJ201800012_URS_5管理性作業_V1.4"/>
    <x v="51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5-9"/>
    <s v="覆審案件"/>
    <s v="L5105"/>
    <x v="4"/>
  </r>
  <r>
    <m/>
    <m/>
    <x v="6"/>
    <s v="5-1一般作業"/>
    <s v="L5106"/>
    <s v="產生覆審案件資料明細"/>
    <m/>
    <s v="賴文育"/>
    <s v="張嘉榮"/>
    <s v="PJ201800012_URS_5管理性作業_V1.4"/>
    <x v="51"/>
    <d v="2021-11-04T00:00:00"/>
    <d v="2021-12-06T00:00:00"/>
    <s v="林清河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5-9"/>
    <s v="覆審案件"/>
    <e v="#N/A"/>
    <x v="4"/>
  </r>
  <r>
    <m/>
    <m/>
    <x v="6"/>
    <s v="5-1一般作業"/>
    <s v="L5906"/>
    <s v="寬限條件控管繳息查詢"/>
    <m/>
    <s v="賴文育"/>
    <s v="張嘉榮"/>
    <s v="PJ201800012_URS_5管理性作業_V1.4"/>
    <x v="47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s v="邵淑微"/>
    <m/>
    <m/>
    <m/>
    <m/>
    <s v="5-22"/>
    <s v="寬限條件控管"/>
    <e v="#N/A"/>
    <x v="4"/>
  </r>
  <r>
    <m/>
    <m/>
    <x v="6"/>
    <s v="5-1一般作業"/>
    <s v="L5116"/>
    <s v="寬限條件控管維護"/>
    <m/>
    <s v="賴文育"/>
    <s v="張嘉榮"/>
    <s v="PJ201800012_URS_5管理性作業_V1.4"/>
    <x v="47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s v="邵淑微"/>
    <m/>
    <m/>
    <m/>
    <m/>
    <s v="5-22"/>
    <s v="寬限條件控管"/>
    <e v="#N/A"/>
    <x v="4"/>
  </r>
  <r>
    <m/>
    <m/>
    <x v="6"/>
    <s v="5-1一般作業"/>
    <s v="L5907"/>
    <s v="指定覆審名單查詢"/>
    <s v="審後新增2021/11/16 (L5905)"/>
    <s v="賴文育"/>
    <s v="張嘉榮"/>
    <s v="PJ201800012_URS_5管理性作業_V1.4"/>
    <x v="51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e v="#N/A"/>
    <x v="4"/>
  </r>
  <r>
    <m/>
    <m/>
    <x v="6"/>
    <s v="5-1一般作業"/>
    <s v="L5107"/>
    <s v="指定覆審案件資料維護"/>
    <s v="審後新增2021/11/16 (L5105)"/>
    <s v="賴文育"/>
    <s v="張嘉榮"/>
    <s v="PJ201800012_URS_5管理性作業_V1.4"/>
    <x v="51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e v="#N/A"/>
    <x v="4"/>
  </r>
  <r>
    <m/>
    <m/>
    <x v="2"/>
    <s v="6-7其他基本資料維護"/>
    <s v="L6703"/>
    <s v="保險/鑑定公司資料維護"/>
    <m/>
    <s v="賴文育"/>
    <s v="楊智誠"/>
    <s v="PJ201800012_URS_6共同作業_V1.11.docx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s v="陳政皓"/>
    <m/>
    <m/>
    <m/>
    <m/>
    <s v="6-10"/>
    <s v="保險／鑑定公司資料維護"/>
    <s v="L6703"/>
    <x v="4"/>
  </r>
  <r>
    <m/>
    <m/>
    <x v="2"/>
    <s v="6-7其他基本資料維護"/>
    <s v="L6704"/>
    <s v="地區別資料維護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s v="鄧雪美"/>
    <m/>
    <m/>
    <m/>
    <m/>
    <s v="6-35"/>
    <s v="聯徵報送-地區別資料維護"/>
    <s v="L6704"/>
    <x v="4"/>
  </r>
  <r>
    <m/>
    <m/>
    <x v="6"/>
    <s v="5-2房貸專員業績統計作業"/>
    <s v="L5402"/>
    <s v="年度業績目標更新                    "/>
    <m/>
    <s v="張金龍"/>
    <s v="張嘉榮"/>
    <s v="PJ201800012_URS_5管理性作業_V1.6.docx"/>
    <x v="29"/>
    <d v="2021-07-19T00:00:00"/>
    <d v="2021-12-10T00:00:00"/>
    <s v="涂宇欣"/>
    <s v="李珮君(張淑遠)"/>
    <m/>
    <n v="1"/>
    <s v="T"/>
    <m/>
    <m/>
    <m/>
    <m/>
    <m/>
    <e v="#N/A"/>
    <d v="2021-12-10T00:00:00"/>
    <s v="需二審"/>
    <d v="2021-12-20T00:00:00"/>
    <d v="2021-12-20T00:00:00"/>
    <d v="2021-12-20T00:00:00"/>
    <m/>
    <m/>
    <m/>
    <s v="李珮君(張淑遠)"/>
    <m/>
    <m/>
    <m/>
    <d v="2021-07-19T00:00:00"/>
    <s v="2-31 "/>
    <s v="96年度放款專員業績統計作業"/>
    <s v="L5402"/>
    <x v="7"/>
  </r>
  <r>
    <m/>
    <m/>
    <x v="6"/>
    <s v="5-2房貸專員業績統計作業"/>
    <s v="L5021"/>
    <s v="房貸專員明細資料查詢                "/>
    <m/>
    <s v="張金龍"/>
    <s v="張嘉榮"/>
    <s v="PJ201800012_URS_5管理性作業_V1.6.docx"/>
    <x v="29"/>
    <d v="2021-07-19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19T00:00:00"/>
    <s v="2-31 "/>
    <s v="96年度放款專員業績統計作業"/>
    <s v="L5021"/>
    <x v="4"/>
  </r>
  <r>
    <m/>
    <m/>
    <x v="6"/>
    <s v="5-2房貸專員業績統計作業"/>
    <s v="L5401"/>
    <s v="房貸專員資料維護                    "/>
    <m/>
    <s v="張金龍"/>
    <s v="張嘉榮"/>
    <s v="PJ201800012_URS_5管理性作業_V1.6.docx"/>
    <x v="29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19T00:00:00"/>
    <s v="2-31 "/>
    <s v="96年度放款專員業績統計作業"/>
    <s v="L5401"/>
    <x v="4"/>
  </r>
  <r>
    <m/>
    <m/>
    <x v="6"/>
    <s v="5-2房貸專員業績統計作業"/>
    <s v="L5023"/>
    <s v="晤談人員明細資料查詢                "/>
    <m/>
    <s v="張金龍"/>
    <s v="張嘉榮"/>
    <s v="PJ201800012_URS_5管理性作業_V1.6.docx"/>
    <x v="28"/>
    <d v="2021-07-20T00:00:00"/>
    <d v="2021-12-03T00:00:00"/>
    <s v="涂宇欣"/>
    <s v="李珮君"/>
    <m/>
    <n v="1"/>
    <s v="B"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d v="2021-07-20T00:00:00"/>
    <s v="2-31 "/>
    <s v="96年度放款專員業績統計作業"/>
    <s v="L5023"/>
    <x v="4"/>
  </r>
  <r>
    <m/>
    <m/>
    <x v="6"/>
    <s v="5-2房貸專員業績統計作業"/>
    <s v="L5406"/>
    <s v="晤談人員資料維護                    "/>
    <m/>
    <s v="張金龍"/>
    <s v="張嘉榮"/>
    <s v="PJ201800012_URS_5管理性作業_V1.6.docx"/>
    <x v="28"/>
    <d v="2021-07-20T00:00:00"/>
    <d v="2021-12-03T00:00:00"/>
    <s v="涂宇欣"/>
    <s v="李珮君"/>
    <m/>
    <n v="1"/>
    <s v="T"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d v="2021-07-20T00:00:00"/>
    <s v="2-31 "/>
    <s v="96年度放款專員業績統計作業"/>
    <s v="L5406"/>
    <x v="4"/>
  </r>
  <r>
    <m/>
    <m/>
    <x v="6"/>
    <s v="5-2房貸專員業績統計作業"/>
    <s v="L5024"/>
    <s v="目標金額、累計目標金額查詢          "/>
    <m/>
    <s v="張金龍"/>
    <s v="張嘉榮"/>
    <s v="PJ201800012_URS_5管理性作業_V1.6.docx"/>
    <x v="29"/>
    <d v="2021-07-19T00:00:00"/>
    <d v="2021-07-19T00:00:00"/>
    <s v="涂宇欣"/>
    <s v="李珮君(張淑遠)"/>
    <m/>
    <n v="1"/>
    <s v="B"/>
    <m/>
    <m/>
    <m/>
    <m/>
    <m/>
    <e v="#N/A"/>
    <d v="2021-12-03T00:00:00"/>
    <s v="無調整"/>
    <m/>
    <d v="2021-07-19T00:00:00"/>
    <d v="2021-12-20T00:00:00"/>
    <m/>
    <m/>
    <m/>
    <s v="李珮君(張淑遠)"/>
    <m/>
    <m/>
    <m/>
    <d v="2021-07-19T00:00:00"/>
    <s v="2-31 "/>
    <s v="96年度放款專員業績統計作業"/>
    <e v="#N/A"/>
    <x v="4"/>
  </r>
  <r>
    <m/>
    <m/>
    <x v="6"/>
    <s v="5-2房貸專員業績統計作業"/>
    <s v="L5405"/>
    <s v="更改目標金額、累計目標金額          "/>
    <m/>
    <s v="張金龍"/>
    <s v="張嘉榮"/>
    <s v="PJ201800012_URS_5管理性作業_V1.6.docx"/>
    <x v="29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19T00:00:00"/>
    <s v="2-31 "/>
    <s v="96年度放款專員業績統計作業"/>
    <s v="L5405"/>
    <x v="4"/>
  </r>
  <r>
    <m/>
    <m/>
    <x v="6"/>
    <s v="5-2房貸專員業績統計作業"/>
    <s v="L5022"/>
    <s v="協辦人員等級明細資料查詢            "/>
    <m/>
    <s v="張金龍"/>
    <s v="張嘉榮"/>
    <s v="PJ201800012_URS_5管理性作業_V1.6.docx"/>
    <x v="28"/>
    <d v="2021-07-20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20T00:00:00"/>
    <s v="2-31 "/>
    <s v="96年度放款專員業績統計作業"/>
    <s v="L5022"/>
    <x v="4"/>
  </r>
  <r>
    <m/>
    <m/>
    <x v="6"/>
    <s v="5-2房貸專員業績統計作業"/>
    <s v="L5914"/>
    <s v="協辦人員等級歷程查詢"/>
    <s v="審後新增2021/10/26"/>
    <s v="張金龍"/>
    <s v="張嘉榮"/>
    <s v="PJ201800012_URS_5管理性作業_V1.6.docx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20T00:00:00"/>
    <m/>
    <m/>
    <m/>
    <s v="李珮君(張淑遠)"/>
    <m/>
    <m/>
    <m/>
    <m/>
    <s v="新交易"/>
    <m/>
    <e v="#N/A"/>
    <x v="4"/>
  </r>
  <r>
    <m/>
    <m/>
    <x v="6"/>
    <s v="5-2房貸專員業績統計作業"/>
    <s v="L5407"/>
    <s v="房貸協辦人員等級維護                "/>
    <m/>
    <s v="張金龍"/>
    <s v="張嘉榮"/>
    <s v="PJ201800012_URS_5管理性作業_V1.6.docx"/>
    <x v="28"/>
    <d v="2021-07-20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20T00:00:00"/>
    <s v="2-31 "/>
    <s v="96年度放款專員業績統計作業"/>
    <s v="L5407"/>
    <x v="4"/>
  </r>
  <r>
    <m/>
    <m/>
    <x v="2"/>
    <s v="6-7其他基本資料維護"/>
    <s v="L6705"/>
    <s v="聯徵報送-地區別資料維護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s v="鄧雪美"/>
    <m/>
    <m/>
    <m/>
    <m/>
    <s v="6-35"/>
    <s v="聯徵報送-地區別資料維護"/>
    <s v="L6705"/>
    <x v="4"/>
  </r>
  <r>
    <m/>
    <m/>
    <x v="2"/>
    <s v="6-7其他基本資料維護"/>
    <s v="L6994"/>
    <s v="業績件數及金額核算標準設定查詢"/>
    <m/>
    <s v="張金龍"/>
    <s v="張嘉榮"/>
    <s v="PJ201800012_URS_6共同作業_V1.11.docx"/>
    <x v="30"/>
    <d v="2021-07-21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21T00:00:00"/>
    <s v="新交易"/>
    <m/>
    <s v="L6994"/>
    <x v="4"/>
  </r>
  <r>
    <m/>
    <m/>
    <x v="2"/>
    <s v="6-7其他基本資料維護"/>
    <s v="L6707"/>
    <s v="現金流量預估資料維護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6-25"/>
    <s v="現金流量預估資料維護"/>
    <e v="#N/A"/>
    <x v="4"/>
  </r>
  <r>
    <m/>
    <m/>
    <x v="2"/>
    <s v="6-7其他基本資料維護"/>
    <s v="L6757"/>
    <s v="業績件數及金額核算標準設定(整月)"/>
    <m/>
    <s v="張金龍"/>
    <s v="張嘉榮"/>
    <s v="PJ201800012_URS_6共同作業_V1.11.docx"/>
    <x v="30"/>
    <d v="2021-07-21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d v="2021-12-20T00:00:00"/>
    <m/>
    <m/>
    <m/>
    <s v="李珮君(張淑遠)"/>
    <m/>
    <m/>
    <m/>
    <d v="2021-07-21T00:00:00"/>
    <s v="新交易"/>
    <m/>
    <s v="L6757"/>
    <x v="9"/>
  </r>
  <r>
    <m/>
    <m/>
    <x v="2"/>
    <s v="6-7其他基本資料維護"/>
    <s v="L6708"/>
    <s v="利息收入預算數維護"/>
    <m/>
    <s v="賴文育"/>
    <s v="楊智誠"/>
    <s v="PJ201800012_URS_6共同作業_V1.11.docx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新交易"/>
    <m/>
    <e v="#N/A"/>
    <x v="4"/>
  </r>
  <r>
    <m/>
    <m/>
    <x v="2"/>
    <s v="6-7其他基本資料維護"/>
    <s v="L6709"/>
    <s v="帳冊別目標金額維護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40"/>
    <s v="利變目標金額維護"/>
    <e v="#N/A"/>
    <x v="4"/>
  </r>
  <r>
    <m/>
    <m/>
    <x v="2"/>
    <s v="6-7其他基本資料維護"/>
    <s v="L6087"/>
    <s v="協辦獎勵津貼標準查詢"/>
    <m/>
    <s v="張金龍"/>
    <s v="張嘉榮"/>
    <s v="PJ201800012_URS_6共同作業_V1.11.docx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20T00:00:00"/>
    <m/>
    <m/>
    <m/>
    <s v="李珮君(張淑遠)"/>
    <m/>
    <m/>
    <m/>
    <d v="2021-07-20T00:00:00"/>
    <s v="新交易"/>
    <m/>
    <e v="#N/A"/>
    <x v="4"/>
  </r>
  <r>
    <m/>
    <m/>
    <x v="2"/>
    <s v="6-7其他基本資料維護"/>
    <s v="L6787"/>
    <s v="協辦獎勵津貼標準設定"/>
    <m/>
    <s v="張金龍"/>
    <s v="張嘉榮"/>
    <s v="PJ201800012_URS_6共同作業_V1.11.docx"/>
    <x v="28"/>
    <d v="2021-07-20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d v="2021-12-20T00:00:00"/>
    <m/>
    <m/>
    <m/>
    <s v="李珮君(張淑遠)"/>
    <m/>
    <m/>
    <m/>
    <d v="2021-07-20T00:00:00"/>
    <s v="新交易"/>
    <m/>
    <s v="L6787"/>
    <x v="9"/>
  </r>
  <r>
    <m/>
    <m/>
    <x v="2"/>
    <s v="6-5系統變數維護"/>
    <s v="L6501"/>
    <s v="系統變數及系統值設定"/>
    <m/>
    <s v="賴文育"/>
    <s v="楊智誠"/>
    <s v="PJ201800012_URS_6共同作業_V1.9"/>
    <x v="28"/>
    <d v="2021-07-20T00:00:00"/>
    <d v="2021-12-07T00:00:00"/>
    <s v="涂宇欣"/>
    <s v="陳政皓"/>
    <m/>
    <m/>
    <m/>
    <m/>
    <m/>
    <m/>
    <m/>
    <m/>
    <s v="放款服務課"/>
    <d v="2021-12-07T00:00:00"/>
    <s v="需二審"/>
    <d v="2021-12-14T00:00:00"/>
    <d v="2021-12-14T00:00:00"/>
    <d v="2021-12-14T00:00:00"/>
    <m/>
    <m/>
    <m/>
    <s v="陳政皓"/>
    <m/>
    <m/>
    <m/>
    <d v="2021-07-20T00:00:00"/>
    <s v="新交易"/>
    <m/>
    <s v="L6501"/>
    <x v="4"/>
  </r>
  <r>
    <m/>
    <m/>
    <x v="2"/>
    <s v="6-5系統變數維護"/>
    <s v="L650A"/>
    <s v="業績計算特殊參數設定(排除商品別)"/>
    <s v="由L6503更名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  <x v="4"/>
  </r>
  <r>
    <m/>
    <m/>
    <x v="2"/>
    <s v="6-5系統變數維護"/>
    <s v="L650B"/>
    <s v="業績計算特殊參數設定(排除部門別)"/>
    <s v="審後新增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  <x v="4"/>
  </r>
  <r>
    <m/>
    <m/>
    <x v="2"/>
    <s v="6-5系統變數維護"/>
    <s v="L650C"/>
    <s v="業績計算特殊參數設定(是否排除15日薪非業績人員)"/>
    <s v="審後新增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  <x v="4"/>
  </r>
  <r>
    <m/>
    <m/>
    <x v="2"/>
    <s v="6-5系統變數維護"/>
    <s v="L650D"/>
    <s v="業績計算特殊參數設定(業績追回通知設定)"/>
    <s v="審後新增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  <x v="4"/>
  </r>
  <r>
    <m/>
    <m/>
    <x v="6"/>
    <s v="5-3業績調整作業"/>
    <s v="L5051"/>
    <s v="房貸介紹人業績維護查詢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m/>
    <s v="新交易"/>
    <m/>
    <s v="L5051"/>
    <x v="7"/>
  </r>
  <r>
    <m/>
    <m/>
    <x v="6"/>
    <s v="5-3業績調整作業"/>
    <s v="L5501"/>
    <s v="介紹人業績案件維護            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m/>
    <s v="2-36-3"/>
    <s v="介紹人業績案件維護"/>
    <e v="#N/A"/>
    <x v="7"/>
  </r>
  <r>
    <m/>
    <m/>
    <x v="6"/>
    <s v="5-3業績調整作業"/>
    <s v="L5505"/>
    <s v="業績案件計件代碼維護"/>
    <s v="新增 2021/11/10"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s v="李珮君"/>
    <m/>
    <m/>
    <m/>
    <m/>
    <s v="2-36-1"/>
    <s v="業績案件計件代碼維護"/>
    <e v="#N/A"/>
    <x v="7"/>
  </r>
  <r>
    <m/>
    <m/>
    <x v="6"/>
    <s v="5-3業績調整作業"/>
    <s v="L5052"/>
    <s v="房貸專員業績維護查詢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  <m/>
    <s v="放款推展課"/>
    <d v="2021-12-16T00:00:00"/>
    <d v="2021-12-03T00:00:00"/>
    <d v="2021-12-03T00:00:00"/>
    <d v="2021-12-03T00:00:00"/>
    <d v="2021-12-20T00:00:00"/>
    <m/>
    <m/>
    <m/>
    <s v="李珮君"/>
    <m/>
    <m/>
    <m/>
    <m/>
    <s v="新交易"/>
    <m/>
    <s v="L5052"/>
    <x v="7"/>
  </r>
  <r>
    <m/>
    <m/>
    <x v="6"/>
    <s v="5-3業績調整作業"/>
    <s v="L5502"/>
    <s v="房貸專員件數金額資料維護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  <m/>
    <s v="放款推展課"/>
    <s v="20212/12/16"/>
    <d v="2021-12-03T00:00:00"/>
    <d v="2021-12-03T00:00:00"/>
    <d v="2021-12-03T00:00:00"/>
    <d v="2021-12-20T00:00:00"/>
    <m/>
    <m/>
    <m/>
    <s v="李珮君"/>
    <m/>
    <m/>
    <m/>
    <m/>
    <s v="2-36-4"/>
    <s v="房貸專員件數金額資料維護"/>
    <e v="#N/A"/>
    <x v="7"/>
  </r>
  <r>
    <m/>
    <m/>
    <x v="6"/>
    <s v="5-3業績調整作業"/>
    <s v="L5056"/>
    <s v="內網報表業績維護查詢"/>
    <s v="新增 2021/11/10"/>
    <s v="張金龍"/>
    <s v="張金龍"/>
    <s v="PJ201800012_URS_5管理性作業_V1.6.docx"/>
    <x v="52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s v="李珮君"/>
    <m/>
    <m/>
    <m/>
    <m/>
    <s v="新交易"/>
    <m/>
    <e v="#N/A"/>
    <x v="7"/>
  </r>
  <r>
    <m/>
    <m/>
    <x v="6"/>
    <s v="5-3業績調整作業"/>
    <s v="L5506"/>
    <s v="內網報表業績維護"/>
    <s v="新增 2021/11/10"/>
    <s v="張金龍"/>
    <s v="張金龍"/>
    <s v="PJ201800012_URS_5管理性作業_V1.6.docx"/>
    <x v="52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s v="李珮君"/>
    <m/>
    <m/>
    <m/>
    <m/>
    <s v="2-36-6"/>
    <s v="內網報表業績維護"/>
    <e v="#N/A"/>
    <x v="7"/>
  </r>
  <r>
    <m/>
    <m/>
    <x v="6"/>
    <s v="5-3業績調整作業"/>
    <s v="L5500"/>
    <s v="工作日業績結算"/>
    <m/>
    <s v="張金龍"/>
    <s v="張金龍"/>
    <s v="PJ201800012_URS_5管理性作業_V1.6.docx"/>
    <x v="53"/>
    <d v="2021-11-18T00:00:00"/>
    <d v="2021-12-17T00:00:00"/>
    <s v="涂宇欣"/>
    <s v="李珮君(張淑遠)"/>
    <m/>
    <m/>
    <m/>
    <m/>
    <m/>
    <m/>
    <m/>
    <m/>
    <e v="#N/A"/>
    <d v="2021-12-16T00:00:00"/>
    <s v="需二審"/>
    <d v="2021-12-20T00:00:00"/>
    <d v="2021-12-20T00:00:00"/>
    <d v="2021-12-20T00:00:00"/>
    <m/>
    <m/>
    <m/>
    <s v="李珮君(張淑遠)"/>
    <m/>
    <m/>
    <m/>
    <d v="2021-07-21T00:00:00"/>
    <s v="新交易"/>
    <m/>
    <s v="L5500"/>
    <x v="7"/>
  </r>
  <r>
    <m/>
    <m/>
    <x v="6"/>
    <s v="5-3業績調整作業"/>
    <s v="L5510"/>
    <s v="產生換算業績、業務報酬發放媒體"/>
    <m/>
    <s v="張金龍"/>
    <s v="張金龍"/>
    <s v="PJ201800012_URS_5管理性作業_V1.6.docx"/>
    <x v="52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s v="李珮君(張淑遠)"/>
    <m/>
    <m/>
    <m/>
    <m/>
    <s v="新交易"/>
    <m/>
    <e v="#N/A"/>
    <x v="7"/>
  </r>
  <r>
    <m/>
    <m/>
    <x v="6"/>
    <s v="5-3業績調整作業"/>
    <s v="L5511"/>
    <s v="產生介紹、協辦、專業獎勵獎金發放媒體"/>
    <m/>
    <s v="張金龍"/>
    <s v="張金龍"/>
    <s v="PJ201800012_URS_5管理性作業_V1.6.docx"/>
    <x v="54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s v="尹少玄"/>
    <m/>
    <m/>
    <m/>
    <m/>
    <s v="新交易"/>
    <m/>
    <e v="#N/A"/>
    <x v="7"/>
  </r>
  <r>
    <m/>
    <m/>
    <x v="6"/>
    <s v="5-3業績調整作業"/>
    <s v="L5053"/>
    <s v="介紹、協辦獎金明細查詢"/>
    <m/>
    <s v="張金龍"/>
    <s v="張金龍"/>
    <s v="PJ201800012_URS_5管理性作業_V1.6.docx"/>
    <x v="54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s v="尹少玄"/>
    <m/>
    <m/>
    <m/>
    <m/>
    <s v="新交易"/>
    <m/>
    <e v="#N/A"/>
    <x v="7"/>
  </r>
  <r>
    <m/>
    <m/>
    <x v="6"/>
    <s v="5-3業績調整作業"/>
    <s v="L5503"/>
    <s v="介紹、協辦獎金案件維護            "/>
    <m/>
    <s v="張金龍"/>
    <s v="張金龍"/>
    <s v="PJ201800012_URS_5管理性作業_V1.6.docx"/>
    <x v="54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s v="尹少玄"/>
    <m/>
    <m/>
    <m/>
    <m/>
    <s v="新交易"/>
    <m/>
    <e v="#N/A"/>
    <x v="7"/>
  </r>
  <r>
    <m/>
    <m/>
    <x v="6"/>
    <s v="5-3業績調整作業"/>
    <s v="L5512"/>
    <s v="產生介紹人加碼獎金發放媒體"/>
    <m/>
    <s v="張金龍"/>
    <s v="張金龍"/>
    <s v="PJ201800012_URS_5管理性作業_V1.6.docx"/>
    <x v="55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s v="李珮君(張淑遠)"/>
    <m/>
    <m/>
    <m/>
    <m/>
    <s v="新交易"/>
    <m/>
    <e v="#N/A"/>
    <x v="7"/>
  </r>
  <r>
    <m/>
    <m/>
    <x v="6"/>
    <s v="5-3業績調整作業"/>
    <s v="L5054"/>
    <s v="介紹人加碼獎金處理清單"/>
    <m/>
    <s v="張金龍"/>
    <s v="張金龍"/>
    <s v="PJ201800012_URS_5管理性作業_V1.6.docx"/>
    <x v="55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s v="李珮君(張淑遠)"/>
    <m/>
    <m/>
    <m/>
    <m/>
    <s v="新交易"/>
    <m/>
    <e v="#N/A"/>
    <x v="7"/>
  </r>
  <r>
    <m/>
    <m/>
    <x v="6"/>
    <s v="5-3業績調整作業"/>
    <s v="L5504"/>
    <s v="介紹人加碼獎金案件維護      "/>
    <m/>
    <s v="張金龍"/>
    <s v="張金龍"/>
    <s v="PJ201800012_URS_5管理性作業_V1.6.docx"/>
    <x v="55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s v="李珮君(張淑遠)"/>
    <m/>
    <m/>
    <m/>
    <m/>
    <s v="新交易"/>
    <m/>
    <e v="#N/A"/>
    <x v="7"/>
  </r>
  <r>
    <m/>
    <m/>
    <x v="6"/>
    <s v="5-2房貸專員業績統計作業"/>
    <s v="L5910"/>
    <s v="新撥款利率案件資料產生              "/>
    <m/>
    <s v="張金龍"/>
    <s v="張嘉榮"/>
    <s v="PJ201800012_URS_5管理性作業_V1.6.docx"/>
    <x v="55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m/>
    <s v="2-31 "/>
    <s v="96年度放款專員業績統計作業"/>
    <e v="#N/A"/>
    <x v="6"/>
  </r>
  <r>
    <m/>
    <m/>
    <x v="6"/>
    <s v="5-2房貸專員業績統計作業"/>
    <s v="L5912"/>
    <s v="新光銀銀扣案件資料產生              "/>
    <m/>
    <s v="張金龍"/>
    <s v="張嘉榮"/>
    <s v="PJ201800012_URS_5管理性作業_V1.6.docx"/>
    <x v="55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m/>
    <s v="2-31 "/>
    <s v="96年度放款專員業績統計作業"/>
    <e v="#N/A"/>
    <x v="6"/>
  </r>
  <r>
    <m/>
    <m/>
    <x v="2"/>
    <s v="6-4作業控管維護"/>
    <s v="L6042"/>
    <s v="交易控制檔查詢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d v="2021-10-22T00:00:00"/>
    <s v="新交易"/>
    <m/>
    <s v="L6042"/>
    <x v="7"/>
  </r>
  <r>
    <m/>
    <m/>
    <x v="2"/>
    <s v="6-4作業控管維護"/>
    <s v="L6402"/>
    <s v="交易控制檔維護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m/>
    <s v="新交易"/>
    <m/>
    <s v="L6402"/>
    <x v="7"/>
  </r>
  <r>
    <m/>
    <m/>
    <x v="2"/>
    <s v="6-4作業控管維護"/>
    <s v="L6043"/>
    <s v="權限群組查詢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s v="蔡珮瑜"/>
    <m/>
    <m/>
    <m/>
    <m/>
    <s v="新交易"/>
    <m/>
    <e v="#N/A"/>
    <x v="7"/>
  </r>
  <r>
    <m/>
    <m/>
    <x v="2"/>
    <s v="6-4作業控管維護"/>
    <s v="L6403"/>
    <s v="權限群組維護  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s v="蔡珮瑜"/>
    <m/>
    <m/>
    <m/>
    <m/>
    <s v="新交易"/>
    <m/>
    <e v="#N/A"/>
    <x v="7"/>
  </r>
  <r>
    <m/>
    <m/>
    <x v="2"/>
    <s v="6-7其他基本資料維護"/>
    <s v="L6751"/>
    <s v="介紹人加碼獎勵津貼標準設定"/>
    <m/>
    <s v="賴文育"/>
    <s v="楊智誠"/>
    <s v="PJ201800012_URS_6共同作業_V1.11.docx"/>
    <x v="28"/>
    <d v="2021-07-20T00:00:00"/>
    <d v="2021-07-25T00:00:00"/>
    <s v="李珮琪"/>
    <s v="李珮君(張淑遠)"/>
    <m/>
    <m/>
    <m/>
    <m/>
    <m/>
    <m/>
    <m/>
    <m/>
    <e v="#N/A"/>
    <d v="2021-07-25T00:00:00"/>
    <s v="需二審"/>
    <d v="2021-12-20T00:00:00"/>
    <d v="2021-12-20T00:00:00"/>
    <d v="2021-12-20T00:00:00"/>
    <m/>
    <m/>
    <m/>
    <s v="李珮君(張淑遠)"/>
    <m/>
    <m/>
    <m/>
    <d v="2021-07-20T00:00:00"/>
    <s v="新交易"/>
    <m/>
    <s v="L6751"/>
    <x v="4"/>
  </r>
  <r>
    <m/>
    <m/>
    <x v="2"/>
    <s v="6-7其他基本資料維護"/>
    <s v="L6752"/>
    <s v="放款業績工作月維護"/>
    <m/>
    <s v="賴文育"/>
    <s v="楊智誠"/>
    <s v="PJ201800012_URS_6共同作業_V1.11.docx"/>
    <x v="29"/>
    <d v="2021-07-19T00:00:00"/>
    <d v="2021-07-25T00:00:00"/>
    <s v="涂宇欣"/>
    <s v="李珮君(張淑遠)"/>
    <m/>
    <n v="1"/>
    <s v="T"/>
    <m/>
    <m/>
    <m/>
    <m/>
    <m/>
    <e v="#N/A"/>
    <d v="2021-07-25T00:00:00"/>
    <s v="需二審"/>
    <d v="2021-12-20T00:00:00"/>
    <d v="2021-12-20T00:00:00"/>
    <d v="2021-12-20T00:00:00"/>
    <m/>
    <m/>
    <m/>
    <s v="李珮君(張淑遠)"/>
    <m/>
    <m/>
    <m/>
    <d v="2021-07-19T00:00:00"/>
    <s v="6-31"/>
    <s v="放款業績工作日維護"/>
    <s v="L6752"/>
    <x v="4"/>
  </r>
  <r>
    <m/>
    <m/>
    <x v="2"/>
    <s v="6-4作業控管維護"/>
    <s v="L6041"/>
    <s v="使用者資料查詢"/>
    <m/>
    <s v="張金龍"/>
    <s v="楊智誠"/>
    <s v="PJ201800012_URS_6共同作業_V1.11.docx"/>
    <x v="27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m/>
    <s v="新交易"/>
    <m/>
    <s v="L6041"/>
    <x v="7"/>
  </r>
  <r>
    <m/>
    <m/>
    <x v="2"/>
    <s v="6-4作業控管維護"/>
    <s v="L6401"/>
    <s v="使用者資料維護"/>
    <m/>
    <s v="張金龍"/>
    <s v="楊智誠"/>
    <s v="PJ201800012_URS_6共同作業_V1.11.docx"/>
    <x v="27"/>
    <d v="2021-11-20T00:00:00"/>
    <d v="2021-12-03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s v="2021/12/20、12/14"/>
    <m/>
    <m/>
    <m/>
    <s v="陳政皓"/>
    <m/>
    <m/>
    <m/>
    <m/>
    <s v="新交易"/>
    <m/>
    <s v="L6401"/>
    <x v="7"/>
  </r>
  <r>
    <m/>
    <m/>
    <x v="2"/>
    <s v="6-4作業控管維護"/>
    <s v="L6943"/>
    <s v="使用者交易權限查詢"/>
    <s v="審後新增2021/12/20"/>
    <s v="張金龍"/>
    <s v="楊智誠"/>
    <s v="PJ201800012_URS_6共同作業_V1.11.docx"/>
    <x v="27"/>
    <d v="2021-11-20T00:00:00"/>
    <d v="2021-12-03T00:00:00"/>
    <s v="涂宇欣"/>
    <s v="陳政皓"/>
    <m/>
    <m/>
    <m/>
    <m/>
    <m/>
    <m/>
    <m/>
    <m/>
    <s v="放款服務課"/>
    <d v="2021-12-03T00:00:00"/>
    <s v="審後新增"/>
    <s v="2021/12/14am"/>
    <d v="2021-12-14T00:00:00"/>
    <d v="2021-12-20T00:00:00"/>
    <m/>
    <m/>
    <m/>
    <s v="陳政皓"/>
    <m/>
    <m/>
    <m/>
    <m/>
    <s v="新交易"/>
    <e v="#N/A"/>
    <e v="#N/A"/>
    <x v="7"/>
  </r>
  <r>
    <m/>
    <m/>
    <x v="2"/>
    <s v="6-1控制類"/>
    <s v="L6104"/>
    <s v="代理人設定"/>
    <m/>
    <s v="張金龍"/>
    <s v="楊智誠"/>
    <s v="PJ201800012_URS_6共同作業_V1.11.docx"/>
    <x v="27"/>
    <d v="2021-11-29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s v="陳政皓"/>
    <m/>
    <m/>
    <m/>
    <m/>
    <s v="新交易"/>
    <m/>
    <e v="#N/A"/>
    <x v="7"/>
  </r>
  <r>
    <m/>
    <m/>
    <x v="2"/>
    <s v="6-4作業控管維護"/>
    <s v="L6044"/>
    <s v="主管授權紀錄查詢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s v="2021/12/20、12/14"/>
    <m/>
    <m/>
    <m/>
    <s v="蔡珮瑜"/>
    <m/>
    <m/>
    <m/>
    <m/>
    <s v="新交易"/>
    <m/>
    <e v="#N/A"/>
    <x v="7"/>
  </r>
  <r>
    <m/>
    <m/>
    <x v="2"/>
    <s v="6-4作業控管維護"/>
    <s v="L6932"/>
    <s v="資料變更交易查詢"/>
    <m/>
    <s v="賴文育"/>
    <s v="楊智誠"/>
    <s v="PJ201800012_URS_6共同作業_V1.9"/>
    <x v="27"/>
    <d v="2021-11-29T00:00:00"/>
    <d v="2021-12-08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陳政皓"/>
    <m/>
    <m/>
    <m/>
    <m/>
    <s v="新交易"/>
    <m/>
    <e v="#N/A"/>
    <x v="7"/>
  </r>
  <r>
    <m/>
    <m/>
    <x v="2"/>
    <s v="6-4作業控管維護"/>
    <s v="L6933"/>
    <s v="資料變更明細查詢"/>
    <s v="審後新增2021/11/29"/>
    <s v="賴文育"/>
    <s v="楊智誠"/>
    <s v="PJ201800012_URS_6共同作業_V1.9"/>
    <x v="27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s v="陳政皓"/>
    <m/>
    <m/>
    <m/>
    <m/>
    <s v="新交易"/>
    <m/>
    <e v="#N/A"/>
    <x v="7"/>
  </r>
  <r>
    <m/>
    <m/>
    <x v="2"/>
    <s v="6-4作業控管維護"/>
    <s v="L6934"/>
    <s v="資料變更內容查詢"/>
    <s v="審後新增2021/11/29"/>
    <s v="賴文育"/>
    <s v="楊智誠"/>
    <s v="PJ201800012_URS_6共同作業_V1.11.docx"/>
    <x v="27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s v="陳政皓"/>
    <m/>
    <m/>
    <m/>
    <m/>
    <s v="新交易"/>
    <m/>
    <e v="#N/A"/>
    <x v="7"/>
  </r>
  <r>
    <m/>
    <m/>
    <x v="2"/>
    <s v="6-7其他基本資料維護"/>
    <s v="L6754"/>
    <s v="業績件數及金額核算標準設定"/>
    <m/>
    <s v="賴文育"/>
    <s v="楊智誠"/>
    <s v="PJ201800012_URS_6共同作業_V1.11.docx"/>
    <x v="30"/>
    <d v="2021-07-21T00:00:00"/>
    <d v="2021-07-25T00:00:00"/>
    <s v="涂宇欣"/>
    <s v="陳政皓"/>
    <m/>
    <m/>
    <m/>
    <m/>
    <m/>
    <m/>
    <m/>
    <m/>
    <s v="放款服務課"/>
    <d v="2021-07-25T00:00:00"/>
    <s v="需二審"/>
    <d v="2021-12-14T00:00:00"/>
    <d v="2021-12-14T00:00:00"/>
    <d v="2021-12-20T00:00:00"/>
    <m/>
    <m/>
    <m/>
    <s v="陳政皓"/>
    <m/>
    <m/>
    <m/>
    <d v="2021-07-21T00:00:00"/>
    <s v="新交易"/>
    <m/>
    <s v="L6754"/>
    <x v="4"/>
  </r>
  <r>
    <m/>
    <m/>
    <x v="2"/>
    <s v="6-7其他基本資料維護"/>
    <s v="L6755"/>
    <s v="單位及主管代號維護"/>
    <m/>
    <s v="賴文育"/>
    <s v="楊智誠"/>
    <s v="PJ201800012_URS_6共同作業_V1.11.docx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m/>
    <s v="6-29"/>
    <s v="單位主管代碼檔維護"/>
    <s v="L6755"/>
    <x v="4"/>
  </r>
  <r>
    <m/>
    <m/>
    <x v="2"/>
    <s v="6-1控制類"/>
    <s v="L6103"/>
    <s v="報表查詢作業申請    "/>
    <m/>
    <s v="賴文育"/>
    <s v="楊智誠"/>
    <s v="PJ201800012_URS_6共同作業_V1.11.docx"/>
    <x v="27"/>
    <d v="2021-12-03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s v="陳政皓"/>
    <m/>
    <m/>
    <m/>
    <m/>
    <s v="新交易"/>
    <m/>
    <e v="#N/A"/>
    <x v="7"/>
  </r>
  <r>
    <m/>
    <m/>
    <x v="7"/>
    <s v="8-3債協報送作業"/>
    <s v="L8030"/>
    <s v="消債條列JCIC報送資料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s v="L8030"/>
    <x v="6"/>
  </r>
  <r>
    <m/>
    <m/>
    <x v="7"/>
    <s v="8-3債協報送作業"/>
    <s v="L8031"/>
    <s v="消債條列JCIC報送資料歷程查詢(040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32"/>
    <s v="消債條列JCIC報送資料歷程查詢(041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32"/>
    <x v="6"/>
  </r>
  <r>
    <m/>
    <m/>
    <x v="7"/>
    <s v="8-3債協報送作業"/>
    <s v="L8033"/>
    <s v="消債條列JCIC報送資料歷程查詢(042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34"/>
    <s v="消債條列JCIC報送資料歷程查詢(043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35"/>
    <s v="消債條列JCIC報送資料歷程查詢(044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36"/>
    <s v="消債條列JCIC報送資料歷程查詢(045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37"/>
    <s v="消債條列JCIC報送資料歷程查詢(046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38"/>
    <s v="消債條列JCIC報送資料歷程查詢(047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38"/>
    <x v="6"/>
  </r>
  <r>
    <m/>
    <m/>
    <x v="7"/>
    <s v="8-3債協報送作業"/>
    <s v="L8039"/>
    <s v="消債條列JCIC報送資料歷程查詢(048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39"/>
    <x v="6"/>
  </r>
  <r>
    <m/>
    <m/>
    <x v="7"/>
    <s v="8-3債協報送作業"/>
    <s v="L8040"/>
    <s v="消債條列JCIC報送資料歷程查詢(049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41"/>
    <s v="消債條列JCIC報送資料歷程查詢(050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42"/>
    <s v="消債條列JCIC報送資料歷程查詢(051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43"/>
    <s v="消債條列JCIC報送資料歷程查詢(052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44"/>
    <s v="消債條列JCIC報送資料歷程查詢(053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45"/>
    <s v="消債條列JCIC報送資料歷程查詢(054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46"/>
    <s v="消債條列JCIC報送資料歷程查詢(055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47"/>
    <s v="消債條列JCIC報送資料歷程查詢(056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48"/>
    <s v="消債條列JCIC報送資料歷程查詢(060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49"/>
    <s v="消債條列JCIC報送資料歷程查詢(061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0"/>
    <s v="消債條列JCIC報送資料歷程查詢(062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1"/>
    <s v="消債條列JCIC報送資料歷程查詢(063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2"/>
    <s v="消債條列JCIC報送資料歷程查詢(44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3"/>
    <s v="消債條列JCIC報送資料歷程查詢(442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4"/>
    <s v="消債條列JCIC報送資料歷程查詢(443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5"/>
    <s v="消債條列JCIC報送資料歷程查詢(44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6"/>
    <s v="消債條列JCIC報送資料歷程查詢(446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7"/>
    <s v="消債條列JCIC報送資料歷程查詢(447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8"/>
    <s v="消債條列JCIC報送資料歷程查詢(448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9"/>
    <s v="消債條列JCIC報送資料歷程查詢(45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60"/>
    <s v="消債條列JCIC報送資料歷程查詢(451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61"/>
    <s v="消債條列JCIC報送資料歷程查詢(45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62"/>
    <s v="消債條列JCIC報送資料歷程查詢(570)"/>
    <s v="新增2021/10/21"/>
    <s v="張金龍"/>
    <s v="張嘉榮"/>
    <s v="PJ201800012_URS_8遵循法令作業_債協報送_V1.0.docx"/>
    <x v="5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62"/>
    <x v="6"/>
  </r>
  <r>
    <m/>
    <m/>
    <x v="7"/>
    <s v="8-3債協報送作業"/>
    <s v="L8063"/>
    <s v="消債條列JCIC報送資料歷程查詢(571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64"/>
    <s v="消債條列JCIC報送資料歷程查詢(572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65"/>
    <s v="消債條列JCIC報送資料歷程查詢(573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66"/>
    <s v="消債條列JCIC報送資料歷程查詢(574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67"/>
    <s v="消債條列JCIC報送資料歷程查詢(575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301"/>
    <s v="(40)前置協商受理申請暨請求回報償權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02"/>
    <s v="(41)協商開始暨停催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03"/>
    <s v="(42)回報無擔保債權金額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04"/>
    <s v="(43)回報有擔保債權金額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05"/>
    <s v="(44)請求同意債務清償方案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06"/>
    <s v="(45)回報是否同意債務清償方案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07"/>
    <s v="(46)結案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08"/>
    <s v="(47)金融機構無擔保債務協議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09"/>
    <s v="(48)債務人基本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0"/>
    <s v="(49)債務清償方案法院認可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1"/>
    <s v="(50)債務人繳款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2"/>
    <s v="(51)延期繳款（喘息期）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3"/>
    <s v="(52)前置協商相關資料報送例外處理檔案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4"/>
    <s v="(53)同意報送例外處理檔案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5"/>
    <s v="(54)單獨全數受清償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6"/>
    <s v="(55)更生案件通報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7"/>
    <s v="(56)清算案件通報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8"/>
    <s v="(60)前置協商受理變更還款條件申請暨請求回報剩餘債權通知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9"/>
    <s v="(61)回報協商剩餘債權金額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0"/>
    <s v="(62)金融機構無擔保債務變更還款條件協議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1"/>
    <s v="(63)變更還款方案結案通知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2"/>
    <s v="(440)前置調解受理申請暨請求回報債權通知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3"/>
    <s v="(442)前置調解回報無擔保債權金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4"/>
    <s v="(443)前置調解回報有擔保債權金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5"/>
    <s v="(444)前置調解債務人基本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6"/>
    <s v="(446)前置調解結案通知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7"/>
    <s v="(447)前置調解金融機構無擔保債務協議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8"/>
    <s v="(448)前置調解無擔保債務還款分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9"/>
    <s v="(450)前置調解債務人繳款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30"/>
    <s v="(451)前置調解延期繳款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31"/>
    <s v="(454)前置調解單獨全數受清償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32"/>
    <s v="(570)受理更生款項統一收付通知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33"/>
    <s v="(571)更生款項統一收付回報債權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34"/>
    <s v="(572)更生款項統一收款及撥付款項分配表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35"/>
    <s v="(573)債務人繳款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36"/>
    <s v="(574)更生款項統一收付結案通知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s v="L8336"/>
    <x v="7"/>
  </r>
  <r>
    <m/>
    <m/>
    <x v="7"/>
    <s v="8-3債協報送作業"/>
    <s v="L8337"/>
    <s v="(575)債權金額異動通知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403"/>
    <s v="JCIC檔案匯出作業(040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04"/>
    <s v="JCIC檔案匯出作業(041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05"/>
    <s v="JCIC檔案匯出作業(042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06"/>
    <s v="JCIC檔案匯出作業(043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07"/>
    <s v="JCIC檔案匯出作業(044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08"/>
    <s v="JCIC檔案匯出作業(045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09"/>
    <s v="JCIC檔案匯出作業(046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0"/>
    <s v="JCIC檔案匯出作業(047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1"/>
    <s v="JCIC檔案匯出作業(048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2"/>
    <s v="JCIC檔案匯出作業(049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3"/>
    <s v="JCIC檔案匯出作業(050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4"/>
    <s v="JCIC檔案匯出作業(051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5"/>
    <s v="JCIC檔案匯出作業(052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6"/>
    <s v="JCIC檔案匯出作業(053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7"/>
    <s v="JCIC檔案匯出作業(054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8"/>
    <s v="JCIC檔案匯出作業(055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9"/>
    <s v="JCIC檔案匯出作業(056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0"/>
    <s v="JCIC檔案匯出作業(060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1"/>
    <s v="JCIC檔案匯出作業(061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2"/>
    <s v="JCIC檔案匯出作業(062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3"/>
    <s v="JCIC檔案匯出作業(063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4"/>
    <s v="JCIC檔案匯出作業(44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5"/>
    <s v="JCIC檔案匯出作業(442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6"/>
    <s v="JCIC檔案匯出作業(443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7"/>
    <s v="JCIC檔案匯出作業(44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8"/>
    <s v="JCIC檔案匯出作業(446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9"/>
    <s v="JCIC檔案匯出作業(447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0"/>
    <s v="JCIC檔案匯出作業(448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1"/>
    <s v="JCIC檔案匯出作業(45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2"/>
    <s v="JCIC檔案匯出作業(451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3"/>
    <s v="JCIC檔案匯出作業(45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4"/>
    <s v="JCIC檔案匯出作業(570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5"/>
    <s v="JCIC檔案匯出作業(571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6"/>
    <s v="JCIC檔案匯出作業(572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7"/>
    <s v="JCIC檔案匯出作業(573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8"/>
    <s v="JCIC檔案匯出作業(574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9"/>
    <s v="JCIC檔案匯出作業(575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5聯徵產品報送"/>
    <s v="L8950"/>
    <s v="MU1人員名冊查詢"/>
    <s v="新增2021/10/26"/>
    <s v="張金龍"/>
    <s v="張嘉榮"/>
    <s v="PJ201800012_URS_8遵循法令作業_V1.3"/>
    <x v="47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s v="程慧娟"/>
    <m/>
    <m/>
    <m/>
    <m/>
    <s v="催收及債協系統"/>
    <s v="JCIC-&gt;聯徵產品查詢"/>
    <e v="#N/A"/>
    <x v="4"/>
  </r>
  <r>
    <m/>
    <m/>
    <x v="7"/>
    <s v="8-5聯徵產品報送"/>
    <s v="L8350"/>
    <s v="MU1人員名冊報送"/>
    <s v="新增2021/10/26"/>
    <s v="張金龍"/>
    <s v="張嘉榮"/>
    <s v="PJ201800012_URS_8遵循法令作業_V1.3"/>
    <x v="47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s v="程慧娟"/>
    <m/>
    <m/>
    <m/>
    <m/>
    <s v="催收及債協系統"/>
    <s v="JCIC-&gt;聯徵產品查詢"/>
    <e v="#N/A"/>
    <x v="4"/>
  </r>
  <r>
    <m/>
    <m/>
    <x v="7"/>
    <s v="8-5聯徵產品報送"/>
    <s v="L8351"/>
    <s v="聯徵產品檔案匯出作業"/>
    <s v="新增2021/10/26"/>
    <s v="張金龍"/>
    <s v="張嘉榮"/>
    <s v="PJ201800012_URS_8遵循法令作業_V1.3"/>
    <x v="47"/>
    <d v="2021-11-25T00:00:00"/>
    <d v="2021-12-03T00:00:00"/>
    <s v="林清河"/>
    <s v="邱怡婷"/>
    <s v="程慧娟"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s v="邱怡婷"/>
    <m/>
    <m/>
    <m/>
    <m/>
    <s v="催收及債協系統"/>
    <s v="JCIC-&gt;聯徵產品檔案匯出作業"/>
    <e v="#N/A"/>
    <x v="4"/>
  </r>
  <r>
    <m/>
    <m/>
    <x v="7"/>
    <s v="8-4JCIC放款報送"/>
    <s v="L8401"/>
    <s v="產生JCIC日報媒體檔"/>
    <s v="新增2021/11/17，B204 聯徵授信餘額日報檔、B211 聯徵每日授信餘額變動資料檔"/>
    <s v="蘇曉玲"/>
    <s v="蘇曉玲"/>
    <s v="PJ201800012_URS_8遵循法令作業_V1.3"/>
    <x v="47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d v="2021-12-14T00:00:00"/>
    <m/>
    <m/>
    <m/>
    <s v="鄧雪美"/>
    <m/>
    <m/>
    <m/>
    <m/>
    <s v="4-80_x000a_"/>
    <s v=" 每日新增授信及清償資料    _x000a_ 每日新增授信明細表        _x000a_ 每日新增清償明細表（撥款）_x000a_ 每日授信餘額變動資料      "/>
    <s v="L8401"/>
    <x v="4"/>
  </r>
  <r>
    <m/>
    <m/>
    <x v="7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V1.3"/>
    <x v="47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d v="2021-12-14T00:00:00"/>
    <m/>
    <m/>
    <m/>
    <s v="鄧雪美"/>
    <m/>
    <m/>
    <m/>
    <m/>
    <s v="4-79"/>
    <s v=" 帳號轉換資料０８５檔        _x000a_ 正常件月報資料              _x000a_ 催收件月報資料              _x000a_ 呆帳件月報資料              _x000a_ 結案件月報資料              _x000a_ 額度資料媒體檔              _x000a_ 當月結案件新增到額度檔      _x000a_ 授信戶基本資料媒體檔        _x000a_ 擔保品關聯檔                _x000a_ 合併各月報資料 --&gt; B201 檔  _x000a_ JCIC 授信額度檔檢核作業     _x000a_ JCIC 授信餘額月報檔檢核作業 _x000a_ JCIC B680 檔產生作業"/>
    <s v="L8402"/>
    <x v="4"/>
  </r>
  <r>
    <m/>
    <m/>
    <x v="8"/>
    <s v="7-2IFRS9作業"/>
    <s v="L7022"/>
    <s v="違約損失率檔查詢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s v="張舜雯"/>
    <m/>
    <m/>
    <m/>
    <m/>
    <s v="5-15-6_x000a_5-16-6"/>
    <s v="違約損失率維護"/>
    <e v="#N/A"/>
    <x v="7"/>
  </r>
  <r>
    <m/>
    <m/>
    <x v="8"/>
    <s v="7-2IFRS9作業"/>
    <s v="L7202"/>
    <s v="違約損失率登錄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s v="張舜雯"/>
    <m/>
    <m/>
    <m/>
    <m/>
    <s v="5-15-6_x000a_5-16-6"/>
    <s v="違約損失率維護"/>
    <s v="L7202"/>
    <x v="7"/>
  </r>
  <r>
    <m/>
    <m/>
    <x v="8"/>
    <s v="7-2IFRS9作業"/>
    <s v="L7903"/>
    <s v="商品分類資料查詢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s v="張舜雯"/>
    <m/>
    <m/>
    <m/>
    <m/>
    <s v="5-15-2_x000a_5-16-2"/>
    <s v="商品分類資料設定"/>
    <e v="#N/A"/>
    <x v="7"/>
  </r>
  <r>
    <m/>
    <m/>
    <x v="8"/>
    <s v="7-2IFRS9作業"/>
    <s v="L7210"/>
    <s v="商品分類資料維護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s v="張舜雯"/>
    <m/>
    <m/>
    <m/>
    <m/>
    <s v="5-15-2_x000a_5-16-2"/>
    <s v="商品分類資料設定"/>
    <s v="L7210"/>
    <x v="7"/>
  </r>
  <r>
    <m/>
    <m/>
    <x v="8"/>
    <s v="7-2IFRS9作業"/>
    <s v="L7904"/>
    <s v="特殊客觀減損狀況查詢"/>
    <s v="新增2021/11/17"/>
    <s v="蘇曉玲"/>
    <s v="蘇曉玲"/>
    <s v="PJ201800012_URS_7介接外部系統_V1.8.docx"/>
    <x v="56"/>
    <d v="2021-11-30T00:00:00"/>
    <d v="2021-12-03T00:00:00"/>
    <s v="林清河"/>
    <s v="張舜雯"/>
    <m/>
    <m/>
    <m/>
    <m/>
    <m/>
    <m/>
    <m/>
    <m/>
    <s v="放款管理課"/>
    <d v="2021-12-03T00:00:00"/>
    <s v="需二審"/>
    <d v="2021-12-16T00:00:00"/>
    <d v="2021-12-16T00:00:00"/>
    <d v="2021-12-16T00:00:00"/>
    <m/>
    <m/>
    <m/>
    <s v="張舜雯"/>
    <m/>
    <m/>
    <m/>
    <m/>
    <s v="5-15-3_x000a_5-16-3"/>
    <s v="特殊客觀減損狀況資料維護"/>
    <s v="L7904"/>
    <x v="6"/>
  </r>
  <r>
    <m/>
    <m/>
    <x v="8"/>
    <s v="7-2IFRS9作業"/>
    <s v="L7204"/>
    <s v="特殊客觀減損狀況維護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s v="張舜雯"/>
    <m/>
    <m/>
    <m/>
    <m/>
    <s v="5-15-3_x000a_5-16-3"/>
    <s v="特殊客觀減損狀況資料維護"/>
    <s v="L7204"/>
    <x v="7"/>
  </r>
  <r>
    <m/>
    <m/>
    <x v="8"/>
    <s v="7-2IFRS9作業"/>
    <s v="L7203"/>
    <s v="利息法帳面資料上傳作業"/>
    <s v="新增2021/11/17"/>
    <s v="蘇曉玲"/>
    <s v="蘇曉玲"/>
    <s v="PJ201800012_URS_7介接外部系統_V1.8.docx"/>
    <x v="56"/>
    <d v="2021-11-30T00:00:00"/>
    <d v="2021-12-03T00:00:00"/>
    <s v="林清河"/>
    <s v="蔡珮瑜"/>
    <s v="蔡珮瑜"/>
    <m/>
    <m/>
    <m/>
    <m/>
    <m/>
    <m/>
    <m/>
    <s v="放款服務課"/>
    <d v="2021-12-03T00:00:00"/>
    <s v="需二審"/>
    <d v="2021-12-16T00:00:00"/>
    <d v="2021-12-16T00:00:00"/>
    <d v="2021-12-16T00:00:00"/>
    <m/>
    <m/>
    <m/>
    <s v="蔡珮瑜"/>
    <m/>
    <m/>
    <m/>
    <m/>
    <s v="5-15-13_x000a_5-16-13"/>
    <s v="利息法帳面資料上傳作業"/>
    <s v="L7203"/>
    <x v="6"/>
  </r>
  <r>
    <m/>
    <m/>
    <x v="8"/>
    <s v="7-2IFRS9作業"/>
    <s v="L7901"/>
    <s v="３４號公報欄位清單產生作業"/>
    <s v="新增2021/11/17"/>
    <s v="蘇曉玲"/>
    <s v="蘇曉玲"/>
    <s v="PJ201800012_URS_7介接外部系統_V1.8.docx"/>
    <x v="56"/>
    <d v="2021-11-30T00:00:00"/>
    <d v="2021-12-03T00:00:00"/>
    <s v="林清河"/>
    <s v="張舜雯"/>
    <s v="蔡珮瑜"/>
    <m/>
    <m/>
    <m/>
    <m/>
    <m/>
    <m/>
    <m/>
    <s v="放款管理課"/>
    <d v="2021-12-03T00:00:00"/>
    <s v="需二審"/>
    <d v="2021-12-16T00:00:00"/>
    <d v="2021-12-16T00:00:00"/>
    <d v="2021-12-16T00:00:00"/>
    <m/>
    <m/>
    <m/>
    <s v="張舜雯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s v="L7901"/>
    <x v="6"/>
  </r>
  <r>
    <d v="2021-12-31T00:00:00"/>
    <m/>
    <x v="8"/>
    <s v="7-2IFRS9作業"/>
    <s v="L7902"/>
    <s v="ＩＦＲＳ９欄位清單產生作業"/>
    <s v="新增2021/11/17"/>
    <s v="蘇曉玲"/>
    <s v="蘇曉玲"/>
    <s v="PJ201800012_URS_7介接外部系統_V1.8.docx"/>
    <x v="56"/>
    <d v="2021-11-30T00:00:00"/>
    <d v="2021-12-16T00:00:00"/>
    <s v="林清河"/>
    <s v="蔡珮瑜"/>
    <s v="張舜雯"/>
    <m/>
    <m/>
    <m/>
    <m/>
    <m/>
    <m/>
    <m/>
    <s v="放款服務課"/>
    <d v="2021-12-16T00:00:00"/>
    <s v="需二審"/>
    <d v="2021-12-16T00:00:00"/>
    <d v="2021-12-16T00:00:00"/>
    <d v="2021-12-16T00:00:00"/>
    <m/>
    <m/>
    <m/>
    <s v="蔡珮瑜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s v="L7902"/>
    <x v="7"/>
  </r>
  <r>
    <m/>
    <m/>
    <x v="8"/>
    <s v="7-1E-Loan"/>
    <s v="L7913"/>
    <s v="(eloan)評級資訊查詢"/>
    <s v="新增2021/11/18"/>
    <s v="張金龍"/>
    <s v="陳昱衡"/>
    <s v="PJ201800012_URS_7介接外部系統_V1.6(eLoan)"/>
    <x v="47"/>
    <d v="2021-11-26T00:00:00"/>
    <d v="2021-12-06T00:00:00"/>
    <s v="吳承憲"/>
    <s v="施美娟"/>
    <m/>
    <m/>
    <m/>
    <m/>
    <m/>
    <m/>
    <m/>
    <m/>
    <s v="放款審查課"/>
    <d v="2021-12-03T00:00:00"/>
    <s v="無調整"/>
    <d v="2021-11-24T00:00:00"/>
    <d v="2021-11-26T00:00:00"/>
    <d v="2021-12-14T00:00:00"/>
    <m/>
    <m/>
    <m/>
    <s v="施美娟"/>
    <m/>
    <m/>
    <m/>
    <m/>
    <s v="新交易"/>
    <m/>
    <e v="#N/A"/>
    <x v="6"/>
  </r>
  <r>
    <m/>
    <m/>
    <x v="9"/>
    <s v="LC.共同作業"/>
    <s v="LC001"/>
    <s v="訂正資料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  <x v="7"/>
  </r>
  <r>
    <m/>
    <m/>
    <x v="9"/>
    <s v="LC.共同作業"/>
    <s v="LC002"/>
    <s v="修正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  <x v="7"/>
  </r>
  <r>
    <m/>
    <m/>
    <x v="9"/>
    <s v="LC.共同作業"/>
    <s v="LC003"/>
    <s v="放行資料查詢"/>
    <s v="新增2021/11/29(主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s v="陳政皓"/>
    <m/>
    <m/>
    <m/>
    <m/>
    <s v="新交易"/>
    <m/>
    <s v="LC003"/>
    <x v="7"/>
  </r>
  <r>
    <m/>
    <m/>
    <x v="9"/>
    <s v="LC.共同作業"/>
    <s v="LC004"/>
    <s v="審核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  <x v="7"/>
  </r>
  <r>
    <m/>
    <m/>
    <x v="9"/>
    <s v="LC.共同作業"/>
    <s v="LC005"/>
    <s v="登錄提交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  <x v="7"/>
  </r>
  <r>
    <m/>
    <m/>
    <x v="9"/>
    <s v="LC.共同作業"/>
    <s v="LC009"/>
    <s v="報表及檔案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s v="陳政皓"/>
    <m/>
    <m/>
    <m/>
    <m/>
    <s v="新交易"/>
    <m/>
    <s v="LC009"/>
    <x v="7"/>
  </r>
  <r>
    <m/>
    <m/>
    <x v="9"/>
    <s v="LC.共同作業"/>
    <s v="LC010"/>
    <s v="鎖定戶號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  <x v="7"/>
  </r>
  <r>
    <m/>
    <m/>
    <x v="9"/>
    <s v="LC.共同作業"/>
    <s v="LC011"/>
    <s v="交易明細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s v="陳政皓"/>
    <m/>
    <m/>
    <m/>
    <m/>
    <s v="新交易"/>
    <m/>
    <s v="LC011"/>
    <x v="7"/>
  </r>
  <r>
    <m/>
    <m/>
    <x v="9"/>
    <s v="LC.共同作業"/>
    <s v="LC109"/>
    <s v="報表簽核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  <x v="7"/>
  </r>
  <r>
    <m/>
    <m/>
    <x v="9"/>
    <s v="LC.共同作業"/>
    <s v="LC110"/>
    <s v="解除戶號鎖定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  <x v="7"/>
  </r>
  <r>
    <m/>
    <m/>
    <x v="9"/>
    <s v="LC.共同作業"/>
    <s v="LC014"/>
    <s v="上傳附件查詢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  <x v="7"/>
  </r>
  <r>
    <m/>
    <m/>
    <x v="9"/>
    <s v="LC.共同作業"/>
    <s v="LC104"/>
    <s v="上傳附件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  <x v="7"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樞紐分析表2" cacheId="4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>
  <location ref="A3:PE17" firstHeaderRow="1" firstDataRow="3" firstDataCol="1"/>
  <pivotFields count="42">
    <pivotField showAll="0"/>
    <pivotField showAll="0"/>
    <pivotField axis="axisRow" showAll="0">
      <items count="12">
        <item x="0"/>
        <item x="1"/>
        <item x="3"/>
        <item x="5"/>
        <item x="6"/>
        <item x="2"/>
        <item x="8"/>
        <item x="7"/>
        <item x="4"/>
        <item x="10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29"/>
        <item x="28"/>
        <item x="30"/>
        <item x="52"/>
        <item x="53"/>
        <item x="54"/>
        <item x="55"/>
        <item x="27"/>
        <item x="56"/>
        <item x="57"/>
        <item x="58"/>
        <item t="default"/>
      </items>
    </pivotField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2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2">
    <field x="10"/>
    <field x="-2"/>
  </colFields>
  <colItems count="420">
    <i>
      <x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t="grand">
      <x/>
    </i>
    <i t="grand" i="1">
      <x/>
    </i>
    <i t="grand" i="2">
      <x/>
    </i>
    <i t="grand" i="3">
      <x/>
    </i>
    <i t="grand" i="4">
      <x/>
    </i>
    <i t="grand" i="5">
      <x/>
    </i>
    <i t="grand" i="6">
      <x/>
    </i>
  </colItems>
  <dataFields count="7">
    <dataField name="計數 - 預計展示" fld="10" subtotal="count" baseField="0" baseItem="0"/>
    <dataField name="計數 - 實際展示" fld="11" subtotal="count" baseField="0" baseItem="0"/>
    <dataField name="計數 - 二審實際" fld="27" subtotal="count" baseField="0" baseItem="0"/>
    <dataField name="計數 - 正式_x000a_交付審查" fld="28" subtotal="count" baseField="0" baseItem="0"/>
    <dataField name="2021/11/26統計完成" fld="40" subtotal="count" baseField="2" baseItem="0"/>
    <dataField name="計數 - 程式完成" fld="24" subtotal="count" baseField="0" baseItem="0"/>
    <dataField name="計數 - URS完成" fld="12" subtotal="count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000-000000000000}" name="樞紐分析表4" cacheId="3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colHeaderCaption="審閱會議">
  <location ref="A3:KO17" firstHeaderRow="1" firstDataRow="3" firstDataCol="1"/>
  <pivotFields count="40">
    <pivotField showAll="0"/>
    <pivotField showAll="0"/>
    <pivotField axis="axisRow" showAll="0">
      <items count="12">
        <item x="0"/>
        <item x="1"/>
        <item x="3"/>
        <item x="5"/>
        <item x="6"/>
        <item x="2"/>
        <item x="7"/>
        <item x="4"/>
        <item x="10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29"/>
        <item x="28"/>
        <item x="30"/>
        <item x="52"/>
        <item x="53"/>
        <item x="54"/>
        <item x="55"/>
        <item x="27"/>
        <item x="56"/>
        <item x="57"/>
        <item x="58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2">
    <field x="10"/>
    <field x="-2"/>
  </colFields>
  <colItems count="300">
    <i>
      <x/>
      <x/>
    </i>
    <i r="1" i="1">
      <x v="1"/>
    </i>
    <i r="1" i="2">
      <x v="2"/>
    </i>
    <i r="1" i="3">
      <x v="3"/>
    </i>
    <i r="1" i="4">
      <x v="4"/>
    </i>
    <i>
      <x v="1"/>
      <x/>
    </i>
    <i r="1" i="1">
      <x v="1"/>
    </i>
    <i r="1" i="2">
      <x v="2"/>
    </i>
    <i r="1" i="3">
      <x v="3"/>
    </i>
    <i r="1" i="4">
      <x v="4"/>
    </i>
    <i>
      <x v="2"/>
      <x/>
    </i>
    <i r="1" i="1">
      <x v="1"/>
    </i>
    <i r="1" i="2">
      <x v="2"/>
    </i>
    <i r="1" i="3">
      <x v="3"/>
    </i>
    <i r="1" i="4">
      <x v="4"/>
    </i>
    <i>
      <x v="3"/>
      <x/>
    </i>
    <i r="1" i="1">
      <x v="1"/>
    </i>
    <i r="1" i="2">
      <x v="2"/>
    </i>
    <i r="1" i="3">
      <x v="3"/>
    </i>
    <i r="1" i="4">
      <x v="4"/>
    </i>
    <i>
      <x v="4"/>
      <x/>
    </i>
    <i r="1" i="1">
      <x v="1"/>
    </i>
    <i r="1" i="2">
      <x v="2"/>
    </i>
    <i r="1" i="3">
      <x v="3"/>
    </i>
    <i r="1" i="4">
      <x v="4"/>
    </i>
    <i>
      <x v="5"/>
      <x/>
    </i>
    <i r="1" i="1">
      <x v="1"/>
    </i>
    <i r="1" i="2">
      <x v="2"/>
    </i>
    <i r="1" i="3">
      <x v="3"/>
    </i>
    <i r="1" i="4">
      <x v="4"/>
    </i>
    <i>
      <x v="6"/>
      <x/>
    </i>
    <i r="1" i="1">
      <x v="1"/>
    </i>
    <i r="1" i="2">
      <x v="2"/>
    </i>
    <i r="1" i="3">
      <x v="3"/>
    </i>
    <i r="1" i="4">
      <x v="4"/>
    </i>
    <i>
      <x v="7"/>
      <x/>
    </i>
    <i r="1" i="1">
      <x v="1"/>
    </i>
    <i r="1" i="2">
      <x v="2"/>
    </i>
    <i r="1" i="3">
      <x v="3"/>
    </i>
    <i r="1" i="4">
      <x v="4"/>
    </i>
    <i>
      <x v="8"/>
      <x/>
    </i>
    <i r="1" i="1">
      <x v="1"/>
    </i>
    <i r="1" i="2">
      <x v="2"/>
    </i>
    <i r="1" i="3">
      <x v="3"/>
    </i>
    <i r="1" i="4">
      <x v="4"/>
    </i>
    <i>
      <x v="9"/>
      <x/>
    </i>
    <i r="1" i="1">
      <x v="1"/>
    </i>
    <i r="1" i="2">
      <x v="2"/>
    </i>
    <i r="1" i="3">
      <x v="3"/>
    </i>
    <i r="1" i="4">
      <x v="4"/>
    </i>
    <i>
      <x v="10"/>
      <x/>
    </i>
    <i r="1" i="1">
      <x v="1"/>
    </i>
    <i r="1" i="2">
      <x v="2"/>
    </i>
    <i r="1" i="3">
      <x v="3"/>
    </i>
    <i r="1" i="4">
      <x v="4"/>
    </i>
    <i>
      <x v="11"/>
      <x/>
    </i>
    <i r="1" i="1">
      <x v="1"/>
    </i>
    <i r="1" i="2">
      <x v="2"/>
    </i>
    <i r="1" i="3">
      <x v="3"/>
    </i>
    <i r="1" i="4">
      <x v="4"/>
    </i>
    <i>
      <x v="12"/>
      <x/>
    </i>
    <i r="1" i="1">
      <x v="1"/>
    </i>
    <i r="1" i="2">
      <x v="2"/>
    </i>
    <i r="1" i="3">
      <x v="3"/>
    </i>
    <i r="1" i="4">
      <x v="4"/>
    </i>
    <i>
      <x v="13"/>
      <x/>
    </i>
    <i r="1" i="1">
      <x v="1"/>
    </i>
    <i r="1" i="2">
      <x v="2"/>
    </i>
    <i r="1" i="3">
      <x v="3"/>
    </i>
    <i r="1" i="4">
      <x v="4"/>
    </i>
    <i>
      <x v="14"/>
      <x/>
    </i>
    <i r="1" i="1">
      <x v="1"/>
    </i>
    <i r="1" i="2">
      <x v="2"/>
    </i>
    <i r="1" i="3">
      <x v="3"/>
    </i>
    <i r="1" i="4">
      <x v="4"/>
    </i>
    <i>
      <x v="15"/>
      <x/>
    </i>
    <i r="1" i="1">
      <x v="1"/>
    </i>
    <i r="1" i="2">
      <x v="2"/>
    </i>
    <i r="1" i="3">
      <x v="3"/>
    </i>
    <i r="1" i="4">
      <x v="4"/>
    </i>
    <i>
      <x v="16"/>
      <x/>
    </i>
    <i r="1" i="1">
      <x v="1"/>
    </i>
    <i r="1" i="2">
      <x v="2"/>
    </i>
    <i r="1" i="3">
      <x v="3"/>
    </i>
    <i r="1" i="4">
      <x v="4"/>
    </i>
    <i>
      <x v="17"/>
      <x/>
    </i>
    <i r="1" i="1">
      <x v="1"/>
    </i>
    <i r="1" i="2">
      <x v="2"/>
    </i>
    <i r="1" i="3">
      <x v="3"/>
    </i>
    <i r="1" i="4">
      <x v="4"/>
    </i>
    <i>
      <x v="18"/>
      <x/>
    </i>
    <i r="1" i="1">
      <x v="1"/>
    </i>
    <i r="1" i="2">
      <x v="2"/>
    </i>
    <i r="1" i="3">
      <x v="3"/>
    </i>
    <i r="1" i="4">
      <x v="4"/>
    </i>
    <i>
      <x v="19"/>
      <x/>
    </i>
    <i r="1" i="1">
      <x v="1"/>
    </i>
    <i r="1" i="2">
      <x v="2"/>
    </i>
    <i r="1" i="3">
      <x v="3"/>
    </i>
    <i r="1" i="4">
      <x v="4"/>
    </i>
    <i>
      <x v="20"/>
      <x/>
    </i>
    <i r="1" i="1">
      <x v="1"/>
    </i>
    <i r="1" i="2">
      <x v="2"/>
    </i>
    <i r="1" i="3">
      <x v="3"/>
    </i>
    <i r="1" i="4">
      <x v="4"/>
    </i>
    <i>
      <x v="21"/>
      <x/>
    </i>
    <i r="1" i="1">
      <x v="1"/>
    </i>
    <i r="1" i="2">
      <x v="2"/>
    </i>
    <i r="1" i="3">
      <x v="3"/>
    </i>
    <i r="1" i="4">
      <x v="4"/>
    </i>
    <i>
      <x v="22"/>
      <x/>
    </i>
    <i r="1" i="1">
      <x v="1"/>
    </i>
    <i r="1" i="2">
      <x v="2"/>
    </i>
    <i r="1" i="3">
      <x v="3"/>
    </i>
    <i r="1" i="4">
      <x v="4"/>
    </i>
    <i>
      <x v="23"/>
      <x/>
    </i>
    <i r="1" i="1">
      <x v="1"/>
    </i>
    <i r="1" i="2">
      <x v="2"/>
    </i>
    <i r="1" i="3">
      <x v="3"/>
    </i>
    <i r="1" i="4">
      <x v="4"/>
    </i>
    <i>
      <x v="24"/>
      <x/>
    </i>
    <i r="1" i="1">
      <x v="1"/>
    </i>
    <i r="1" i="2">
      <x v="2"/>
    </i>
    <i r="1" i="3">
      <x v="3"/>
    </i>
    <i r="1" i="4">
      <x v="4"/>
    </i>
    <i>
      <x v="25"/>
      <x/>
    </i>
    <i r="1" i="1">
      <x v="1"/>
    </i>
    <i r="1" i="2">
      <x v="2"/>
    </i>
    <i r="1" i="3">
      <x v="3"/>
    </i>
    <i r="1" i="4">
      <x v="4"/>
    </i>
    <i>
      <x v="26"/>
      <x/>
    </i>
    <i r="1" i="1">
      <x v="1"/>
    </i>
    <i r="1" i="2">
      <x v="2"/>
    </i>
    <i r="1" i="3">
      <x v="3"/>
    </i>
    <i r="1" i="4">
      <x v="4"/>
    </i>
    <i>
      <x v="27"/>
      <x/>
    </i>
    <i r="1" i="1">
      <x v="1"/>
    </i>
    <i r="1" i="2">
      <x v="2"/>
    </i>
    <i r="1" i="3">
      <x v="3"/>
    </i>
    <i r="1" i="4">
      <x v="4"/>
    </i>
    <i>
      <x v="28"/>
      <x/>
    </i>
    <i r="1" i="1">
      <x v="1"/>
    </i>
    <i r="1" i="2">
      <x v="2"/>
    </i>
    <i r="1" i="3">
      <x v="3"/>
    </i>
    <i r="1" i="4">
      <x v="4"/>
    </i>
    <i>
      <x v="29"/>
      <x/>
    </i>
    <i r="1" i="1">
      <x v="1"/>
    </i>
    <i r="1" i="2">
      <x v="2"/>
    </i>
    <i r="1" i="3">
      <x v="3"/>
    </i>
    <i r="1" i="4">
      <x v="4"/>
    </i>
    <i>
      <x v="30"/>
      <x/>
    </i>
    <i r="1" i="1">
      <x v="1"/>
    </i>
    <i r="1" i="2">
      <x v="2"/>
    </i>
    <i r="1" i="3">
      <x v="3"/>
    </i>
    <i r="1" i="4">
      <x v="4"/>
    </i>
    <i>
      <x v="31"/>
      <x/>
    </i>
    <i r="1" i="1">
      <x v="1"/>
    </i>
    <i r="1" i="2">
      <x v="2"/>
    </i>
    <i r="1" i="3">
      <x v="3"/>
    </i>
    <i r="1" i="4">
      <x v="4"/>
    </i>
    <i>
      <x v="32"/>
      <x/>
    </i>
    <i r="1" i="1">
      <x v="1"/>
    </i>
    <i r="1" i="2">
      <x v="2"/>
    </i>
    <i r="1" i="3">
      <x v="3"/>
    </i>
    <i r="1" i="4">
      <x v="4"/>
    </i>
    <i>
      <x v="33"/>
      <x/>
    </i>
    <i r="1" i="1">
      <x v="1"/>
    </i>
    <i r="1" i="2">
      <x v="2"/>
    </i>
    <i r="1" i="3">
      <x v="3"/>
    </i>
    <i r="1" i="4">
      <x v="4"/>
    </i>
    <i>
      <x v="34"/>
      <x/>
    </i>
    <i r="1" i="1">
      <x v="1"/>
    </i>
    <i r="1" i="2">
      <x v="2"/>
    </i>
    <i r="1" i="3">
      <x v="3"/>
    </i>
    <i r="1" i="4">
      <x v="4"/>
    </i>
    <i>
      <x v="35"/>
      <x/>
    </i>
    <i r="1" i="1">
      <x v="1"/>
    </i>
    <i r="1" i="2">
      <x v="2"/>
    </i>
    <i r="1" i="3">
      <x v="3"/>
    </i>
    <i r="1" i="4">
      <x v="4"/>
    </i>
    <i>
      <x v="36"/>
      <x/>
    </i>
    <i r="1" i="1">
      <x v="1"/>
    </i>
    <i r="1" i="2">
      <x v="2"/>
    </i>
    <i r="1" i="3">
      <x v="3"/>
    </i>
    <i r="1" i="4">
      <x v="4"/>
    </i>
    <i>
      <x v="37"/>
      <x/>
    </i>
    <i r="1" i="1">
      <x v="1"/>
    </i>
    <i r="1" i="2">
      <x v="2"/>
    </i>
    <i r="1" i="3">
      <x v="3"/>
    </i>
    <i r="1" i="4">
      <x v="4"/>
    </i>
    <i>
      <x v="38"/>
      <x/>
    </i>
    <i r="1" i="1">
      <x v="1"/>
    </i>
    <i r="1" i="2">
      <x v="2"/>
    </i>
    <i r="1" i="3">
      <x v="3"/>
    </i>
    <i r="1" i="4">
      <x v="4"/>
    </i>
    <i>
      <x v="39"/>
      <x/>
    </i>
    <i r="1" i="1">
      <x v="1"/>
    </i>
    <i r="1" i="2">
      <x v="2"/>
    </i>
    <i r="1" i="3">
      <x v="3"/>
    </i>
    <i r="1" i="4">
      <x v="4"/>
    </i>
    <i>
      <x v="40"/>
      <x/>
    </i>
    <i r="1" i="1">
      <x v="1"/>
    </i>
    <i r="1" i="2">
      <x v="2"/>
    </i>
    <i r="1" i="3">
      <x v="3"/>
    </i>
    <i r="1" i="4">
      <x v="4"/>
    </i>
    <i>
      <x v="41"/>
      <x/>
    </i>
    <i r="1" i="1">
      <x v="1"/>
    </i>
    <i r="1" i="2">
      <x v="2"/>
    </i>
    <i r="1" i="3">
      <x v="3"/>
    </i>
    <i r="1" i="4">
      <x v="4"/>
    </i>
    <i>
      <x v="42"/>
      <x/>
    </i>
    <i r="1" i="1">
      <x v="1"/>
    </i>
    <i r="1" i="2">
      <x v="2"/>
    </i>
    <i r="1" i="3">
      <x v="3"/>
    </i>
    <i r="1" i="4">
      <x v="4"/>
    </i>
    <i>
      <x v="43"/>
      <x/>
    </i>
    <i r="1" i="1">
      <x v="1"/>
    </i>
    <i r="1" i="2">
      <x v="2"/>
    </i>
    <i r="1" i="3">
      <x v="3"/>
    </i>
    <i r="1" i="4">
      <x v="4"/>
    </i>
    <i>
      <x v="44"/>
      <x/>
    </i>
    <i r="1" i="1">
      <x v="1"/>
    </i>
    <i r="1" i="2">
      <x v="2"/>
    </i>
    <i r="1" i="3">
      <x v="3"/>
    </i>
    <i r="1" i="4">
      <x v="4"/>
    </i>
    <i>
      <x v="45"/>
      <x/>
    </i>
    <i r="1" i="1">
      <x v="1"/>
    </i>
    <i r="1" i="2">
      <x v="2"/>
    </i>
    <i r="1" i="3">
      <x v="3"/>
    </i>
    <i r="1" i="4">
      <x v="4"/>
    </i>
    <i>
      <x v="46"/>
      <x/>
    </i>
    <i r="1" i="1">
      <x v="1"/>
    </i>
    <i r="1" i="2">
      <x v="2"/>
    </i>
    <i r="1" i="3">
      <x v="3"/>
    </i>
    <i r="1" i="4">
      <x v="4"/>
    </i>
    <i>
      <x v="47"/>
      <x/>
    </i>
    <i r="1" i="1">
      <x v="1"/>
    </i>
    <i r="1" i="2">
      <x v="2"/>
    </i>
    <i r="1" i="3">
      <x v="3"/>
    </i>
    <i r="1" i="4">
      <x v="4"/>
    </i>
    <i>
      <x v="48"/>
      <x/>
    </i>
    <i r="1" i="1">
      <x v="1"/>
    </i>
    <i r="1" i="2">
      <x v="2"/>
    </i>
    <i r="1" i="3">
      <x v="3"/>
    </i>
    <i r="1" i="4">
      <x v="4"/>
    </i>
    <i>
      <x v="49"/>
      <x/>
    </i>
    <i r="1" i="1">
      <x v="1"/>
    </i>
    <i r="1" i="2">
      <x v="2"/>
    </i>
    <i r="1" i="3">
      <x v="3"/>
    </i>
    <i r="1" i="4">
      <x v="4"/>
    </i>
    <i>
      <x v="50"/>
      <x/>
    </i>
    <i r="1" i="1">
      <x v="1"/>
    </i>
    <i r="1" i="2">
      <x v="2"/>
    </i>
    <i r="1" i="3">
      <x v="3"/>
    </i>
    <i r="1" i="4">
      <x v="4"/>
    </i>
    <i>
      <x v="51"/>
      <x/>
    </i>
    <i r="1" i="1">
      <x v="1"/>
    </i>
    <i r="1" i="2">
      <x v="2"/>
    </i>
    <i r="1" i="3">
      <x v="3"/>
    </i>
    <i r="1" i="4">
      <x v="4"/>
    </i>
    <i>
      <x v="52"/>
      <x/>
    </i>
    <i r="1" i="1">
      <x v="1"/>
    </i>
    <i r="1" i="2">
      <x v="2"/>
    </i>
    <i r="1" i="3">
      <x v="3"/>
    </i>
    <i r="1" i="4">
      <x v="4"/>
    </i>
    <i>
      <x v="53"/>
      <x/>
    </i>
    <i r="1" i="1">
      <x v="1"/>
    </i>
    <i r="1" i="2">
      <x v="2"/>
    </i>
    <i r="1" i="3">
      <x v="3"/>
    </i>
    <i r="1" i="4">
      <x v="4"/>
    </i>
    <i>
      <x v="54"/>
      <x/>
    </i>
    <i r="1" i="1">
      <x v="1"/>
    </i>
    <i r="1" i="2">
      <x v="2"/>
    </i>
    <i r="1" i="3">
      <x v="3"/>
    </i>
    <i r="1" i="4">
      <x v="4"/>
    </i>
    <i>
      <x v="55"/>
      <x/>
    </i>
    <i r="1" i="1">
      <x v="1"/>
    </i>
    <i r="1" i="2">
      <x v="2"/>
    </i>
    <i r="1" i="3">
      <x v="3"/>
    </i>
    <i r="1" i="4">
      <x v="4"/>
    </i>
    <i>
      <x v="56"/>
      <x/>
    </i>
    <i r="1" i="1">
      <x v="1"/>
    </i>
    <i r="1" i="2">
      <x v="2"/>
    </i>
    <i r="1" i="3">
      <x v="3"/>
    </i>
    <i r="1" i="4">
      <x v="4"/>
    </i>
    <i>
      <x v="57"/>
      <x/>
    </i>
    <i r="1" i="1">
      <x v="1"/>
    </i>
    <i r="1" i="2">
      <x v="2"/>
    </i>
    <i r="1" i="3">
      <x v="3"/>
    </i>
    <i r="1" i="4">
      <x v="4"/>
    </i>
    <i>
      <x v="58"/>
      <x/>
    </i>
    <i r="1" i="1">
      <x v="1"/>
    </i>
    <i r="1" i="2">
      <x v="2"/>
    </i>
    <i r="1" i="3">
      <x v="3"/>
    </i>
    <i r="1" i="4">
      <x v="4"/>
    </i>
    <i t="grand">
      <x/>
    </i>
    <i t="grand" i="1">
      <x/>
    </i>
    <i t="grand" i="2">
      <x/>
    </i>
    <i t="grand" i="3">
      <x/>
    </i>
    <i t="grand" i="4">
      <x/>
    </i>
  </colItems>
  <dataFields count="5">
    <dataField name="預計" fld="10" subtotal="count" baseField="2" baseItem="0"/>
    <dataField name="實際" fld="11" subtotal="count" baseField="2" baseItem="0"/>
    <dataField name="預二" fld="26" subtotal="count" baseField="2" baseItem="0"/>
    <dataField name="實際二" fld="27" subtotal="count" baseField="2" baseItem="0"/>
    <dataField name="正式交審" fld="28" subtotal="count" baseField="2" baseItem="0"/>
  </dataFields>
  <formats count="34">
    <format dxfId="119">
      <pivotArea type="all" dataOnly="0" outline="0" fieldPosition="0"/>
    </format>
    <format dxfId="118">
      <pivotArea outline="0" collapsedLevelsAreSubtotals="1" fieldPosition="0"/>
    </format>
    <format dxfId="117">
      <pivotArea type="origin" dataOnly="0" labelOnly="1" outline="0" fieldPosition="0"/>
    </format>
    <format dxfId="116">
      <pivotArea field="10" type="button" dataOnly="0" labelOnly="1" outline="0" axis="axisCol" fieldPosition="0"/>
    </format>
    <format dxfId="115">
      <pivotArea field="-2" type="button" dataOnly="0" labelOnly="1" outline="0" axis="axisCol" fieldPosition="1"/>
    </format>
    <format dxfId="114">
      <pivotArea type="topRight" dataOnly="0" labelOnly="1" outline="0" fieldPosition="0"/>
    </format>
    <format dxfId="113">
      <pivotArea field="2" type="button" dataOnly="0" labelOnly="1" outline="0" axis="axisRow" fieldPosition="0"/>
    </format>
    <format dxfId="112">
      <pivotArea dataOnly="0" labelOnly="1" fieldPosition="0">
        <references count="1">
          <reference field="2" count="1">
            <x v="7"/>
          </reference>
        </references>
      </pivotArea>
    </format>
    <format dxfId="111">
      <pivotArea dataOnly="0" labelOnly="1" grandRow="1" outline="0" fieldPosition="0"/>
    </format>
    <format dxfId="110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109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108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107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106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  <format dxfId="105">
      <pivotArea type="all" dataOnly="0" outline="0" fieldPosition="0"/>
    </format>
    <format dxfId="104">
      <pivotArea outline="0" collapsedLevelsAreSubtotals="1" fieldPosition="0"/>
    </format>
    <format dxfId="103">
      <pivotArea type="origin" dataOnly="0" labelOnly="1" outline="0" fieldPosition="0"/>
    </format>
    <format dxfId="102">
      <pivotArea field="10" type="button" dataOnly="0" labelOnly="1" outline="0" axis="axisCol" fieldPosition="0"/>
    </format>
    <format dxfId="101">
      <pivotArea field="-2" type="button" dataOnly="0" labelOnly="1" outline="0" axis="axisCol" fieldPosition="1"/>
    </format>
    <format dxfId="100">
      <pivotArea type="topRight" dataOnly="0" labelOnly="1" outline="0" fieldPosition="0"/>
    </format>
    <format dxfId="99">
      <pivotArea field="2" type="button" dataOnly="0" labelOnly="1" outline="0" axis="axisRow" fieldPosition="0"/>
    </format>
    <format dxfId="98">
      <pivotArea dataOnly="0" labelOnly="1" fieldPosition="0">
        <references count="1">
          <reference field="2" count="1">
            <x v="7"/>
          </reference>
        </references>
      </pivotArea>
    </format>
    <format dxfId="97">
      <pivotArea dataOnly="0" labelOnly="1" grandRow="1" outline="0" fieldPosition="0"/>
    </format>
    <format dxfId="96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95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94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93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92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  <format dxfId="91">
      <pivotArea field="10" dataOnly="0" grandCol="1" outline="0" axis="axisCol" fieldPosition="0">
        <references count="1">
          <reference field="4294967294" count="1" selected="0">
            <x v="2"/>
          </reference>
        </references>
      </pivotArea>
    </format>
    <format dxfId="90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89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88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87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86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500-000000000000}" name="樞紐分析表1" cacheId="2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業務大類" colHeaderCaption="展示">
  <location ref="A39:DK50" firstHeaderRow="1" firstDataRow="3" firstDataCol="1"/>
  <pivotFields count="22">
    <pivotField showAll="0"/>
    <pivotField showAll="0"/>
    <pivotField axis="axisRow" showAll="0">
      <items count="12">
        <item x="0"/>
        <item x="1"/>
        <item x="3"/>
        <item x="5"/>
        <item x="6"/>
        <item x="2"/>
        <item x="7"/>
        <item x="4"/>
        <item h="1" x="10"/>
        <item h="1" x="8"/>
        <item h="1"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29"/>
        <item x="28"/>
        <item x="30"/>
        <item x="52"/>
        <item x="53"/>
        <item x="54"/>
        <item x="55"/>
        <item x="27"/>
        <item x="56"/>
        <item x="57"/>
        <item x="58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2">
    <field x="10"/>
    <field x="-2"/>
  </colFields>
  <colItems count="114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2"/>
      <x/>
    </i>
    <i r="1" i="1">
      <x v="1"/>
    </i>
    <i>
      <x v="33"/>
      <x/>
    </i>
    <i r="1" i="1">
      <x v="1"/>
    </i>
    <i>
      <x v="34"/>
      <x/>
    </i>
    <i r="1" i="1">
      <x v="1"/>
    </i>
    <i>
      <x v="35"/>
      <x/>
    </i>
    <i r="1" i="1">
      <x v="1"/>
    </i>
    <i>
      <x v="36"/>
      <x/>
    </i>
    <i r="1" i="1">
      <x v="1"/>
    </i>
    <i>
      <x v="37"/>
      <x/>
    </i>
    <i r="1" i="1">
      <x v="1"/>
    </i>
    <i>
      <x v="38"/>
      <x/>
    </i>
    <i r="1" i="1">
      <x v="1"/>
    </i>
    <i>
      <x v="39"/>
      <x/>
    </i>
    <i r="1" i="1">
      <x v="1"/>
    </i>
    <i>
      <x v="40"/>
      <x/>
    </i>
    <i r="1" i="1">
      <x v="1"/>
    </i>
    <i>
      <x v="41"/>
      <x/>
    </i>
    <i r="1" i="1">
      <x v="1"/>
    </i>
    <i>
      <x v="42"/>
      <x/>
    </i>
    <i r="1" i="1">
      <x v="1"/>
    </i>
    <i>
      <x v="43"/>
      <x/>
    </i>
    <i r="1" i="1">
      <x v="1"/>
    </i>
    <i>
      <x v="44"/>
      <x/>
    </i>
    <i r="1" i="1">
      <x v="1"/>
    </i>
    <i>
      <x v="45"/>
      <x/>
    </i>
    <i r="1" i="1">
      <x v="1"/>
    </i>
    <i>
      <x v="46"/>
      <x/>
    </i>
    <i r="1" i="1">
      <x v="1"/>
    </i>
    <i>
      <x v="47"/>
      <x/>
    </i>
    <i r="1" i="1">
      <x v="1"/>
    </i>
    <i>
      <x v="48"/>
      <x/>
    </i>
    <i r="1" i="1">
      <x v="1"/>
    </i>
    <i>
      <x v="49"/>
      <x/>
    </i>
    <i r="1" i="1">
      <x v="1"/>
    </i>
    <i>
      <x v="50"/>
      <x/>
    </i>
    <i r="1" i="1">
      <x v="1"/>
    </i>
    <i>
      <x v="51"/>
      <x/>
    </i>
    <i r="1" i="1">
      <x v="1"/>
    </i>
    <i>
      <x v="52"/>
      <x/>
    </i>
    <i r="1" i="1">
      <x v="1"/>
    </i>
    <i>
      <x v="53"/>
      <x/>
    </i>
    <i r="1" i="1">
      <x v="1"/>
    </i>
    <i>
      <x v="54"/>
      <x/>
    </i>
    <i r="1" i="1">
      <x v="1"/>
    </i>
    <i>
      <x v="55"/>
      <x/>
    </i>
    <i r="1" i="1">
      <x v="1"/>
    </i>
    <i t="grand">
      <x/>
    </i>
    <i t="grand" i="1">
      <x/>
    </i>
  </colItems>
  <dataFields count="2">
    <dataField name="預計" fld="10" subtotal="count" baseField="0" baseItem="0"/>
    <dataField name="實際" fld="11" subtotal="count" baseField="0" baseItem="0"/>
  </dataFields>
  <formats count="12">
    <format dxfId="85">
      <pivotArea type="all" dataOnly="0" outline="0" fieldPosition="0"/>
    </format>
    <format dxfId="84">
      <pivotArea outline="0" collapsedLevelsAreSubtotals="1" fieldPosition="0"/>
    </format>
    <format dxfId="83">
      <pivotArea type="origin" dataOnly="0" labelOnly="1" outline="0" fieldPosition="0"/>
    </format>
    <format dxfId="82">
      <pivotArea field="10" type="button" dataOnly="0" labelOnly="1" outline="0" axis="axisCol" fieldPosition="0"/>
    </format>
    <format dxfId="81">
      <pivotArea field="-2" type="button" dataOnly="0" labelOnly="1" outline="0" axis="axisCol" fieldPosition="1"/>
    </format>
    <format dxfId="80">
      <pivotArea type="topRight" dataOnly="0" labelOnly="1" outline="0" fieldPosition="0"/>
    </format>
    <format dxfId="79">
      <pivotArea field="2" type="button" dataOnly="0" labelOnly="1" outline="0" axis="axisRow" fieldPosition="0"/>
    </format>
    <format dxfId="78">
      <pivotArea dataOnly="0" labelOnly="1" fieldPosition="0">
        <references count="1">
          <reference field="2" count="1">
            <x v="7"/>
          </reference>
        </references>
      </pivotArea>
    </format>
    <format dxfId="77">
      <pivotArea dataOnly="0" labelOnly="1" grandRow="1" outline="0" fieldPosition="0"/>
    </format>
    <format dxfId="76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75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74">
      <pivotArea field="10" type="button" dataOnly="0" labelOnly="1" outline="0" axis="axisCol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600-000000000000}" name="樞紐分析表3" cacheId="1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討論日期/提列討論">
  <location ref="A3:R56" firstHeaderRow="1" firstDataRow="2" firstDataCol="1"/>
  <pivotFields count="7">
    <pivotField axis="axisRow" showAll="0">
      <items count="271">
        <item x="23"/>
        <item x="24"/>
        <item x="25"/>
        <item x="26"/>
        <item x="30"/>
        <item x="29"/>
        <item x="28"/>
        <item x="27"/>
        <item x="18"/>
        <item x="4"/>
        <item x="9"/>
        <item x="7"/>
        <item x="5"/>
        <item x="3"/>
        <item x="6"/>
        <item x="8"/>
        <item x="10"/>
        <item x="17"/>
        <item x="19"/>
        <item x="20"/>
        <item x="1"/>
        <item x="13"/>
        <item x="11"/>
        <item x="2"/>
        <item x="15"/>
        <item x="16"/>
        <item x="12"/>
        <item x="21"/>
        <item x="22"/>
        <item h="1" x="0"/>
        <item x="31"/>
        <item x="32"/>
        <item x="33"/>
        <item x="34"/>
        <item x="35"/>
        <item x="37"/>
        <item x="38"/>
        <item x="39"/>
        <item x="41"/>
        <item x="40"/>
        <item x="42"/>
        <item x="43"/>
        <item x="45"/>
        <item x="46"/>
        <item x="47"/>
        <item x="48"/>
        <item x="49"/>
        <item x="50"/>
        <item x="51"/>
        <item x="14"/>
        <item x="36"/>
        <item x="44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8"/>
        <item h="1" x="167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69"/>
        <item h="1" x="170"/>
        <item h="1" x="171"/>
        <item h="1" x="172"/>
        <item h="1" x="173"/>
        <item h="1" x="174"/>
        <item h="1" x="175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2"/>
        <item h="1" x="213"/>
        <item h="1" x="214"/>
        <item h="1" x="215"/>
        <item h="1" x="211"/>
        <item h="1" x="217"/>
        <item h="1" x="218"/>
        <item h="1" x="216"/>
        <item h="1" m="1" x="254"/>
        <item h="1" m="1" x="259"/>
        <item h="1" m="1" x="264"/>
        <item h="1" m="1" x="263"/>
        <item h="1" m="1" x="244"/>
        <item h="1" m="1" x="249"/>
        <item h="1" m="1" x="257"/>
        <item h="1" m="1" x="243"/>
        <item h="1" m="1" x="258"/>
        <item h="1" m="1" x="262"/>
        <item h="1" m="1" x="268"/>
        <item h="1" m="1" x="256"/>
        <item h="1" x="226"/>
        <item h="1" m="1" x="261"/>
        <item h="1" m="1" x="265"/>
        <item h="1" m="1" x="242"/>
        <item h="1" m="1" x="269"/>
        <item h="1" m="1" x="245"/>
        <item h="1" m="1" x="250"/>
        <item h="1" m="1" x="247"/>
        <item h="1" m="1" x="246"/>
        <item h="1" m="1" x="253"/>
        <item h="1" m="1" x="266"/>
        <item h="1" m="1" x="260"/>
        <item h="1" m="1" x="255"/>
        <item h="1" m="1" x="252"/>
        <item h="1" m="1" x="248"/>
        <item h="1" m="1" x="251"/>
        <item h="1" m="1" x="267"/>
        <item h="1" x="239"/>
        <item h="1" m="1" x="241"/>
        <item h="1" x="144"/>
        <item h="1" x="219"/>
        <item h="1" x="220"/>
        <item h="1" x="221"/>
        <item h="1" x="222"/>
        <item h="1" x="223"/>
        <item h="1" x="224"/>
        <item h="1" x="225"/>
        <item h="1" x="227"/>
        <item h="1" x="228"/>
        <item h="1" x="229"/>
        <item h="1" x="230"/>
        <item h="1" x="231"/>
        <item h="1" x="232"/>
        <item h="1" x="233"/>
        <item h="1" x="234"/>
        <item h="1" x="235"/>
        <item h="1" x="236"/>
        <item h="1" x="237"/>
        <item h="1" x="238"/>
        <item h="1" x="240"/>
        <item t="default"/>
      </items>
    </pivotField>
    <pivotField showAll="0"/>
    <pivotField showAll="0"/>
    <pivotField showAll="0"/>
    <pivotField axis="axisCol" dataField="1" showAll="0">
      <items count="53">
        <item x="1"/>
        <item x="2"/>
        <item x="3"/>
        <item x="4"/>
        <item x="5"/>
        <item x="0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9"/>
        <item x="37"/>
        <item x="38"/>
        <item x="41"/>
        <item m="1" x="51"/>
        <item x="40"/>
        <item x="42"/>
        <item x="43"/>
        <item x="44"/>
        <item x="45"/>
        <item x="46"/>
        <item x="47"/>
        <item x="48"/>
        <item x="49"/>
        <item x="50"/>
        <item t="default"/>
      </items>
    </pivotField>
    <pivotField showAll="0"/>
    <pivotField showAll="0"/>
  </pivotFields>
  <rowFields count="1">
    <field x="0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1">
    <field x="4"/>
  </colFields>
  <colItems count="17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>
      <x v="14"/>
    </i>
    <i>
      <x v="17"/>
    </i>
    <i>
      <x v="25"/>
    </i>
    <i>
      <x v="35"/>
    </i>
    <i>
      <x v="39"/>
    </i>
    <i>
      <x v="48"/>
    </i>
    <i>
      <x v="49"/>
    </i>
    <i t="grand">
      <x/>
    </i>
  </colItems>
  <dataFields count="1">
    <dataField name="計數 - 會議日期" fld="4" subtotal="count" baseField="0" baseItem="0"/>
  </dataFields>
  <formats count="12">
    <format dxfId="73">
      <pivotArea type="all" dataOnly="0" outline="0" fieldPosition="0"/>
    </format>
    <format dxfId="72">
      <pivotArea outline="0" collapsedLevelsAreSubtotals="1" fieldPosition="0"/>
    </format>
    <format dxfId="71">
      <pivotArea field="4" type="button" dataOnly="0" labelOnly="1" outline="0" axis="axisCol" fieldPosition="0"/>
    </format>
    <format dxfId="70">
      <pivotArea dataOnly="0" labelOnly="1" fieldPosition="0">
        <references count="1">
          <reference field="4" count="0"/>
        </references>
      </pivotArea>
    </format>
    <format dxfId="69">
      <pivotArea dataOnly="0" labelOnly="1" grandRow="1" outline="0" fieldPosition="0"/>
    </format>
    <format dxfId="68">
      <pivotArea dataOnly="0" labelOnly="1" fieldPosition="0">
        <references count="2">
          <reference field="0" count="1">
            <x v="23"/>
          </reference>
          <reference field="4" count="1" selected="0">
            <x v="0"/>
          </reference>
        </references>
      </pivotArea>
    </format>
    <format dxfId="67">
      <pivotArea dataOnly="0" labelOnly="1" fieldPosition="0">
        <references count="2">
          <reference field="0" count="1">
            <x v="26"/>
          </reference>
          <reference field="4" count="1" selected="0">
            <x v="1"/>
          </reference>
        </references>
      </pivotArea>
    </format>
    <format dxfId="66">
      <pivotArea dataOnly="0" labelOnly="1" fieldPosition="0">
        <references count="2">
          <reference field="0" count="1">
            <x v="28"/>
          </reference>
          <reference field="4" count="1" selected="0">
            <x v="2"/>
          </reference>
        </references>
      </pivotArea>
    </format>
    <format dxfId="65">
      <pivotArea dataOnly="0" labelOnly="1" fieldPosition="0">
        <references count="2">
          <reference field="0" count="1">
            <x v="7"/>
          </reference>
          <reference field="4" count="1" selected="0">
            <x v="3"/>
          </reference>
        </references>
      </pivotArea>
    </format>
    <format dxfId="64">
      <pivotArea dataOnly="0" labelOnly="1" fieldPosition="0">
        <references count="2">
          <reference field="0" count="1">
            <x v="6"/>
          </reference>
          <reference field="4" count="1" selected="0">
            <x v="4"/>
          </reference>
        </references>
      </pivotArea>
    </format>
    <format dxfId="63">
      <pivotArea dataOnly="0" labelOnly="1" fieldPosition="0">
        <references count="2">
          <reference field="0" count="1">
            <x v="29"/>
          </reference>
          <reference field="4" count="1" selected="0">
            <x v="5"/>
          </reference>
        </references>
      </pivotArea>
    </format>
    <format dxfId="62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700-000000000000}" name="樞紐分析表1" cacheId="0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會議日期" colHeaderCaption="追蹤議題預計完工/實際完工">
  <location ref="A34:CA72" firstHeaderRow="1" firstDataRow="3" firstDataCol="1"/>
  <pivotFields count="9">
    <pivotField axis="axisRow" showAll="0">
      <items count="36">
        <item x="7"/>
        <item x="1"/>
        <item x="2"/>
        <item x="0"/>
        <item x="3"/>
        <item x="34"/>
        <item x="4"/>
        <item x="6"/>
        <item x="5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6"/>
        <item x="24"/>
        <item x="25"/>
        <item x="27"/>
        <item x="28"/>
        <item x="29"/>
        <item x="30"/>
        <item x="31"/>
        <item x="32"/>
        <item x="33"/>
        <item t="default"/>
      </items>
    </pivotField>
    <pivotField showAll="0"/>
    <pivotField showAll="0"/>
    <pivotField showAll="0"/>
    <pivotField showAll="0"/>
    <pivotField showAll="0"/>
    <pivotField axis="axisCol" dataField="1" showAll="0">
      <items count="43">
        <item m="1" x="39"/>
        <item x="1"/>
        <item m="1" x="41"/>
        <item x="7"/>
        <item x="0"/>
        <item x="5"/>
        <item x="2"/>
        <item x="8"/>
        <item x="4"/>
        <item x="3"/>
        <item x="34"/>
        <item x="9"/>
        <item x="10"/>
        <item x="13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32"/>
        <item x="28"/>
        <item x="29"/>
        <item x="30"/>
        <item x="33"/>
        <item x="35"/>
        <item m="1" x="40"/>
        <item x="6"/>
        <item x="31"/>
        <item x="27"/>
        <item m="1" x="38"/>
        <item x="36"/>
        <item x="11"/>
        <item x="12"/>
        <item x="14"/>
        <item x="37"/>
        <item t="default"/>
      </items>
    </pivotField>
    <pivotField showAll="0"/>
    <pivotField dataField="1" showAll="0"/>
  </pivotFields>
  <rowFields count="1">
    <field x="0"/>
  </rowFields>
  <rowItems count="3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 t="grand">
      <x/>
    </i>
  </rowItems>
  <colFields count="2">
    <field x="6"/>
    <field x="-2"/>
  </colFields>
  <colItems count="78">
    <i>
      <x v="1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3"/>
      <x/>
    </i>
    <i r="1" i="1">
      <x v="1"/>
    </i>
    <i>
      <x v="34"/>
      <x/>
    </i>
    <i r="1" i="1">
      <x v="1"/>
    </i>
    <i>
      <x v="35"/>
      <x/>
    </i>
    <i r="1" i="1">
      <x v="1"/>
    </i>
    <i>
      <x v="37"/>
      <x/>
    </i>
    <i r="1" i="1">
      <x v="1"/>
    </i>
    <i>
      <x v="38"/>
      <x/>
    </i>
    <i r="1" i="1">
      <x v="1"/>
    </i>
    <i>
      <x v="39"/>
      <x/>
    </i>
    <i r="1" i="1">
      <x v="1"/>
    </i>
    <i>
      <x v="40"/>
      <x/>
    </i>
    <i r="1" i="1">
      <x v="1"/>
    </i>
    <i>
      <x v="41"/>
      <x/>
    </i>
    <i r="1" i="1">
      <x v="1"/>
    </i>
    <i t="grand">
      <x/>
    </i>
    <i t="grand" i="1">
      <x/>
    </i>
  </colItems>
  <dataFields count="2">
    <dataField name="計數 - 預計完工日" fld="6" subtotal="count" baseField="0" baseItem="0"/>
    <dataField name="計數 - 實際完工日" fld="8" subtotal="count" baseField="0" baseItem="0"/>
  </dataFields>
  <formats count="18">
    <format dxfId="61">
      <pivotArea field="6" type="button" dataOnly="0" labelOnly="1" outline="0" axis="axisCol" fieldPosition="0"/>
    </format>
    <format dxfId="60">
      <pivotArea type="all" dataOnly="0" outline="0" fieldPosition="0"/>
    </format>
    <format dxfId="59">
      <pivotArea type="origin" dataOnly="0" labelOnly="1" outline="0" fieldPosition="0"/>
    </format>
    <format dxfId="58">
      <pivotArea field="6" type="button" dataOnly="0" labelOnly="1" outline="0" axis="axisCol" fieldPosition="0"/>
    </format>
    <format dxfId="57">
      <pivotArea field="0" type="button" dataOnly="0" labelOnly="1" outline="0" axis="axisRow" fieldPosition="0"/>
    </format>
    <format dxfId="56">
      <pivotArea dataOnly="0" labelOnly="1" grandRow="1" outline="0" fieldPosition="0"/>
    </format>
    <format dxfId="55">
      <pivotArea field="6" type="button" dataOnly="0" labelOnly="1" outline="0" axis="axisCol" fieldPosition="0"/>
    </format>
    <format dxfId="54">
      <pivotArea type="origin" dataOnly="0" labelOnly="1" outline="0" fieldPosition="0"/>
    </format>
    <format dxfId="53">
      <pivotArea field="0" type="button" dataOnly="0" labelOnly="1" outline="0" axis="axisRow" fieldPosition="0"/>
    </format>
    <format dxfId="52">
      <pivotArea dataOnly="0" labelOnly="1" grandRow="1" outline="0" fieldPosition="0"/>
    </format>
    <format dxfId="51">
      <pivotArea type="all" dataOnly="0" outline="0" fieldPosition="0"/>
    </format>
    <format dxfId="50">
      <pivotArea outline="0" collapsedLevelsAreSubtotals="1" fieldPosition="0"/>
    </format>
    <format dxfId="49">
      <pivotArea type="origin" dataOnly="0" labelOnly="1" outline="0" fieldPosition="0"/>
    </format>
    <format dxfId="48">
      <pivotArea field="6" type="button" dataOnly="0" labelOnly="1" outline="0" axis="axisCol" fieldPosition="0"/>
    </format>
    <format dxfId="47">
      <pivotArea field="-2" type="button" dataOnly="0" labelOnly="1" outline="0" axis="axisCol" fieldPosition="1"/>
    </format>
    <format dxfId="46">
      <pivotArea type="topRight" dataOnly="0" labelOnly="1" outline="0" fieldPosition="0"/>
    </format>
    <format dxfId="45">
      <pivotArea field="0" type="button" dataOnly="0" labelOnly="1" outline="0" axis="axisRow" fieldPosition="0"/>
    </format>
    <format dxfId="44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格1" displayName="表格1" ref="A2:K74" totalsRowShown="0" headerRowDxfId="182" dataDxfId="181" dataCellStyle="百分比">
  <autoFilter ref="A2:K74" xr:uid="{00000000-0009-0000-0100-000001000000}"/>
  <tableColumns count="11">
    <tableColumn id="1" xr3:uid="{00000000-0010-0000-0000-000001000000}" name="日期" dataDxfId="180"/>
    <tableColumn id="2" xr3:uid="{00000000-0010-0000-0000-000002000000}" name="週" dataDxfId="179">
      <calculatedColumnFormula>表格1[[#This Row],[日期]]</calculatedColumnFormula>
    </tableColumn>
    <tableColumn id="3" xr3:uid="{00000000-0010-0000-0000-000003000000}" name="合計數" dataDxfId="178">
      <calculatedColumnFormula>COUNTA(URS確認!E:E)-1</calculatedColumnFormula>
    </tableColumn>
    <tableColumn id="4" xr3:uid="{00000000-0010-0000-0000-000004000000}" name="累計預估" dataDxfId="177">
      <calculatedColumnFormula>COUNTIF(URS確認!K:K,"&lt;"&amp;A3+1)</calculatedColumnFormula>
    </tableColumn>
    <tableColumn id="5" xr3:uid="{00000000-0010-0000-0000-000005000000}" name="累計完成" dataDxfId="176">
      <calculatedColumnFormula>D7-D2</calculatedColumnFormula>
    </tableColumn>
    <tableColumn id="12" xr3:uid="{00000000-0010-0000-0000-00000C000000}" name="本周預計" dataDxfId="175">
      <calculatedColumnFormula>D7-D2</calculatedColumnFormula>
    </tableColumn>
    <tableColumn id="13" xr3:uid="{00000000-0010-0000-0000-00000D000000}" name="本周完成" dataDxfId="174">
      <calculatedColumnFormula>E7-E2</calculatedColumnFormula>
    </tableColumn>
    <tableColumn id="14" xr3:uid="{00000000-0010-0000-0000-00000E000000}" name="進度" dataDxfId="173">
      <calculatedColumnFormula>IF(表格1[[#This Row],[本周完成]]&gt;表格1[[#This Row],[本周預計]],"提前",IF(表格1[[#This Row],[本周完成]]&lt;表格1[[#This Row],[本周預計]],"延遲","如期"))</calculatedColumnFormula>
    </tableColumn>
    <tableColumn id="6" xr3:uid="{00000000-0010-0000-0000-000006000000}" name="累計預估達成率" dataDxfId="172" dataCellStyle="百分比">
      <calculatedColumnFormula>表格1[[#This Row],[累計預估]]/表格1[[#This Row],[合計數]]</calculatedColumnFormula>
    </tableColumn>
    <tableColumn id="7" xr3:uid="{00000000-0010-0000-0000-000007000000}" name="累計實際達成率" dataDxfId="171" dataCellStyle="百分比">
      <calculatedColumnFormula>表格1[[#This Row],[累計完成]]/表格1[[#This Row],[合計數]]</calculatedColumnFormula>
    </tableColumn>
    <tableColumn id="10" xr3:uid="{00000000-0010-0000-0000-00000A000000}" name="欄1" dataDxfId="170" dataCellStyle="百分比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功能_33" displayName="功能_33" ref="A1:AW549" totalsRowShown="0" headerRowDxfId="169" dataDxfId="168">
  <autoFilter ref="A1:AW549" xr:uid="{00000000-0009-0000-0100-000002000000}"/>
  <tableColumns count="49">
    <tableColumn id="2" xr3:uid="{00000000-0010-0000-0100-000002000000}" name="URS程式預計完成時間" dataDxfId="167"/>
    <tableColumn id="1" xr3:uid="{00000000-0010-0000-0100-000001000000}" name="狀態" dataDxfId="166"/>
    <tableColumn id="22" xr3:uid="{00000000-0010-0000-0100-000016000000}" name="業務大類" dataDxfId="165"/>
    <tableColumn id="26" xr3:uid="{00000000-0010-0000-0100-00001A000000}" name="流程" dataDxfId="164"/>
    <tableColumn id="5" xr3:uid="{00000000-0010-0000-0100-000005000000}" name="功能代號" dataDxfId="163"/>
    <tableColumn id="9" xr3:uid="{00000000-0010-0000-0100-000009000000}" name="功能名稱/說明" dataDxfId="162"/>
    <tableColumn id="38" xr3:uid="{00000000-0010-0000-0100-000026000000}" name="刪除整併說明" dataDxfId="161"/>
    <tableColumn id="4" xr3:uid="{00000000-0010-0000-0100-000004000000}" name="SA" dataDxfId="160"/>
    <tableColumn id="11" xr3:uid="{00000000-0010-0000-0100-00000B000000}" name="展示協助" dataDxfId="159"/>
    <tableColumn id="37" xr3:uid="{00000000-0010-0000-0100-000025000000}" name="URS版本" dataDxfId="158"/>
    <tableColumn id="3" xr3:uid="{00000000-0010-0000-0100-000003000000}" name="預計展示" dataDxfId="157"/>
    <tableColumn id="18" xr3:uid="{00000000-0010-0000-0100-000012000000}" name="實際展示" dataDxfId="156"/>
    <tableColumn id="24" xr3:uid="{00000000-0010-0000-0100-000018000000}" name="URS完成" dataDxfId="155">
      <calculatedColumnFormula>IFERROR(IF(VLOOKUP(功能_33[[#This Row],[功能代號]],討論項目!A:H,8,FALSE)=0,"",VLOOKUP(功能_33[[#This Row],[功能代號]],討論項目!A:H,8,FALSE)),"")</calculatedColumnFormula>
    </tableColumn>
    <tableColumn id="20" xr3:uid="{00000000-0010-0000-0100-000014000000}" name="IT" dataDxfId="154"/>
    <tableColumn id="21" xr3:uid="{00000000-0010-0000-0100-000015000000}" name="User" dataDxfId="153"/>
    <tableColumn id="7" xr3:uid="{00000000-0010-0000-0100-000007000000}" name="User2" dataDxfId="152"/>
    <tableColumn id="8" xr3:uid="{00000000-0010-0000-0100-000008000000}" name="段式" dataDxfId="151"/>
    <tableColumn id="10" xr3:uid="{00000000-0010-0000-0100-00000A000000}" name="經辦等級" dataDxfId="150"/>
    <tableColumn id="12" xr3:uid="{00000000-0010-0000-0100-00000C000000}" name="授權" dataDxfId="149"/>
    <tableColumn id="13" xr3:uid="{00000000-0010-0000-0100-00000D000000}" name="訂正" dataDxfId="148"/>
    <tableColumn id="14" xr3:uid="{00000000-0010-0000-0100-00000E000000}" name="修正" dataDxfId="147"/>
    <tableColumn id="16" xr3:uid="{00000000-0010-0000-0100-000010000000}" name="帳務" dataDxfId="146"/>
    <tableColumn id="17" xr3:uid="{00000000-0010-0000-0100-000011000000}" name="額度" dataDxfId="145"/>
    <tableColumn id="15" xr3:uid="{00000000-0010-0000-0100-00000F000000}" name="執行單位" dataDxfId="144">
      <calculatedColumnFormula>VLOOKUP(功能_33[[#This Row],[User]],SKL放款!A:G,7,FALSE)</calculatedColumnFormula>
    </tableColumn>
    <tableColumn id="32" xr3:uid="{00000000-0010-0000-0100-000020000000}" name="程式完成" dataDxfId="143"/>
    <tableColumn id="34" xr3:uid="{00000000-0010-0000-0100-000022000000}" name="URS交二審" dataDxfId="142"/>
    <tableColumn id="31" xr3:uid="{00000000-0010-0000-0100-00001F000000}" name="二審預排" dataDxfId="141"/>
    <tableColumn id="36" xr3:uid="{00000000-0010-0000-0100-000024000000}" name="二審實際" dataDxfId="140"/>
    <tableColumn id="27" xr3:uid="{00000000-0010-0000-0100-00001B000000}" name="正式_x000a_交付審查" dataDxfId="139"/>
    <tableColumn id="29" xr3:uid="{00000000-0010-0000-0100-00001D000000}" name="IT審核人" dataDxfId="138"/>
    <tableColumn id="6" xr3:uid="{00000000-0010-0000-0100-000006000000}" name="收到IT_x000a_審查意見" dataDxfId="137"/>
    <tableColumn id="35" xr3:uid="{00000000-0010-0000-0100-000023000000}" name="回覆IT_x000a_審查意見" dataDxfId="136"/>
    <tableColumn id="33" xr3:uid="{00000000-0010-0000-0100-000021000000}" name="User審閱人" dataDxfId="135">
      <calculatedColumnFormula>IFERROR(IF(VLOOKUP(功能_33[[#This Row],[功能代號]],E:Q,11,FALSE)=0,"",VLOOKUP(功能_33[[#This Row],[功能代號]],E:Q,11,FALSE)),"")</calculatedColumnFormula>
    </tableColumn>
    <tableColumn id="30" xr3:uid="{00000000-0010-0000-0100-00001E000000}" name="收到User_x000a_審查意見" dataDxfId="134"/>
    <tableColumn id="39" xr3:uid="{00000000-0010-0000-0100-000027000000}" name="回覆User審查意見" dataDxfId="133"/>
    <tableColumn id="25" xr3:uid="{00000000-0010-0000-0100-000019000000}" name="送出簽核檢核日" dataDxfId="132"/>
    <tableColumn id="19" xr3:uid="{00000000-0010-0000-0100-000013000000}" name="覆測日" dataDxfId="131"/>
    <tableColumn id="23" xr3:uid="{00000000-0010-0000-0100-000017000000}" name="AS400入口" dataDxfId="130">
      <calculatedColumnFormula>VLOOKUP(功能_33[[#This Row],[功能代號]],'[4]20211001'!$A:$J,8,FALSE)</calculatedColumnFormula>
    </tableColumn>
    <tableColumn id="41" xr3:uid="{00000000-0010-0000-0100-000029000000}" name="AS400名稱" dataDxfId="129">
      <calculatedColumnFormula>VLOOKUP(功能_33[[#This Row],[功能代號]],'[4]20211001'!$A:$J,9,FALSE)</calculatedColumnFormula>
    </tableColumn>
    <tableColumn id="42" xr3:uid="{00000000-0010-0000-0100-00002A000000}" name="需二審" dataDxfId="128">
      <calculatedColumnFormula>VLOOKUP(功能_33[[#This Row],[功能代號]],需二審tmp!A:A,1,FALSE)</calculatedColumnFormula>
    </tableColumn>
    <tableColumn id="40" xr3:uid="{00000000-0010-0000-0100-000028000000}" name="2021/11/26OK" dataDxfId="127"/>
    <tableColumn id="49" xr3:uid="{00000000-0010-0000-0100-000031000000}" name="欄1" dataDxfId="126"/>
    <tableColumn id="28" xr3:uid="{00000000-0010-0000-0100-00001C000000}" name="己交付" dataDxfId="125">
      <calculatedColumnFormula>IF(COUNTA(AC2)=1,LEFT(D2,3),"")</calculatedColumnFormula>
    </tableColumn>
    <tableColumn id="43" xr3:uid="{00000000-0010-0000-0100-00002B000000}" name="己完成" dataDxfId="124">
      <calculatedColumnFormula>IF(AND(COUNTA(L2)=1,COUNTA(M2)=1,COUNTA(Y2)=1,COUNTA(AB2)=1,COUNTA(AC2)=0),LEFT(D2,3),"")</calculatedColumnFormula>
    </tableColumn>
    <tableColumn id="47" xr3:uid="{00000000-0010-0000-0100-00002F000000}" name="待二審" dataDxfId="123">
      <calculatedColumnFormula>IF(AND(COUNTA(L2)=1,COUNTA(M2)=1,COUNTA(Y2)=1,COUNTA(AB2)=0,COUNTA(AC2)=0),LEFT(D2,3),"")</calculatedColumnFormula>
    </tableColumn>
    <tableColumn id="44" xr3:uid="{00000000-0010-0000-0100-00002C000000}" name="URS_x000a_未完成" dataDxfId="122">
      <calculatedColumnFormula>IF(AND(COUNTA(M2)=0,COUNTA(Y2)=1),LEFT(D2,3),"")</calculatedColumnFormula>
    </tableColumn>
    <tableColumn id="45" xr3:uid="{00000000-0010-0000-0100-00002D000000}" name="程式_x000a_未完成" dataDxfId="121">
      <calculatedColumnFormula>IF(AND(COUNTA(M2)=1,COUNTA(Y2)=0),LEFT(D2,3),"")</calculatedColumnFormula>
    </tableColumn>
    <tableColumn id="46" xr3:uid="{00000000-0010-0000-0100-00002E000000}" name="均_x000a_未完成" dataDxfId="120">
      <calculatedColumnFormula>IF(AND(COUNTA(M2)=0,COUNTA(Y2)=0),LEFT(D2,3),"")</calculatedColumnFormula>
    </tableColumn>
    <tableColumn id="50" xr3:uid="{00000000-0010-0000-0100-000032000000}" name="SIT進度" dataDxfId="0">
      <calculatedColumnFormula>IFERROR(VLOOKUP(功能_33[[#This Row],[功能代號]],工作表3!C:C,1,FALSE),"未計SIT測試")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表格3" displayName="表格3" ref="A2:V26" totalsRowShown="0" headerRowDxfId="43" dataDxfId="42">
  <autoFilter ref="A2:V26" xr:uid="{00000000-0009-0000-0100-000003000000}"/>
  <tableColumns count="22">
    <tableColumn id="1" xr3:uid="{00000000-0010-0000-0200-000001000000}" name="統計日期" dataDxfId="41"/>
    <tableColumn id="2" xr3:uid="{00000000-0010-0000-0200-000002000000}" name="總計" dataDxfId="40">
      <calculatedColumnFormula>SUM(E3,G3,H3,I3,K3,M3,O3,Q3,U3)</calculatedColumnFormula>
    </tableColumn>
    <tableColumn id="3" xr3:uid="{00000000-0010-0000-0200-000003000000}" name="已完成" dataDxfId="39">
      <calculatedColumnFormula>SUM(F3,H3,J3,L3,N3,P3,R3,V3)</calculatedColumnFormula>
    </tableColumn>
    <tableColumn id="4" xr3:uid="{00000000-0010-0000-0200-000004000000}" name="完成比" dataDxfId="38" dataCellStyle="百分比">
      <calculatedColumnFormula>C3/B3</calculatedColumnFormula>
    </tableColumn>
    <tableColumn id="5" xr3:uid="{00000000-0010-0000-0200-000005000000}" name="累計" dataDxfId="37"/>
    <tableColumn id="6" xr3:uid="{00000000-0010-0000-0200-000006000000}" name="完成" dataDxfId="36"/>
    <tableColumn id="8" xr3:uid="{00000000-0010-0000-0200-000008000000}" name="累計2" dataDxfId="35"/>
    <tableColumn id="9" xr3:uid="{00000000-0010-0000-0200-000009000000}" name="完成2" dataDxfId="34"/>
    <tableColumn id="11" xr3:uid="{00000000-0010-0000-0200-00000B000000}" name="累計3" dataDxfId="33"/>
    <tableColumn id="12" xr3:uid="{00000000-0010-0000-0200-00000C000000}" name="完成3" dataDxfId="32"/>
    <tableColumn id="14" xr3:uid="{00000000-0010-0000-0200-00000E000000}" name="高累計" dataDxfId="31"/>
    <tableColumn id="15" xr3:uid="{00000000-0010-0000-0200-00000F000000}" name="完成7" dataDxfId="30"/>
    <tableColumn id="17" xr3:uid="{00000000-0010-0000-0200-000011000000}" name="中累計" dataDxfId="29"/>
    <tableColumn id="18" xr3:uid="{00000000-0010-0000-0200-000012000000}" name="完成8" dataDxfId="28"/>
    <tableColumn id="20" xr3:uid="{00000000-0010-0000-0200-000014000000}" name="低累計" dataDxfId="27"/>
    <tableColumn id="21" xr3:uid="{00000000-0010-0000-0200-000015000000}" name="完成9" dataDxfId="26"/>
    <tableColumn id="23" xr3:uid="{00000000-0010-0000-0200-000017000000}" name="累計4" dataDxfId="25"/>
    <tableColumn id="24" xr3:uid="{00000000-0010-0000-0200-000018000000}" name="完成4" dataDxfId="24"/>
    <tableColumn id="13" xr3:uid="{00000000-0010-0000-0200-00000D000000}" name="累計5" dataDxfId="23"/>
    <tableColumn id="16" xr3:uid="{00000000-0010-0000-0200-000010000000}" name="完成5" dataDxfId="22"/>
    <tableColumn id="26" xr3:uid="{00000000-0010-0000-0200-00001A000000}" name="累計6" dataDxfId="21"/>
    <tableColumn id="27" xr3:uid="{00000000-0010-0000-0200-00001B000000}" name="完成6" dataDxfId="20"/>
  </tableColumns>
  <tableStyleInfo name="TableStyleLight1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表格1_4" displayName="表格1_4" ref="A1:F332" totalsRowShown="0" headerRowDxfId="19" dataDxfId="18">
  <autoFilter ref="A1:F332" xr:uid="{00000000-0009-0000-0100-000004000000}"/>
  <tableColumns count="6">
    <tableColumn id="1" xr3:uid="{00000000-0010-0000-0300-000001000000}" name="TranNo" dataDxfId="17"/>
    <tableColumn id="2" xr3:uid="{00000000-0010-0000-0300-000002000000}" name="TranItem" dataDxfId="16"/>
    <tableColumn id="3" xr3:uid="{00000000-0010-0000-0300-000003000000}" name="MenuNo" dataDxfId="15"/>
    <tableColumn id="4" xr3:uid="{00000000-0010-0000-0300-000004000000}" name="SubMenuNo" dataDxfId="14"/>
    <tableColumn id="6" xr3:uid="{00000000-0010-0000-0300-000006000000}" name="業務大類" dataDxfId="13"/>
    <tableColumn id="7" xr3:uid="{00000000-0010-0000-0300-000007000000}" name="業務流程" dataDxfId="12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表格1_5" displayName="表格1_5" ref="A1:I42" totalsRowShown="0" headerRowDxfId="11" dataDxfId="10" dataCellStyle="百分比">
  <autoFilter ref="A1:I42" xr:uid="{00000000-0009-0000-0100-000005000000}"/>
  <tableColumns count="9">
    <tableColumn id="1" xr3:uid="{00000000-0010-0000-0400-000001000000}" name="日期" dataDxfId="9"/>
    <tableColumn id="2" xr3:uid="{00000000-0010-0000-0400-000002000000}" name="週" dataDxfId="8">
      <calculatedColumnFormula>表格1_5[[#This Row],[日期]]</calculatedColumnFormula>
    </tableColumn>
    <tableColumn id="3" xr3:uid="{00000000-0010-0000-0400-000003000000}" name="合計數" dataDxfId="7">
      <calculatedColumnFormula>COUNTA(URS確認!E:E)-1</calculatedColumnFormula>
    </tableColumn>
    <tableColumn id="4" xr3:uid="{00000000-0010-0000-0400-000004000000}" name="累計預估" dataDxfId="6">
      <calculatedColumnFormula>COUNTIF(URS確認!K:K,"&lt;"&amp;A2+1)</calculatedColumnFormula>
    </tableColumn>
    <tableColumn id="5" xr3:uid="{00000000-0010-0000-0400-000005000000}" name="累計完成" dataDxfId="5">
      <calculatedColumnFormula>COUNTIF(URS確認!M:M,"&lt;"&amp;A2+1)</calculatedColumnFormula>
    </tableColumn>
    <tableColumn id="8" xr3:uid="{00000000-0010-0000-0400-000008000000}" name="延遲數" dataDxfId="4">
      <calculatedColumnFormula>D2-E2</calculatedColumnFormula>
    </tableColumn>
    <tableColumn id="6" xr3:uid="{00000000-0010-0000-0400-000006000000}" name="累計預估達成率" dataDxfId="3" dataCellStyle="百分比">
      <calculatedColumnFormula>COUNTIF(URS確認!K:K,"&lt;"&amp;A2+1)/C2</calculatedColumnFormula>
    </tableColumn>
    <tableColumn id="7" xr3:uid="{00000000-0010-0000-0400-000007000000}" name="累計實際達成率" dataDxfId="2" dataCellStyle="百分比">
      <calculatedColumnFormula>COUNTIF(URS確認!M:M,"&lt;"&amp;A2+1)/C2</calculatedColumnFormula>
    </tableColumn>
    <tableColumn id="9" xr3:uid="{00000000-0010-0000-0400-000009000000}" name="延遲率" dataDxfId="1" dataCellStyle="百分比">
      <calculatedColumnFormula>表格1_5[[#This Row],[累計預估達成率]]-表格1_5[[#This Row],[累計實際達成率]]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skl.webex.com/skl/j.php?MTID=m4cad926e26e65b979305fb669cef7280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V17"/>
  <sheetViews>
    <sheetView topLeftCell="C1" workbookViewId="0">
      <selection activeCell="H15" sqref="H15"/>
    </sheetView>
  </sheetViews>
  <sheetFormatPr defaultColWidth="8.69921875" defaultRowHeight="13.5" x14ac:dyDescent="0.3"/>
  <cols>
    <col min="1" max="1" width="21.19921875" style="150" bestFit="1" customWidth="1"/>
    <col min="2" max="8" width="11.3984375" style="149" bestFit="1" customWidth="1"/>
    <col min="9" max="9" width="11.3984375" style="150" bestFit="1" customWidth="1"/>
    <col min="10" max="10" width="8.59765625" style="150" bestFit="1" customWidth="1"/>
    <col min="11" max="11" width="11.3984375" style="150" bestFit="1" customWidth="1"/>
    <col min="12" max="12" width="12.59765625" style="150" bestFit="1" customWidth="1"/>
    <col min="13" max="14" width="11.3984375" style="150" bestFit="1" customWidth="1"/>
    <col min="15" max="15" width="12.59765625" style="150" bestFit="1" customWidth="1"/>
    <col min="16" max="22" width="11.3984375" style="150" bestFit="1" customWidth="1"/>
    <col min="23" max="26" width="8.69921875" style="150" customWidth="1"/>
    <col min="27" max="16384" width="8.69921875" style="150"/>
  </cols>
  <sheetData>
    <row r="1" spans="1:22" s="152" customFormat="1" x14ac:dyDescent="0.3">
      <c r="A1" s="148" t="s">
        <v>0</v>
      </c>
      <c r="B1" s="152">
        <v>44396</v>
      </c>
      <c r="C1" s="152">
        <v>44397</v>
      </c>
      <c r="D1" s="152">
        <v>44398</v>
      </c>
      <c r="E1" s="152">
        <v>44399</v>
      </c>
      <c r="F1" s="152">
        <v>44400</v>
      </c>
      <c r="G1" s="152">
        <v>44403</v>
      </c>
      <c r="H1" s="152">
        <v>44404</v>
      </c>
      <c r="I1" s="152">
        <v>44405</v>
      </c>
      <c r="J1" s="152">
        <v>44410</v>
      </c>
      <c r="K1" s="152">
        <v>44431</v>
      </c>
      <c r="L1" s="152">
        <v>44432</v>
      </c>
      <c r="M1" s="152">
        <v>44433</v>
      </c>
      <c r="N1" s="152">
        <v>44434</v>
      </c>
      <c r="O1" s="152">
        <v>44435</v>
      </c>
      <c r="P1" s="152">
        <v>44438</v>
      </c>
      <c r="Q1" s="152">
        <v>44439</v>
      </c>
      <c r="R1" s="152">
        <v>44447</v>
      </c>
      <c r="S1" s="152">
        <v>44448</v>
      </c>
      <c r="T1" s="152" t="s">
        <v>1</v>
      </c>
      <c r="U1" s="152" t="s">
        <v>2</v>
      </c>
      <c r="V1" s="152">
        <v>44453</v>
      </c>
    </row>
    <row r="2" spans="1:22" x14ac:dyDescent="0.3">
      <c r="A2" s="148" t="s">
        <v>3</v>
      </c>
      <c r="B2" s="149" t="s">
        <v>4</v>
      </c>
      <c r="C2" s="149" t="s">
        <v>4</v>
      </c>
      <c r="D2" s="149" t="s">
        <v>4</v>
      </c>
      <c r="E2" s="149" t="s">
        <v>4</v>
      </c>
      <c r="F2" s="149" t="s">
        <v>4</v>
      </c>
      <c r="G2" s="149" t="s">
        <v>4</v>
      </c>
      <c r="H2" s="149" t="s">
        <v>4</v>
      </c>
      <c r="I2" s="149" t="s">
        <v>4</v>
      </c>
      <c r="K2" s="149" t="s">
        <v>5</v>
      </c>
      <c r="L2" s="149" t="s">
        <v>5</v>
      </c>
      <c r="M2" s="151" t="s">
        <v>5</v>
      </c>
      <c r="N2" s="151" t="s">
        <v>5</v>
      </c>
      <c r="O2" s="151" t="s">
        <v>5</v>
      </c>
      <c r="P2" s="151" t="s">
        <v>5</v>
      </c>
      <c r="Q2" s="151" t="s">
        <v>5</v>
      </c>
      <c r="R2" s="151" t="s">
        <v>5</v>
      </c>
      <c r="S2" s="151" t="s">
        <v>5</v>
      </c>
      <c r="T2" s="151" t="s">
        <v>5</v>
      </c>
      <c r="U2" s="151" t="s">
        <v>5</v>
      </c>
      <c r="V2" s="151" t="s">
        <v>5</v>
      </c>
    </row>
    <row r="3" spans="1:22" x14ac:dyDescent="0.3">
      <c r="A3" s="153" t="s">
        <v>6</v>
      </c>
      <c r="B3" s="149" t="s">
        <v>7</v>
      </c>
      <c r="C3" s="149" t="s">
        <v>8</v>
      </c>
      <c r="D3" s="149" t="s">
        <v>8</v>
      </c>
      <c r="E3" s="149" t="s">
        <v>8</v>
      </c>
      <c r="F3" s="149" t="s">
        <v>8</v>
      </c>
      <c r="G3" s="149" t="s">
        <v>8</v>
      </c>
      <c r="H3" s="149" t="s">
        <v>8</v>
      </c>
      <c r="I3" s="149" t="s">
        <v>8</v>
      </c>
      <c r="K3" s="149" t="s">
        <v>4</v>
      </c>
      <c r="L3" s="149" t="s">
        <v>4</v>
      </c>
      <c r="M3" s="151" t="s">
        <v>4</v>
      </c>
      <c r="N3" s="151" t="s">
        <v>4</v>
      </c>
      <c r="O3" s="151" t="s">
        <v>4</v>
      </c>
      <c r="P3" s="151" t="s">
        <v>4</v>
      </c>
      <c r="Q3" s="151" t="s">
        <v>4</v>
      </c>
      <c r="R3" s="151" t="s">
        <v>4</v>
      </c>
      <c r="S3" s="151" t="s">
        <v>4</v>
      </c>
      <c r="T3" s="151" t="s">
        <v>4</v>
      </c>
      <c r="U3" s="151" t="s">
        <v>4</v>
      </c>
      <c r="V3" s="151" t="s">
        <v>4</v>
      </c>
    </row>
    <row r="4" spans="1:22" x14ac:dyDescent="0.3">
      <c r="B4" s="149" t="s">
        <v>9</v>
      </c>
      <c r="C4" s="149" t="s">
        <v>7</v>
      </c>
      <c r="D4" s="149" t="s">
        <v>7</v>
      </c>
      <c r="E4" s="149" t="s">
        <v>7</v>
      </c>
      <c r="F4" s="149" t="s">
        <v>7</v>
      </c>
      <c r="G4" s="149" t="s">
        <v>7</v>
      </c>
      <c r="H4" s="149" t="s">
        <v>7</v>
      </c>
      <c r="I4" s="149" t="s">
        <v>7</v>
      </c>
      <c r="K4" s="149" t="s">
        <v>8</v>
      </c>
      <c r="L4" s="149" t="s">
        <v>10</v>
      </c>
      <c r="M4" s="151" t="s">
        <v>10</v>
      </c>
      <c r="N4" s="151" t="s">
        <v>10</v>
      </c>
      <c r="O4" s="151" t="s">
        <v>10</v>
      </c>
      <c r="P4" s="151" t="s">
        <v>10</v>
      </c>
      <c r="Q4" s="151" t="s">
        <v>10</v>
      </c>
      <c r="R4" s="151" t="s">
        <v>8</v>
      </c>
      <c r="S4" s="151" t="s">
        <v>8</v>
      </c>
      <c r="T4" s="151" t="s">
        <v>8</v>
      </c>
      <c r="U4" s="151" t="s">
        <v>8</v>
      </c>
      <c r="V4" s="151" t="s">
        <v>8</v>
      </c>
    </row>
    <row r="5" spans="1:22" x14ac:dyDescent="0.3">
      <c r="B5" s="149" t="s">
        <v>11</v>
      </c>
      <c r="C5" s="149" t="s">
        <v>12</v>
      </c>
      <c r="D5" s="149" t="s">
        <v>12</v>
      </c>
      <c r="E5" s="149" t="s">
        <v>12</v>
      </c>
      <c r="F5" s="149" t="s">
        <v>12</v>
      </c>
      <c r="G5" s="149" t="s">
        <v>12</v>
      </c>
      <c r="H5" s="149" t="s">
        <v>12</v>
      </c>
      <c r="I5" s="149" t="s">
        <v>12</v>
      </c>
      <c r="K5" s="149" t="s">
        <v>7</v>
      </c>
      <c r="L5" s="149" t="s">
        <v>8</v>
      </c>
      <c r="M5" s="151" t="s">
        <v>8</v>
      </c>
      <c r="N5" s="151" t="s">
        <v>8</v>
      </c>
      <c r="O5" s="151" t="s">
        <v>8</v>
      </c>
      <c r="P5" s="151" t="s">
        <v>8</v>
      </c>
      <c r="Q5" s="151" t="s">
        <v>8</v>
      </c>
      <c r="R5" s="151" t="s">
        <v>7</v>
      </c>
      <c r="S5" s="151" t="s">
        <v>7</v>
      </c>
      <c r="T5" s="151" t="s">
        <v>7</v>
      </c>
      <c r="U5" s="151" t="s">
        <v>7</v>
      </c>
      <c r="V5" s="151" t="s">
        <v>7</v>
      </c>
    </row>
    <row r="6" spans="1:22" x14ac:dyDescent="0.3">
      <c r="B6" s="149" t="s">
        <v>13</v>
      </c>
      <c r="C6" s="149" t="s">
        <v>9</v>
      </c>
      <c r="D6" s="149" t="s">
        <v>9</v>
      </c>
      <c r="F6" s="149" t="s">
        <v>11</v>
      </c>
      <c r="G6" s="149" t="s">
        <v>9</v>
      </c>
      <c r="H6" s="149" t="s">
        <v>9</v>
      </c>
      <c r="I6" s="149" t="s">
        <v>11</v>
      </c>
      <c r="K6" s="149" t="s">
        <v>12</v>
      </c>
      <c r="L6" s="149" t="s">
        <v>7</v>
      </c>
      <c r="M6" s="151" t="s">
        <v>7</v>
      </c>
      <c r="N6" s="151" t="s">
        <v>7</v>
      </c>
      <c r="O6" s="151" t="s">
        <v>7</v>
      </c>
      <c r="P6" s="151" t="s">
        <v>7</v>
      </c>
      <c r="Q6" s="151" t="s">
        <v>7</v>
      </c>
      <c r="R6" s="151" t="s">
        <v>12</v>
      </c>
      <c r="S6" s="151" t="s">
        <v>12</v>
      </c>
      <c r="T6" s="151" t="s">
        <v>12</v>
      </c>
      <c r="U6" s="151" t="s">
        <v>12</v>
      </c>
      <c r="V6" s="151" t="s">
        <v>12</v>
      </c>
    </row>
    <row r="7" spans="1:22" x14ac:dyDescent="0.3">
      <c r="C7" s="149" t="s">
        <v>11</v>
      </c>
      <c r="D7" s="149" t="s">
        <v>11</v>
      </c>
      <c r="G7" s="149" t="s">
        <v>11</v>
      </c>
      <c r="H7" s="149" t="s">
        <v>11</v>
      </c>
      <c r="I7" s="149"/>
      <c r="K7" s="149" t="s">
        <v>10</v>
      </c>
      <c r="L7" s="149" t="s">
        <v>12</v>
      </c>
      <c r="M7" s="151" t="s">
        <v>12</v>
      </c>
      <c r="N7" s="151" t="s">
        <v>12</v>
      </c>
      <c r="O7" s="151" t="s">
        <v>12</v>
      </c>
      <c r="P7" s="151" t="s">
        <v>12</v>
      </c>
      <c r="Q7" s="151" t="s">
        <v>12</v>
      </c>
      <c r="R7" s="151" t="s">
        <v>10</v>
      </c>
      <c r="S7" s="151" t="s">
        <v>10</v>
      </c>
      <c r="T7" s="151" t="s">
        <v>10</v>
      </c>
      <c r="U7" s="151" t="s">
        <v>10</v>
      </c>
      <c r="V7" s="151" t="s">
        <v>10</v>
      </c>
    </row>
    <row r="8" spans="1:22" x14ac:dyDescent="0.3">
      <c r="K8" s="149" t="s">
        <v>9</v>
      </c>
      <c r="L8" s="149" t="s">
        <v>9</v>
      </c>
      <c r="M8" s="151" t="s">
        <v>9</v>
      </c>
      <c r="N8" s="151" t="s">
        <v>9</v>
      </c>
      <c r="O8" s="151" t="s">
        <v>9</v>
      </c>
      <c r="P8" s="151" t="s">
        <v>9</v>
      </c>
      <c r="Q8" s="151" t="s">
        <v>9</v>
      </c>
      <c r="R8" s="151" t="s">
        <v>9</v>
      </c>
      <c r="S8" s="151" t="s">
        <v>9</v>
      </c>
      <c r="T8" s="151" t="s">
        <v>9</v>
      </c>
      <c r="U8" s="151" t="s">
        <v>9</v>
      </c>
      <c r="V8" s="151" t="s">
        <v>9</v>
      </c>
    </row>
    <row r="9" spans="1:22" x14ac:dyDescent="0.3">
      <c r="K9" s="149" t="s">
        <v>11</v>
      </c>
      <c r="L9" s="149" t="s">
        <v>11</v>
      </c>
      <c r="M9" s="151" t="s">
        <v>11</v>
      </c>
      <c r="N9" s="151" t="s">
        <v>11</v>
      </c>
      <c r="O9" s="151" t="s">
        <v>11</v>
      </c>
      <c r="P9" s="151" t="s">
        <v>11</v>
      </c>
      <c r="Q9" s="151" t="s">
        <v>14</v>
      </c>
      <c r="R9" s="151" t="s">
        <v>11</v>
      </c>
      <c r="S9" s="151" t="s">
        <v>11</v>
      </c>
      <c r="T9" s="151" t="s">
        <v>11</v>
      </c>
      <c r="U9" s="151" t="s">
        <v>11</v>
      </c>
      <c r="V9" s="151" t="s">
        <v>11</v>
      </c>
    </row>
    <row r="10" spans="1:22" x14ac:dyDescent="0.3">
      <c r="K10" s="149" t="s">
        <v>15</v>
      </c>
      <c r="L10" s="149" t="s">
        <v>16</v>
      </c>
      <c r="M10" s="151" t="s">
        <v>13</v>
      </c>
      <c r="N10" s="151" t="s">
        <v>15</v>
      </c>
      <c r="O10" s="151" t="s">
        <v>17</v>
      </c>
      <c r="P10" s="151" t="s">
        <v>18</v>
      </c>
      <c r="Q10" s="151" t="s">
        <v>11</v>
      </c>
      <c r="R10" s="151" t="s">
        <v>14</v>
      </c>
      <c r="S10" s="151" t="s">
        <v>14</v>
      </c>
      <c r="T10" s="151" t="s">
        <v>14</v>
      </c>
      <c r="U10" s="151" t="s">
        <v>14</v>
      </c>
      <c r="V10" s="151" t="s">
        <v>14</v>
      </c>
    </row>
    <row r="11" spans="1:22" x14ac:dyDescent="0.3">
      <c r="L11" s="149" t="s">
        <v>19</v>
      </c>
      <c r="M11" s="151" t="s">
        <v>20</v>
      </c>
      <c r="N11" s="151" t="s">
        <v>21</v>
      </c>
      <c r="O11" s="151" t="s">
        <v>13</v>
      </c>
      <c r="Q11" s="151" t="s">
        <v>18</v>
      </c>
      <c r="R11" s="151" t="s">
        <v>22</v>
      </c>
      <c r="S11" s="151" t="s">
        <v>23</v>
      </c>
      <c r="T11" s="151" t="s">
        <v>23</v>
      </c>
      <c r="U11" s="151" t="s">
        <v>24</v>
      </c>
    </row>
    <row r="12" spans="1:22" x14ac:dyDescent="0.3">
      <c r="K12" s="149"/>
      <c r="M12" s="151" t="s">
        <v>15</v>
      </c>
      <c r="N12" s="151" t="s">
        <v>25</v>
      </c>
      <c r="O12" s="149" t="s">
        <v>19</v>
      </c>
      <c r="Q12" s="151" t="s">
        <v>15</v>
      </c>
      <c r="S12" s="151" t="s">
        <v>22</v>
      </c>
      <c r="T12" s="151" t="s">
        <v>22</v>
      </c>
    </row>
    <row r="13" spans="1:22" x14ac:dyDescent="0.3">
      <c r="N13" s="151" t="s">
        <v>26</v>
      </c>
      <c r="O13" s="151" t="s">
        <v>27</v>
      </c>
      <c r="Q13" s="151" t="s">
        <v>27</v>
      </c>
    </row>
    <row r="14" spans="1:22" x14ac:dyDescent="0.3">
      <c r="K14" s="149"/>
      <c r="Q14" s="151" t="s">
        <v>20</v>
      </c>
    </row>
    <row r="15" spans="1:22" x14ac:dyDescent="0.3">
      <c r="Q15" s="151" t="s">
        <v>22</v>
      </c>
    </row>
    <row r="16" spans="1:22" x14ac:dyDescent="0.3">
      <c r="Q16" s="151" t="s">
        <v>28</v>
      </c>
    </row>
    <row r="17" spans="17:17" x14ac:dyDescent="0.3">
      <c r="Q17" s="151"/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24"/>
  <sheetViews>
    <sheetView zoomScaleNormal="100" workbookViewId="0">
      <pane ySplit="1" topLeftCell="A2" activePane="bottomLeft" state="frozen"/>
      <selection pane="bottomLeft" activeCell="Z18" sqref="Z18"/>
    </sheetView>
  </sheetViews>
  <sheetFormatPr defaultColWidth="9" defaultRowHeight="15" x14ac:dyDescent="0.35"/>
  <cols>
    <col min="1" max="1" width="4.8984375" style="290" customWidth="1"/>
    <col min="2" max="2" width="5.09765625" style="316" customWidth="1"/>
    <col min="3" max="3" width="5.19921875" style="316" hidden="1" customWidth="1"/>
    <col min="4" max="4" width="7" style="426" hidden="1" customWidth="1"/>
    <col min="5" max="5" width="5.19921875" style="316" hidden="1" customWidth="1"/>
    <col min="6" max="6" width="4.8984375" style="432" hidden="1" customWidth="1"/>
    <col min="7" max="7" width="4.8984375" style="316" hidden="1" customWidth="1"/>
    <col min="8" max="8" width="4.8984375" style="426" hidden="1" customWidth="1"/>
    <col min="9" max="9" width="5.3984375" style="316" hidden="1" customWidth="1"/>
    <col min="10" max="10" width="4.8984375" style="426" hidden="1" customWidth="1"/>
    <col min="11" max="11" width="5.19921875" style="317" bestFit="1" customWidth="1"/>
    <col min="12" max="12" width="4.8984375" style="426" bestFit="1" customWidth="1"/>
    <col min="13" max="13" width="11.69921875" style="297" bestFit="1" customWidth="1"/>
    <col min="14" max="14" width="10" style="297" customWidth="1"/>
    <col min="15" max="15" width="9.8984375" style="297" customWidth="1"/>
    <col min="16" max="16" width="8.09765625" style="297" hidden="1" customWidth="1"/>
    <col min="17" max="17" width="10.3984375" style="318" customWidth="1"/>
    <col min="18" max="18" width="5.69921875" style="319" hidden="1" customWidth="1"/>
    <col min="19" max="19" width="5" style="320" customWidth="1"/>
    <col min="20" max="20" width="9.69921875" style="320" bestFit="1" customWidth="1"/>
    <col min="21" max="21" width="6.3984375" style="320" hidden="1" customWidth="1"/>
    <col min="22" max="22" width="10.19921875" style="320" customWidth="1"/>
    <col min="23" max="23" width="9.69921875" style="310" customWidth="1"/>
    <col min="24" max="24" width="8.69921875" style="294" customWidth="1"/>
    <col min="25" max="28" width="9" style="294" customWidth="1"/>
    <col min="29" max="16384" width="9" style="294"/>
  </cols>
  <sheetData>
    <row r="1" spans="1:31" x14ac:dyDescent="0.35">
      <c r="A1" s="210" t="s">
        <v>29</v>
      </c>
    </row>
    <row r="2" spans="1:31" s="212" customFormat="1" ht="38.25" customHeight="1" x14ac:dyDescent="0.3">
      <c r="A2" s="321" t="s">
        <v>30</v>
      </c>
      <c r="B2" s="321" t="s">
        <v>2801</v>
      </c>
      <c r="C2" s="321" t="s">
        <v>31</v>
      </c>
      <c r="D2" s="321"/>
      <c r="E2" s="321" t="s">
        <v>2752</v>
      </c>
      <c r="F2" s="433"/>
      <c r="G2" s="321" t="s">
        <v>2787</v>
      </c>
      <c r="H2" s="321"/>
      <c r="I2" s="323" t="s">
        <v>32</v>
      </c>
      <c r="J2" s="321"/>
      <c r="K2" s="321" t="s">
        <v>2788</v>
      </c>
      <c r="L2" s="321"/>
      <c r="M2" s="321" t="s">
        <v>3253</v>
      </c>
      <c r="N2" s="251" t="s">
        <v>34</v>
      </c>
      <c r="O2" s="251" t="s">
        <v>35</v>
      </c>
      <c r="P2" s="251" t="s">
        <v>36</v>
      </c>
      <c r="Q2" s="251" t="s">
        <v>37</v>
      </c>
      <c r="R2" s="251" t="s">
        <v>38</v>
      </c>
      <c r="S2" s="251" t="s">
        <v>39</v>
      </c>
      <c r="T2" s="251" t="s">
        <v>40</v>
      </c>
      <c r="U2" s="251" t="s">
        <v>41</v>
      </c>
      <c r="V2" s="251" t="s">
        <v>42</v>
      </c>
      <c r="W2" s="324" t="s">
        <v>43</v>
      </c>
      <c r="X2" s="251" t="s">
        <v>44</v>
      </c>
      <c r="Y2" s="211"/>
    </row>
    <row r="3" spans="1:31" s="47" customFormat="1" ht="25.5" customHeight="1" x14ac:dyDescent="0.3">
      <c r="A3" s="235" t="s">
        <v>45</v>
      </c>
      <c r="B3" s="325">
        <f>GETPIVOTDATA("計數 - 預計展示",統計tmp!$A$3,"業務大類","1.顧客管理作業")</f>
        <v>15</v>
      </c>
      <c r="C3" s="325">
        <f>GETPIVOTDATA("計數 - 實際展示",統計tmp!$A$3,"業務大類","1.顧客管理作業")</f>
        <v>15</v>
      </c>
      <c r="D3" s="427">
        <f>C3/B3</f>
        <v>1</v>
      </c>
      <c r="E3" s="405">
        <v>16</v>
      </c>
      <c r="F3" s="430">
        <f>E3/B3</f>
        <v>1.0666666666666667</v>
      </c>
      <c r="G3" s="424">
        <f>GETPIVOTDATA("計數 - 程式完成",統計tmp!$A$3,"業務大類","1.顧客管理作業")</f>
        <v>15</v>
      </c>
      <c r="H3" s="430">
        <f>G3/B3</f>
        <v>1</v>
      </c>
      <c r="I3" s="325">
        <f>GETPIVOTDATA("計數 - 二審實際",統計tmp!$A$3,"業務大類","1.顧客管理作業")</f>
        <v>15</v>
      </c>
      <c r="J3" s="427">
        <f>I3/B3</f>
        <v>1</v>
      </c>
      <c r="K3" s="325">
        <f>B3</f>
        <v>15</v>
      </c>
      <c r="L3" s="427">
        <f>K3/B3</f>
        <v>1</v>
      </c>
      <c r="M3" s="435" t="s">
        <v>46</v>
      </c>
      <c r="N3" s="235">
        <v>44481</v>
      </c>
      <c r="O3" s="235">
        <v>44483</v>
      </c>
      <c r="P3" s="325">
        <v>14</v>
      </c>
      <c r="Q3" s="235">
        <f>N3+3</f>
        <v>44484</v>
      </c>
      <c r="R3" s="238">
        <v>14</v>
      </c>
      <c r="S3" s="236">
        <f>R3/P3</f>
        <v>1</v>
      </c>
      <c r="T3" s="236"/>
      <c r="U3" s="239"/>
      <c r="V3" s="235"/>
      <c r="W3" s="664">
        <v>44484</v>
      </c>
      <c r="X3" s="240"/>
      <c r="Y3" s="241"/>
    </row>
    <row r="4" spans="1:31" s="214" customFormat="1" ht="14.5" customHeight="1" x14ac:dyDescent="0.3">
      <c r="A4" s="243" t="s">
        <v>47</v>
      </c>
      <c r="B4" s="326">
        <v>16</v>
      </c>
      <c r="C4" s="326"/>
      <c r="D4" s="428"/>
      <c r="E4" s="326"/>
      <c r="F4" s="434"/>
      <c r="G4" s="326"/>
      <c r="H4" s="428"/>
      <c r="I4" s="326"/>
      <c r="J4" s="428"/>
      <c r="K4" s="326">
        <v>16</v>
      </c>
      <c r="L4" s="428"/>
      <c r="M4" s="244">
        <v>44470</v>
      </c>
      <c r="N4" s="244">
        <v>44481</v>
      </c>
      <c r="O4" s="244">
        <v>44509</v>
      </c>
      <c r="P4" s="326">
        <v>14</v>
      </c>
      <c r="Q4" s="244">
        <v>44512</v>
      </c>
      <c r="R4" s="245">
        <v>14</v>
      </c>
      <c r="S4" s="246">
        <f>R4/P4</f>
        <v>1</v>
      </c>
      <c r="T4" s="289">
        <v>44509</v>
      </c>
      <c r="U4" s="245">
        <v>7</v>
      </c>
      <c r="V4" s="244">
        <v>44515</v>
      </c>
      <c r="W4" s="247"/>
      <c r="X4" s="247"/>
      <c r="Y4" s="213"/>
    </row>
    <row r="5" spans="1:31" s="214" customFormat="1" ht="15" customHeight="1" x14ac:dyDescent="0.3">
      <c r="A5" s="243" t="s">
        <v>48</v>
      </c>
      <c r="B5" s="326">
        <v>16</v>
      </c>
      <c r="C5" s="326"/>
      <c r="D5" s="428"/>
      <c r="E5" s="326"/>
      <c r="F5" s="434"/>
      <c r="G5" s="326"/>
      <c r="H5" s="428"/>
      <c r="I5" s="326"/>
      <c r="J5" s="428"/>
      <c r="K5" s="326">
        <v>16</v>
      </c>
      <c r="L5" s="428"/>
      <c r="M5" s="244">
        <v>44470</v>
      </c>
      <c r="N5" s="244">
        <v>44491</v>
      </c>
      <c r="O5" s="244">
        <v>44495</v>
      </c>
      <c r="P5" s="326">
        <v>2</v>
      </c>
      <c r="Q5" s="255">
        <v>44495</v>
      </c>
      <c r="R5" s="245">
        <v>2</v>
      </c>
      <c r="S5" s="246">
        <f>R5/P5</f>
        <v>1</v>
      </c>
      <c r="T5" s="246"/>
      <c r="U5" s="246"/>
      <c r="V5" s="244">
        <v>44497</v>
      </c>
      <c r="W5" s="247"/>
      <c r="X5" s="247"/>
      <c r="Y5" s="213"/>
    </row>
    <row r="6" spans="1:31" s="47" customFormat="1" ht="15" customHeight="1" x14ac:dyDescent="0.35">
      <c r="A6" s="235" t="s">
        <v>49</v>
      </c>
      <c r="B6" s="325">
        <f>統計tmp!OY7</f>
        <v>79</v>
      </c>
      <c r="C6" s="325">
        <v>78</v>
      </c>
      <c r="D6" s="427">
        <f>C6/B6</f>
        <v>0.98734177215189878</v>
      </c>
      <c r="E6" s="405">
        <v>76</v>
      </c>
      <c r="F6" s="430">
        <f t="shared" ref="F6:F15" si="0">E6/B6</f>
        <v>0.96202531645569622</v>
      </c>
      <c r="G6" s="424">
        <v>76</v>
      </c>
      <c r="H6" s="430">
        <f t="shared" ref="H6:H15" si="1">G6/B6</f>
        <v>0.96202531645569622</v>
      </c>
      <c r="I6" s="325">
        <v>76</v>
      </c>
      <c r="J6" s="427">
        <f>I6/B6</f>
        <v>0.96202531645569622</v>
      </c>
      <c r="K6" s="325">
        <v>79</v>
      </c>
      <c r="L6" s="427">
        <f t="shared" ref="L6" si="2">K6/B6</f>
        <v>1</v>
      </c>
      <c r="M6" s="640" t="s">
        <v>3314</v>
      </c>
      <c r="N6" s="235"/>
      <c r="O6" s="235"/>
      <c r="P6" s="325"/>
      <c r="Q6" s="235"/>
      <c r="R6" s="238"/>
      <c r="S6" s="236"/>
      <c r="T6" s="236"/>
      <c r="U6" s="236"/>
      <c r="V6" s="235"/>
      <c r="W6" s="240">
        <v>44550</v>
      </c>
      <c r="X6" s="240"/>
      <c r="Y6" s="241"/>
      <c r="AB6" s="618"/>
      <c r="AC6" s="619"/>
      <c r="AD6" s="620" t="s">
        <v>3081</v>
      </c>
      <c r="AE6" s="621"/>
    </row>
    <row r="7" spans="1:31" s="47" customFormat="1" ht="14.5" x14ac:dyDescent="0.35">
      <c r="A7" s="235" t="s">
        <v>50</v>
      </c>
      <c r="B7" s="325">
        <f>統計tmp!OY8</f>
        <v>38</v>
      </c>
      <c r="C7" s="325">
        <v>38</v>
      </c>
      <c r="D7" s="427">
        <f>C7/B7</f>
        <v>1</v>
      </c>
      <c r="E7" s="405">
        <v>38</v>
      </c>
      <c r="F7" s="430">
        <f t="shared" si="0"/>
        <v>1</v>
      </c>
      <c r="G7" s="424">
        <v>38</v>
      </c>
      <c r="H7" s="430">
        <f t="shared" si="1"/>
        <v>1</v>
      </c>
      <c r="I7" s="325">
        <v>38</v>
      </c>
      <c r="J7" s="427">
        <f>I7/B7</f>
        <v>1</v>
      </c>
      <c r="K7" s="325">
        <v>38</v>
      </c>
      <c r="L7" s="427">
        <f>K7/B7</f>
        <v>1</v>
      </c>
      <c r="M7" s="640" t="s">
        <v>3252</v>
      </c>
      <c r="N7" s="235"/>
      <c r="O7" s="235">
        <v>44545</v>
      </c>
      <c r="P7" s="325"/>
      <c r="Q7" s="235"/>
      <c r="R7" s="238"/>
      <c r="S7" s="236"/>
      <c r="T7" s="236"/>
      <c r="U7" s="236"/>
      <c r="V7" s="235"/>
      <c r="W7" s="664">
        <v>44515</v>
      </c>
      <c r="X7" s="240"/>
      <c r="Y7" s="241"/>
      <c r="AB7" s="622" t="s">
        <v>203</v>
      </c>
      <c r="AC7" s="619"/>
      <c r="AD7" s="397" t="e">
        <f>COUNTIF(URS確認!#REF!,'統計表2.1'!AB7)</f>
        <v>#REF!</v>
      </c>
      <c r="AE7" s="426" t="s">
        <v>3080</v>
      </c>
    </row>
    <row r="8" spans="1:31" s="47" customFormat="1" ht="15" customHeight="1" x14ac:dyDescent="0.35">
      <c r="A8" s="235" t="s">
        <v>51</v>
      </c>
      <c r="B8" s="325">
        <f>統計tmp!OY9</f>
        <v>75</v>
      </c>
      <c r="C8" s="325">
        <v>75</v>
      </c>
      <c r="D8" s="427">
        <f>C8/B8</f>
        <v>1</v>
      </c>
      <c r="E8" s="405">
        <v>70</v>
      </c>
      <c r="F8" s="430">
        <f t="shared" si="0"/>
        <v>0.93333333333333335</v>
      </c>
      <c r="G8" s="424">
        <v>69</v>
      </c>
      <c r="H8" s="430">
        <f t="shared" si="1"/>
        <v>0.92</v>
      </c>
      <c r="I8" s="325">
        <v>75</v>
      </c>
      <c r="J8" s="427">
        <f>I8/B8</f>
        <v>1</v>
      </c>
      <c r="K8" s="325">
        <v>75</v>
      </c>
      <c r="L8" s="427">
        <f t="shared" ref="L8:L14" si="3">K8/B8</f>
        <v>1</v>
      </c>
      <c r="M8" s="639" t="s">
        <v>3249</v>
      </c>
      <c r="N8" s="235"/>
      <c r="O8" s="235"/>
      <c r="P8" s="325"/>
      <c r="Q8" s="235"/>
      <c r="R8" s="238"/>
      <c r="S8" s="236"/>
      <c r="T8" s="236"/>
      <c r="U8" s="236"/>
      <c r="V8" s="235"/>
      <c r="W8" s="256">
        <v>44515</v>
      </c>
      <c r="X8" s="240"/>
      <c r="Y8" s="241"/>
      <c r="AB8" s="622" t="s">
        <v>194</v>
      </c>
      <c r="AC8" s="619"/>
      <c r="AD8" s="397" t="e">
        <f>COUNTIF(URS確認!#REF!,'統計表2.1'!AB8)</f>
        <v>#REF!</v>
      </c>
      <c r="AE8" s="426" t="s">
        <v>3079</v>
      </c>
    </row>
    <row r="9" spans="1:31" s="47" customFormat="1" ht="14.5" x14ac:dyDescent="0.35">
      <c r="A9" s="235" t="s">
        <v>52</v>
      </c>
      <c r="B9" s="325">
        <f>統計tmp!OY10</f>
        <v>87</v>
      </c>
      <c r="C9" s="325">
        <v>87</v>
      </c>
      <c r="D9" s="427">
        <f>C9/B9</f>
        <v>1</v>
      </c>
      <c r="E9" s="405">
        <v>72</v>
      </c>
      <c r="F9" s="430">
        <f t="shared" si="0"/>
        <v>0.82758620689655171</v>
      </c>
      <c r="G9" s="424">
        <v>84</v>
      </c>
      <c r="H9" s="430">
        <f t="shared" si="1"/>
        <v>0.96551724137931039</v>
      </c>
      <c r="I9" s="325">
        <v>73</v>
      </c>
      <c r="J9" s="427">
        <f>I9/B9</f>
        <v>0.83908045977011492</v>
      </c>
      <c r="K9" s="325">
        <v>87</v>
      </c>
      <c r="L9" s="427">
        <f t="shared" si="3"/>
        <v>1</v>
      </c>
      <c r="M9" s="640" t="s">
        <v>3250</v>
      </c>
      <c r="N9" s="235"/>
      <c r="O9" s="235"/>
      <c r="P9" s="325"/>
      <c r="Q9" s="235"/>
      <c r="R9" s="238"/>
      <c r="S9" s="236"/>
      <c r="T9" s="236"/>
      <c r="U9" s="236"/>
      <c r="V9" s="235"/>
      <c r="W9" s="240">
        <v>44550</v>
      </c>
      <c r="X9" s="240"/>
      <c r="Y9" s="241"/>
      <c r="AB9" s="622" t="s">
        <v>314</v>
      </c>
      <c r="AC9" s="619"/>
      <c r="AD9" s="397" t="e">
        <f>COUNTIF(URS確認!#REF!,'統計表2.1'!AB9)</f>
        <v>#REF!</v>
      </c>
      <c r="AE9" s="426" t="s">
        <v>3078</v>
      </c>
    </row>
    <row r="10" spans="1:31" s="47" customFormat="1" ht="15" customHeight="1" x14ac:dyDescent="0.35">
      <c r="A10" s="235" t="s">
        <v>54</v>
      </c>
      <c r="B10" s="325">
        <f>統計tmp!OY11</f>
        <v>95</v>
      </c>
      <c r="C10" s="325">
        <v>90</v>
      </c>
      <c r="D10" s="427">
        <f>C10/B10</f>
        <v>0.94736842105263153</v>
      </c>
      <c r="E10" s="405">
        <v>86</v>
      </c>
      <c r="F10" s="430">
        <f t="shared" si="0"/>
        <v>0.90526315789473688</v>
      </c>
      <c r="G10" s="424">
        <v>87</v>
      </c>
      <c r="H10" s="430">
        <f t="shared" si="1"/>
        <v>0.91578947368421049</v>
      </c>
      <c r="I10" s="325">
        <v>77</v>
      </c>
      <c r="J10" s="427">
        <f>I10/B10</f>
        <v>0.81052631578947365</v>
      </c>
      <c r="K10" s="325">
        <v>95</v>
      </c>
      <c r="L10" s="427">
        <f t="shared" si="3"/>
        <v>1</v>
      </c>
      <c r="M10" s="639" t="s">
        <v>3251</v>
      </c>
      <c r="N10" s="235"/>
      <c r="O10" s="235"/>
      <c r="P10" s="325"/>
      <c r="Q10" s="235"/>
      <c r="R10" s="238"/>
      <c r="S10" s="236"/>
      <c r="T10" s="236"/>
      <c r="U10" s="236"/>
      <c r="V10" s="235"/>
      <c r="W10" s="240">
        <v>44550</v>
      </c>
      <c r="X10" s="240"/>
      <c r="Y10" s="241"/>
      <c r="AB10" s="622" t="s">
        <v>480</v>
      </c>
      <c r="AC10" s="619"/>
      <c r="AD10" s="397" t="e">
        <f>COUNTIF(URS確認!#REF!,'統計表2.1'!AB10)</f>
        <v>#REF!</v>
      </c>
      <c r="AE10" s="426" t="s">
        <v>2927</v>
      </c>
    </row>
    <row r="11" spans="1:31" s="47" customFormat="1" ht="15" customHeight="1" x14ac:dyDescent="0.35">
      <c r="A11" s="235" t="s">
        <v>55</v>
      </c>
      <c r="B11" s="325">
        <f>統計tmp!OY12</f>
        <v>10</v>
      </c>
      <c r="C11" s="325">
        <v>10</v>
      </c>
      <c r="D11" s="427">
        <v>0</v>
      </c>
      <c r="E11" s="405">
        <v>9</v>
      </c>
      <c r="F11" s="430">
        <f t="shared" si="0"/>
        <v>0.9</v>
      </c>
      <c r="G11" s="424">
        <v>9</v>
      </c>
      <c r="H11" s="430">
        <f t="shared" si="1"/>
        <v>0.9</v>
      </c>
      <c r="I11" s="325">
        <v>1</v>
      </c>
      <c r="J11" s="427">
        <f t="shared" ref="J11:J14" si="4">I11/B11</f>
        <v>0.1</v>
      </c>
      <c r="K11" s="325">
        <v>10</v>
      </c>
      <c r="L11" s="427">
        <f t="shared" si="3"/>
        <v>1</v>
      </c>
      <c r="M11" s="235">
        <v>44544</v>
      </c>
      <c r="N11" s="235"/>
      <c r="O11" s="235"/>
      <c r="P11" s="325"/>
      <c r="Q11" s="235"/>
      <c r="R11" s="238"/>
      <c r="S11" s="236"/>
      <c r="T11" s="236"/>
      <c r="U11" s="236"/>
      <c r="V11" s="235"/>
      <c r="W11" s="240">
        <v>44550</v>
      </c>
      <c r="X11" s="240"/>
      <c r="Y11" s="241"/>
      <c r="AB11" s="622" t="s">
        <v>136</v>
      </c>
      <c r="AC11" s="619"/>
      <c r="AD11" s="397" t="e">
        <f>COUNTIF(URS確認!#REF!,'統計表2.1'!AB11)</f>
        <v>#REF!</v>
      </c>
      <c r="AE11" s="426" t="s">
        <v>3077</v>
      </c>
    </row>
    <row r="12" spans="1:31" s="47" customFormat="1" ht="15" customHeight="1" x14ac:dyDescent="0.35">
      <c r="A12" s="235" t="s">
        <v>56</v>
      </c>
      <c r="B12" s="325">
        <f>統計tmp!OY13</f>
        <v>136</v>
      </c>
      <c r="C12" s="325">
        <v>135</v>
      </c>
      <c r="D12" s="427">
        <f>C12/B12</f>
        <v>0.99264705882352944</v>
      </c>
      <c r="E12" s="405">
        <v>93</v>
      </c>
      <c r="F12" s="430">
        <f t="shared" si="0"/>
        <v>0.68382352941176472</v>
      </c>
      <c r="G12" s="424">
        <v>98</v>
      </c>
      <c r="H12" s="430">
        <f t="shared" si="1"/>
        <v>0.72058823529411764</v>
      </c>
      <c r="I12" s="325">
        <v>130</v>
      </c>
      <c r="J12" s="427">
        <f t="shared" si="4"/>
        <v>0.95588235294117652</v>
      </c>
      <c r="K12" s="325">
        <v>136</v>
      </c>
      <c r="L12" s="427">
        <f t="shared" si="3"/>
        <v>1</v>
      </c>
      <c r="M12" s="235">
        <v>44544</v>
      </c>
      <c r="N12" s="235"/>
      <c r="O12" s="235"/>
      <c r="P12" s="325"/>
      <c r="Q12" s="235"/>
      <c r="R12" s="238"/>
      <c r="S12" s="236"/>
      <c r="T12" s="236"/>
      <c r="U12" s="236"/>
      <c r="V12" s="235"/>
      <c r="W12" s="240">
        <v>44550</v>
      </c>
      <c r="X12" s="240"/>
      <c r="Y12" s="241"/>
      <c r="AB12" s="622" t="s">
        <v>137</v>
      </c>
      <c r="AC12" s="619"/>
      <c r="AD12" s="397" t="e">
        <f>COUNTIF(URS確認!#REF!,'統計表2.1'!AB12)</f>
        <v>#REF!</v>
      </c>
      <c r="AE12" s="426" t="s">
        <v>3076</v>
      </c>
    </row>
    <row r="13" spans="1:31" s="47" customFormat="1" ht="15" customHeight="1" x14ac:dyDescent="0.35">
      <c r="A13" s="235" t="s">
        <v>57</v>
      </c>
      <c r="B13" s="325">
        <f>統計tmp!OY14</f>
        <v>1</v>
      </c>
      <c r="C13" s="325">
        <v>1</v>
      </c>
      <c r="D13" s="427">
        <f t="shared" ref="D13:D14" si="5">C13/B13</f>
        <v>1</v>
      </c>
      <c r="E13" s="405">
        <v>1</v>
      </c>
      <c r="F13" s="430">
        <f t="shared" si="0"/>
        <v>1</v>
      </c>
      <c r="G13" s="424">
        <v>1</v>
      </c>
      <c r="H13" s="430">
        <f t="shared" si="1"/>
        <v>1</v>
      </c>
      <c r="I13" s="325">
        <v>1</v>
      </c>
      <c r="J13" s="427">
        <f t="shared" si="4"/>
        <v>1</v>
      </c>
      <c r="K13" s="325">
        <v>1</v>
      </c>
      <c r="L13" s="427">
        <f t="shared" si="3"/>
        <v>1</v>
      </c>
      <c r="M13" s="235">
        <v>44544</v>
      </c>
      <c r="N13" s="235"/>
      <c r="O13" s="235"/>
      <c r="P13" s="325"/>
      <c r="Q13" s="235"/>
      <c r="R13" s="238"/>
      <c r="S13" s="236"/>
      <c r="T13" s="236"/>
      <c r="U13" s="236"/>
      <c r="V13" s="235"/>
      <c r="W13" s="240">
        <v>44550</v>
      </c>
      <c r="X13" s="240"/>
      <c r="Y13" s="241"/>
      <c r="AB13" s="618"/>
      <c r="AC13" s="619"/>
      <c r="AD13" s="623" t="e">
        <f>SUM(AD7:AD12)</f>
        <v>#REF!</v>
      </c>
      <c r="AE13" s="621"/>
    </row>
    <row r="14" spans="1:31" s="47" customFormat="1" ht="15" customHeight="1" x14ac:dyDescent="0.3">
      <c r="A14" s="235" t="s">
        <v>2748</v>
      </c>
      <c r="B14" s="325">
        <f>GETPIVOTDATA("計數 - 預計展示",統計tmp!$A$3,"業務大類","LC共同作業")</f>
        <v>12</v>
      </c>
      <c r="C14" s="325">
        <v>12</v>
      </c>
      <c r="D14" s="427">
        <f t="shared" si="5"/>
        <v>1</v>
      </c>
      <c r="E14" s="405">
        <v>12</v>
      </c>
      <c r="F14" s="430">
        <f t="shared" si="0"/>
        <v>1</v>
      </c>
      <c r="G14" s="424">
        <v>12</v>
      </c>
      <c r="H14" s="430">
        <f t="shared" si="1"/>
        <v>1</v>
      </c>
      <c r="I14" s="325">
        <v>12</v>
      </c>
      <c r="J14" s="427">
        <f t="shared" si="4"/>
        <v>1</v>
      </c>
      <c r="K14" s="325">
        <v>12</v>
      </c>
      <c r="L14" s="427">
        <f t="shared" si="3"/>
        <v>1</v>
      </c>
      <c r="M14" s="235">
        <v>44544</v>
      </c>
      <c r="N14" s="235"/>
      <c r="O14" s="235"/>
      <c r="P14" s="325"/>
      <c r="Q14" s="235"/>
      <c r="R14" s="238"/>
      <c r="S14" s="236"/>
      <c r="T14" s="236"/>
      <c r="U14" s="236"/>
      <c r="V14" s="235"/>
      <c r="W14" s="240">
        <v>44550</v>
      </c>
      <c r="X14" s="240"/>
      <c r="Y14" s="241"/>
    </row>
    <row r="15" spans="1:31" s="242" customFormat="1" ht="13.5" customHeight="1" x14ac:dyDescent="0.3">
      <c r="A15" s="248" t="s">
        <v>58</v>
      </c>
      <c r="B15" s="327">
        <f>SUM(B3,B6:B14)</f>
        <v>548</v>
      </c>
      <c r="C15" s="327">
        <f>SUM(C3,C6:C14)</f>
        <v>541</v>
      </c>
      <c r="D15" s="429">
        <f>C15/B15</f>
        <v>0.98722627737226276</v>
      </c>
      <c r="E15" s="327">
        <f>E3+SUM(E6:E14)</f>
        <v>473</v>
      </c>
      <c r="F15" s="431">
        <f t="shared" si="0"/>
        <v>0.86313868613138689</v>
      </c>
      <c r="G15" s="425">
        <f>G3+SUM(G6:G14)</f>
        <v>489</v>
      </c>
      <c r="H15" s="431">
        <f t="shared" si="1"/>
        <v>0.89233576642335766</v>
      </c>
      <c r="I15" s="327">
        <f>SUM(I3,I6:I14)</f>
        <v>498</v>
      </c>
      <c r="J15" s="429">
        <f>I15/B15</f>
        <v>0.90875912408759119</v>
      </c>
      <c r="K15" s="327">
        <f>SUM(K3,K6:K14)</f>
        <v>548</v>
      </c>
      <c r="L15" s="429">
        <f>K15/B15</f>
        <v>1</v>
      </c>
      <c r="M15" s="327"/>
      <c r="N15" s="327"/>
      <c r="O15" s="327"/>
      <c r="P15" s="327">
        <f>SUM(P3,P6:P13)</f>
        <v>14</v>
      </c>
      <c r="Q15" s="327"/>
      <c r="R15" s="327">
        <f>SUM(R3,R6:R13)</f>
        <v>14</v>
      </c>
      <c r="S15" s="250"/>
      <c r="T15" s="250"/>
      <c r="U15" s="250"/>
      <c r="V15" s="250"/>
      <c r="W15" s="250"/>
      <c r="X15" s="250"/>
    </row>
    <row r="20" spans="1:9" x14ac:dyDescent="0.35">
      <c r="A20" s="316"/>
      <c r="B20" s="328" t="s">
        <v>59</v>
      </c>
      <c r="C20" s="329" t="s">
        <v>60</v>
      </c>
      <c r="I20" s="329" t="s">
        <v>61</v>
      </c>
    </row>
    <row r="21" spans="1:9" x14ac:dyDescent="0.35">
      <c r="A21" s="316" t="s">
        <v>45</v>
      </c>
      <c r="B21" s="317">
        <f>B3-C21</f>
        <v>2</v>
      </c>
      <c r="C21" s="317">
        <v>13</v>
      </c>
    </row>
    <row r="22" spans="1:9" x14ac:dyDescent="0.35">
      <c r="A22" s="316" t="s">
        <v>49</v>
      </c>
      <c r="B22" s="317">
        <f>B6-C22</f>
        <v>79</v>
      </c>
      <c r="C22" s="317"/>
    </row>
    <row r="23" spans="1:9" x14ac:dyDescent="0.35">
      <c r="A23" s="316" t="s">
        <v>50</v>
      </c>
      <c r="B23" s="317">
        <f>B7-C23</f>
        <v>5</v>
      </c>
      <c r="C23" s="317">
        <v>33</v>
      </c>
      <c r="I23" s="273" t="s">
        <v>62</v>
      </c>
    </row>
    <row r="24" spans="1:9" x14ac:dyDescent="0.35">
      <c r="A24" s="316" t="s">
        <v>51</v>
      </c>
      <c r="B24" s="317">
        <f>B8-C24</f>
        <v>75</v>
      </c>
      <c r="C24" s="317"/>
      <c r="I24" s="330" t="s">
        <v>63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4"/>
  <sheetViews>
    <sheetView zoomScaleNormal="100" workbookViewId="0">
      <pane ySplit="1" topLeftCell="A2" activePane="bottomLeft" state="frozen"/>
      <selection pane="bottomLeft" activeCell="B6" sqref="B6:B15"/>
    </sheetView>
  </sheetViews>
  <sheetFormatPr defaultColWidth="9" defaultRowHeight="15" x14ac:dyDescent="0.35"/>
  <cols>
    <col min="1" max="1" width="5.69921875" style="290" customWidth="1"/>
    <col min="2" max="2" width="5.09765625" style="316" customWidth="1"/>
    <col min="3" max="3" width="4.59765625" style="316" customWidth="1"/>
    <col min="4" max="4" width="6.19921875" style="316" bestFit="1" customWidth="1"/>
    <col min="5" max="5" width="4.5" style="316" customWidth="1"/>
    <col min="6" max="6" width="5.19921875" style="316" bestFit="1" customWidth="1"/>
    <col min="7" max="8" width="4.8984375" style="316" customWidth="1"/>
    <col min="9" max="9" width="5.3984375" style="316" customWidth="1"/>
    <col min="10" max="10" width="4.8984375" style="316" customWidth="1"/>
    <col min="11" max="11" width="4.3984375" style="317" customWidth="1"/>
    <col min="12" max="12" width="6.19921875" style="316" customWidth="1"/>
    <col min="13" max="13" width="12.8984375" style="290" customWidth="1"/>
    <col min="14" max="14" width="11.69921875" style="297" bestFit="1" customWidth="1"/>
    <col min="15" max="15" width="10" style="297" customWidth="1"/>
    <col min="16" max="16" width="9.69921875" style="297" hidden="1" customWidth="1"/>
    <col min="17" max="17" width="9.69921875" style="290" bestFit="1" customWidth="1"/>
    <col min="18" max="18" width="10.3984375" style="318" hidden="1" customWidth="1"/>
    <col min="19" max="19" width="8" style="440" bestFit="1" customWidth="1"/>
    <col min="20" max="20" width="10" style="277" bestFit="1" customWidth="1"/>
    <col min="21" max="21" width="8.59765625" style="446" bestFit="1" customWidth="1"/>
    <col min="22" max="22" width="6.3984375" style="320" hidden="1" customWidth="1"/>
    <col min="23" max="23" width="10.19921875" style="320" customWidth="1"/>
    <col min="24" max="24" width="9.69921875" style="310" customWidth="1"/>
    <col min="25" max="28" width="9" style="294" customWidth="1"/>
    <col min="29" max="16384" width="9" style="294"/>
  </cols>
  <sheetData>
    <row r="1" spans="1:27" x14ac:dyDescent="0.35">
      <c r="A1" s="210" t="s">
        <v>29</v>
      </c>
    </row>
    <row r="2" spans="1:27" s="212" customFormat="1" ht="38.25" customHeight="1" x14ac:dyDescent="0.3">
      <c r="A2" s="321" t="s">
        <v>30</v>
      </c>
      <c r="B2" s="322" t="s">
        <v>2851</v>
      </c>
      <c r="C2" s="321" t="s">
        <v>31</v>
      </c>
      <c r="D2" s="323"/>
      <c r="E2" s="323" t="s">
        <v>2852</v>
      </c>
      <c r="F2" s="323"/>
      <c r="G2" s="321" t="s">
        <v>2853</v>
      </c>
      <c r="H2" s="321"/>
      <c r="I2" s="323" t="s">
        <v>32</v>
      </c>
      <c r="J2" s="323"/>
      <c r="K2" s="323" t="s">
        <v>2854</v>
      </c>
      <c r="L2" s="321"/>
      <c r="M2" s="438" t="s">
        <v>33</v>
      </c>
      <c r="N2" s="321" t="s">
        <v>34</v>
      </c>
      <c r="O2" s="251" t="s">
        <v>35</v>
      </c>
      <c r="P2" s="251" t="s">
        <v>36</v>
      </c>
      <c r="Q2" s="438" t="s">
        <v>37</v>
      </c>
      <c r="R2" s="251" t="s">
        <v>38</v>
      </c>
      <c r="S2" s="441" t="s">
        <v>39</v>
      </c>
      <c r="T2" s="438" t="s">
        <v>40</v>
      </c>
      <c r="U2" s="321" t="s">
        <v>41</v>
      </c>
      <c r="V2" s="251" t="s">
        <v>42</v>
      </c>
      <c r="W2" s="251" t="s">
        <v>43</v>
      </c>
      <c r="X2" s="324" t="s">
        <v>44</v>
      </c>
      <c r="Y2" s="211"/>
    </row>
    <row r="3" spans="1:27" s="47" customFormat="1" ht="25.5" customHeight="1" x14ac:dyDescent="0.3">
      <c r="A3" s="235" t="s">
        <v>45</v>
      </c>
      <c r="B3" s="325">
        <v>16</v>
      </c>
      <c r="C3" s="325">
        <v>16</v>
      </c>
      <c r="D3" s="236">
        <v>1</v>
      </c>
      <c r="E3" s="405">
        <v>16</v>
      </c>
      <c r="F3" s="452">
        <v>1</v>
      </c>
      <c r="G3" s="424">
        <v>16</v>
      </c>
      <c r="H3" s="452">
        <v>1</v>
      </c>
      <c r="I3" s="325">
        <v>16</v>
      </c>
      <c r="J3" s="236">
        <v>1</v>
      </c>
      <c r="K3" s="325">
        <v>16</v>
      </c>
      <c r="L3" s="236">
        <v>1</v>
      </c>
      <c r="M3" s="451" t="s">
        <v>46</v>
      </c>
      <c r="N3" s="237">
        <v>44481</v>
      </c>
      <c r="O3" s="235">
        <v>44483</v>
      </c>
      <c r="P3" s="235">
        <v>14</v>
      </c>
      <c r="Q3" s="235">
        <v>44484</v>
      </c>
      <c r="R3" s="235">
        <v>14</v>
      </c>
      <c r="S3" s="442">
        <v>1</v>
      </c>
      <c r="T3" s="240"/>
      <c r="U3" s="405"/>
      <c r="V3" s="239"/>
      <c r="W3" s="235">
        <v>44484</v>
      </c>
      <c r="X3" s="256"/>
      <c r="Y3" s="241"/>
    </row>
    <row r="4" spans="1:27" s="214" customFormat="1" ht="14.5" customHeight="1" x14ac:dyDescent="0.3">
      <c r="A4" s="243" t="s">
        <v>47</v>
      </c>
      <c r="B4" s="326">
        <v>16</v>
      </c>
      <c r="C4" s="326"/>
      <c r="D4" s="326"/>
      <c r="E4" s="326"/>
      <c r="F4" s="453"/>
      <c r="G4" s="326"/>
      <c r="H4" s="453"/>
      <c r="I4" s="326"/>
      <c r="J4" s="326"/>
      <c r="K4" s="326">
        <v>16</v>
      </c>
      <c r="L4" s="326"/>
      <c r="M4" s="244">
        <v>44470</v>
      </c>
      <c r="N4" s="244">
        <v>44481</v>
      </c>
      <c r="O4" s="244">
        <v>44509</v>
      </c>
      <c r="P4" s="244">
        <v>14</v>
      </c>
      <c r="Q4" s="244">
        <v>44512</v>
      </c>
      <c r="R4" s="244">
        <v>14</v>
      </c>
      <c r="S4" s="443">
        <v>1</v>
      </c>
      <c r="T4" s="247">
        <v>44509</v>
      </c>
      <c r="U4" s="447">
        <v>7</v>
      </c>
      <c r="V4" s="245">
        <v>44515</v>
      </c>
      <c r="W4" s="244"/>
      <c r="X4" s="247"/>
      <c r="Y4" s="213"/>
    </row>
    <row r="5" spans="1:27" s="214" customFormat="1" ht="15" customHeight="1" x14ac:dyDescent="0.3">
      <c r="A5" s="243" t="s">
        <v>48</v>
      </c>
      <c r="B5" s="326">
        <v>16</v>
      </c>
      <c r="C5" s="326"/>
      <c r="D5" s="326"/>
      <c r="E5" s="326"/>
      <c r="F5" s="453"/>
      <c r="G5" s="326"/>
      <c r="H5" s="453"/>
      <c r="I5" s="326"/>
      <c r="J5" s="326"/>
      <c r="K5" s="326">
        <v>16</v>
      </c>
      <c r="L5" s="326"/>
      <c r="M5" s="244">
        <v>44470</v>
      </c>
      <c r="N5" s="244">
        <v>44491</v>
      </c>
      <c r="O5" s="244">
        <v>44495</v>
      </c>
      <c r="P5" s="244">
        <v>2</v>
      </c>
      <c r="Q5" s="244">
        <v>44495</v>
      </c>
      <c r="R5" s="255">
        <v>2</v>
      </c>
      <c r="S5" s="443">
        <v>1</v>
      </c>
      <c r="T5" s="247"/>
      <c r="U5" s="448"/>
      <c r="V5" s="246">
        <v>44497</v>
      </c>
      <c r="W5" s="244"/>
      <c r="X5" s="247"/>
      <c r="Y5" s="213"/>
      <c r="AA5" s="436"/>
    </row>
    <row r="6" spans="1:27" s="47" customFormat="1" ht="15" customHeight="1" x14ac:dyDescent="0.3">
      <c r="A6" s="235" t="s">
        <v>49</v>
      </c>
      <c r="B6" s="325">
        <v>78</v>
      </c>
      <c r="C6" s="325">
        <v>78</v>
      </c>
      <c r="D6" s="236">
        <v>1</v>
      </c>
      <c r="E6" s="405">
        <v>78</v>
      </c>
      <c r="F6" s="452">
        <v>1</v>
      </c>
      <c r="G6" s="424">
        <v>78</v>
      </c>
      <c r="H6" s="452">
        <v>1</v>
      </c>
      <c r="I6" s="325">
        <v>64</v>
      </c>
      <c r="J6" s="236">
        <v>0.82051282051282048</v>
      </c>
      <c r="K6" s="325"/>
      <c r="L6" s="236"/>
      <c r="M6" s="240"/>
      <c r="N6" s="235"/>
      <c r="O6" s="235"/>
      <c r="P6" s="235"/>
      <c r="Q6" s="235">
        <v>44543</v>
      </c>
      <c r="R6" s="235"/>
      <c r="S6" s="442"/>
      <c r="T6" s="240"/>
      <c r="U6" s="405"/>
      <c r="V6" s="236"/>
      <c r="W6" s="235">
        <v>44550</v>
      </c>
      <c r="X6" s="240"/>
      <c r="Y6" s="241"/>
    </row>
    <row r="7" spans="1:27" s="47" customFormat="1" ht="15" customHeight="1" x14ac:dyDescent="0.3">
      <c r="A7" s="235" t="s">
        <v>50</v>
      </c>
      <c r="B7" s="325">
        <v>38</v>
      </c>
      <c r="C7" s="325">
        <v>38</v>
      </c>
      <c r="D7" s="236">
        <v>1</v>
      </c>
      <c r="E7" s="405">
        <v>36</v>
      </c>
      <c r="F7" s="452">
        <v>0.94736842105263153</v>
      </c>
      <c r="G7" s="424">
        <v>36</v>
      </c>
      <c r="H7" s="452">
        <v>0.94736842105263153</v>
      </c>
      <c r="I7" s="325">
        <v>38</v>
      </c>
      <c r="J7" s="236">
        <v>1</v>
      </c>
      <c r="K7" s="325">
        <v>36</v>
      </c>
      <c r="L7" s="236">
        <v>0.94736842105263153</v>
      </c>
      <c r="M7" s="240">
        <v>44512</v>
      </c>
      <c r="N7" s="237"/>
      <c r="O7" s="235"/>
      <c r="P7" s="235"/>
      <c r="Q7" s="235"/>
      <c r="R7" s="235"/>
      <c r="S7" s="442"/>
      <c r="T7" s="240"/>
      <c r="U7" s="405"/>
      <c r="V7" s="236"/>
      <c r="W7" s="235">
        <v>44515</v>
      </c>
      <c r="X7" s="256"/>
      <c r="Y7" s="241"/>
    </row>
    <row r="8" spans="1:27" s="47" customFormat="1" ht="15" customHeight="1" x14ac:dyDescent="0.3">
      <c r="A8" s="235" t="s">
        <v>51</v>
      </c>
      <c r="B8" s="325">
        <v>75</v>
      </c>
      <c r="C8" s="325">
        <v>75</v>
      </c>
      <c r="D8" s="236">
        <v>1</v>
      </c>
      <c r="E8" s="405">
        <v>70</v>
      </c>
      <c r="F8" s="452">
        <v>0.93333333333333335</v>
      </c>
      <c r="G8" s="424">
        <v>70</v>
      </c>
      <c r="H8" s="452">
        <v>0.93333333333333335</v>
      </c>
      <c r="I8" s="325">
        <v>75</v>
      </c>
      <c r="J8" s="236">
        <v>1</v>
      </c>
      <c r="K8" s="325"/>
      <c r="L8" s="236"/>
      <c r="M8" s="240"/>
      <c r="N8" s="235"/>
      <c r="O8" s="235"/>
      <c r="P8" s="235"/>
      <c r="Q8" s="235"/>
      <c r="R8" s="235"/>
      <c r="S8" s="442"/>
      <c r="T8" s="240"/>
      <c r="U8" s="405"/>
      <c r="V8" s="236"/>
      <c r="W8" s="235">
        <v>44515</v>
      </c>
      <c r="X8" s="256"/>
      <c r="Y8" s="241"/>
    </row>
    <row r="9" spans="1:27" s="47" customFormat="1" ht="15" customHeight="1" x14ac:dyDescent="0.3">
      <c r="A9" s="235" t="s">
        <v>52</v>
      </c>
      <c r="B9" s="325">
        <v>87</v>
      </c>
      <c r="C9" s="325">
        <v>87</v>
      </c>
      <c r="D9" s="236">
        <v>1</v>
      </c>
      <c r="E9" s="405">
        <v>69</v>
      </c>
      <c r="F9" s="452">
        <v>0.7931034482758621</v>
      </c>
      <c r="G9" s="424">
        <v>69</v>
      </c>
      <c r="H9" s="452">
        <v>0.7931034482758621</v>
      </c>
      <c r="I9" s="325">
        <v>35</v>
      </c>
      <c r="J9" s="236">
        <v>0.40229885057471265</v>
      </c>
      <c r="K9" s="325">
        <v>26</v>
      </c>
      <c r="L9" s="236">
        <v>0.2988505747126437</v>
      </c>
      <c r="M9" s="240" t="s">
        <v>53</v>
      </c>
      <c r="N9" s="252"/>
      <c r="O9" s="235"/>
      <c r="P9" s="235"/>
      <c r="Q9" s="235">
        <v>44543</v>
      </c>
      <c r="R9" s="235"/>
      <c r="S9" s="442"/>
      <c r="T9" s="240"/>
      <c r="U9" s="405"/>
      <c r="V9" s="236"/>
      <c r="W9" s="235">
        <v>44550</v>
      </c>
      <c r="X9" s="240"/>
      <c r="Y9" s="241"/>
    </row>
    <row r="10" spans="1:27" s="47" customFormat="1" ht="15" customHeight="1" x14ac:dyDescent="0.3">
      <c r="A10" s="235" t="s">
        <v>54</v>
      </c>
      <c r="B10" s="325">
        <v>88</v>
      </c>
      <c r="C10" s="325">
        <v>85</v>
      </c>
      <c r="D10" s="236">
        <v>0.96590909090909094</v>
      </c>
      <c r="E10" s="405">
        <v>71</v>
      </c>
      <c r="F10" s="452">
        <v>0.80681818181818177</v>
      </c>
      <c r="G10" s="424">
        <v>71</v>
      </c>
      <c r="H10" s="452">
        <v>0.80681818181818177</v>
      </c>
      <c r="I10" s="325">
        <v>43</v>
      </c>
      <c r="J10" s="236">
        <v>0.48863636363636365</v>
      </c>
      <c r="K10" s="325"/>
      <c r="L10" s="236"/>
      <c r="M10" s="240"/>
      <c r="N10" s="235"/>
      <c r="O10" s="235"/>
      <c r="P10" s="235"/>
      <c r="Q10" s="235">
        <v>44543</v>
      </c>
      <c r="R10" s="235"/>
      <c r="S10" s="442"/>
      <c r="T10" s="240"/>
      <c r="U10" s="405"/>
      <c r="V10" s="236"/>
      <c r="W10" s="235">
        <v>44550</v>
      </c>
      <c r="X10" s="240"/>
      <c r="Y10" s="241"/>
    </row>
    <row r="11" spans="1:27" s="47" customFormat="1" ht="15" customHeight="1" x14ac:dyDescent="0.3">
      <c r="A11" s="235" t="s">
        <v>55</v>
      </c>
      <c r="B11" s="325">
        <v>10</v>
      </c>
      <c r="C11" s="325">
        <v>10</v>
      </c>
      <c r="D11" s="236">
        <v>0</v>
      </c>
      <c r="E11" s="405">
        <v>4</v>
      </c>
      <c r="F11" s="452">
        <v>0.4</v>
      </c>
      <c r="G11" s="424">
        <v>4</v>
      </c>
      <c r="H11" s="452">
        <v>0.4</v>
      </c>
      <c r="I11" s="325">
        <v>0</v>
      </c>
      <c r="J11" s="236">
        <v>0</v>
      </c>
      <c r="K11" s="325"/>
      <c r="L11" s="236"/>
      <c r="M11" s="240"/>
      <c r="N11" s="235"/>
      <c r="O11" s="235"/>
      <c r="P11" s="235"/>
      <c r="Q11" s="235">
        <v>44543</v>
      </c>
      <c r="R11" s="235"/>
      <c r="S11" s="442"/>
      <c r="T11" s="240"/>
      <c r="U11" s="405"/>
      <c r="V11" s="236"/>
      <c r="W11" s="235">
        <v>44550</v>
      </c>
      <c r="X11" s="240"/>
      <c r="Y11" s="241"/>
    </row>
    <row r="12" spans="1:27" s="47" customFormat="1" ht="15" customHeight="1" x14ac:dyDescent="0.3">
      <c r="A12" s="235" t="s">
        <v>56</v>
      </c>
      <c r="B12" s="325">
        <v>134</v>
      </c>
      <c r="C12" s="325">
        <v>134</v>
      </c>
      <c r="D12" s="236">
        <v>1</v>
      </c>
      <c r="E12" s="405">
        <v>92</v>
      </c>
      <c r="F12" s="452">
        <v>0.68656716417910446</v>
      </c>
      <c r="G12" s="424">
        <v>92</v>
      </c>
      <c r="H12" s="452">
        <v>0.68656716417910446</v>
      </c>
      <c r="I12" s="325">
        <v>2</v>
      </c>
      <c r="J12" s="236">
        <v>1.4925373134328358E-2</v>
      </c>
      <c r="K12" s="325"/>
      <c r="L12" s="236"/>
      <c r="M12" s="240"/>
      <c r="N12" s="235"/>
      <c r="O12" s="235"/>
      <c r="P12" s="235"/>
      <c r="Q12" s="235">
        <v>44543</v>
      </c>
      <c r="R12" s="235"/>
      <c r="S12" s="442"/>
      <c r="T12" s="240"/>
      <c r="U12" s="405"/>
      <c r="V12" s="236"/>
      <c r="W12" s="235">
        <v>44550</v>
      </c>
      <c r="X12" s="240"/>
      <c r="Y12" s="241"/>
    </row>
    <row r="13" spans="1:27" s="47" customFormat="1" ht="15" customHeight="1" x14ac:dyDescent="0.3">
      <c r="A13" s="235" t="s">
        <v>57</v>
      </c>
      <c r="B13" s="325">
        <v>1</v>
      </c>
      <c r="C13" s="325">
        <v>1</v>
      </c>
      <c r="D13" s="236">
        <v>1</v>
      </c>
      <c r="E13" s="405">
        <v>1</v>
      </c>
      <c r="F13" s="452">
        <v>1</v>
      </c>
      <c r="G13" s="424">
        <v>1</v>
      </c>
      <c r="H13" s="452">
        <v>1</v>
      </c>
      <c r="I13" s="325">
        <v>0</v>
      </c>
      <c r="J13" s="236">
        <v>0</v>
      </c>
      <c r="K13" s="325"/>
      <c r="L13" s="236"/>
      <c r="M13" s="240"/>
      <c r="N13" s="235"/>
      <c r="O13" s="235"/>
      <c r="P13" s="235"/>
      <c r="Q13" s="235">
        <v>44543</v>
      </c>
      <c r="R13" s="235"/>
      <c r="S13" s="442"/>
      <c r="T13" s="240"/>
      <c r="U13" s="405"/>
      <c r="V13" s="236"/>
      <c r="W13" s="235">
        <v>44550</v>
      </c>
      <c r="X13" s="240"/>
      <c r="Y13" s="241"/>
    </row>
    <row r="14" spans="1:27" s="47" customFormat="1" ht="15" customHeight="1" x14ac:dyDescent="0.3">
      <c r="A14" s="235" t="s">
        <v>2855</v>
      </c>
      <c r="B14" s="325">
        <v>9</v>
      </c>
      <c r="C14" s="325">
        <v>0</v>
      </c>
      <c r="D14" s="236">
        <v>0</v>
      </c>
      <c r="E14" s="405">
        <v>0</v>
      </c>
      <c r="F14" s="452">
        <v>0</v>
      </c>
      <c r="G14" s="424">
        <v>0</v>
      </c>
      <c r="H14" s="452">
        <v>0</v>
      </c>
      <c r="I14" s="325">
        <v>0</v>
      </c>
      <c r="J14" s="236">
        <v>0</v>
      </c>
      <c r="K14" s="325"/>
      <c r="L14" s="236"/>
      <c r="M14" s="240"/>
      <c r="N14" s="235"/>
      <c r="O14" s="235"/>
      <c r="P14" s="235"/>
      <c r="Q14" s="235">
        <v>44543</v>
      </c>
      <c r="R14" s="235"/>
      <c r="S14" s="442"/>
      <c r="T14" s="240"/>
      <c r="U14" s="405"/>
      <c r="V14" s="236"/>
      <c r="W14" s="235">
        <v>44550</v>
      </c>
      <c r="X14" s="240"/>
      <c r="Y14" s="241"/>
    </row>
    <row r="15" spans="1:27" s="242" customFormat="1" ht="13.5" customHeight="1" x14ac:dyDescent="0.3">
      <c r="A15" s="248" t="s">
        <v>58</v>
      </c>
      <c r="B15" s="327">
        <v>536</v>
      </c>
      <c r="C15" s="327">
        <v>524</v>
      </c>
      <c r="D15" s="249">
        <v>0.97761194029850751</v>
      </c>
      <c r="E15" s="406">
        <v>437</v>
      </c>
      <c r="F15" s="454">
        <v>0.81529850746268662</v>
      </c>
      <c r="G15" s="425">
        <v>437</v>
      </c>
      <c r="H15" s="454">
        <v>0.81529850746268662</v>
      </c>
      <c r="I15" s="327">
        <v>273</v>
      </c>
      <c r="J15" s="249">
        <v>0.50932835820895528</v>
      </c>
      <c r="K15" s="327">
        <v>78</v>
      </c>
      <c r="L15" s="249">
        <v>0.1455223880597015</v>
      </c>
      <c r="M15" s="450"/>
      <c r="N15" s="327"/>
      <c r="O15" s="327"/>
      <c r="P15" s="327">
        <v>14</v>
      </c>
      <c r="Q15" s="439"/>
      <c r="R15" s="327">
        <v>14</v>
      </c>
      <c r="S15" s="444"/>
      <c r="T15" s="445"/>
      <c r="U15" s="449"/>
      <c r="V15" s="250"/>
      <c r="W15" s="250"/>
      <c r="X15" s="250"/>
    </row>
    <row r="17" spans="1:9" x14ac:dyDescent="0.35">
      <c r="B17" s="317">
        <f>SUM(B3,B6:B10,B12:B14)-117</f>
        <v>409</v>
      </c>
    </row>
    <row r="20" spans="1:9" x14ac:dyDescent="0.35">
      <c r="A20" s="316"/>
      <c r="B20" s="328" t="s">
        <v>59</v>
      </c>
      <c r="C20" s="329" t="s">
        <v>60</v>
      </c>
      <c r="I20" s="329" t="s">
        <v>61</v>
      </c>
    </row>
    <row r="21" spans="1:9" x14ac:dyDescent="0.35">
      <c r="A21" s="316" t="s">
        <v>45</v>
      </c>
      <c r="B21" s="317">
        <f>B3-C21</f>
        <v>3</v>
      </c>
      <c r="C21" s="317">
        <v>13</v>
      </c>
    </row>
    <row r="22" spans="1:9" x14ac:dyDescent="0.35">
      <c r="A22" s="316" t="s">
        <v>49</v>
      </c>
      <c r="B22" s="317">
        <f>B6-C22</f>
        <v>78</v>
      </c>
      <c r="C22" s="317"/>
    </row>
    <row r="23" spans="1:9" x14ac:dyDescent="0.35">
      <c r="A23" s="316" t="s">
        <v>50</v>
      </c>
      <c r="B23" s="317">
        <f>B7-C23</f>
        <v>5</v>
      </c>
      <c r="C23" s="317">
        <v>33</v>
      </c>
      <c r="I23" s="273" t="s">
        <v>62</v>
      </c>
    </row>
    <row r="24" spans="1:9" x14ac:dyDescent="0.35">
      <c r="A24" s="316" t="s">
        <v>51</v>
      </c>
      <c r="B24" s="317">
        <f>B8-C24</f>
        <v>75</v>
      </c>
      <c r="C24" s="317"/>
      <c r="I24" s="330" t="s">
        <v>63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66"/>
  <sheetViews>
    <sheetView topLeftCell="A19" workbookViewId="0">
      <selection activeCell="C3" sqref="C3"/>
    </sheetView>
  </sheetViews>
  <sheetFormatPr defaultColWidth="8.69921875" defaultRowHeight="14.5" x14ac:dyDescent="0.3"/>
  <cols>
    <col min="1" max="1" width="8.69921875" style="166"/>
    <col min="2" max="2" width="58.3984375" style="166" bestFit="1" customWidth="1"/>
    <col min="3" max="8" width="8.69921875" style="166"/>
    <col min="9" max="9" width="16.19921875" style="456" bestFit="1" customWidth="1"/>
    <col min="10" max="10" width="5.59765625" style="456" customWidth="1"/>
    <col min="11" max="12" width="8.69921875" style="456"/>
    <col min="13" max="16384" width="8.69921875" style="166"/>
  </cols>
  <sheetData>
    <row r="1" spans="1:16" x14ac:dyDescent="0.3">
      <c r="C1" s="166" t="s">
        <v>58</v>
      </c>
      <c r="D1" s="166" t="s">
        <v>2900</v>
      </c>
      <c r="E1" s="166" t="s">
        <v>2901</v>
      </c>
      <c r="F1" s="166" t="s">
        <v>2902</v>
      </c>
      <c r="G1" s="166" t="s">
        <v>2852</v>
      </c>
      <c r="H1" s="166" t="s">
        <v>2903</v>
      </c>
      <c r="I1" s="456" t="s">
        <v>2904</v>
      </c>
      <c r="K1" s="467" t="s">
        <v>2889</v>
      </c>
      <c r="M1" s="467" t="s">
        <v>2905</v>
      </c>
      <c r="O1" s="166" t="s">
        <v>2906</v>
      </c>
      <c r="P1" s="166" t="s">
        <v>2907</v>
      </c>
    </row>
    <row r="3" spans="1:16" x14ac:dyDescent="0.3">
      <c r="A3" s="166" t="s">
        <v>90</v>
      </c>
      <c r="C3" s="166">
        <v>16</v>
      </c>
      <c r="D3" s="166">
        <v>16</v>
      </c>
      <c r="E3" s="166">
        <v>16</v>
      </c>
      <c r="F3" s="166">
        <v>16</v>
      </c>
      <c r="G3" s="166">
        <v>16</v>
      </c>
      <c r="H3" s="166">
        <v>16</v>
      </c>
      <c r="J3" s="456" t="s">
        <v>2803</v>
      </c>
      <c r="L3" s="456" t="s">
        <v>2803</v>
      </c>
      <c r="N3" s="166" t="s">
        <v>2803</v>
      </c>
    </row>
    <row r="4" spans="1:16" x14ac:dyDescent="0.3">
      <c r="B4" s="166" t="s">
        <v>2806</v>
      </c>
      <c r="C4" s="166">
        <v>11</v>
      </c>
      <c r="D4" s="166">
        <v>11</v>
      </c>
      <c r="E4" s="166">
        <v>11</v>
      </c>
      <c r="F4" s="166">
        <v>11</v>
      </c>
      <c r="G4" s="166">
        <v>11</v>
      </c>
      <c r="H4" s="166">
        <v>11</v>
      </c>
      <c r="J4" s="456" t="s">
        <v>2803</v>
      </c>
      <c r="L4" s="456" t="s">
        <v>2803</v>
      </c>
      <c r="N4" s="166" t="s">
        <v>2803</v>
      </c>
    </row>
    <row r="5" spans="1:16" x14ac:dyDescent="0.3">
      <c r="B5" s="166" t="s">
        <v>2808</v>
      </c>
      <c r="C5" s="166">
        <v>2</v>
      </c>
      <c r="D5" s="166">
        <v>2</v>
      </c>
      <c r="E5" s="166">
        <v>2</v>
      </c>
      <c r="F5" s="166">
        <v>2</v>
      </c>
      <c r="G5" s="166">
        <v>2</v>
      </c>
      <c r="H5" s="166">
        <v>2</v>
      </c>
      <c r="J5" s="456" t="s">
        <v>2803</v>
      </c>
      <c r="L5" s="456" t="s">
        <v>2803</v>
      </c>
      <c r="N5" s="166" t="s">
        <v>2803</v>
      </c>
    </row>
    <row r="6" spans="1:16" x14ac:dyDescent="0.3">
      <c r="B6" s="166" t="s">
        <v>2807</v>
      </c>
      <c r="C6" s="166">
        <v>2</v>
      </c>
      <c r="D6" s="166">
        <v>2</v>
      </c>
      <c r="E6" s="166">
        <v>2</v>
      </c>
      <c r="F6" s="166">
        <v>2</v>
      </c>
      <c r="G6" s="166">
        <v>2</v>
      </c>
      <c r="H6" s="166">
        <v>2</v>
      </c>
      <c r="J6" s="456" t="s">
        <v>2803</v>
      </c>
      <c r="L6" s="456" t="s">
        <v>2803</v>
      </c>
      <c r="N6" s="166" t="s">
        <v>2803</v>
      </c>
    </row>
    <row r="7" spans="1:16" x14ac:dyDescent="0.3">
      <c r="B7" s="166" t="s">
        <v>2881</v>
      </c>
      <c r="C7" s="166">
        <v>1</v>
      </c>
      <c r="D7" s="166">
        <v>1</v>
      </c>
      <c r="E7" s="166">
        <v>1</v>
      </c>
      <c r="F7" s="166">
        <v>1</v>
      </c>
      <c r="G7" s="166">
        <v>1</v>
      </c>
      <c r="H7" s="166">
        <v>1</v>
      </c>
      <c r="J7" s="456" t="s">
        <v>2803</v>
      </c>
      <c r="L7" s="456" t="s">
        <v>2803</v>
      </c>
      <c r="N7" s="166" t="s">
        <v>2803</v>
      </c>
    </row>
    <row r="8" spans="1:16" x14ac:dyDescent="0.3">
      <c r="A8" s="166" t="s">
        <v>91</v>
      </c>
      <c r="C8" s="166">
        <v>78</v>
      </c>
      <c r="D8" s="166">
        <v>78</v>
      </c>
      <c r="E8" s="166">
        <v>64</v>
      </c>
      <c r="F8" s="166">
        <v>0</v>
      </c>
      <c r="G8" s="166">
        <v>78</v>
      </c>
      <c r="H8" s="166">
        <v>78</v>
      </c>
      <c r="J8" s="456" t="s">
        <v>2803</v>
      </c>
      <c r="L8" s="456" t="s">
        <v>2803</v>
      </c>
      <c r="N8" s="166" t="s">
        <v>2803</v>
      </c>
    </row>
    <row r="9" spans="1:16" x14ac:dyDescent="0.3">
      <c r="B9" s="166" t="s">
        <v>2804</v>
      </c>
      <c r="C9" s="166">
        <v>2</v>
      </c>
      <c r="D9" s="166">
        <v>2</v>
      </c>
      <c r="E9" s="166">
        <v>2</v>
      </c>
      <c r="F9" s="166">
        <v>0</v>
      </c>
      <c r="G9" s="166">
        <v>2</v>
      </c>
      <c r="H9" s="166">
        <v>2</v>
      </c>
      <c r="I9" s="456" t="s">
        <v>1494</v>
      </c>
      <c r="J9" s="456">
        <v>2</v>
      </c>
      <c r="L9" s="456" t="s">
        <v>2803</v>
      </c>
      <c r="N9" s="166" t="s">
        <v>2803</v>
      </c>
    </row>
    <row r="10" spans="1:16" x14ac:dyDescent="0.3">
      <c r="B10" s="166" t="s">
        <v>2805</v>
      </c>
      <c r="C10" s="166">
        <v>20</v>
      </c>
      <c r="D10" s="166">
        <v>20</v>
      </c>
      <c r="E10" s="166">
        <v>17</v>
      </c>
      <c r="F10" s="166">
        <v>0</v>
      </c>
      <c r="G10" s="166">
        <v>20</v>
      </c>
      <c r="H10" s="166">
        <v>20</v>
      </c>
      <c r="J10" s="456" t="s">
        <v>2803</v>
      </c>
      <c r="K10" s="456" t="s">
        <v>1494</v>
      </c>
      <c r="L10" s="456">
        <v>20</v>
      </c>
      <c r="N10" s="166" t="s">
        <v>2803</v>
      </c>
    </row>
    <row r="11" spans="1:16" x14ac:dyDescent="0.3">
      <c r="B11" s="166" t="s">
        <v>2856</v>
      </c>
      <c r="C11" s="166">
        <v>10</v>
      </c>
      <c r="D11" s="166">
        <v>10</v>
      </c>
      <c r="E11" s="166">
        <v>10</v>
      </c>
      <c r="F11" s="166">
        <v>0</v>
      </c>
      <c r="G11" s="166">
        <v>10</v>
      </c>
      <c r="H11" s="166">
        <v>10</v>
      </c>
      <c r="I11" s="456" t="s">
        <v>1494</v>
      </c>
      <c r="J11" s="456">
        <v>10</v>
      </c>
      <c r="L11" s="456" t="s">
        <v>2803</v>
      </c>
      <c r="N11" s="166" t="s">
        <v>2803</v>
      </c>
    </row>
    <row r="12" spans="1:16" x14ac:dyDescent="0.3">
      <c r="B12" s="166" t="s">
        <v>2857</v>
      </c>
      <c r="C12" s="166">
        <v>19</v>
      </c>
      <c r="D12" s="166">
        <v>19</v>
      </c>
      <c r="E12" s="166">
        <v>10</v>
      </c>
      <c r="F12" s="166">
        <v>0</v>
      </c>
      <c r="G12" s="166">
        <v>19</v>
      </c>
      <c r="H12" s="166">
        <v>19</v>
      </c>
      <c r="J12" s="456" t="s">
        <v>2803</v>
      </c>
      <c r="K12" s="456" t="s">
        <v>1494</v>
      </c>
      <c r="L12" s="456">
        <v>19</v>
      </c>
      <c r="N12" s="166" t="s">
        <v>2803</v>
      </c>
    </row>
    <row r="13" spans="1:16" x14ac:dyDescent="0.3">
      <c r="B13" s="166" t="s">
        <v>2858</v>
      </c>
      <c r="C13" s="166">
        <v>9</v>
      </c>
      <c r="D13" s="166">
        <v>9</v>
      </c>
      <c r="E13" s="166">
        <v>9</v>
      </c>
      <c r="F13" s="166">
        <v>0</v>
      </c>
      <c r="G13" s="166">
        <v>9</v>
      </c>
      <c r="H13" s="166">
        <v>9</v>
      </c>
      <c r="I13" s="456" t="s">
        <v>1494</v>
      </c>
      <c r="J13" s="456">
        <v>9</v>
      </c>
      <c r="L13" s="456" t="s">
        <v>2803</v>
      </c>
      <c r="N13" s="166" t="s">
        <v>2803</v>
      </c>
    </row>
    <row r="14" spans="1:16" x14ac:dyDescent="0.3">
      <c r="B14" s="166" t="s">
        <v>2859</v>
      </c>
      <c r="C14" s="166">
        <v>6</v>
      </c>
      <c r="D14" s="166">
        <v>6</v>
      </c>
      <c r="E14" s="166">
        <v>6</v>
      </c>
      <c r="F14" s="166">
        <v>0</v>
      </c>
      <c r="G14" s="166">
        <v>6</v>
      </c>
      <c r="H14" s="166">
        <v>6</v>
      </c>
      <c r="I14" s="456" t="s">
        <v>1494</v>
      </c>
      <c r="J14" s="456">
        <v>6</v>
      </c>
      <c r="L14" s="456" t="s">
        <v>2803</v>
      </c>
      <c r="N14" s="166" t="s">
        <v>2803</v>
      </c>
    </row>
    <row r="15" spans="1:16" x14ac:dyDescent="0.3">
      <c r="B15" s="166" t="s">
        <v>2860</v>
      </c>
      <c r="C15" s="166">
        <v>11</v>
      </c>
      <c r="D15" s="166">
        <v>11</v>
      </c>
      <c r="E15" s="166">
        <v>9</v>
      </c>
      <c r="F15" s="166">
        <v>0</v>
      </c>
      <c r="G15" s="166">
        <v>11</v>
      </c>
      <c r="H15" s="166">
        <v>11</v>
      </c>
      <c r="J15" s="456" t="s">
        <v>2803</v>
      </c>
      <c r="K15" s="456" t="s">
        <v>1494</v>
      </c>
      <c r="L15" s="456">
        <v>11</v>
      </c>
      <c r="N15" s="166" t="s">
        <v>2803</v>
      </c>
    </row>
    <row r="16" spans="1:16" x14ac:dyDescent="0.3">
      <c r="B16" s="166" t="s">
        <v>824</v>
      </c>
      <c r="C16" s="166">
        <v>1</v>
      </c>
      <c r="D16" s="166">
        <v>1</v>
      </c>
      <c r="E16" s="166">
        <v>1</v>
      </c>
      <c r="F16" s="166">
        <v>0</v>
      </c>
      <c r="G16" s="166">
        <v>1</v>
      </c>
      <c r="H16" s="166">
        <v>1</v>
      </c>
      <c r="I16" s="456" t="s">
        <v>1494</v>
      </c>
      <c r="J16" s="456">
        <v>1</v>
      </c>
      <c r="L16" s="456" t="s">
        <v>2803</v>
      </c>
      <c r="N16" s="166" t="s">
        <v>2803</v>
      </c>
    </row>
    <row r="17" spans="1:16" x14ac:dyDescent="0.3">
      <c r="A17" s="166" t="s">
        <v>92</v>
      </c>
      <c r="C17" s="166">
        <v>38</v>
      </c>
      <c r="D17" s="166">
        <v>38</v>
      </c>
      <c r="E17" s="166">
        <v>38</v>
      </c>
      <c r="F17" s="166">
        <v>36</v>
      </c>
      <c r="G17" s="166">
        <v>36</v>
      </c>
      <c r="H17" s="166">
        <v>36</v>
      </c>
      <c r="J17" s="456" t="s">
        <v>2803</v>
      </c>
      <c r="L17" s="456" t="s">
        <v>2803</v>
      </c>
      <c r="N17" s="166" t="s">
        <v>2803</v>
      </c>
    </row>
    <row r="18" spans="1:16" x14ac:dyDescent="0.3">
      <c r="B18" s="166" t="s">
        <v>2861</v>
      </c>
      <c r="C18" s="166">
        <v>7</v>
      </c>
      <c r="D18" s="166">
        <v>7</v>
      </c>
      <c r="E18" s="166">
        <v>7</v>
      </c>
      <c r="F18" s="166">
        <v>7</v>
      </c>
      <c r="G18" s="166">
        <v>7</v>
      </c>
      <c r="H18" s="166">
        <v>7</v>
      </c>
      <c r="J18" s="456" t="s">
        <v>2803</v>
      </c>
      <c r="L18" s="456" t="s">
        <v>2803</v>
      </c>
      <c r="N18" s="166" t="s">
        <v>2803</v>
      </c>
    </row>
    <row r="19" spans="1:16" x14ac:dyDescent="0.3">
      <c r="B19" s="166" t="s">
        <v>2862</v>
      </c>
      <c r="C19" s="166">
        <v>9</v>
      </c>
      <c r="D19" s="166">
        <v>9</v>
      </c>
      <c r="E19" s="166">
        <v>9</v>
      </c>
      <c r="F19" s="166">
        <v>9</v>
      </c>
      <c r="G19" s="166">
        <v>9</v>
      </c>
      <c r="H19" s="166">
        <v>9</v>
      </c>
      <c r="J19" s="456" t="s">
        <v>2803</v>
      </c>
      <c r="L19" s="456" t="s">
        <v>2803</v>
      </c>
      <c r="N19" s="166" t="s">
        <v>2803</v>
      </c>
    </row>
    <row r="20" spans="1:16" x14ac:dyDescent="0.3">
      <c r="B20" s="166" t="s">
        <v>1425</v>
      </c>
      <c r="C20" s="166">
        <v>16</v>
      </c>
      <c r="D20" s="166">
        <v>16</v>
      </c>
      <c r="E20" s="166">
        <v>16</v>
      </c>
      <c r="F20" s="166">
        <v>14</v>
      </c>
      <c r="G20" s="166">
        <v>14</v>
      </c>
      <c r="H20" s="166">
        <v>14</v>
      </c>
      <c r="I20" s="456" t="s">
        <v>1494</v>
      </c>
      <c r="J20" s="456">
        <v>2</v>
      </c>
      <c r="L20" s="456" t="s">
        <v>2803</v>
      </c>
      <c r="O20" s="166" t="s">
        <v>2803</v>
      </c>
    </row>
    <row r="21" spans="1:16" x14ac:dyDescent="0.3">
      <c r="B21" s="166" t="s">
        <v>2863</v>
      </c>
      <c r="C21" s="166">
        <v>3</v>
      </c>
      <c r="D21" s="166">
        <v>3</v>
      </c>
      <c r="E21" s="166">
        <v>3</v>
      </c>
      <c r="F21" s="166">
        <v>3</v>
      </c>
      <c r="G21" s="166">
        <v>3</v>
      </c>
      <c r="H21" s="166">
        <v>3</v>
      </c>
      <c r="J21" s="456" t="s">
        <v>2803</v>
      </c>
      <c r="L21" s="456" t="s">
        <v>2803</v>
      </c>
      <c r="N21" s="166" t="s">
        <v>2803</v>
      </c>
    </row>
    <row r="22" spans="1:16" x14ac:dyDescent="0.3">
      <c r="B22" s="166" t="s">
        <v>2864</v>
      </c>
      <c r="C22" s="166">
        <v>3</v>
      </c>
      <c r="D22" s="166">
        <v>3</v>
      </c>
      <c r="E22" s="166">
        <v>3</v>
      </c>
      <c r="F22" s="166">
        <v>3</v>
      </c>
      <c r="G22" s="166">
        <v>3</v>
      </c>
      <c r="H22" s="166">
        <v>3</v>
      </c>
      <c r="J22" s="456" t="s">
        <v>2803</v>
      </c>
      <c r="L22" s="456" t="s">
        <v>2803</v>
      </c>
      <c r="N22" s="166" t="s">
        <v>2803</v>
      </c>
    </row>
    <row r="23" spans="1:16" x14ac:dyDescent="0.3">
      <c r="A23" s="166" t="s">
        <v>93</v>
      </c>
      <c r="C23" s="166">
        <v>75</v>
      </c>
      <c r="D23" s="166">
        <v>75</v>
      </c>
      <c r="E23" s="166">
        <v>75</v>
      </c>
      <c r="F23" s="166">
        <v>0</v>
      </c>
      <c r="G23" s="166">
        <v>70</v>
      </c>
      <c r="H23" s="166">
        <v>70</v>
      </c>
      <c r="J23" s="456" t="s">
        <v>2803</v>
      </c>
      <c r="L23" s="456" t="s">
        <v>2803</v>
      </c>
      <c r="N23" s="166" t="s">
        <v>2803</v>
      </c>
    </row>
    <row r="24" spans="1:16" x14ac:dyDescent="0.3">
      <c r="B24" s="166" t="s">
        <v>368</v>
      </c>
      <c r="C24" s="166">
        <v>5</v>
      </c>
      <c r="D24" s="166">
        <v>5</v>
      </c>
      <c r="E24" s="166">
        <v>5</v>
      </c>
      <c r="F24" s="166">
        <v>0</v>
      </c>
      <c r="G24" s="166">
        <v>5</v>
      </c>
      <c r="H24" s="166">
        <v>5</v>
      </c>
      <c r="I24" s="456" t="s">
        <v>1494</v>
      </c>
      <c r="J24" s="456">
        <v>5</v>
      </c>
      <c r="L24" s="456" t="s">
        <v>2803</v>
      </c>
      <c r="N24" s="166" t="s">
        <v>2803</v>
      </c>
    </row>
    <row r="25" spans="1:16" x14ac:dyDescent="0.3">
      <c r="B25" s="166" t="s">
        <v>410</v>
      </c>
      <c r="C25" s="166">
        <v>17</v>
      </c>
      <c r="D25" s="166">
        <v>17</v>
      </c>
      <c r="E25" s="166">
        <v>17</v>
      </c>
      <c r="F25" s="166">
        <v>0</v>
      </c>
      <c r="G25" s="166">
        <v>16</v>
      </c>
      <c r="H25" s="166">
        <v>16</v>
      </c>
      <c r="J25" s="456" t="s">
        <v>2803</v>
      </c>
      <c r="L25" s="456" t="s">
        <v>2803</v>
      </c>
      <c r="M25" s="166" t="s">
        <v>1494</v>
      </c>
      <c r="N25" s="166">
        <v>17</v>
      </c>
      <c r="O25" s="166">
        <v>1</v>
      </c>
      <c r="P25" s="166" t="s">
        <v>2908</v>
      </c>
    </row>
    <row r="26" spans="1:16" x14ac:dyDescent="0.3">
      <c r="B26" s="166" t="s">
        <v>824</v>
      </c>
      <c r="C26" s="166">
        <v>8</v>
      </c>
      <c r="D26" s="166">
        <v>8</v>
      </c>
      <c r="E26" s="166">
        <v>8</v>
      </c>
      <c r="F26" s="166">
        <v>0</v>
      </c>
      <c r="G26" s="166">
        <v>8</v>
      </c>
      <c r="H26" s="166">
        <v>8</v>
      </c>
      <c r="I26" s="456" t="s">
        <v>1494</v>
      </c>
      <c r="J26" s="456">
        <v>8</v>
      </c>
      <c r="L26" s="456" t="s">
        <v>2803</v>
      </c>
      <c r="N26" s="166" t="s">
        <v>2803</v>
      </c>
      <c r="O26" s="166" t="s">
        <v>2803</v>
      </c>
    </row>
    <row r="27" spans="1:16" x14ac:dyDescent="0.3">
      <c r="B27" s="166" t="s">
        <v>465</v>
      </c>
      <c r="C27" s="166">
        <v>7</v>
      </c>
      <c r="D27" s="166">
        <v>7</v>
      </c>
      <c r="E27" s="166">
        <v>7</v>
      </c>
      <c r="F27" s="166">
        <v>0</v>
      </c>
      <c r="G27" s="166">
        <v>6</v>
      </c>
      <c r="H27" s="166">
        <v>6</v>
      </c>
      <c r="J27" s="456" t="s">
        <v>2803</v>
      </c>
      <c r="L27" s="456" t="s">
        <v>2803</v>
      </c>
      <c r="M27" s="166" t="s">
        <v>1494</v>
      </c>
      <c r="N27" s="166">
        <v>7</v>
      </c>
      <c r="O27" s="166">
        <v>1</v>
      </c>
      <c r="P27" s="166" t="s">
        <v>2908</v>
      </c>
    </row>
    <row r="28" spans="1:16" x14ac:dyDescent="0.3">
      <c r="B28" s="166" t="s">
        <v>378</v>
      </c>
      <c r="C28" s="166">
        <v>10</v>
      </c>
      <c r="D28" s="166">
        <v>10</v>
      </c>
      <c r="E28" s="166">
        <v>10</v>
      </c>
      <c r="F28" s="166">
        <v>0</v>
      </c>
      <c r="G28" s="166">
        <v>10</v>
      </c>
      <c r="H28" s="166">
        <v>10</v>
      </c>
      <c r="I28" s="456" t="s">
        <v>1494</v>
      </c>
      <c r="J28" s="456">
        <v>10</v>
      </c>
      <c r="L28" s="456" t="s">
        <v>2803</v>
      </c>
      <c r="N28" s="166" t="s">
        <v>2803</v>
      </c>
      <c r="O28" s="166" t="s">
        <v>2803</v>
      </c>
    </row>
    <row r="29" spans="1:16" x14ac:dyDescent="0.3">
      <c r="B29" s="166" t="s">
        <v>624</v>
      </c>
      <c r="C29" s="166">
        <v>7</v>
      </c>
      <c r="D29" s="166">
        <v>7</v>
      </c>
      <c r="E29" s="166">
        <v>7</v>
      </c>
      <c r="F29" s="166">
        <v>0</v>
      </c>
      <c r="G29" s="166">
        <v>6</v>
      </c>
      <c r="H29" s="166">
        <v>6</v>
      </c>
      <c r="J29" s="456" t="s">
        <v>2803</v>
      </c>
      <c r="L29" s="456" t="s">
        <v>2803</v>
      </c>
      <c r="M29" s="166" t="s">
        <v>1494</v>
      </c>
      <c r="N29" s="166">
        <v>7</v>
      </c>
      <c r="O29" s="166">
        <v>1</v>
      </c>
      <c r="P29" s="166" t="s">
        <v>2908</v>
      </c>
    </row>
    <row r="30" spans="1:16" x14ac:dyDescent="0.3">
      <c r="B30" s="166" t="s">
        <v>642</v>
      </c>
      <c r="C30" s="166">
        <v>1</v>
      </c>
      <c r="D30" s="166">
        <v>1</v>
      </c>
      <c r="E30" s="166">
        <v>1</v>
      </c>
      <c r="F30" s="166">
        <v>0</v>
      </c>
      <c r="G30" s="166">
        <v>1</v>
      </c>
      <c r="H30" s="166">
        <v>1</v>
      </c>
      <c r="I30" s="456" t="s">
        <v>1494</v>
      </c>
      <c r="J30" s="456">
        <v>1</v>
      </c>
      <c r="L30" s="456" t="s">
        <v>2803</v>
      </c>
      <c r="N30" s="166" t="s">
        <v>2803</v>
      </c>
      <c r="O30" s="166" t="s">
        <v>2803</v>
      </c>
    </row>
    <row r="31" spans="1:16" x14ac:dyDescent="0.3">
      <c r="B31" s="166" t="s">
        <v>439</v>
      </c>
      <c r="C31" s="166">
        <v>17</v>
      </c>
      <c r="D31" s="166">
        <v>17</v>
      </c>
      <c r="E31" s="166">
        <v>17</v>
      </c>
      <c r="F31" s="166">
        <v>0</v>
      </c>
      <c r="G31" s="166">
        <v>16</v>
      </c>
      <c r="H31" s="166">
        <v>16</v>
      </c>
      <c r="J31" s="456" t="s">
        <v>2803</v>
      </c>
      <c r="L31" s="456" t="s">
        <v>2803</v>
      </c>
      <c r="M31" s="166" t="s">
        <v>1494</v>
      </c>
      <c r="N31" s="166">
        <v>17</v>
      </c>
      <c r="O31" s="166">
        <v>1</v>
      </c>
      <c r="P31" s="166" t="s">
        <v>2908</v>
      </c>
    </row>
    <row r="32" spans="1:16" x14ac:dyDescent="0.3">
      <c r="B32" s="166" t="s">
        <v>419</v>
      </c>
      <c r="C32" s="166">
        <v>3</v>
      </c>
      <c r="D32" s="166">
        <v>3</v>
      </c>
      <c r="E32" s="166">
        <v>3</v>
      </c>
      <c r="F32" s="166">
        <v>0</v>
      </c>
      <c r="G32" s="166">
        <v>2</v>
      </c>
      <c r="H32" s="166">
        <v>2</v>
      </c>
      <c r="J32" s="456" t="s">
        <v>2803</v>
      </c>
      <c r="L32" s="456" t="s">
        <v>2803</v>
      </c>
      <c r="M32" s="166" t="s">
        <v>1494</v>
      </c>
      <c r="N32" s="166">
        <v>3</v>
      </c>
      <c r="O32" s="166">
        <v>1</v>
      </c>
      <c r="P32" s="166" t="s">
        <v>2908</v>
      </c>
    </row>
    <row r="33" spans="1:15" x14ac:dyDescent="0.3">
      <c r="A33" s="166" t="s">
        <v>94</v>
      </c>
      <c r="C33" s="166">
        <v>87</v>
      </c>
      <c r="D33" s="166">
        <v>87</v>
      </c>
      <c r="E33" s="166">
        <v>35</v>
      </c>
      <c r="F33" s="166">
        <v>26</v>
      </c>
      <c r="G33" s="166">
        <v>69</v>
      </c>
      <c r="H33" s="166">
        <v>69</v>
      </c>
      <c r="J33" s="456" t="s">
        <v>2803</v>
      </c>
      <c r="L33" s="456" t="s">
        <v>2803</v>
      </c>
      <c r="N33" s="166" t="s">
        <v>2803</v>
      </c>
      <c r="O33" s="166" t="s">
        <v>2803</v>
      </c>
    </row>
    <row r="34" spans="1:15" x14ac:dyDescent="0.3">
      <c r="B34" s="166" t="s">
        <v>1002</v>
      </c>
      <c r="C34" s="166">
        <v>15</v>
      </c>
      <c r="D34" s="166">
        <v>15</v>
      </c>
      <c r="E34" s="166">
        <v>5</v>
      </c>
      <c r="F34" s="166">
        <v>0</v>
      </c>
      <c r="G34" s="166">
        <v>14</v>
      </c>
      <c r="H34" s="166">
        <v>14</v>
      </c>
      <c r="J34" s="456" t="s">
        <v>2803</v>
      </c>
      <c r="L34" s="456" t="s">
        <v>2803</v>
      </c>
      <c r="M34" s="166" t="s">
        <v>1494</v>
      </c>
      <c r="N34" s="166">
        <v>15</v>
      </c>
      <c r="O34" s="166">
        <v>1</v>
      </c>
    </row>
    <row r="35" spans="1:15" x14ac:dyDescent="0.3">
      <c r="B35" s="166" t="s">
        <v>1461</v>
      </c>
      <c r="C35" s="166">
        <v>12</v>
      </c>
      <c r="D35" s="166">
        <v>12</v>
      </c>
      <c r="E35" s="166">
        <v>2</v>
      </c>
      <c r="F35" s="166">
        <v>0</v>
      </c>
      <c r="G35" s="166">
        <v>11</v>
      </c>
      <c r="H35" s="166">
        <v>11</v>
      </c>
      <c r="J35" s="456" t="s">
        <v>2803</v>
      </c>
      <c r="L35" s="456" t="s">
        <v>2803</v>
      </c>
      <c r="M35" s="166" t="s">
        <v>1494</v>
      </c>
      <c r="N35" s="166">
        <v>12</v>
      </c>
      <c r="O35" s="166">
        <v>1</v>
      </c>
    </row>
    <row r="36" spans="1:15" x14ac:dyDescent="0.3">
      <c r="B36" s="166" t="s">
        <v>2802</v>
      </c>
      <c r="C36" s="166">
        <v>15</v>
      </c>
      <c r="D36" s="166">
        <v>15</v>
      </c>
      <c r="E36" s="166">
        <v>2</v>
      </c>
      <c r="F36" s="166">
        <v>0</v>
      </c>
      <c r="G36" s="166">
        <v>0</v>
      </c>
      <c r="H36" s="166">
        <v>0</v>
      </c>
      <c r="J36" s="456" t="s">
        <v>2803</v>
      </c>
      <c r="L36" s="456" t="s">
        <v>2803</v>
      </c>
      <c r="M36" s="166" t="s">
        <v>1494</v>
      </c>
      <c r="N36" s="166">
        <v>15</v>
      </c>
      <c r="O36" s="166">
        <v>15</v>
      </c>
    </row>
    <row r="37" spans="1:15" x14ac:dyDescent="0.3">
      <c r="B37" s="166" t="s">
        <v>2865</v>
      </c>
      <c r="C37" s="166">
        <v>15</v>
      </c>
      <c r="D37" s="166">
        <v>15</v>
      </c>
      <c r="E37" s="166">
        <v>0</v>
      </c>
      <c r="F37" s="166">
        <v>0</v>
      </c>
      <c r="G37" s="166">
        <v>14</v>
      </c>
      <c r="H37" s="166">
        <v>14</v>
      </c>
      <c r="J37" s="456" t="s">
        <v>2803</v>
      </c>
      <c r="L37" s="456" t="s">
        <v>2803</v>
      </c>
      <c r="M37" s="166" t="s">
        <v>1494</v>
      </c>
      <c r="N37" s="166">
        <v>15</v>
      </c>
      <c r="O37" s="166">
        <v>1</v>
      </c>
    </row>
    <row r="38" spans="1:15" x14ac:dyDescent="0.3">
      <c r="B38" s="166" t="s">
        <v>2822</v>
      </c>
      <c r="C38" s="166">
        <v>26</v>
      </c>
      <c r="D38" s="166">
        <v>26</v>
      </c>
      <c r="E38" s="166">
        <v>26</v>
      </c>
      <c r="F38" s="166">
        <v>26</v>
      </c>
      <c r="G38" s="166">
        <v>26</v>
      </c>
      <c r="H38" s="166">
        <v>26</v>
      </c>
      <c r="L38" s="456" t="s">
        <v>2803</v>
      </c>
      <c r="N38" s="166" t="s">
        <v>2803</v>
      </c>
      <c r="O38" s="166" t="s">
        <v>2803</v>
      </c>
    </row>
    <row r="39" spans="1:15" x14ac:dyDescent="0.3">
      <c r="B39" s="166" t="s">
        <v>2866</v>
      </c>
      <c r="C39" s="166">
        <v>4</v>
      </c>
      <c r="D39" s="166">
        <v>4</v>
      </c>
      <c r="E39" s="166">
        <v>0</v>
      </c>
      <c r="F39" s="166">
        <v>0</v>
      </c>
      <c r="G39" s="166">
        <v>4</v>
      </c>
      <c r="H39" s="166">
        <v>4</v>
      </c>
      <c r="J39" s="456" t="s">
        <v>2803</v>
      </c>
      <c r="K39" s="456" t="s">
        <v>1494</v>
      </c>
      <c r="L39" s="456">
        <v>4</v>
      </c>
      <c r="N39" s="166" t="s">
        <v>2803</v>
      </c>
      <c r="O39" s="166" t="s">
        <v>2803</v>
      </c>
    </row>
    <row r="40" spans="1:15" x14ac:dyDescent="0.3">
      <c r="A40" s="166" t="s">
        <v>95</v>
      </c>
      <c r="C40" s="166">
        <v>88</v>
      </c>
      <c r="D40" s="166">
        <v>88</v>
      </c>
      <c r="E40" s="166">
        <v>43</v>
      </c>
      <c r="F40" s="166">
        <v>0</v>
      </c>
      <c r="G40" s="166">
        <v>73</v>
      </c>
      <c r="H40" s="166">
        <v>73</v>
      </c>
      <c r="J40" s="456" t="s">
        <v>2803</v>
      </c>
      <c r="L40" s="456" t="s">
        <v>2803</v>
      </c>
      <c r="N40" s="166" t="s">
        <v>2803</v>
      </c>
      <c r="O40" s="166" t="s">
        <v>2803</v>
      </c>
    </row>
    <row r="41" spans="1:15" x14ac:dyDescent="0.3">
      <c r="B41" s="166" t="s">
        <v>2867</v>
      </c>
      <c r="C41" s="166">
        <v>4</v>
      </c>
      <c r="D41" s="166">
        <v>4</v>
      </c>
      <c r="E41" s="166">
        <v>1</v>
      </c>
      <c r="F41" s="166">
        <v>0</v>
      </c>
      <c r="G41" s="166">
        <v>2</v>
      </c>
      <c r="H41" s="166">
        <v>2</v>
      </c>
      <c r="J41" s="456" t="s">
        <v>2803</v>
      </c>
      <c r="L41" s="456" t="s">
        <v>2803</v>
      </c>
      <c r="M41" s="166" t="s">
        <v>1494</v>
      </c>
      <c r="N41" s="166">
        <v>4</v>
      </c>
      <c r="O41" s="166">
        <v>2</v>
      </c>
    </row>
    <row r="42" spans="1:15" x14ac:dyDescent="0.3">
      <c r="B42" s="166" t="s">
        <v>2868</v>
      </c>
      <c r="C42" s="166">
        <v>9</v>
      </c>
      <c r="D42" s="166">
        <v>9</v>
      </c>
      <c r="E42" s="166">
        <v>9</v>
      </c>
      <c r="F42" s="166">
        <v>0</v>
      </c>
      <c r="G42" s="166">
        <v>9</v>
      </c>
      <c r="H42" s="166">
        <v>9</v>
      </c>
      <c r="I42" s="456" t="s">
        <v>1494</v>
      </c>
      <c r="J42" s="456">
        <v>9</v>
      </c>
      <c r="L42" s="456" t="s">
        <v>2803</v>
      </c>
      <c r="N42" s="166" t="s">
        <v>2803</v>
      </c>
      <c r="O42" s="166" t="s">
        <v>2803</v>
      </c>
    </row>
    <row r="43" spans="1:15" x14ac:dyDescent="0.3">
      <c r="B43" s="166" t="s">
        <v>2869</v>
      </c>
      <c r="C43" s="166">
        <v>6</v>
      </c>
      <c r="D43" s="166">
        <v>6</v>
      </c>
      <c r="E43" s="166">
        <v>6</v>
      </c>
      <c r="F43" s="166">
        <v>0</v>
      </c>
      <c r="G43" s="166">
        <v>6</v>
      </c>
      <c r="H43" s="166">
        <v>6</v>
      </c>
      <c r="I43" s="456" t="s">
        <v>1494</v>
      </c>
      <c r="J43" s="456">
        <v>6</v>
      </c>
      <c r="L43" s="456" t="s">
        <v>2803</v>
      </c>
      <c r="N43" s="166" t="s">
        <v>2803</v>
      </c>
      <c r="O43" s="166" t="s">
        <v>2803</v>
      </c>
    </row>
    <row r="44" spans="1:15" x14ac:dyDescent="0.3">
      <c r="B44" s="166" t="s">
        <v>2870</v>
      </c>
      <c r="C44" s="166">
        <v>8</v>
      </c>
      <c r="D44" s="166">
        <v>8</v>
      </c>
      <c r="E44" s="166">
        <v>0</v>
      </c>
      <c r="F44" s="166">
        <v>0</v>
      </c>
      <c r="G44" s="166">
        <v>0</v>
      </c>
      <c r="H44" s="166">
        <v>0</v>
      </c>
      <c r="J44" s="456" t="s">
        <v>2803</v>
      </c>
      <c r="L44" s="456" t="s">
        <v>2803</v>
      </c>
      <c r="M44" s="166" t="s">
        <v>1494</v>
      </c>
      <c r="N44" s="166">
        <v>8</v>
      </c>
      <c r="O44" s="166">
        <v>8</v>
      </c>
    </row>
    <row r="45" spans="1:15" x14ac:dyDescent="0.3">
      <c r="B45" s="166" t="s">
        <v>2871</v>
      </c>
      <c r="C45" s="166">
        <v>7</v>
      </c>
      <c r="D45" s="166">
        <v>7</v>
      </c>
      <c r="E45" s="166">
        <v>3</v>
      </c>
      <c r="F45" s="166">
        <v>0</v>
      </c>
      <c r="G45" s="166">
        <v>7</v>
      </c>
      <c r="H45" s="166">
        <v>7</v>
      </c>
      <c r="J45" s="456" t="s">
        <v>2803</v>
      </c>
      <c r="K45" s="456" t="s">
        <v>1494</v>
      </c>
      <c r="L45" s="456">
        <v>7</v>
      </c>
      <c r="N45" s="166" t="s">
        <v>2803</v>
      </c>
      <c r="O45" s="166" t="s">
        <v>2803</v>
      </c>
    </row>
    <row r="46" spans="1:15" x14ac:dyDescent="0.3">
      <c r="B46" s="166" t="s">
        <v>2872</v>
      </c>
      <c r="C46" s="166">
        <v>20</v>
      </c>
      <c r="D46" s="166">
        <v>20</v>
      </c>
      <c r="E46" s="166">
        <v>8</v>
      </c>
      <c r="F46" s="166">
        <v>0</v>
      </c>
      <c r="G46" s="166">
        <v>18</v>
      </c>
      <c r="H46" s="166">
        <v>18</v>
      </c>
      <c r="J46" s="456" t="s">
        <v>2803</v>
      </c>
      <c r="L46" s="456" t="s">
        <v>2803</v>
      </c>
      <c r="M46" s="166" t="s">
        <v>1494</v>
      </c>
      <c r="N46" s="166">
        <v>20</v>
      </c>
      <c r="O46" s="166">
        <v>2</v>
      </c>
    </row>
    <row r="47" spans="1:15" x14ac:dyDescent="0.3">
      <c r="B47" s="166" t="s">
        <v>2873</v>
      </c>
      <c r="C47" s="166">
        <v>29</v>
      </c>
      <c r="D47" s="166">
        <v>29</v>
      </c>
      <c r="E47" s="166">
        <v>11</v>
      </c>
      <c r="F47" s="166">
        <v>0</v>
      </c>
      <c r="G47" s="166">
        <v>27</v>
      </c>
      <c r="H47" s="166">
        <v>27</v>
      </c>
      <c r="J47" s="456" t="s">
        <v>2803</v>
      </c>
      <c r="L47" s="456" t="s">
        <v>2803</v>
      </c>
      <c r="M47" s="166" t="s">
        <v>1494</v>
      </c>
      <c r="N47" s="166">
        <v>29</v>
      </c>
      <c r="O47" s="166">
        <v>2</v>
      </c>
    </row>
    <row r="48" spans="1:15" x14ac:dyDescent="0.3">
      <c r="B48" s="166" t="s">
        <v>2874</v>
      </c>
      <c r="C48" s="166">
        <v>5</v>
      </c>
      <c r="D48" s="166">
        <v>5</v>
      </c>
      <c r="E48" s="166">
        <v>5</v>
      </c>
      <c r="F48" s="166">
        <v>0</v>
      </c>
      <c r="G48" s="166">
        <v>4</v>
      </c>
      <c r="H48" s="166">
        <v>4</v>
      </c>
      <c r="J48" s="456" t="s">
        <v>2803</v>
      </c>
      <c r="L48" s="456" t="s">
        <v>2803</v>
      </c>
      <c r="M48" s="166" t="s">
        <v>1494</v>
      </c>
      <c r="N48" s="166">
        <v>5</v>
      </c>
      <c r="O48" s="166">
        <v>1</v>
      </c>
    </row>
    <row r="49" spans="1:15" x14ac:dyDescent="0.3">
      <c r="A49" s="166" t="s">
        <v>96</v>
      </c>
      <c r="C49" s="166">
        <v>10</v>
      </c>
      <c r="D49" s="166">
        <v>10</v>
      </c>
      <c r="E49" s="166">
        <v>0</v>
      </c>
      <c r="F49" s="166">
        <v>0</v>
      </c>
      <c r="G49" s="166">
        <v>4</v>
      </c>
      <c r="H49" s="166">
        <v>4</v>
      </c>
      <c r="J49" s="456" t="s">
        <v>2803</v>
      </c>
      <c r="L49" s="456" t="s">
        <v>2803</v>
      </c>
      <c r="N49" s="166" t="s">
        <v>2803</v>
      </c>
      <c r="O49" s="166" t="s">
        <v>2803</v>
      </c>
    </row>
    <row r="50" spans="1:15" x14ac:dyDescent="0.3">
      <c r="B50" s="166" t="s">
        <v>2875</v>
      </c>
      <c r="C50" s="166">
        <v>1</v>
      </c>
      <c r="D50" s="166">
        <v>1</v>
      </c>
      <c r="E50" s="166">
        <v>0</v>
      </c>
      <c r="F50" s="166">
        <v>0</v>
      </c>
      <c r="G50" s="166">
        <v>1</v>
      </c>
      <c r="H50" s="166">
        <v>1</v>
      </c>
      <c r="J50" s="456" t="s">
        <v>2803</v>
      </c>
      <c r="K50" s="456" t="s">
        <v>1494</v>
      </c>
      <c r="L50" s="456">
        <v>1</v>
      </c>
      <c r="N50" s="166" t="s">
        <v>2803</v>
      </c>
      <c r="O50" s="166" t="s">
        <v>2803</v>
      </c>
    </row>
    <row r="51" spans="1:15" x14ac:dyDescent="0.3">
      <c r="B51" s="166" t="s">
        <v>2821</v>
      </c>
      <c r="C51" s="166">
        <v>9</v>
      </c>
      <c r="D51" s="166">
        <v>9</v>
      </c>
      <c r="E51" s="166">
        <v>0</v>
      </c>
      <c r="F51" s="166">
        <v>0</v>
      </c>
      <c r="G51" s="166">
        <v>3</v>
      </c>
      <c r="H51" s="166">
        <v>3</v>
      </c>
      <c r="J51" s="456" t="s">
        <v>2803</v>
      </c>
      <c r="L51" s="456" t="s">
        <v>2803</v>
      </c>
      <c r="M51" s="166" t="s">
        <v>1494</v>
      </c>
      <c r="N51" s="166">
        <v>9</v>
      </c>
      <c r="O51" s="166">
        <v>6</v>
      </c>
    </row>
    <row r="52" spans="1:15" x14ac:dyDescent="0.3">
      <c r="A52" s="166" t="s">
        <v>97</v>
      </c>
      <c r="C52" s="166">
        <v>134</v>
      </c>
      <c r="D52" s="166">
        <v>134</v>
      </c>
      <c r="E52" s="166">
        <v>2</v>
      </c>
      <c r="F52" s="166">
        <v>0</v>
      </c>
      <c r="G52" s="166">
        <v>92</v>
      </c>
      <c r="H52" s="166">
        <v>92</v>
      </c>
      <c r="J52" s="456" t="s">
        <v>2803</v>
      </c>
      <c r="L52" s="456" t="s">
        <v>2803</v>
      </c>
      <c r="N52" s="166" t="s">
        <v>2803</v>
      </c>
      <c r="O52" s="166" t="s">
        <v>2803</v>
      </c>
    </row>
    <row r="53" spans="1:15" x14ac:dyDescent="0.3">
      <c r="B53" s="166" t="s">
        <v>918</v>
      </c>
      <c r="C53" s="166">
        <v>7</v>
      </c>
      <c r="D53" s="166">
        <v>7</v>
      </c>
      <c r="E53" s="166">
        <v>2</v>
      </c>
      <c r="F53" s="166">
        <v>0</v>
      </c>
      <c r="G53" s="166">
        <v>2</v>
      </c>
      <c r="H53" s="166">
        <v>2</v>
      </c>
      <c r="J53" s="456" t="s">
        <v>2803</v>
      </c>
      <c r="L53" s="456" t="s">
        <v>2803</v>
      </c>
      <c r="M53" s="166" t="s">
        <v>1494</v>
      </c>
      <c r="N53" s="166">
        <v>7</v>
      </c>
      <c r="O53" s="166">
        <v>5</v>
      </c>
    </row>
    <row r="54" spans="1:15" x14ac:dyDescent="0.3">
      <c r="B54" s="166" t="s">
        <v>936</v>
      </c>
      <c r="C54" s="166">
        <v>9</v>
      </c>
      <c r="D54" s="166">
        <v>9</v>
      </c>
      <c r="E54" s="166">
        <v>0</v>
      </c>
      <c r="F54" s="166">
        <v>0</v>
      </c>
      <c r="G54" s="166">
        <v>9</v>
      </c>
      <c r="H54" s="166">
        <v>9</v>
      </c>
      <c r="J54" s="456" t="s">
        <v>2803</v>
      </c>
      <c r="K54" s="456" t="s">
        <v>1494</v>
      </c>
      <c r="L54" s="456">
        <v>9</v>
      </c>
      <c r="N54" s="166" t="s">
        <v>2803</v>
      </c>
      <c r="O54" s="166" t="s">
        <v>2803</v>
      </c>
    </row>
    <row r="55" spans="1:15" x14ac:dyDescent="0.3">
      <c r="B55" s="166" t="s">
        <v>2876</v>
      </c>
      <c r="C55" s="166">
        <v>112</v>
      </c>
      <c r="D55" s="166">
        <v>112</v>
      </c>
      <c r="E55" s="166">
        <v>0</v>
      </c>
      <c r="F55" s="166">
        <v>0</v>
      </c>
      <c r="G55" s="166">
        <v>75</v>
      </c>
      <c r="H55" s="166">
        <v>75</v>
      </c>
      <c r="J55" s="456" t="s">
        <v>2803</v>
      </c>
      <c r="L55" s="456" t="s">
        <v>2803</v>
      </c>
      <c r="M55" s="166" t="s">
        <v>1494</v>
      </c>
      <c r="N55" s="166">
        <v>112</v>
      </c>
      <c r="O55" s="166">
        <v>37</v>
      </c>
    </row>
    <row r="56" spans="1:15" x14ac:dyDescent="0.3">
      <c r="B56" s="166" t="s">
        <v>2877</v>
      </c>
      <c r="C56" s="166">
        <v>2</v>
      </c>
      <c r="D56" s="166">
        <v>2</v>
      </c>
      <c r="E56" s="166">
        <v>0</v>
      </c>
      <c r="F56" s="166">
        <v>0</v>
      </c>
      <c r="G56" s="166">
        <v>2</v>
      </c>
      <c r="H56" s="166">
        <v>2</v>
      </c>
      <c r="J56" s="456" t="s">
        <v>2803</v>
      </c>
      <c r="K56" s="456" t="s">
        <v>1494</v>
      </c>
      <c r="L56" s="456">
        <v>2</v>
      </c>
      <c r="N56" s="166" t="s">
        <v>2803</v>
      </c>
      <c r="O56" s="166" t="s">
        <v>2803</v>
      </c>
    </row>
    <row r="57" spans="1:15" x14ac:dyDescent="0.3">
      <c r="B57" s="166" t="s">
        <v>2878</v>
      </c>
      <c r="C57" s="166">
        <v>3</v>
      </c>
      <c r="D57" s="166">
        <v>3</v>
      </c>
      <c r="E57" s="166">
        <v>0</v>
      </c>
      <c r="F57" s="166">
        <v>0</v>
      </c>
      <c r="G57" s="166">
        <v>3</v>
      </c>
      <c r="H57" s="166">
        <v>3</v>
      </c>
      <c r="J57" s="456" t="s">
        <v>2803</v>
      </c>
      <c r="K57" s="456" t="s">
        <v>1494</v>
      </c>
      <c r="L57" s="456">
        <v>3</v>
      </c>
      <c r="N57" s="166" t="s">
        <v>2803</v>
      </c>
      <c r="O57" s="166" t="s">
        <v>2803</v>
      </c>
    </row>
    <row r="58" spans="1:15" x14ac:dyDescent="0.3">
      <c r="B58" s="166" t="s">
        <v>932</v>
      </c>
      <c r="C58" s="166">
        <v>1</v>
      </c>
      <c r="D58" s="166">
        <v>1</v>
      </c>
      <c r="E58" s="166">
        <v>0</v>
      </c>
      <c r="F58" s="166">
        <v>0</v>
      </c>
      <c r="G58" s="166">
        <v>1</v>
      </c>
      <c r="H58" s="166">
        <v>1</v>
      </c>
      <c r="J58" s="456" t="s">
        <v>2803</v>
      </c>
      <c r="K58" s="456" t="s">
        <v>1494</v>
      </c>
      <c r="L58" s="456">
        <v>1</v>
      </c>
      <c r="N58" s="166" t="s">
        <v>2803</v>
      </c>
      <c r="O58" s="166" t="s">
        <v>2803</v>
      </c>
    </row>
    <row r="59" spans="1:15" x14ac:dyDescent="0.3">
      <c r="A59" s="166" t="s">
        <v>98</v>
      </c>
      <c r="C59" s="166">
        <v>1</v>
      </c>
      <c r="D59" s="166">
        <v>1</v>
      </c>
      <c r="E59" s="166">
        <v>0</v>
      </c>
      <c r="F59" s="166">
        <v>0</v>
      </c>
      <c r="G59" s="166">
        <v>1</v>
      </c>
      <c r="H59" s="166">
        <v>1</v>
      </c>
      <c r="J59" s="456" t="s">
        <v>2803</v>
      </c>
      <c r="L59" s="456" t="s">
        <v>2803</v>
      </c>
      <c r="N59" s="166" t="s">
        <v>2803</v>
      </c>
      <c r="O59" s="166" t="s">
        <v>2803</v>
      </c>
    </row>
    <row r="60" spans="1:15" x14ac:dyDescent="0.3">
      <c r="B60" s="166" t="s">
        <v>2879</v>
      </c>
      <c r="C60" s="166">
        <v>1</v>
      </c>
      <c r="D60" s="166">
        <v>1</v>
      </c>
      <c r="E60" s="166">
        <v>0</v>
      </c>
      <c r="F60" s="166">
        <v>0</v>
      </c>
      <c r="G60" s="166">
        <v>1</v>
      </c>
      <c r="H60" s="166">
        <v>1</v>
      </c>
      <c r="J60" s="456" t="s">
        <v>2803</v>
      </c>
      <c r="K60" s="456" t="s">
        <v>1494</v>
      </c>
      <c r="L60" s="456">
        <v>1</v>
      </c>
      <c r="N60" s="166" t="s">
        <v>2803</v>
      </c>
      <c r="O60" s="166" t="s">
        <v>2803</v>
      </c>
    </row>
    <row r="61" spans="1:15" x14ac:dyDescent="0.3">
      <c r="A61" s="166" t="s">
        <v>99</v>
      </c>
      <c r="C61" s="166">
        <v>0</v>
      </c>
      <c r="D61" s="166">
        <v>0</v>
      </c>
      <c r="E61" s="166">
        <v>0</v>
      </c>
      <c r="F61" s="166">
        <v>0</v>
      </c>
      <c r="G61" s="166">
        <v>0</v>
      </c>
      <c r="H61" s="166">
        <v>0</v>
      </c>
      <c r="J61" s="456" t="s">
        <v>2803</v>
      </c>
      <c r="L61" s="456" t="s">
        <v>2803</v>
      </c>
      <c r="N61" s="166" t="s">
        <v>2803</v>
      </c>
      <c r="O61" s="166" t="s">
        <v>2803</v>
      </c>
    </row>
    <row r="62" spans="1:15" x14ac:dyDescent="0.3">
      <c r="B62" s="166" t="s">
        <v>99</v>
      </c>
      <c r="C62" s="166">
        <v>0</v>
      </c>
      <c r="D62" s="166">
        <v>0</v>
      </c>
      <c r="E62" s="166">
        <v>0</v>
      </c>
      <c r="F62" s="166">
        <v>0</v>
      </c>
      <c r="G62" s="166">
        <v>0</v>
      </c>
      <c r="H62" s="166">
        <v>0</v>
      </c>
      <c r="J62" s="456" t="s">
        <v>2803</v>
      </c>
      <c r="L62" s="456" t="s">
        <v>2803</v>
      </c>
      <c r="N62" s="166" t="s">
        <v>2803</v>
      </c>
      <c r="O62" s="166" t="s">
        <v>2803</v>
      </c>
    </row>
    <row r="63" spans="1:15" x14ac:dyDescent="0.3">
      <c r="A63" s="166" t="s">
        <v>2880</v>
      </c>
      <c r="C63" s="166">
        <v>9</v>
      </c>
      <c r="D63" s="166">
        <v>6</v>
      </c>
      <c r="E63" s="166">
        <v>0</v>
      </c>
      <c r="F63" s="166">
        <v>0</v>
      </c>
      <c r="G63" s="166">
        <v>0</v>
      </c>
      <c r="H63" s="166">
        <v>0</v>
      </c>
      <c r="J63" s="456" t="s">
        <v>2803</v>
      </c>
      <c r="L63" s="456" t="s">
        <v>2803</v>
      </c>
      <c r="N63" s="166" t="s">
        <v>2803</v>
      </c>
      <c r="O63" s="166" t="s">
        <v>2803</v>
      </c>
    </row>
    <row r="64" spans="1:15" x14ac:dyDescent="0.3">
      <c r="B64" s="166" t="s">
        <v>2880</v>
      </c>
      <c r="C64" s="166">
        <v>9</v>
      </c>
      <c r="D64" s="166">
        <v>6</v>
      </c>
      <c r="E64" s="166">
        <v>0</v>
      </c>
      <c r="F64" s="166">
        <v>0</v>
      </c>
      <c r="G64" s="166">
        <v>0</v>
      </c>
      <c r="H64" s="166">
        <v>0</v>
      </c>
      <c r="J64" s="456" t="s">
        <v>2803</v>
      </c>
      <c r="L64" s="456" t="s">
        <v>2803</v>
      </c>
      <c r="M64" s="166" t="s">
        <v>1494</v>
      </c>
      <c r="N64" s="166">
        <v>9</v>
      </c>
      <c r="O64" s="166">
        <v>9</v>
      </c>
    </row>
    <row r="65" spans="2:15" x14ac:dyDescent="0.3">
      <c r="C65" s="166">
        <v>536</v>
      </c>
      <c r="D65" s="166">
        <v>533</v>
      </c>
      <c r="E65" s="166">
        <v>273</v>
      </c>
      <c r="F65" s="166">
        <v>78</v>
      </c>
      <c r="G65" s="166">
        <v>439</v>
      </c>
      <c r="H65" s="166">
        <v>439</v>
      </c>
      <c r="I65" s="456">
        <v>0.1287313432835821</v>
      </c>
      <c r="J65" s="456">
        <v>69</v>
      </c>
      <c r="K65" s="456">
        <v>0.1455223880597015</v>
      </c>
      <c r="L65" s="456">
        <v>78</v>
      </c>
      <c r="M65" s="166">
        <v>0.58022388059701491</v>
      </c>
      <c r="N65" s="166">
        <v>311</v>
      </c>
      <c r="O65" s="166">
        <v>95</v>
      </c>
    </row>
    <row r="66" spans="2:15" x14ac:dyDescent="0.3">
      <c r="B66" s="166" t="s">
        <v>2909</v>
      </c>
      <c r="F66" s="166">
        <v>0.1455223880597015</v>
      </c>
      <c r="J66" s="456">
        <v>0.27425373134328357</v>
      </c>
      <c r="L66" s="456">
        <v>0.41977611940298509</v>
      </c>
      <c r="N66" s="166">
        <v>1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74"/>
  <sheetViews>
    <sheetView zoomScale="90" zoomScaleNormal="90" workbookViewId="0">
      <pane ySplit="2" topLeftCell="A7" activePane="bottomLeft" state="frozen"/>
      <selection pane="bottomLeft" activeCell="K83" sqref="K83"/>
    </sheetView>
  </sheetViews>
  <sheetFormatPr defaultColWidth="9" defaultRowHeight="15" x14ac:dyDescent="0.35"/>
  <cols>
    <col min="1" max="1" width="12.69921875" style="290" bestFit="1" customWidth="1"/>
    <col min="2" max="2" width="6.69921875" style="316" customWidth="1"/>
    <col min="3" max="3" width="9.19921875" style="317" customWidth="1"/>
    <col min="4" max="4" width="10.8984375" style="297" customWidth="1"/>
    <col min="5" max="5" width="11.19921875" style="293" customWidth="1"/>
    <col min="6" max="6" width="10.69921875" style="297" customWidth="1"/>
    <col min="7" max="7" width="11.69921875" style="297" customWidth="1"/>
    <col min="8" max="8" width="8.3984375" style="297" customWidth="1"/>
    <col min="9" max="9" width="15.3984375" style="297" customWidth="1"/>
    <col min="10" max="10" width="17.8984375" style="318" customWidth="1"/>
    <col min="11" max="11" width="6.19921875" style="331" customWidth="1"/>
    <col min="12" max="12" width="22.3984375" style="310" bestFit="1" customWidth="1"/>
    <col min="13" max="16" width="9" style="294" customWidth="1"/>
    <col min="17" max="16384" width="9" style="294"/>
  </cols>
  <sheetData>
    <row r="1" spans="1:12" ht="15" customHeight="1" x14ac:dyDescent="0.35">
      <c r="A1" s="617" t="s">
        <v>3075</v>
      </c>
      <c r="E1" s="297"/>
      <c r="I1" s="318"/>
      <c r="J1" s="319"/>
      <c r="K1" s="231"/>
      <c r="L1" s="294"/>
    </row>
    <row r="2" spans="1:12" s="47" customFormat="1" ht="15" customHeight="1" x14ac:dyDescent="0.3">
      <c r="A2" s="208" t="s">
        <v>64</v>
      </c>
      <c r="B2" s="332" t="s">
        <v>65</v>
      </c>
      <c r="C2" s="333" t="s">
        <v>66</v>
      </c>
      <c r="D2" s="209" t="s">
        <v>67</v>
      </c>
      <c r="E2" s="209" t="s">
        <v>68</v>
      </c>
      <c r="F2" s="209" t="s">
        <v>69</v>
      </c>
      <c r="G2" s="209" t="s">
        <v>70</v>
      </c>
      <c r="H2" s="209" t="s">
        <v>71</v>
      </c>
      <c r="I2" s="334" t="s">
        <v>72</v>
      </c>
      <c r="J2" s="335" t="s">
        <v>73</v>
      </c>
      <c r="K2" s="232" t="s">
        <v>74</v>
      </c>
    </row>
    <row r="3" spans="1:12" ht="15" hidden="1" customHeight="1" x14ac:dyDescent="0.35">
      <c r="A3" s="290">
        <v>44396</v>
      </c>
      <c r="B3" s="316">
        <f>表格1[[#This Row],[日期]]</f>
        <v>44396</v>
      </c>
      <c r="C3" s="317">
        <v>366</v>
      </c>
      <c r="D3" s="297">
        <f>COUNTIF(URS確認!K:K,"&lt;"&amp;A3+1)</f>
        <v>7</v>
      </c>
      <c r="E3" s="297" t="e">
        <f t="shared" ref="E3:E6" si="0">D7-D2</f>
        <v>#VALUE!</v>
      </c>
      <c r="F3" s="297" t="e">
        <f t="shared" ref="F3:G6" si="1">D7-D2</f>
        <v>#VALUE!</v>
      </c>
      <c r="G3" s="297" t="e">
        <f t="shared" si="1"/>
        <v>#VALUE!</v>
      </c>
      <c r="H3" s="297" t="e">
        <f>IF(表格1[[#This Row],[本周完成]]&gt;表格1[[#This Row],[本周預計]],"提前",IF(表格1[[#This Row],[本周完成]]&lt;表格1[[#This Row],[本周預計]],"延遲","如期"))</f>
        <v>#VALUE!</v>
      </c>
      <c r="I3" s="318">
        <f>表格1[[#This Row],[累計預估]]/表格1[[#This Row],[合計數]]</f>
        <v>1.912568306010929E-2</v>
      </c>
      <c r="J3" s="318" t="e">
        <f>表格1[[#This Row],[累計完成]]/表格1[[#This Row],[合計數]]</f>
        <v>#VALUE!</v>
      </c>
      <c r="K3" s="336"/>
      <c r="L3" s="294"/>
    </row>
    <row r="4" spans="1:12" ht="15" hidden="1" customHeight="1" x14ac:dyDescent="0.35">
      <c r="A4" s="290">
        <v>44397</v>
      </c>
      <c r="B4" s="316">
        <f>表格1[[#This Row],[日期]]</f>
        <v>44397</v>
      </c>
      <c r="C4" s="317">
        <v>366</v>
      </c>
      <c r="D4" s="297">
        <f>COUNTIF(URS確認!K:K,"&lt;"&amp;A4+1)</f>
        <v>21</v>
      </c>
      <c r="E4" s="297">
        <f t="shared" si="0"/>
        <v>36</v>
      </c>
      <c r="F4" s="297">
        <f t="shared" si="1"/>
        <v>36</v>
      </c>
      <c r="G4" s="297" t="e">
        <f t="shared" si="1"/>
        <v>#VALUE!</v>
      </c>
      <c r="H4" s="297" t="e">
        <f>IF(表格1[[#This Row],[本周完成]]&gt;表格1[[#This Row],[本周預計]],"提前",IF(表格1[[#This Row],[本周完成]]&lt;表格1[[#This Row],[本周預計]],"延遲","如期"))</f>
        <v>#VALUE!</v>
      </c>
      <c r="I4" s="318">
        <f>表格1[[#This Row],[累計預估]]/表格1[[#This Row],[合計數]]</f>
        <v>5.737704918032787E-2</v>
      </c>
      <c r="J4" s="318">
        <f>表格1[[#This Row],[累計完成]]/表格1[[#This Row],[合計數]]</f>
        <v>9.8360655737704916E-2</v>
      </c>
      <c r="K4" s="336"/>
      <c r="L4" s="294"/>
    </row>
    <row r="5" spans="1:12" ht="15" hidden="1" customHeight="1" x14ac:dyDescent="0.35">
      <c r="A5" s="290">
        <v>44398</v>
      </c>
      <c r="B5" s="316">
        <f>表格1[[#This Row],[日期]]</f>
        <v>44398</v>
      </c>
      <c r="C5" s="317">
        <v>366</v>
      </c>
      <c r="D5" s="297">
        <f>COUNTIF(URS確認!K:K,"&lt;"&amp;A5+1)</f>
        <v>25</v>
      </c>
      <c r="E5" s="297">
        <f t="shared" si="0"/>
        <v>34</v>
      </c>
      <c r="F5" s="297">
        <f t="shared" si="1"/>
        <v>34</v>
      </c>
      <c r="G5" s="297">
        <f t="shared" si="1"/>
        <v>14</v>
      </c>
      <c r="H5" s="297" t="str">
        <f>IF(表格1[[#This Row],[本周完成]]&gt;表格1[[#This Row],[本周預計]],"提前",IF(表格1[[#This Row],[本周完成]]&lt;表格1[[#This Row],[本周預計]],"延遲","如期"))</f>
        <v>延遲</v>
      </c>
      <c r="I5" s="318">
        <f>表格1[[#This Row],[累計預估]]/表格1[[#This Row],[合計數]]</f>
        <v>6.8306010928961755E-2</v>
      </c>
      <c r="J5" s="318">
        <f>表格1[[#This Row],[累計完成]]/表格1[[#This Row],[合計數]]</f>
        <v>9.2896174863387984E-2</v>
      </c>
      <c r="K5" s="336"/>
      <c r="L5" s="294"/>
    </row>
    <row r="6" spans="1:12" ht="15" hidden="1" customHeight="1" x14ac:dyDescent="0.35">
      <c r="A6" s="290">
        <v>44399</v>
      </c>
      <c r="B6" s="316">
        <f>表格1[[#This Row],[日期]]</f>
        <v>44399</v>
      </c>
      <c r="C6" s="317">
        <v>366</v>
      </c>
      <c r="D6" s="297">
        <f>COUNTIF(URS確認!K:K,"&lt;"&amp;A6+1)</f>
        <v>34</v>
      </c>
      <c r="E6" s="297">
        <f t="shared" si="0"/>
        <v>30</v>
      </c>
      <c r="F6" s="297">
        <f t="shared" si="1"/>
        <v>30</v>
      </c>
      <c r="G6" s="297">
        <f t="shared" si="1"/>
        <v>21</v>
      </c>
      <c r="H6" s="297" t="str">
        <f>IF(表格1[[#This Row],[本周完成]]&gt;表格1[[#This Row],[本周預計]],"提前",IF(表格1[[#This Row],[本周完成]]&lt;表格1[[#This Row],[本周預計]],"延遲","如期"))</f>
        <v>延遲</v>
      </c>
      <c r="I6" s="318">
        <f>表格1[[#This Row],[累計預估]]/表格1[[#This Row],[合計數]]</f>
        <v>9.2896174863387984E-2</v>
      </c>
      <c r="J6" s="318">
        <f>表格1[[#This Row],[累計完成]]/表格1[[#This Row],[合計數]]</f>
        <v>8.1967213114754092E-2</v>
      </c>
      <c r="K6" s="336"/>
      <c r="L6" s="294"/>
    </row>
    <row r="7" spans="1:12" ht="15" customHeight="1" x14ac:dyDescent="0.35">
      <c r="A7" s="48">
        <v>44400</v>
      </c>
      <c r="B7" s="337">
        <f>表格1[[#This Row],[日期]]</f>
        <v>44400</v>
      </c>
      <c r="C7" s="338">
        <v>366</v>
      </c>
      <c r="D7" s="83">
        <f>COUNTIF(URS確認!K:K,"&lt;"&amp;A7+1)</f>
        <v>34</v>
      </c>
      <c r="E7" s="83">
        <f>COUNTIF(URS確認!L:L,"&lt;"&amp;A7+1)</f>
        <v>36</v>
      </c>
      <c r="F7" s="83">
        <f>表格1[[#This Row],[累計預估]]</f>
        <v>34</v>
      </c>
      <c r="G7" s="83">
        <f>表格1[[#This Row],[累計完成]]</f>
        <v>36</v>
      </c>
      <c r="H7" s="83" t="str">
        <f>IF(表格1[[#This Row],[本周完成]]&gt;表格1[[#This Row],[本周預計]],"提前",IF(表格1[[#This Row],[本周完成]]&lt;表格1[[#This Row],[本周預計]],"延遲","如期"))</f>
        <v>提前</v>
      </c>
      <c r="I7" s="339">
        <f>表格1[[#This Row],[累計預估]]/表格1[[#This Row],[合計數]]</f>
        <v>9.2896174863387984E-2</v>
      </c>
      <c r="J7" s="339">
        <f>表格1[[#This Row],[累計完成]]/表格1[[#This Row],[合計數]]</f>
        <v>9.8360655737704916E-2</v>
      </c>
      <c r="K7" s="336"/>
      <c r="L7" s="294"/>
    </row>
    <row r="8" spans="1:12" ht="15" hidden="1" customHeight="1" x14ac:dyDescent="0.35">
      <c r="A8" s="290">
        <v>44403</v>
      </c>
      <c r="B8" s="316">
        <f>表格1[[#This Row],[日期]]</f>
        <v>44403</v>
      </c>
      <c r="C8" s="317">
        <v>366</v>
      </c>
      <c r="D8" s="297">
        <f>COUNTIF(URS確認!K:K,"&lt;"&amp;A8+1)</f>
        <v>43</v>
      </c>
      <c r="E8" s="83">
        <f>COUNTIF(URS確認!L:L,"&lt;"&amp;A8+1)</f>
        <v>45</v>
      </c>
      <c r="F8" s="297">
        <f t="shared" ref="F8:G11" si="2">D12-D7</f>
        <v>21</v>
      </c>
      <c r="G8" s="297">
        <f t="shared" si="2"/>
        <v>19</v>
      </c>
      <c r="H8" s="297" t="str">
        <f>IF(表格1[[#This Row],[本周完成]]&gt;表格1[[#This Row],[本周預計]],"提前",IF(表格1[[#This Row],[本周完成]]&lt;表格1[[#This Row],[本周預計]],"延遲","如期"))</f>
        <v>延遲</v>
      </c>
      <c r="I8" s="339">
        <f>表格1[[#This Row],[累計預估]]/表格1[[#This Row],[合計數]]</f>
        <v>0.11748633879781421</v>
      </c>
      <c r="J8" s="339">
        <f>表格1[[#This Row],[累計完成]]/表格1[[#This Row],[合計數]]</f>
        <v>0.12295081967213115</v>
      </c>
      <c r="K8" s="336"/>
      <c r="L8" s="294"/>
    </row>
    <row r="9" spans="1:12" ht="15" hidden="1" customHeight="1" x14ac:dyDescent="0.35">
      <c r="A9" s="290">
        <v>44404</v>
      </c>
      <c r="B9" s="316">
        <f>表格1[[#This Row],[日期]]</f>
        <v>44404</v>
      </c>
      <c r="C9" s="317">
        <v>366</v>
      </c>
      <c r="D9" s="297">
        <f>COUNTIF(URS確認!K:K,"&lt;"&amp;A9+1)</f>
        <v>55</v>
      </c>
      <c r="E9" s="83">
        <f>COUNTIF(URS確認!L:L,"&lt;"&amp;A9+1)</f>
        <v>50</v>
      </c>
      <c r="F9" s="297">
        <f t="shared" si="2"/>
        <v>12</v>
      </c>
      <c r="G9" s="297">
        <f t="shared" si="2"/>
        <v>10</v>
      </c>
      <c r="H9" s="297" t="str">
        <f>IF(表格1[[#This Row],[本周完成]]&gt;表格1[[#This Row],[本周預計]],"提前",IF(表格1[[#This Row],[本周完成]]&lt;表格1[[#This Row],[本周預計]],"延遲","如期"))</f>
        <v>延遲</v>
      </c>
      <c r="I9" s="339">
        <f>表格1[[#This Row],[累計預估]]/表格1[[#This Row],[合計數]]</f>
        <v>0.15027322404371585</v>
      </c>
      <c r="J9" s="339">
        <f>表格1[[#This Row],[累計完成]]/表格1[[#This Row],[合計數]]</f>
        <v>0.13661202185792351</v>
      </c>
      <c r="K9" s="336"/>
      <c r="L9" s="294"/>
    </row>
    <row r="10" spans="1:12" ht="15" hidden="1" customHeight="1" x14ac:dyDescent="0.35">
      <c r="A10" s="290">
        <v>44405</v>
      </c>
      <c r="B10" s="316">
        <f>表格1[[#This Row],[日期]]</f>
        <v>44405</v>
      </c>
      <c r="C10" s="317">
        <v>368</v>
      </c>
      <c r="D10" s="297">
        <f>COUNTIF(URS確認!K:K,"&lt;"&amp;A10+1)</f>
        <v>55</v>
      </c>
      <c r="E10" s="83">
        <f>COUNTIF(URS確認!L:L,"&lt;"&amp;A10+1)</f>
        <v>55</v>
      </c>
      <c r="F10" s="297">
        <f t="shared" si="2"/>
        <v>0</v>
      </c>
      <c r="G10" s="297">
        <f t="shared" si="2"/>
        <v>5</v>
      </c>
      <c r="H10" s="297" t="str">
        <f>IF(表格1[[#This Row],[本周完成]]&gt;表格1[[#This Row],[本周預計]],"提前",IF(表格1[[#This Row],[本周完成]]&lt;表格1[[#This Row],[本周預計]],"延遲","如期"))</f>
        <v>提前</v>
      </c>
      <c r="I10" s="339">
        <f>表格1[[#This Row],[累計預估]]/表格1[[#This Row],[合計數]]</f>
        <v>0.14945652173913043</v>
      </c>
      <c r="J10" s="339">
        <f>表格1[[#This Row],[累計完成]]/表格1[[#This Row],[合計數]]</f>
        <v>0.14945652173913043</v>
      </c>
      <c r="K10" s="336"/>
      <c r="L10" s="294"/>
    </row>
    <row r="11" spans="1:12" ht="14.5" hidden="1" customHeight="1" x14ac:dyDescent="0.35">
      <c r="A11" s="290">
        <v>44406</v>
      </c>
      <c r="B11" s="316">
        <f>表格1[[#This Row],[日期]]</f>
        <v>44406</v>
      </c>
      <c r="C11" s="317">
        <v>368</v>
      </c>
      <c r="D11" s="297">
        <f>COUNTIF(URS確認!K:K,"&lt;"&amp;A11+1)</f>
        <v>55</v>
      </c>
      <c r="E11" s="83">
        <f>COUNTIF(URS確認!L:L,"&lt;"&amp;A11+1)</f>
        <v>55</v>
      </c>
      <c r="F11" s="297">
        <f t="shared" si="2"/>
        <v>0</v>
      </c>
      <c r="G11" s="297">
        <f t="shared" si="2"/>
        <v>0</v>
      </c>
      <c r="H11" s="297" t="str">
        <f>IF(表格1[[#This Row],[本周完成]]&gt;表格1[[#This Row],[本周預計]],"提前",IF(表格1[[#This Row],[本周完成]]&lt;表格1[[#This Row],[本周預計]],"延遲","如期"))</f>
        <v>如期</v>
      </c>
      <c r="I11" s="339">
        <f>表格1[[#This Row],[累計預估]]/表格1[[#This Row],[合計數]]</f>
        <v>0.14945652173913043</v>
      </c>
      <c r="J11" s="339">
        <f>表格1[[#This Row],[累計完成]]/表格1[[#This Row],[合計數]]</f>
        <v>0.14945652173913043</v>
      </c>
      <c r="K11" s="336"/>
      <c r="L11" s="294"/>
    </row>
    <row r="12" spans="1:12" ht="15" customHeight="1" x14ac:dyDescent="0.35">
      <c r="A12" s="48">
        <v>44407</v>
      </c>
      <c r="B12" s="337">
        <f>表格1[[#This Row],[日期]]</f>
        <v>44407</v>
      </c>
      <c r="C12" s="338">
        <v>368</v>
      </c>
      <c r="D12" s="83">
        <f>COUNTIF(URS確認!K:K,"&lt;"&amp;A12+1)</f>
        <v>55</v>
      </c>
      <c r="E12" s="83">
        <f>COUNTIF(URS確認!L:L,"&lt;"&amp;A12+1)</f>
        <v>55</v>
      </c>
      <c r="F12" s="83">
        <f>表格1[[#This Row],[累計預估]]-D7</f>
        <v>21</v>
      </c>
      <c r="G12" s="83">
        <f>表格1[[#This Row],[累計完成]]-E7</f>
        <v>19</v>
      </c>
      <c r="H12" s="83" t="str">
        <f>IF(表格1[[#This Row],[本周完成]]&gt;表格1[[#This Row],[本周預計]],"提前",IF(表格1[[#This Row],[本周完成]]&lt;表格1[[#This Row],[本周預計]],"延遲","如期"))</f>
        <v>延遲</v>
      </c>
      <c r="I12" s="339">
        <f>表格1[[#This Row],[累計預估]]/表格1[[#This Row],[合計數]]</f>
        <v>0.14945652173913043</v>
      </c>
      <c r="J12" s="339">
        <f>表格1[[#This Row],[累計完成]]/表格1[[#This Row],[合計數]]</f>
        <v>0.14945652173913043</v>
      </c>
      <c r="K12" s="336"/>
      <c r="L12" s="294"/>
    </row>
    <row r="13" spans="1:12" ht="15" hidden="1" customHeight="1" x14ac:dyDescent="0.35">
      <c r="A13" s="290">
        <v>44410</v>
      </c>
      <c r="B13" s="316">
        <f>表格1[[#This Row],[日期]]</f>
        <v>44410</v>
      </c>
      <c r="C13" s="317">
        <v>368</v>
      </c>
      <c r="D13" s="297">
        <f>COUNTIF(URS確認!K:K,"&lt;"&amp;A13+1)</f>
        <v>55</v>
      </c>
      <c r="E13" s="83">
        <f>COUNTIF(URS確認!L:L,"&lt;"&amp;A13+1)</f>
        <v>55</v>
      </c>
      <c r="F13" s="297">
        <f t="shared" ref="F13:G16" si="3">D17-D12</f>
        <v>0</v>
      </c>
      <c r="G13" s="297">
        <f t="shared" si="3"/>
        <v>0</v>
      </c>
      <c r="H13" s="297" t="str">
        <f>IF(表格1[[#This Row],[本周完成]]&gt;表格1[[#This Row],[本周預計]],"提前",IF(表格1[[#This Row],[本周完成]]&lt;表格1[[#This Row],[本周預計]],"延遲","如期"))</f>
        <v>如期</v>
      </c>
      <c r="I13" s="339">
        <f>表格1[[#This Row],[累計預估]]/表格1[[#This Row],[合計數]]</f>
        <v>0.14945652173913043</v>
      </c>
      <c r="J13" s="339">
        <f>表格1[[#This Row],[累計完成]]/表格1[[#This Row],[合計數]]</f>
        <v>0.14945652173913043</v>
      </c>
      <c r="K13" s="336"/>
      <c r="L13" s="294"/>
    </row>
    <row r="14" spans="1:12" ht="15" hidden="1" customHeight="1" x14ac:dyDescent="0.35">
      <c r="A14" s="290">
        <v>44411</v>
      </c>
      <c r="B14" s="316">
        <f>表格1[[#This Row],[日期]]</f>
        <v>44411</v>
      </c>
      <c r="C14" s="317">
        <v>368</v>
      </c>
      <c r="D14" s="297">
        <f>COUNTIF(URS確認!K:K,"&lt;"&amp;A14+1)</f>
        <v>55</v>
      </c>
      <c r="E14" s="83">
        <f>COUNTIF(URS確認!L:L,"&lt;"&amp;A14+1)</f>
        <v>55</v>
      </c>
      <c r="F14" s="297">
        <f t="shared" si="3"/>
        <v>0</v>
      </c>
      <c r="G14" s="297">
        <f t="shared" si="3"/>
        <v>0</v>
      </c>
      <c r="H14" s="297" t="str">
        <f>IF(表格1[[#This Row],[本周完成]]&gt;表格1[[#This Row],[本周預計]],"提前",IF(表格1[[#This Row],[本周完成]]&lt;表格1[[#This Row],[本周預計]],"延遲","如期"))</f>
        <v>如期</v>
      </c>
      <c r="I14" s="339">
        <f>表格1[[#This Row],[累計預估]]/表格1[[#This Row],[合計數]]</f>
        <v>0.14945652173913043</v>
      </c>
      <c r="J14" s="339">
        <f>表格1[[#This Row],[累計完成]]/表格1[[#This Row],[合計數]]</f>
        <v>0.14945652173913043</v>
      </c>
      <c r="K14" s="336"/>
      <c r="L14" s="294"/>
    </row>
    <row r="15" spans="1:12" ht="15" hidden="1" customHeight="1" x14ac:dyDescent="0.35">
      <c r="A15" s="290">
        <v>44412</v>
      </c>
      <c r="B15" s="316">
        <f>表格1[[#This Row],[日期]]</f>
        <v>44412</v>
      </c>
      <c r="C15" s="317">
        <v>368</v>
      </c>
      <c r="D15" s="297">
        <f>COUNTIF(URS確認!K:K,"&lt;"&amp;A15+1)</f>
        <v>55</v>
      </c>
      <c r="E15" s="83">
        <f>COUNTIF(URS確認!L:L,"&lt;"&amp;A15+1)</f>
        <v>55</v>
      </c>
      <c r="F15" s="297">
        <f t="shared" si="3"/>
        <v>0</v>
      </c>
      <c r="G15" s="297">
        <f t="shared" si="3"/>
        <v>0</v>
      </c>
      <c r="H15" s="297" t="str">
        <f>IF(表格1[[#This Row],[本周完成]]&gt;表格1[[#This Row],[本周預計]],"提前",IF(表格1[[#This Row],[本周完成]]&lt;表格1[[#This Row],[本周預計]],"延遲","如期"))</f>
        <v>如期</v>
      </c>
      <c r="I15" s="339">
        <f>表格1[[#This Row],[累計預估]]/表格1[[#This Row],[合計數]]</f>
        <v>0.14945652173913043</v>
      </c>
      <c r="J15" s="339">
        <f>表格1[[#This Row],[累計完成]]/表格1[[#This Row],[合計數]]</f>
        <v>0.14945652173913043</v>
      </c>
      <c r="K15" s="336"/>
      <c r="L15" s="294"/>
    </row>
    <row r="16" spans="1:12" ht="15" hidden="1" customHeight="1" x14ac:dyDescent="0.35">
      <c r="A16" s="290">
        <v>44413</v>
      </c>
      <c r="B16" s="316">
        <f>表格1[[#This Row],[日期]]</f>
        <v>44413</v>
      </c>
      <c r="C16" s="317">
        <v>368</v>
      </c>
      <c r="D16" s="297">
        <f>COUNTIF(URS確認!K:K,"&lt;"&amp;A16+1)</f>
        <v>55</v>
      </c>
      <c r="E16" s="83">
        <f>COUNTIF(URS確認!L:L,"&lt;"&amp;A16+1)</f>
        <v>55</v>
      </c>
      <c r="F16" s="297">
        <f t="shared" si="3"/>
        <v>0</v>
      </c>
      <c r="G16" s="297">
        <f t="shared" si="3"/>
        <v>0</v>
      </c>
      <c r="H16" s="297" t="str">
        <f>IF(表格1[[#This Row],[本周完成]]&gt;表格1[[#This Row],[本周預計]],"提前",IF(表格1[[#This Row],[本周完成]]&lt;表格1[[#This Row],[本周預計]],"延遲","如期"))</f>
        <v>如期</v>
      </c>
      <c r="I16" s="339">
        <f>表格1[[#This Row],[累計預估]]/表格1[[#This Row],[合計數]]</f>
        <v>0.14945652173913043</v>
      </c>
      <c r="J16" s="339">
        <f>表格1[[#This Row],[累計完成]]/表格1[[#This Row],[合計數]]</f>
        <v>0.14945652173913043</v>
      </c>
      <c r="K16" s="336"/>
      <c r="L16" s="294"/>
    </row>
    <row r="17" spans="1:12" ht="15" hidden="1" customHeight="1" x14ac:dyDescent="0.35">
      <c r="A17" s="48">
        <v>44414</v>
      </c>
      <c r="B17" s="337">
        <f>表格1[[#This Row],[日期]]</f>
        <v>44414</v>
      </c>
      <c r="C17" s="338">
        <v>368</v>
      </c>
      <c r="D17" s="83">
        <f>COUNTIF(URS確認!K:K,"&lt;"&amp;A17+1)</f>
        <v>55</v>
      </c>
      <c r="E17" s="83">
        <f>COUNTIF(URS確認!L:L,"&lt;"&amp;A17+1)</f>
        <v>55</v>
      </c>
      <c r="F17" s="83">
        <f>表格1[[#This Row],[累計預估]]-D12</f>
        <v>0</v>
      </c>
      <c r="G17" s="83">
        <f>表格1[[#This Row],[累計完成]]-E12</f>
        <v>0</v>
      </c>
      <c r="H17" s="83" t="str">
        <f>IF(表格1[[#This Row],[本周完成]]&gt;表格1[[#This Row],[本周預計]],"提前",IF(表格1[[#This Row],[本周完成]]&lt;表格1[[#This Row],[本周預計]],"延遲","如期"))</f>
        <v>如期</v>
      </c>
      <c r="I17" s="339">
        <f>表格1[[#This Row],[累計預估]]/表格1[[#This Row],[合計數]]</f>
        <v>0.14945652173913043</v>
      </c>
      <c r="J17" s="339">
        <f>表格1[[#This Row],[累計完成]]/表格1[[#This Row],[合計數]]</f>
        <v>0.14945652173913043</v>
      </c>
      <c r="K17" s="336"/>
      <c r="L17" s="294"/>
    </row>
    <row r="18" spans="1:12" ht="15" hidden="1" customHeight="1" x14ac:dyDescent="0.35">
      <c r="A18" s="290">
        <v>44417</v>
      </c>
      <c r="B18" s="316">
        <f>表格1[[#This Row],[日期]]</f>
        <v>44417</v>
      </c>
      <c r="C18" s="317">
        <v>368</v>
      </c>
      <c r="D18" s="297">
        <f>COUNTIF(URS確認!K:K,"&lt;"&amp;A18+1)</f>
        <v>55</v>
      </c>
      <c r="E18" s="83">
        <f>COUNTIF(URS確認!L:L,"&lt;"&amp;A18+1)</f>
        <v>55</v>
      </c>
      <c r="F18" s="297">
        <f t="shared" ref="F18:G21" si="4">D22-D17</f>
        <v>0</v>
      </c>
      <c r="G18" s="297">
        <f t="shared" si="4"/>
        <v>0</v>
      </c>
      <c r="H18" s="297" t="str">
        <f>IF(表格1[[#This Row],[本周完成]]&gt;表格1[[#This Row],[本周預計]],"提前",IF(表格1[[#This Row],[本周完成]]&lt;表格1[[#This Row],[本周預計]],"延遲","如期"))</f>
        <v>如期</v>
      </c>
      <c r="I18" s="339">
        <f>表格1[[#This Row],[累計預估]]/表格1[[#This Row],[合計數]]</f>
        <v>0.14945652173913043</v>
      </c>
      <c r="J18" s="339">
        <f>表格1[[#This Row],[累計完成]]/表格1[[#This Row],[合計數]]</f>
        <v>0.14945652173913043</v>
      </c>
      <c r="K18" s="336"/>
      <c r="L18" s="294"/>
    </row>
    <row r="19" spans="1:12" ht="15" hidden="1" customHeight="1" x14ac:dyDescent="0.35">
      <c r="A19" s="290">
        <v>44418</v>
      </c>
      <c r="B19" s="316">
        <f>表格1[[#This Row],[日期]]</f>
        <v>44418</v>
      </c>
      <c r="C19" s="317">
        <v>368</v>
      </c>
      <c r="D19" s="297">
        <f>COUNTIF(URS確認!K:K,"&lt;"&amp;A19+1)</f>
        <v>55</v>
      </c>
      <c r="E19" s="83">
        <f>COUNTIF(URS確認!L:L,"&lt;"&amp;A19+1)</f>
        <v>55</v>
      </c>
      <c r="F19" s="297">
        <f t="shared" si="4"/>
        <v>0</v>
      </c>
      <c r="G19" s="297">
        <f t="shared" si="4"/>
        <v>0</v>
      </c>
      <c r="H19" s="297" t="str">
        <f>IF(表格1[[#This Row],[本周完成]]&gt;表格1[[#This Row],[本周預計]],"提前",IF(表格1[[#This Row],[本周完成]]&lt;表格1[[#This Row],[本周預計]],"延遲","如期"))</f>
        <v>如期</v>
      </c>
      <c r="I19" s="339">
        <f>表格1[[#This Row],[累計預估]]/表格1[[#This Row],[合計數]]</f>
        <v>0.14945652173913043</v>
      </c>
      <c r="J19" s="339">
        <f>表格1[[#This Row],[累計完成]]/表格1[[#This Row],[合計數]]</f>
        <v>0.14945652173913043</v>
      </c>
      <c r="K19" s="336"/>
      <c r="L19" s="294"/>
    </row>
    <row r="20" spans="1:12" ht="15" hidden="1" customHeight="1" x14ac:dyDescent="0.35">
      <c r="A20" s="290">
        <v>44419</v>
      </c>
      <c r="B20" s="316">
        <f>表格1[[#This Row],[日期]]</f>
        <v>44419</v>
      </c>
      <c r="C20" s="317">
        <v>368</v>
      </c>
      <c r="D20" s="297">
        <f>COUNTIF(URS確認!K:K,"&lt;"&amp;A20+1)</f>
        <v>55</v>
      </c>
      <c r="E20" s="83">
        <f>COUNTIF(URS確認!L:L,"&lt;"&amp;A20+1)</f>
        <v>55</v>
      </c>
      <c r="F20" s="297">
        <f t="shared" si="4"/>
        <v>0</v>
      </c>
      <c r="G20" s="297">
        <f t="shared" si="4"/>
        <v>0</v>
      </c>
      <c r="H20" s="297" t="str">
        <f>IF(表格1[[#This Row],[本周完成]]&gt;表格1[[#This Row],[本周預計]],"提前",IF(表格1[[#This Row],[本周完成]]&lt;表格1[[#This Row],[本周預計]],"延遲","如期"))</f>
        <v>如期</v>
      </c>
      <c r="I20" s="339">
        <f>表格1[[#This Row],[累計預估]]/表格1[[#This Row],[合計數]]</f>
        <v>0.14945652173913043</v>
      </c>
      <c r="J20" s="339">
        <f>表格1[[#This Row],[累計完成]]/表格1[[#This Row],[合計數]]</f>
        <v>0.14945652173913043</v>
      </c>
      <c r="K20" s="336"/>
      <c r="L20" s="294"/>
    </row>
    <row r="21" spans="1:12" ht="15" hidden="1" customHeight="1" x14ac:dyDescent="0.35">
      <c r="A21" s="290">
        <v>44420</v>
      </c>
      <c r="B21" s="316">
        <f>表格1[[#This Row],[日期]]</f>
        <v>44420</v>
      </c>
      <c r="C21" s="317">
        <v>368</v>
      </c>
      <c r="D21" s="297">
        <f>COUNTIF(URS確認!K:K,"&lt;"&amp;A21+1)</f>
        <v>55</v>
      </c>
      <c r="E21" s="83">
        <f>COUNTIF(URS確認!L:L,"&lt;"&amp;A21+1)</f>
        <v>55</v>
      </c>
      <c r="F21" s="297">
        <f t="shared" si="4"/>
        <v>0</v>
      </c>
      <c r="G21" s="297">
        <f t="shared" si="4"/>
        <v>0</v>
      </c>
      <c r="H21" s="297" t="str">
        <f>IF(表格1[[#This Row],[本周完成]]&gt;表格1[[#This Row],[本周預計]],"提前",IF(表格1[[#This Row],[本周完成]]&lt;表格1[[#This Row],[本周預計]],"延遲","如期"))</f>
        <v>如期</v>
      </c>
      <c r="I21" s="339">
        <f>表格1[[#This Row],[累計預估]]/表格1[[#This Row],[合計數]]</f>
        <v>0.14945652173913043</v>
      </c>
      <c r="J21" s="339">
        <f>表格1[[#This Row],[累計完成]]/表格1[[#This Row],[合計數]]</f>
        <v>0.14945652173913043</v>
      </c>
      <c r="K21" s="336"/>
      <c r="L21" s="294"/>
    </row>
    <row r="22" spans="1:12" ht="15" hidden="1" customHeight="1" x14ac:dyDescent="0.35">
      <c r="A22" s="48">
        <v>44421</v>
      </c>
      <c r="B22" s="337">
        <f>表格1[[#This Row],[日期]]</f>
        <v>44421</v>
      </c>
      <c r="C22" s="338">
        <v>368</v>
      </c>
      <c r="D22" s="83">
        <f>COUNTIF(URS確認!K:K,"&lt;"&amp;A22+1)</f>
        <v>55</v>
      </c>
      <c r="E22" s="83">
        <f>COUNTIF(URS確認!L:L,"&lt;"&amp;A22+1)</f>
        <v>55</v>
      </c>
      <c r="F22" s="83">
        <f>表格1[[#This Row],[累計預估]]-D17</f>
        <v>0</v>
      </c>
      <c r="G22" s="83">
        <f>表格1[[#This Row],[累計完成]]-E17</f>
        <v>0</v>
      </c>
      <c r="H22" s="83" t="str">
        <f>IF(表格1[[#This Row],[本周完成]]&gt;表格1[[#This Row],[本周預計]],"提前",IF(表格1[[#This Row],[本周完成]]&lt;表格1[[#This Row],[本周預計]],"延遲","如期"))</f>
        <v>如期</v>
      </c>
      <c r="I22" s="339">
        <f>表格1[[#This Row],[累計預估]]/表格1[[#This Row],[合計數]]</f>
        <v>0.14945652173913043</v>
      </c>
      <c r="J22" s="339">
        <f>表格1[[#This Row],[累計完成]]/表格1[[#This Row],[合計數]]</f>
        <v>0.14945652173913043</v>
      </c>
      <c r="K22" s="336"/>
      <c r="L22" s="294"/>
    </row>
    <row r="23" spans="1:12" ht="15" hidden="1" customHeight="1" x14ac:dyDescent="0.35">
      <c r="A23" s="106">
        <v>44424</v>
      </c>
      <c r="B23" s="340">
        <f>表格1[[#This Row],[日期]]</f>
        <v>44424</v>
      </c>
      <c r="C23" s="341">
        <f>COUNTA(URS確認!E:E)-1</f>
        <v>548</v>
      </c>
      <c r="D23" s="107">
        <f>COUNTIF(URS確認!K:K,"&lt;"&amp;A23+1)</f>
        <v>55</v>
      </c>
      <c r="E23" s="83">
        <f>COUNTIF(URS確認!L:L,"&lt;"&amp;A23+1)</f>
        <v>55</v>
      </c>
      <c r="F23" s="107">
        <f t="shared" ref="F23:G26" si="5">D27-D22</f>
        <v>0</v>
      </c>
      <c r="G23" s="107">
        <f t="shared" si="5"/>
        <v>0</v>
      </c>
      <c r="H23" s="107" t="str">
        <f>IF(表格1[[#This Row],[本周完成]]&gt;表格1[[#This Row],[本周預計]],"提前",IF(表格1[[#This Row],[本周完成]]&lt;表格1[[#This Row],[本周預計]],"延遲","如期"))</f>
        <v>如期</v>
      </c>
      <c r="I23" s="339">
        <f>表格1[[#This Row],[累計預估]]/表格1[[#This Row],[合計數]]</f>
        <v>0.10036496350364964</v>
      </c>
      <c r="J23" s="339">
        <f>表格1[[#This Row],[累計完成]]/表格1[[#This Row],[合計數]]</f>
        <v>0.10036496350364964</v>
      </c>
      <c r="K23" s="336"/>
      <c r="L23" s="294"/>
    </row>
    <row r="24" spans="1:12" ht="15" hidden="1" customHeight="1" x14ac:dyDescent="0.35">
      <c r="A24" s="109">
        <v>44425</v>
      </c>
      <c r="B24" s="342">
        <f>表格1[[#This Row],[日期]]</f>
        <v>44425</v>
      </c>
      <c r="C24" s="343">
        <f>COUNTA(URS確認!E:E)-1</f>
        <v>548</v>
      </c>
      <c r="D24" s="110">
        <f>COUNTIF(URS確認!K:K,"&lt;"&amp;A24+1)</f>
        <v>55</v>
      </c>
      <c r="E24" s="83">
        <f>COUNTIF(URS確認!L:L,"&lt;"&amp;A24+1)</f>
        <v>55</v>
      </c>
      <c r="F24" s="110">
        <f t="shared" si="5"/>
        <v>9</v>
      </c>
      <c r="G24" s="110">
        <f t="shared" si="5"/>
        <v>8</v>
      </c>
      <c r="H24" s="110" t="str">
        <f>IF(表格1[[#This Row],[本周完成]]&gt;表格1[[#This Row],[本周預計]],"提前",IF(表格1[[#This Row],[本周完成]]&lt;表格1[[#This Row],[本周預計]],"延遲","如期"))</f>
        <v>延遲</v>
      </c>
      <c r="I24" s="339">
        <f>表格1[[#This Row],[累計預估]]/表格1[[#This Row],[合計數]]</f>
        <v>0.10036496350364964</v>
      </c>
      <c r="J24" s="339">
        <f>表格1[[#This Row],[累計完成]]/表格1[[#This Row],[合計數]]</f>
        <v>0.10036496350364964</v>
      </c>
      <c r="K24" s="336"/>
      <c r="L24" s="294"/>
    </row>
    <row r="25" spans="1:12" ht="15" hidden="1" customHeight="1" x14ac:dyDescent="0.35">
      <c r="A25" s="109">
        <v>44426</v>
      </c>
      <c r="B25" s="342">
        <f>表格1[[#This Row],[日期]]</f>
        <v>44426</v>
      </c>
      <c r="C25" s="343">
        <f>COUNTA(URS確認!E:E)-1</f>
        <v>548</v>
      </c>
      <c r="D25" s="110">
        <f>COUNTIF(URS確認!K:K,"&lt;"&amp;A25+1)</f>
        <v>55</v>
      </c>
      <c r="E25" s="83">
        <f>COUNTIF(URS確認!L:L,"&lt;"&amp;A25+1)</f>
        <v>55</v>
      </c>
      <c r="F25" s="110">
        <f t="shared" si="5"/>
        <v>15</v>
      </c>
      <c r="G25" s="110">
        <f t="shared" si="5"/>
        <v>17</v>
      </c>
      <c r="H25" s="110" t="str">
        <f>IF(表格1[[#This Row],[本周完成]]&gt;表格1[[#This Row],[本周預計]],"提前",IF(表格1[[#This Row],[本周完成]]&lt;表格1[[#This Row],[本周預計]],"延遲","如期"))</f>
        <v>提前</v>
      </c>
      <c r="I25" s="339">
        <f>表格1[[#This Row],[累計預估]]/表格1[[#This Row],[合計數]]</f>
        <v>0.10036496350364964</v>
      </c>
      <c r="J25" s="339">
        <f>表格1[[#This Row],[累計完成]]/表格1[[#This Row],[合計數]]</f>
        <v>0.10036496350364964</v>
      </c>
      <c r="K25" s="336"/>
      <c r="L25" s="294"/>
    </row>
    <row r="26" spans="1:12" ht="15" hidden="1" customHeight="1" x14ac:dyDescent="0.35">
      <c r="A26" s="106">
        <v>44427</v>
      </c>
      <c r="B26" s="344">
        <f>表格1[[#This Row],[日期]]</f>
        <v>44427</v>
      </c>
      <c r="C26" s="345">
        <f>COUNTA(URS確認!E:E)-1</f>
        <v>548</v>
      </c>
      <c r="D26" s="115">
        <f>COUNTIF(URS確認!K:K,"&lt;"&amp;A26+1)</f>
        <v>55</v>
      </c>
      <c r="E26" s="83">
        <f>COUNTIF(URS確認!L:L,"&lt;"&amp;A26+1)</f>
        <v>55</v>
      </c>
      <c r="F26" s="115">
        <f t="shared" si="5"/>
        <v>21</v>
      </c>
      <c r="G26" s="115">
        <f t="shared" si="5"/>
        <v>23</v>
      </c>
      <c r="H26" s="115" t="str">
        <f>IF(表格1[[#This Row],[本周完成]]&gt;表格1[[#This Row],[本周預計]],"提前",IF(表格1[[#This Row],[本周完成]]&lt;表格1[[#This Row],[本周預計]],"延遲","如期"))</f>
        <v>提前</v>
      </c>
      <c r="I26" s="339">
        <f>表格1[[#This Row],[累計預估]]/表格1[[#This Row],[合計數]]</f>
        <v>0.10036496350364964</v>
      </c>
      <c r="J26" s="339">
        <f>表格1[[#This Row],[累計完成]]/表格1[[#This Row],[合計數]]</f>
        <v>0.10036496350364964</v>
      </c>
      <c r="K26" s="336"/>
      <c r="L26" s="294"/>
    </row>
    <row r="27" spans="1:12" ht="15" hidden="1" customHeight="1" x14ac:dyDescent="0.35">
      <c r="A27" s="116">
        <v>44428</v>
      </c>
      <c r="B27" s="346">
        <f>表格1[[#This Row],[日期]]</f>
        <v>44428</v>
      </c>
      <c r="C27" s="347">
        <f>COUNTA(URS確認!E:E)-1-1-2-8-1-112-6-1-2</f>
        <v>415</v>
      </c>
      <c r="D27" s="117">
        <f>COUNTIF(URS確認!K:K,"&lt;"&amp;A27+1)</f>
        <v>55</v>
      </c>
      <c r="E27" s="83">
        <f>COUNTIF(URS確認!L:L,"&lt;"&amp;A27+1)</f>
        <v>55</v>
      </c>
      <c r="F27" s="117">
        <f>表格1[[#This Row],[累計預估]]-D22</f>
        <v>0</v>
      </c>
      <c r="G27" s="117">
        <f>表格1[[#This Row],[累計完成]]-E22</f>
        <v>0</v>
      </c>
      <c r="H27" s="117" t="str">
        <f>IF(表格1[[#This Row],[本周完成]]&gt;表格1[[#This Row],[本周預計]],"提前",IF(表格1[[#This Row],[本周完成]]&lt;表格1[[#This Row],[本周預計]],"延遲","如期"))</f>
        <v>如期</v>
      </c>
      <c r="I27" s="339">
        <f>表格1[[#This Row],[累計預估]]/表格1[[#This Row],[合計數]]</f>
        <v>0.13253012048192772</v>
      </c>
      <c r="J27" s="339">
        <f>表格1[[#This Row],[累計完成]]/表格1[[#This Row],[合計數]]</f>
        <v>0.13253012048192772</v>
      </c>
      <c r="K27" s="336"/>
      <c r="L27" s="294"/>
    </row>
    <row r="28" spans="1:12" ht="15" hidden="1" customHeight="1" x14ac:dyDescent="0.35">
      <c r="A28" s="114">
        <v>44431</v>
      </c>
      <c r="B28" s="344">
        <f>表格1[[#This Row],[日期]]</f>
        <v>44431</v>
      </c>
      <c r="C28" s="347">
        <f>COUNTA(URS確認!E:E)-1-112-13</f>
        <v>423</v>
      </c>
      <c r="D28" s="115">
        <f>COUNTIF(URS確認!K:K,"&lt;"&amp;A28+1)</f>
        <v>64</v>
      </c>
      <c r="E28" s="83">
        <f>COUNTIF(URS確認!L:L,"&lt;"&amp;A28+1)</f>
        <v>63</v>
      </c>
      <c r="F28" s="115">
        <f t="shared" ref="F28:G31" si="6">D32-D27</f>
        <v>29</v>
      </c>
      <c r="G28" s="115">
        <f t="shared" si="6"/>
        <v>31</v>
      </c>
      <c r="H28" s="115" t="str">
        <f>IF(表格1[[#This Row],[本周完成]]&gt;表格1[[#This Row],[本周預計]],"提前",IF(表格1[[#This Row],[本周完成]]&lt;表格1[[#This Row],[本周預計]],"延遲","如期"))</f>
        <v>提前</v>
      </c>
      <c r="I28" s="339">
        <f>表格1[[#This Row],[累計預估]]/表格1[[#This Row],[合計數]]</f>
        <v>0.15130023640661938</v>
      </c>
      <c r="J28" s="339">
        <f>表格1[[#This Row],[累計完成]]/表格1[[#This Row],[合計數]]</f>
        <v>0.14893617021276595</v>
      </c>
      <c r="K28" s="336"/>
      <c r="L28" s="294"/>
    </row>
    <row r="29" spans="1:12" ht="15" hidden="1" customHeight="1" x14ac:dyDescent="0.35">
      <c r="A29" s="114">
        <v>44432</v>
      </c>
      <c r="B29" s="316">
        <f>表格1[[#This Row],[日期]]</f>
        <v>44432</v>
      </c>
      <c r="C29" s="347">
        <f>COUNTA(URS確認!E:E)-1-112-13</f>
        <v>423</v>
      </c>
      <c r="D29" s="297">
        <f>COUNTIF(URS確認!K:K,"&lt;"&amp;A29+1)</f>
        <v>70</v>
      </c>
      <c r="E29" s="83">
        <f>COUNTIF(URS確認!L:L,"&lt;"&amp;A29+1)</f>
        <v>72</v>
      </c>
      <c r="F29" s="297">
        <f t="shared" si="6"/>
        <v>25</v>
      </c>
      <c r="G29" s="297">
        <f t="shared" si="6"/>
        <v>30</v>
      </c>
      <c r="H29" s="297" t="str">
        <f>IF(表格1[[#This Row],[本周完成]]&gt;表格1[[#This Row],[本周預計]],"提前",IF(表格1[[#This Row],[本周完成]]&lt;表格1[[#This Row],[本周預計]],"延遲","如期"))</f>
        <v>提前</v>
      </c>
      <c r="I29" s="339">
        <f>表格1[[#This Row],[累計預估]]/表格1[[#This Row],[合計數]]</f>
        <v>0.16548463356973994</v>
      </c>
      <c r="J29" s="339">
        <f>表格1[[#This Row],[累計完成]]/表格1[[#This Row],[合計數]]</f>
        <v>0.1702127659574468</v>
      </c>
      <c r="K29" s="336"/>
      <c r="L29" s="294"/>
    </row>
    <row r="30" spans="1:12" ht="15" hidden="1" customHeight="1" x14ac:dyDescent="0.35">
      <c r="A30" s="114">
        <v>44433</v>
      </c>
      <c r="B30" s="316">
        <f>表格1[[#This Row],[日期]]</f>
        <v>44433</v>
      </c>
      <c r="C30" s="347">
        <f>COUNTA(URS確認!E:E)-1-112-13</f>
        <v>423</v>
      </c>
      <c r="D30" s="297">
        <f>COUNTIF(URS確認!K:K,"&lt;"&amp;A30+1)</f>
        <v>76</v>
      </c>
      <c r="E30" s="83">
        <f>COUNTIF(URS確認!L:L,"&lt;"&amp;A30+1)</f>
        <v>78</v>
      </c>
      <c r="F30" s="297">
        <f t="shared" si="6"/>
        <v>23</v>
      </c>
      <c r="G30" s="297">
        <f t="shared" si="6"/>
        <v>36</v>
      </c>
      <c r="H30" s="297" t="str">
        <f>IF(表格1[[#This Row],[本周完成]]&gt;表格1[[#This Row],[本周預計]],"提前",IF(表格1[[#This Row],[本周完成]]&lt;表格1[[#This Row],[本周預計]],"延遲","如期"))</f>
        <v>提前</v>
      </c>
      <c r="I30" s="339">
        <f>表格1[[#This Row],[累計預估]]/表格1[[#This Row],[合計數]]</f>
        <v>0.17966903073286053</v>
      </c>
      <c r="J30" s="339">
        <f>表格1[[#This Row],[累計完成]]/表格1[[#This Row],[合計數]]</f>
        <v>0.18439716312056736</v>
      </c>
      <c r="K30" s="336"/>
      <c r="L30" s="294"/>
    </row>
    <row r="31" spans="1:12" ht="15" hidden="1" customHeight="1" x14ac:dyDescent="0.35">
      <c r="A31" s="114">
        <v>44434</v>
      </c>
      <c r="B31" s="316">
        <f>表格1[[#This Row],[日期]]</f>
        <v>44434</v>
      </c>
      <c r="C31" s="347">
        <f>COUNTA(URS確認!E:E)-1-112-13</f>
        <v>423</v>
      </c>
      <c r="D31" s="297">
        <f>COUNTIF(URS確認!K:K,"&lt;"&amp;A31+1)</f>
        <v>80</v>
      </c>
      <c r="E31" s="83">
        <f>COUNTIF(URS確認!L:L,"&lt;"&amp;A31+1)</f>
        <v>84</v>
      </c>
      <c r="F31" s="297">
        <f t="shared" si="6"/>
        <v>20</v>
      </c>
      <c r="G31" s="297">
        <f t="shared" si="6"/>
        <v>30</v>
      </c>
      <c r="H31" s="297" t="str">
        <f>IF(表格1[[#This Row],[本周完成]]&gt;表格1[[#This Row],[本周預計]],"提前",IF(表格1[[#This Row],[本周完成]]&lt;表格1[[#This Row],[本周預計]],"延遲","如期"))</f>
        <v>提前</v>
      </c>
      <c r="I31" s="339">
        <f>表格1[[#This Row],[累計預估]]/表格1[[#This Row],[合計數]]</f>
        <v>0.18912529550827423</v>
      </c>
      <c r="J31" s="339">
        <f>表格1[[#This Row],[累計完成]]/表格1[[#This Row],[合計數]]</f>
        <v>0.19858156028368795</v>
      </c>
      <c r="K31" s="336"/>
      <c r="L31" s="294"/>
    </row>
    <row r="32" spans="1:12" ht="15" customHeight="1" x14ac:dyDescent="0.35">
      <c r="A32" s="118">
        <v>44435</v>
      </c>
      <c r="B32" s="337">
        <f>表格1[[#This Row],[日期]]</f>
        <v>44435</v>
      </c>
      <c r="C32" s="347">
        <f>COUNTA(URS確認!E:E)-1-1-2-8-1-112-6-1-2-9</f>
        <v>406</v>
      </c>
      <c r="D32" s="83">
        <f>COUNTIF(URS確認!K:K,"&lt;"&amp;A32+1)</f>
        <v>84</v>
      </c>
      <c r="E32" s="83">
        <f>COUNTIF(URS確認!L:L,"&lt;"&amp;A32+1)</f>
        <v>86</v>
      </c>
      <c r="F32" s="83">
        <f>表格1[[#This Row],[累計預估]]-D27</f>
        <v>29</v>
      </c>
      <c r="G32" s="83">
        <f>表格1[[#This Row],[累計完成]]-E27</f>
        <v>31</v>
      </c>
      <c r="H32" s="83" t="str">
        <f>IF(表格1[[#This Row],[本周完成]]&gt;表格1[[#This Row],[本周預計]],"提前",IF(表格1[[#This Row],[本周完成]]&lt;表格1[[#This Row],[本周預計]],"延遲","如期"))</f>
        <v>提前</v>
      </c>
      <c r="I32" s="339">
        <f>表格1[[#This Row],[累計預估]]/表格1[[#This Row],[合計數]]</f>
        <v>0.20689655172413793</v>
      </c>
      <c r="J32" s="339">
        <f>表格1[[#This Row],[累計完成]]/表格1[[#This Row],[合計數]]</f>
        <v>0.21182266009852216</v>
      </c>
      <c r="K32" s="336"/>
      <c r="L32" s="294"/>
    </row>
    <row r="33" spans="1:12" ht="15" hidden="1" customHeight="1" x14ac:dyDescent="0.35">
      <c r="A33" s="128">
        <v>44438</v>
      </c>
      <c r="B33" s="348">
        <f>表格1[[#This Row],[日期]]</f>
        <v>44438</v>
      </c>
      <c r="C33" s="347">
        <f>COUNTA(URS確認!E:E)-1-112-13</f>
        <v>423</v>
      </c>
      <c r="D33" s="129">
        <f>COUNTIF(URS確認!K:K,"&lt;"&amp;A33+1)</f>
        <v>89</v>
      </c>
      <c r="E33" s="83">
        <f>COUNTIF(URS確認!L:L,"&lt;"&amp;A33+1)</f>
        <v>93</v>
      </c>
      <c r="F33" s="129">
        <f t="shared" ref="F33:G36" si="7">D37-D32</f>
        <v>24</v>
      </c>
      <c r="G33" s="129">
        <f t="shared" si="7"/>
        <v>22</v>
      </c>
      <c r="H33" s="129" t="str">
        <f>IF(表格1[[#This Row],[本周完成]]&gt;表格1[[#This Row],[本周預計]],"提前",IF(表格1[[#This Row],[本周完成]]&lt;表格1[[#This Row],[本周預計]],"延遲","如期"))</f>
        <v>延遲</v>
      </c>
      <c r="I33" s="339">
        <f>表格1[[#This Row],[累計預估]]/表格1[[#This Row],[合計數]]</f>
        <v>0.21040189125295508</v>
      </c>
      <c r="J33" s="339">
        <f>表格1[[#This Row],[累計完成]]/表格1[[#This Row],[合計數]]</f>
        <v>0.21985815602836881</v>
      </c>
      <c r="K33" s="336"/>
      <c r="L33" s="294"/>
    </row>
    <row r="34" spans="1:12" ht="15" hidden="1" customHeight="1" x14ac:dyDescent="0.35">
      <c r="A34" s="290">
        <v>44439</v>
      </c>
      <c r="B34" s="316">
        <f>表格1[[#This Row],[日期]]</f>
        <v>44439</v>
      </c>
      <c r="C34" s="347">
        <f>COUNTA(URS確認!E:E)-1-112-13</f>
        <v>423</v>
      </c>
      <c r="D34" s="297">
        <f>COUNTIF(URS確認!K:K,"&lt;"&amp;A34+1)</f>
        <v>93</v>
      </c>
      <c r="E34" s="83">
        <f>COUNTIF(URS確認!L:L,"&lt;"&amp;A34+1)</f>
        <v>108</v>
      </c>
      <c r="F34" s="297">
        <f t="shared" si="7"/>
        <v>30</v>
      </c>
      <c r="G34" s="297">
        <f t="shared" si="7"/>
        <v>26</v>
      </c>
      <c r="H34" s="297" t="str">
        <f>IF(表格1[[#This Row],[本周完成]]&gt;表格1[[#This Row],[本周預計]],"提前",IF(表格1[[#This Row],[本周完成]]&lt;表格1[[#This Row],[本周預計]],"延遲","如期"))</f>
        <v>延遲</v>
      </c>
      <c r="I34" s="339">
        <f>表格1[[#This Row],[累計預估]]/表格1[[#This Row],[合計數]]</f>
        <v>0.21985815602836881</v>
      </c>
      <c r="J34" s="339">
        <f>表格1[[#This Row],[累計完成]]/表格1[[#This Row],[合計數]]</f>
        <v>0.25531914893617019</v>
      </c>
      <c r="K34" s="336"/>
      <c r="L34" s="294"/>
    </row>
    <row r="35" spans="1:12" ht="15" hidden="1" customHeight="1" x14ac:dyDescent="0.35">
      <c r="A35" s="290">
        <v>44440</v>
      </c>
      <c r="B35" s="316">
        <f>表格1[[#This Row],[日期]]</f>
        <v>44440</v>
      </c>
      <c r="C35" s="347">
        <f>COUNTA(URS確認!E:E)-1-112-13</f>
        <v>423</v>
      </c>
      <c r="D35" s="297">
        <f>COUNTIF(URS確認!K:K,"&lt;"&amp;A35+1)</f>
        <v>96</v>
      </c>
      <c r="E35" s="83">
        <f>COUNTIF(URS確認!L:L,"&lt;"&amp;A35+1)</f>
        <v>108</v>
      </c>
      <c r="F35" s="297">
        <f t="shared" si="7"/>
        <v>53</v>
      </c>
      <c r="G35" s="297">
        <f t="shared" si="7"/>
        <v>38</v>
      </c>
      <c r="H35" s="297" t="str">
        <f>IF(表格1[[#This Row],[本周完成]]&gt;表格1[[#This Row],[本周預計]],"提前",IF(表格1[[#This Row],[本周完成]]&lt;表格1[[#This Row],[本周預計]],"延遲","如期"))</f>
        <v>延遲</v>
      </c>
      <c r="I35" s="339">
        <f>表格1[[#This Row],[累計預估]]/表格1[[#This Row],[合計數]]</f>
        <v>0.22695035460992907</v>
      </c>
      <c r="J35" s="339">
        <f>表格1[[#This Row],[累計完成]]/表格1[[#This Row],[合計數]]</f>
        <v>0.25531914893617019</v>
      </c>
      <c r="K35" s="336"/>
      <c r="L35" s="294"/>
    </row>
    <row r="36" spans="1:12" ht="15" hidden="1" customHeight="1" x14ac:dyDescent="0.35">
      <c r="A36" s="290">
        <v>44441</v>
      </c>
      <c r="B36" s="349">
        <f>表格1[[#This Row],[日期]]</f>
        <v>44441</v>
      </c>
      <c r="C36" s="347">
        <f>COUNTA(URS確認!E:E)-1-112-13</f>
        <v>423</v>
      </c>
      <c r="D36" s="130">
        <f>COUNTIF(URS確認!K:K,"&lt;"&amp;A36+1)</f>
        <v>103</v>
      </c>
      <c r="E36" s="83">
        <f>COUNTIF(URS確認!L:L,"&lt;"&amp;A36+1)</f>
        <v>108</v>
      </c>
      <c r="F36" s="130">
        <f t="shared" si="7"/>
        <v>67</v>
      </c>
      <c r="G36" s="130">
        <f t="shared" si="7"/>
        <v>67</v>
      </c>
      <c r="H36" s="130" t="str">
        <f>IF(表格1[[#This Row],[本周完成]]&gt;表格1[[#This Row],[本周預計]],"提前",IF(表格1[[#This Row],[本周完成]]&lt;表格1[[#This Row],[本周預計]],"延遲","如期"))</f>
        <v>如期</v>
      </c>
      <c r="I36" s="339">
        <f>表格1[[#This Row],[累計預估]]/表格1[[#This Row],[合計數]]</f>
        <v>0.24349881796690306</v>
      </c>
      <c r="J36" s="339">
        <f>表格1[[#This Row],[累計完成]]/表格1[[#This Row],[合計數]]</f>
        <v>0.25531914893617019</v>
      </c>
      <c r="K36" s="336"/>
      <c r="L36" s="294"/>
    </row>
    <row r="37" spans="1:12" ht="15" hidden="1" customHeight="1" x14ac:dyDescent="0.35">
      <c r="A37" s="48">
        <v>44442</v>
      </c>
      <c r="B37" s="350">
        <f>表格1[[#This Row],[日期]]</f>
        <v>44442</v>
      </c>
      <c r="C37" s="347">
        <f>COUNTA(URS確認!E:E)-1-1-2-8-1-112-6-1-2</f>
        <v>415</v>
      </c>
      <c r="D37" s="131">
        <f>COUNTIF(URS確認!K:K,"&lt;"&amp;A37+1)</f>
        <v>108</v>
      </c>
      <c r="E37" s="83">
        <f>COUNTIF(URS確認!L:L,"&lt;"&amp;A37+1)</f>
        <v>108</v>
      </c>
      <c r="F37" s="131">
        <f>表格1[[#This Row],[累計預估]]-D32</f>
        <v>24</v>
      </c>
      <c r="G37" s="131">
        <f>表格1[[#This Row],[累計完成]]-E32</f>
        <v>22</v>
      </c>
      <c r="H37" s="131" t="str">
        <f>IF(表格1[[#This Row],[本周完成]]&gt;表格1[[#This Row],[本周預計]],"提前",IF(表格1[[#This Row],[本周完成]]&lt;表格1[[#This Row],[本周預計]],"延遲","如期"))</f>
        <v>延遲</v>
      </c>
      <c r="I37" s="339">
        <f>表格1[[#This Row],[累計預估]]/表格1[[#This Row],[合計數]]</f>
        <v>0.26024096385542167</v>
      </c>
      <c r="J37" s="339">
        <f>表格1[[#This Row],[累計完成]]/表格1[[#This Row],[合計數]]</f>
        <v>0.26024096385542167</v>
      </c>
      <c r="K37" s="336"/>
      <c r="L37" s="294"/>
    </row>
    <row r="38" spans="1:12" ht="15" hidden="1" customHeight="1" x14ac:dyDescent="0.35">
      <c r="A38" s="141">
        <v>44449</v>
      </c>
      <c r="B38" s="351">
        <f>表格1[[#This Row],[日期]]</f>
        <v>44449</v>
      </c>
      <c r="C38" s="347">
        <f>COUNTA(URS確認!E:E)-1-1-2-8-1-112-6-1-2</f>
        <v>415</v>
      </c>
      <c r="D38" s="142">
        <f>COUNTIF(URS確認!K:K,"&lt;"&amp;A38+1)</f>
        <v>119</v>
      </c>
      <c r="E38" s="83">
        <f>COUNTIF(URS確認!L:L,"&lt;"&amp;A38+1)</f>
        <v>119</v>
      </c>
      <c r="F38" s="142">
        <f>表格1[[#This Row],[累計預估]]-D37</f>
        <v>11</v>
      </c>
      <c r="G38" s="142">
        <f>表格1[[#This Row],[累計完成]]-E37</f>
        <v>11</v>
      </c>
      <c r="H38" s="142" t="str">
        <f>IF(表格1[[#This Row],[本周完成]]&gt;表格1[[#This Row],[本周預計]],"提前",IF(表格1[[#This Row],[本周完成]]&lt;表格1[[#This Row],[本周預計]],"延遲","如期"))</f>
        <v>如期</v>
      </c>
      <c r="I38" s="339">
        <f>表格1[[#This Row],[累計預估]]/表格1[[#This Row],[合計數]]</f>
        <v>0.28674698795180725</v>
      </c>
      <c r="J38" s="339">
        <f>表格1[[#This Row],[累計完成]]/表格1[[#This Row],[合計數]]</f>
        <v>0.28674698795180725</v>
      </c>
      <c r="K38" s="336"/>
      <c r="L38" s="294"/>
    </row>
    <row r="39" spans="1:12" ht="15" hidden="1" customHeight="1" x14ac:dyDescent="0.35">
      <c r="A39" s="141">
        <v>44456</v>
      </c>
      <c r="B39" s="351">
        <f>表格1[[#This Row],[日期]]</f>
        <v>44456</v>
      </c>
      <c r="C39" s="347">
        <f>COUNTA(URS確認!E:E)-1-1-2-8-1-112-6-1-2</f>
        <v>415</v>
      </c>
      <c r="D39" s="142">
        <f>COUNTIF(URS確認!K:K,"&lt;"&amp;A39+1)</f>
        <v>146</v>
      </c>
      <c r="E39" s="83">
        <f>COUNTIF(URS確認!L:L,"&lt;"&amp;A39+1)</f>
        <v>146</v>
      </c>
      <c r="F39" s="142">
        <f>表格1[[#This Row],[累計預估]]-D38</f>
        <v>27</v>
      </c>
      <c r="G39" s="142">
        <f>表格1[[#This Row],[累計完成]]-E38</f>
        <v>27</v>
      </c>
      <c r="H39" s="142" t="str">
        <f>IF(表格1[[#This Row],[本周完成]]&gt;表格1[[#This Row],[本周預計]],"提前",IF(表格1[[#This Row],[本周完成]]&lt;表格1[[#This Row],[本周預計]],"延遲","如期"))</f>
        <v>如期</v>
      </c>
      <c r="I39" s="339">
        <f>表格1[[#This Row],[累計預估]]/表格1[[#This Row],[合計數]]</f>
        <v>0.35180722891566263</v>
      </c>
      <c r="J39" s="339">
        <f>表格1[[#This Row],[累計完成]]/表格1[[#This Row],[合計數]]</f>
        <v>0.35180722891566263</v>
      </c>
      <c r="K39" s="336"/>
      <c r="L39" s="294"/>
    </row>
    <row r="40" spans="1:12" ht="15" hidden="1" customHeight="1" x14ac:dyDescent="0.35">
      <c r="A40" s="48">
        <v>44463</v>
      </c>
      <c r="B40" s="337">
        <f>表格1[[#This Row],[日期]]</f>
        <v>44463</v>
      </c>
      <c r="C40" s="347">
        <f>COUNTA(URS確認!E:E)-1-1-2-8-1-112-6-1-2</f>
        <v>415</v>
      </c>
      <c r="D40" s="83">
        <f>COUNTIF(URS確認!K:K,"&lt;"&amp;A40+1)</f>
        <v>163</v>
      </c>
      <c r="E40" s="83">
        <f>COUNTIF(URS確認!L:L,"&lt;"&amp;A40+1)</f>
        <v>175</v>
      </c>
      <c r="F40" s="83">
        <f>表格1[[#This Row],[累計預估]]-D39</f>
        <v>17</v>
      </c>
      <c r="G40" s="83">
        <f>表格1[[#This Row],[累計完成]]-E39</f>
        <v>29</v>
      </c>
      <c r="H40" s="83" t="str">
        <f>IF(表格1[[#This Row],[本周完成]]&gt;表格1[[#This Row],[本周預計]],"提前",IF(表格1[[#This Row],[本周完成]]&lt;表格1[[#This Row],[本周預計]],"延遲","如期"))</f>
        <v>提前</v>
      </c>
      <c r="I40" s="339">
        <f>表格1[[#This Row],[累計預估]]/表格1[[#This Row],[合計數]]</f>
        <v>0.39277108433734942</v>
      </c>
      <c r="J40" s="339">
        <f>表格1[[#This Row],[累計完成]]/表格1[[#This Row],[合計數]]</f>
        <v>0.42168674698795183</v>
      </c>
      <c r="K40" s="336" t="s">
        <v>75</v>
      </c>
      <c r="L40" s="294"/>
    </row>
    <row r="41" spans="1:12" ht="15" customHeight="1" x14ac:dyDescent="0.35">
      <c r="A41" s="48">
        <v>44470</v>
      </c>
      <c r="B41" s="337">
        <f>表格1[[#This Row],[日期]]</f>
        <v>44470</v>
      </c>
      <c r="C41" s="347">
        <f>COUNTA(URS確認!E:E)-1-1-2-8-1-112-6-2-9</f>
        <v>407</v>
      </c>
      <c r="D41" s="83">
        <f>COUNTIF(URS確認!K:K,"&lt;"&amp;A41+1)</f>
        <v>193</v>
      </c>
      <c r="E41" s="83">
        <f>COUNTIF(URS確認!L:L,"&lt;"&amp;A41+1)</f>
        <v>220</v>
      </c>
      <c r="F41" s="83">
        <f>表格1[[#This Row],[累計預估]]-D40</f>
        <v>30</v>
      </c>
      <c r="G41" s="83">
        <f>表格1[[#This Row],[累計完成]]-E40</f>
        <v>45</v>
      </c>
      <c r="H41" s="83" t="str">
        <f>IF(表格1[[#This Row],[本周完成]]&gt;表格1[[#This Row],[本周預計]],"提前",IF(表格1[[#This Row],[本周完成]]&lt;表格1[[#This Row],[本周預計]],"延遲","如期"))</f>
        <v>提前</v>
      </c>
      <c r="I41" s="339">
        <f>表格1[[#This Row],[累計預估]]/表格1[[#This Row],[合計數]]</f>
        <v>0.47420147420147418</v>
      </c>
      <c r="J41" s="339">
        <f>表格1[[#This Row],[累計完成]]/表格1[[#This Row],[合計數]]</f>
        <v>0.54054054054054057</v>
      </c>
      <c r="K41" s="336"/>
      <c r="L41" s="294"/>
    </row>
    <row r="42" spans="1:12" ht="15" hidden="1" customHeight="1" x14ac:dyDescent="0.35">
      <c r="A42" s="48">
        <v>44477</v>
      </c>
      <c r="B42" s="337">
        <f>表格1[[#This Row],[日期]]</f>
        <v>44477</v>
      </c>
      <c r="C42" s="347">
        <f>COUNTA(URS確認!E:E)-1-1-2-8-1-112-6-1</f>
        <v>417</v>
      </c>
      <c r="D42" s="83">
        <f>COUNTIF(URS確認!K:K,"&lt;"&amp;A42+1)</f>
        <v>220</v>
      </c>
      <c r="E42" s="83">
        <f>COUNTIF(URS確認!L:L,"&lt;"&amp;A42+1)</f>
        <v>228</v>
      </c>
      <c r="F42" s="83">
        <f>表格1[[#This Row],[累計預估]]-D41</f>
        <v>27</v>
      </c>
      <c r="G42" s="83">
        <f>表格1[[#This Row],[累計完成]]-E41</f>
        <v>8</v>
      </c>
      <c r="H42" s="83" t="str">
        <f>IF(表格1[[#This Row],[本周完成]]&gt;表格1[[#This Row],[本周預計]],"提前",IF(表格1[[#This Row],[本周完成]]&lt;表格1[[#This Row],[本周預計]],"延遲","如期"))</f>
        <v>延遲</v>
      </c>
      <c r="I42" s="339">
        <f>表格1[[#This Row],[累計預估]]/表格1[[#This Row],[合計數]]</f>
        <v>0.52757793764988015</v>
      </c>
      <c r="J42" s="339">
        <f>表格1[[#This Row],[累計完成]]/表格1[[#This Row],[合計數]]</f>
        <v>0.5467625899280576</v>
      </c>
      <c r="K42" s="336"/>
      <c r="L42" s="294"/>
    </row>
    <row r="43" spans="1:12" ht="15" hidden="1" customHeight="1" x14ac:dyDescent="0.35">
      <c r="A43" s="48">
        <v>44484</v>
      </c>
      <c r="B43" s="337">
        <f>表格1[[#This Row],[日期]]</f>
        <v>44484</v>
      </c>
      <c r="C43" s="347">
        <f>COUNTA(URS確認!E:E)-1-1-2-8-1-112-6-1</f>
        <v>417</v>
      </c>
      <c r="D43" s="83">
        <f>COUNTIF(URS確認!K:K,"&lt;"&amp;A43+1)</f>
        <v>229</v>
      </c>
      <c r="E43" s="83">
        <f>COUNTIF(URS確認!L:L,"&lt;"&amp;A43+1)</f>
        <v>264</v>
      </c>
      <c r="F43" s="83">
        <f>表格1[[#This Row],[累計預估]]-D42</f>
        <v>9</v>
      </c>
      <c r="G43" s="83">
        <f>表格1[[#This Row],[累計完成]]-E42</f>
        <v>36</v>
      </c>
      <c r="H43" s="83" t="str">
        <f>IF(表格1[[#This Row],[本周完成]]&gt;表格1[[#This Row],[本周預計]],"提前",IF(表格1[[#This Row],[本周完成]]&lt;表格1[[#This Row],[本周預計]],"延遲","如期"))</f>
        <v>提前</v>
      </c>
      <c r="I43" s="339">
        <f>表格1[[#This Row],[累計預估]]/表格1[[#This Row],[合計數]]</f>
        <v>0.54916067146282976</v>
      </c>
      <c r="J43" s="339">
        <f>表格1[[#This Row],[累計完成]]/表格1[[#This Row],[合計數]]</f>
        <v>0.63309352517985606</v>
      </c>
      <c r="K43" s="336"/>
      <c r="L43" s="294"/>
    </row>
    <row r="44" spans="1:12" ht="15" hidden="1" customHeight="1" x14ac:dyDescent="0.35">
      <c r="A44" s="290">
        <v>44487</v>
      </c>
      <c r="B44" s="316">
        <f>表格1[[#This Row],[日期]]</f>
        <v>44487</v>
      </c>
      <c r="C44" s="317">
        <f>COUNTA(URS確認!E:E)-1-112-13</f>
        <v>423</v>
      </c>
      <c r="D44" s="297">
        <f>COUNTIF(URS確認!K:K,"&lt;"&amp;A44+1)</f>
        <v>244</v>
      </c>
      <c r="E44" s="83">
        <f>COUNTIF(URS確認!L:L,"&lt;"&amp;A44+1)</f>
        <v>277</v>
      </c>
      <c r="H44" s="297" t="str">
        <f>IF(表格1[[#This Row],[本周完成]]&gt;表格1[[#This Row],[本周預計]],"提前",IF(表格1[[#This Row],[本周完成]]&lt;表格1[[#This Row],[本周預計]],"延遲","如期"))</f>
        <v>如期</v>
      </c>
      <c r="I44" s="318">
        <f>表格1[[#This Row],[累計預估]]/表格1[[#This Row],[合計數]]</f>
        <v>0.57683215130023646</v>
      </c>
      <c r="J44" s="318">
        <f>表格1[[#This Row],[累計完成]]/表格1[[#This Row],[合計數]]</f>
        <v>0.65484633569739947</v>
      </c>
      <c r="K44" s="336"/>
      <c r="L44" s="294"/>
    </row>
    <row r="45" spans="1:12" ht="15" hidden="1" customHeight="1" x14ac:dyDescent="0.35">
      <c r="A45" s="290">
        <v>44487</v>
      </c>
      <c r="B45" s="316">
        <f>表格1[[#This Row],[日期]]</f>
        <v>44487</v>
      </c>
      <c r="C45" s="317">
        <f>COUNTA(URS確認!E:E)-1-1-2-8-1-112-6-1</f>
        <v>417</v>
      </c>
      <c r="D45" s="297">
        <f>COUNTIF(URS確認!K:K,"&lt;"&amp;A45+1)</f>
        <v>244</v>
      </c>
      <c r="E45" s="83">
        <f>COUNTIF(URS確認!L:L,"&lt;"&amp;A45+1)</f>
        <v>277</v>
      </c>
      <c r="F45" s="297">
        <f>D49-D44</f>
        <v>29</v>
      </c>
      <c r="G45" s="297">
        <f>E49-E44</f>
        <v>26</v>
      </c>
      <c r="H45" s="83" t="str">
        <f>IF(表格1[[#This Row],[本周完成]]&gt;表格1[[#This Row],[本周預計]],"提前",IF(表格1[[#This Row],[本周完成]]&lt;表格1[[#This Row],[本周預計]],"延遲","如期"))</f>
        <v>延遲</v>
      </c>
      <c r="I45" s="318">
        <f>表格1[[#This Row],[累計預估]]/表格1[[#This Row],[合計數]]</f>
        <v>0.5851318944844125</v>
      </c>
      <c r="J45" s="318">
        <f>表格1[[#This Row],[累計完成]]/表格1[[#This Row],[合計數]]</f>
        <v>0.66426858513189446</v>
      </c>
      <c r="K45" s="336" t="s">
        <v>75</v>
      </c>
      <c r="L45" s="294"/>
    </row>
    <row r="46" spans="1:12" ht="15" hidden="1" customHeight="1" x14ac:dyDescent="0.35">
      <c r="A46" s="290">
        <v>44488</v>
      </c>
      <c r="B46" s="316">
        <f>表格1[[#This Row],[日期]]</f>
        <v>44488</v>
      </c>
      <c r="C46" s="317">
        <f>COUNTA(URS確認!E:E)-1-1-2-8-1-112-6</f>
        <v>418</v>
      </c>
      <c r="D46" s="297">
        <f>COUNTIF(URS確認!K:K,"&lt;"&amp;A46+1)</f>
        <v>252</v>
      </c>
      <c r="E46" s="83">
        <f>COUNTIF(URS確認!L:L,"&lt;"&amp;A46+1)</f>
        <v>286</v>
      </c>
      <c r="H46" s="297" t="str">
        <f>IF(表格1[[#This Row],[本周完成]]&gt;表格1[[#This Row],[本周預計]],"提前",IF(表格1[[#This Row],[本周完成]]&lt;表格1[[#This Row],[本周預計]],"延遲","如期"))</f>
        <v>如期</v>
      </c>
      <c r="I46" s="318">
        <f>表格1[[#This Row],[累計預估]]/表格1[[#This Row],[合計數]]</f>
        <v>0.60287081339712922</v>
      </c>
      <c r="J46" s="318">
        <f>表格1[[#This Row],[累計完成]]/表格1[[#This Row],[合計數]]</f>
        <v>0.68421052631578949</v>
      </c>
      <c r="K46" s="336" t="s">
        <v>76</v>
      </c>
      <c r="L46" s="294"/>
    </row>
    <row r="47" spans="1:12" ht="15" hidden="1" customHeight="1" x14ac:dyDescent="0.35">
      <c r="A47" s="290">
        <v>44489</v>
      </c>
      <c r="B47" s="316">
        <f>表格1[[#This Row],[日期]]</f>
        <v>44489</v>
      </c>
      <c r="C47" s="317">
        <f>COUNTA(URS確認!E:E)-1-1-2-8-1-112</f>
        <v>424</v>
      </c>
      <c r="D47" s="297">
        <f>COUNTIF(URS確認!K:K,"&lt;"&amp;A47+1)</f>
        <v>256</v>
      </c>
      <c r="E47" s="83">
        <f>COUNTIF(URS確認!L:L,"&lt;"&amp;A47+1)</f>
        <v>290</v>
      </c>
      <c r="H47" s="297" t="str">
        <f>IF(表格1[[#This Row],[本周完成]]&gt;表格1[[#This Row],[本周預計]],"提前",IF(表格1[[#This Row],[本周完成]]&lt;表格1[[#This Row],[本周預計]],"延遲","如期"))</f>
        <v>如期</v>
      </c>
      <c r="I47" s="318">
        <f>表格1[[#This Row],[累計預估]]/表格1[[#This Row],[合計數]]</f>
        <v>0.60377358490566035</v>
      </c>
      <c r="J47" s="318">
        <f>表格1[[#This Row],[累計完成]]/表格1[[#This Row],[合計數]]</f>
        <v>0.68396226415094341</v>
      </c>
      <c r="K47" s="336"/>
      <c r="L47" s="294"/>
    </row>
    <row r="48" spans="1:12" ht="15" hidden="1" customHeight="1" x14ac:dyDescent="0.35">
      <c r="A48" s="290">
        <v>44490</v>
      </c>
      <c r="B48" s="316">
        <f>表格1[[#This Row],[日期]]</f>
        <v>44490</v>
      </c>
      <c r="C48" s="317">
        <f>COUNTA(URS確認!E:E)-1-1-2-8-1-112</f>
        <v>424</v>
      </c>
      <c r="D48" s="297">
        <f>COUNTIF(URS確認!K:K,"&lt;"&amp;A48+1)</f>
        <v>264</v>
      </c>
      <c r="E48" s="83">
        <f>COUNTIF(URS確認!L:L,"&lt;"&amp;A48+1)</f>
        <v>299</v>
      </c>
      <c r="H48" s="297" t="str">
        <f>IF(表格1[[#This Row],[本周完成]]&gt;表格1[[#This Row],[本周預計]],"提前",IF(表格1[[#This Row],[本周完成]]&lt;表格1[[#This Row],[本周預計]],"延遲","如期"))</f>
        <v>如期</v>
      </c>
      <c r="I48" s="318">
        <f>表格1[[#This Row],[累計預估]]/表格1[[#This Row],[合計數]]</f>
        <v>0.62264150943396224</v>
      </c>
      <c r="J48" s="318">
        <f>表格1[[#This Row],[累計完成]]/表格1[[#This Row],[合計數]]</f>
        <v>0.70518867924528306</v>
      </c>
      <c r="K48" s="336" t="s">
        <v>77</v>
      </c>
      <c r="L48" s="294"/>
    </row>
    <row r="49" spans="1:12" ht="15" hidden="1" customHeight="1" x14ac:dyDescent="0.35">
      <c r="A49" s="48">
        <v>44491</v>
      </c>
      <c r="B49" s="337">
        <f>表格1[[#This Row],[日期]]</f>
        <v>44491</v>
      </c>
      <c r="C49" s="338">
        <f>COUNTA(URS確認!E:E)-1-2-8-1</f>
        <v>537</v>
      </c>
      <c r="D49" s="83">
        <f>COUNTIF(URS確認!K:K,"&lt;"&amp;A49+1)</f>
        <v>273</v>
      </c>
      <c r="E49" s="83">
        <f>COUNTIF(URS確認!L:L,"&lt;"&amp;A49+1)</f>
        <v>303</v>
      </c>
      <c r="F49" s="83">
        <f>表格1[[#This Row],[累計預估]]-D43</f>
        <v>44</v>
      </c>
      <c r="G49" s="83">
        <f>表格1[[#This Row],[累計完成]]-E43</f>
        <v>39</v>
      </c>
      <c r="H49" s="83" t="str">
        <f>IF(表格1[[#This Row],[本周完成]]&gt;表格1[[#This Row],[本周預計]],"提前",IF(表格1[[#This Row],[本周完成]]&lt;表格1[[#This Row],[本周預計]],"延遲","如期"))</f>
        <v>延遲</v>
      </c>
      <c r="I49" s="339">
        <f>表格1[[#This Row],[累計預估]]/表格1[[#This Row],[合計數]]</f>
        <v>0.50837988826815639</v>
      </c>
      <c r="J49" s="339">
        <f>表格1[[#This Row],[累計完成]]/表格1[[#This Row],[合計數]]</f>
        <v>0.56424581005586594</v>
      </c>
      <c r="K49" s="336"/>
      <c r="L49" s="294"/>
    </row>
    <row r="50" spans="1:12" ht="15" hidden="1" customHeight="1" x14ac:dyDescent="0.35">
      <c r="A50" s="215">
        <v>44494</v>
      </c>
      <c r="B50" s="352">
        <f>表格1[[#This Row],[日期]]</f>
        <v>44494</v>
      </c>
      <c r="C50" s="353">
        <f>COUNTA(URS確認!E:E)-1-2-8-1</f>
        <v>537</v>
      </c>
      <c r="D50" s="216">
        <f>COUNTIF(URS確認!K:K,"&lt;"&amp;A50+1)</f>
        <v>287</v>
      </c>
      <c r="E50" s="83">
        <f>COUNTIF(URS確認!L:L,"&lt;"&amp;A50+1)</f>
        <v>315</v>
      </c>
      <c r="F50" s="297">
        <v>33</v>
      </c>
      <c r="G50" s="297">
        <f>E65-E49</f>
        <v>189</v>
      </c>
      <c r="H50" s="297" t="str">
        <f>IF(表格1[[#This Row],[本周完成]]&gt;表格1[[#This Row],[本周預計]],"提前",IF(表格1[[#This Row],[本周完成]]&lt;表格1[[#This Row],[本周預計]],"延遲","如期"))</f>
        <v>提前</v>
      </c>
      <c r="I50" s="354">
        <f>表格1[[#This Row],[累計預估]]/表格1[[#This Row],[合計數]]</f>
        <v>0.53445065176908757</v>
      </c>
      <c r="J50" s="354">
        <f>表格1[[#This Row],[累計完成]]/表格1[[#This Row],[合計數]]</f>
        <v>0.58659217877094971</v>
      </c>
      <c r="K50" s="336" t="s">
        <v>75</v>
      </c>
      <c r="L50" s="294"/>
    </row>
    <row r="51" spans="1:12" ht="15" hidden="1" customHeight="1" x14ac:dyDescent="0.35">
      <c r="A51" s="215">
        <v>44495</v>
      </c>
      <c r="B51" s="316">
        <f>表格1[[#This Row],[日期]]</f>
        <v>44495</v>
      </c>
      <c r="C51" s="317">
        <f>COUNTA(URS確認!E:E)-1-2-8</f>
        <v>538</v>
      </c>
      <c r="D51" s="297">
        <f>COUNTIF(URS確認!K:K,"&lt;"&amp;A51+1)</f>
        <v>287</v>
      </c>
      <c r="E51" s="83">
        <f>COUNTIF(URS確認!L:L,"&lt;"&amp;A51+1)</f>
        <v>315</v>
      </c>
      <c r="F51" s="297">
        <f>D65-D50</f>
        <v>205</v>
      </c>
      <c r="G51" s="297">
        <f>E65-E50</f>
        <v>177</v>
      </c>
      <c r="H51" s="297" t="str">
        <f>IF(表格1[[#This Row],[本周完成]]&gt;表格1[[#This Row],[本周預計]],"提前",IF(表格1[[#This Row],[本周完成]]&lt;表格1[[#This Row],[本周預計]],"延遲","如期"))</f>
        <v>延遲</v>
      </c>
      <c r="I51" s="318">
        <f>表格1[[#This Row],[累計預估]]/表格1[[#This Row],[合計數]]</f>
        <v>0.53345724907063197</v>
      </c>
      <c r="J51" s="318">
        <f>表格1[[#This Row],[累計完成]]/表格1[[#This Row],[合計數]]</f>
        <v>0.58550185873605953</v>
      </c>
      <c r="K51" s="336" t="s">
        <v>78</v>
      </c>
      <c r="L51" s="294"/>
    </row>
    <row r="52" spans="1:12" ht="15" hidden="1" customHeight="1" x14ac:dyDescent="0.35">
      <c r="A52" s="215">
        <v>44496</v>
      </c>
      <c r="B52" s="316">
        <f>表格1[[#This Row],[日期]]</f>
        <v>44496</v>
      </c>
      <c r="C52" s="317">
        <f>COUNTA(URS確認!E:E)-1-2</f>
        <v>546</v>
      </c>
      <c r="D52" s="297">
        <f>COUNTIF(URS確認!K:K,"&lt;"&amp;A52+1)</f>
        <v>295</v>
      </c>
      <c r="E52" s="83">
        <f>COUNTIF(URS確認!L:L,"&lt;"&amp;A52+1)</f>
        <v>330</v>
      </c>
      <c r="F52" s="297">
        <f>D65-D51</f>
        <v>205</v>
      </c>
      <c r="G52" s="297">
        <f>E65-E51</f>
        <v>177</v>
      </c>
      <c r="H52" s="297" t="str">
        <f>IF(表格1[[#This Row],[本周完成]]&gt;表格1[[#This Row],[本周預計]],"提前",IF(表格1[[#This Row],[本周完成]]&lt;表格1[[#This Row],[本周預計]],"延遲","如期"))</f>
        <v>延遲</v>
      </c>
      <c r="I52" s="318">
        <f>表格1[[#This Row],[累計預估]]/表格1[[#This Row],[合計數]]</f>
        <v>0.54029304029304026</v>
      </c>
      <c r="J52" s="318">
        <f>表格1[[#This Row],[累計完成]]/表格1[[#This Row],[合計數]]</f>
        <v>0.60439560439560436</v>
      </c>
      <c r="K52" s="336"/>
      <c r="L52" s="294"/>
    </row>
    <row r="53" spans="1:12" ht="15" hidden="1" customHeight="1" x14ac:dyDescent="0.35">
      <c r="A53" s="215">
        <v>44497</v>
      </c>
      <c r="B53" s="316">
        <f>表格1[[#This Row],[日期]]</f>
        <v>44497</v>
      </c>
      <c r="C53" s="317">
        <f>COUNTA(URS確認!E:E)-1-2</f>
        <v>546</v>
      </c>
      <c r="D53" s="297">
        <f>COUNTIF(URS確認!K:K,"&lt;"&amp;A53+1)</f>
        <v>302</v>
      </c>
      <c r="E53" s="83">
        <f>COUNTIF(URS確認!L:L,"&lt;"&amp;A53+1)</f>
        <v>330</v>
      </c>
      <c r="F53" s="297">
        <f>D65-D52</f>
        <v>197</v>
      </c>
      <c r="G53" s="297">
        <f>E65-E52</f>
        <v>162</v>
      </c>
      <c r="H53" s="297" t="str">
        <f>IF(表格1[[#This Row],[本周完成]]&gt;表格1[[#This Row],[本周預計]],"提前",IF(表格1[[#This Row],[本周完成]]&lt;表格1[[#This Row],[本周預計]],"延遲","如期"))</f>
        <v>延遲</v>
      </c>
      <c r="I53" s="318">
        <f>表格1[[#This Row],[累計預估]]/表格1[[#This Row],[合計數]]</f>
        <v>0.55311355311355315</v>
      </c>
      <c r="J53" s="318">
        <f>表格1[[#This Row],[累計完成]]/表格1[[#This Row],[合計數]]</f>
        <v>0.60439560439560436</v>
      </c>
      <c r="K53" s="336" t="s">
        <v>79</v>
      </c>
      <c r="L53" s="294"/>
    </row>
    <row r="54" spans="1:12" ht="15" customHeight="1" x14ac:dyDescent="0.35">
      <c r="A54" s="48">
        <v>44498</v>
      </c>
      <c r="B54" s="337">
        <f>表格1[[#This Row],[日期]]</f>
        <v>44498</v>
      </c>
      <c r="C54" s="338">
        <f>COUNTA(URS確認!E:E)-1-2-9</f>
        <v>537</v>
      </c>
      <c r="D54" s="83">
        <f>COUNTIF(URS確認!K:K,"&lt;"&amp;A54+1)</f>
        <v>312</v>
      </c>
      <c r="E54" s="83">
        <f>COUNTIF(URS確認!L:L,"&lt;"&amp;A54+1)</f>
        <v>346</v>
      </c>
      <c r="F54" s="83">
        <f>表格1[[#This Row],[累計預估]]-D49</f>
        <v>39</v>
      </c>
      <c r="G54" s="83">
        <f>表格1[[#This Row],[累計完成]]-E49</f>
        <v>43</v>
      </c>
      <c r="H54" s="258" t="s">
        <v>80</v>
      </c>
      <c r="I54" s="339">
        <f>表格1[[#This Row],[累計預估]]/表格1[[#This Row],[合計數]]</f>
        <v>0.58100558659217882</v>
      </c>
      <c r="J54" s="339">
        <f>表格1[[#This Row],[累計完成]]/表格1[[#This Row],[合計數]]</f>
        <v>0.64432029795158285</v>
      </c>
      <c r="K54" s="336"/>
      <c r="L54" s="294"/>
    </row>
    <row r="55" spans="1:12" ht="15" hidden="1" customHeight="1" x14ac:dyDescent="0.35">
      <c r="A55" s="290">
        <v>44501</v>
      </c>
      <c r="B55" s="316">
        <f>表格1[[#This Row],[日期]]</f>
        <v>44501</v>
      </c>
      <c r="C55" s="317">
        <f>COUNTA(URS確認!E:E)-1-2</f>
        <v>546</v>
      </c>
      <c r="D55" s="297">
        <f>COUNTIF(URS確認!K:K,"&lt;"&amp;A55+1)</f>
        <v>312</v>
      </c>
      <c r="E55" s="83">
        <f>COUNTIF(URS確認!L:L,"&lt;"&amp;A55+1)</f>
        <v>346</v>
      </c>
      <c r="F55" s="297">
        <f>D68-D54</f>
        <v>198</v>
      </c>
      <c r="G55" s="297">
        <f>E68-E54</f>
        <v>166</v>
      </c>
      <c r="H55" s="259" t="s">
        <v>80</v>
      </c>
      <c r="I55" s="318">
        <f>表格1[[#This Row],[累計預估]]/表格1[[#This Row],[合計數]]</f>
        <v>0.5714285714285714</v>
      </c>
      <c r="J55" s="318">
        <f>表格1[[#This Row],[累計完成]]/表格1[[#This Row],[合計數]]</f>
        <v>0.63369963369963367</v>
      </c>
      <c r="K55" s="336"/>
      <c r="L55" s="294"/>
    </row>
    <row r="56" spans="1:12" ht="15" hidden="1" customHeight="1" x14ac:dyDescent="0.35">
      <c r="A56" s="290">
        <v>44502</v>
      </c>
      <c r="B56" s="316">
        <f>表格1[[#This Row],[日期]]</f>
        <v>44502</v>
      </c>
      <c r="C56" s="317">
        <f>COUNTA(URS確認!E:E)-1-1</f>
        <v>547</v>
      </c>
      <c r="D56" s="297">
        <f>COUNTIF(URS確認!K:K,"&lt;"&amp;A56+1)</f>
        <v>314</v>
      </c>
      <c r="E56" s="83">
        <f>COUNTIF(URS確認!L:L,"&lt;"&amp;A56+1)</f>
        <v>346</v>
      </c>
      <c r="F56" s="297">
        <f>D68-D55</f>
        <v>198</v>
      </c>
      <c r="G56" s="297">
        <f>E68-E55</f>
        <v>166</v>
      </c>
      <c r="H56" s="259" t="s">
        <v>80</v>
      </c>
      <c r="I56" s="318">
        <f>表格1[[#This Row],[累計預估]]/表格1[[#This Row],[合計數]]</f>
        <v>0.57404021937842775</v>
      </c>
      <c r="J56" s="318">
        <f>表格1[[#This Row],[累計完成]]/表格1[[#This Row],[合計數]]</f>
        <v>0.63254113345521024</v>
      </c>
      <c r="K56" s="336" t="s">
        <v>75</v>
      </c>
      <c r="L56" s="294"/>
    </row>
    <row r="57" spans="1:12" ht="15" hidden="1" customHeight="1" x14ac:dyDescent="0.35">
      <c r="A57" s="290">
        <v>44503</v>
      </c>
      <c r="B57" s="316">
        <f>表格1[[#This Row],[日期]]</f>
        <v>44503</v>
      </c>
      <c r="C57" s="317">
        <f>COUNTA(URS確認!E:E)-1</f>
        <v>548</v>
      </c>
      <c r="D57" s="297">
        <f>COUNTIF(URS確認!K:K,"&lt;"&amp;A57+1)</f>
        <v>319</v>
      </c>
      <c r="E57" s="83">
        <f>COUNTIF(URS確認!L:L,"&lt;"&amp;A57+1)</f>
        <v>355</v>
      </c>
      <c r="F57" s="297">
        <f>D65-D56</f>
        <v>178</v>
      </c>
      <c r="G57" s="297">
        <f>E65-E56</f>
        <v>146</v>
      </c>
      <c r="H57" s="259" t="s">
        <v>81</v>
      </c>
      <c r="I57" s="318">
        <f>表格1[[#This Row],[累計預估]]/表格1[[#This Row],[合計數]]</f>
        <v>0.58211678832116787</v>
      </c>
      <c r="J57" s="318">
        <f>表格1[[#This Row],[累計完成]]/表格1[[#This Row],[合計數]]</f>
        <v>0.6478102189781022</v>
      </c>
      <c r="K57" s="336" t="s">
        <v>75</v>
      </c>
      <c r="L57" s="294"/>
    </row>
    <row r="58" spans="1:12" ht="15" hidden="1" customHeight="1" x14ac:dyDescent="0.35">
      <c r="A58" s="290">
        <v>44504</v>
      </c>
      <c r="B58" s="316">
        <f>表格1[[#This Row],[日期]]</f>
        <v>44504</v>
      </c>
      <c r="C58" s="317">
        <f>COUNTA(URS確認!E:E)-1</f>
        <v>548</v>
      </c>
      <c r="D58" s="297">
        <f>COUNTIF(URS確認!K:K,"&lt;"&amp;A58+1)</f>
        <v>326</v>
      </c>
      <c r="E58" s="83">
        <f>COUNTIF(URS確認!L:L,"&lt;"&amp;A58+1)</f>
        <v>360</v>
      </c>
      <c r="F58" s="297">
        <f>D68-D57</f>
        <v>191</v>
      </c>
      <c r="G58" s="297">
        <f>E68-E57</f>
        <v>157</v>
      </c>
      <c r="I58" s="318">
        <f>表格1[[#This Row],[累計預估]]/表格1[[#This Row],[合計數]]</f>
        <v>0.5948905109489051</v>
      </c>
      <c r="J58" s="318">
        <f>表格1[[#This Row],[累計完成]]/表格1[[#This Row],[合計數]]</f>
        <v>0.65693430656934304</v>
      </c>
      <c r="K58" s="336"/>
      <c r="L58" s="294"/>
    </row>
    <row r="59" spans="1:12" ht="15" customHeight="1" x14ac:dyDescent="0.35">
      <c r="A59" s="48">
        <v>44505</v>
      </c>
      <c r="B59" s="337">
        <f>表格1[[#This Row],[日期]]</f>
        <v>44505</v>
      </c>
      <c r="C59" s="338">
        <f>COUNTA(URS確認!E:E)-1-9</f>
        <v>539</v>
      </c>
      <c r="D59" s="83">
        <f>COUNTIF(URS確認!K:K,"&lt;"&amp;A59+1)</f>
        <v>331</v>
      </c>
      <c r="E59" s="83">
        <f>COUNTIF(URS確認!L:L,"&lt;"&amp;A59+1)</f>
        <v>365</v>
      </c>
      <c r="F59" s="83">
        <f>表格1[[#This Row],[累計預估]]-D54</f>
        <v>19</v>
      </c>
      <c r="G59" s="83">
        <f>表格1[[#This Row],[累計完成]]-E54</f>
        <v>19</v>
      </c>
      <c r="H59" s="83" t="str">
        <f>IF(表格1[[#This Row],[本周完成]]&gt;表格1[[#This Row],[本周預計]],"提前",IF(表格1[[#This Row],[本周完成]]&lt;表格1[[#This Row],[本周預計]],"延遲","如期"))</f>
        <v>如期</v>
      </c>
      <c r="I59" s="339">
        <f>表格1[[#This Row],[累計預估]]/表格1[[#This Row],[合計數]]</f>
        <v>0.614100185528757</v>
      </c>
      <c r="J59" s="339">
        <f>表格1[[#This Row],[累計完成]]/表格1[[#This Row],[合計數]]</f>
        <v>0.67717996289424864</v>
      </c>
      <c r="K59" s="336"/>
      <c r="L59" s="294"/>
    </row>
    <row r="60" spans="1:12" ht="15" customHeight="1" x14ac:dyDescent="0.35">
      <c r="A60" s="48">
        <v>44512</v>
      </c>
      <c r="B60" s="337">
        <f>表格1[[#This Row],[日期]]</f>
        <v>44512</v>
      </c>
      <c r="C60" s="338">
        <f>COUNTA(URS確認!E:E)-1-9</f>
        <v>539</v>
      </c>
      <c r="D60" s="83">
        <f>COUNTIF(URS確認!K:K,"&lt;"&amp;A60+1)</f>
        <v>331</v>
      </c>
      <c r="E60" s="83">
        <f>COUNTIF(URS確認!L:L,"&lt;"&amp;A60+1)</f>
        <v>365</v>
      </c>
      <c r="F60" s="83">
        <f>表格1[[#This Row],[累計預估]]-D59</f>
        <v>0</v>
      </c>
      <c r="G60" s="83">
        <f>表格1[[#This Row],[累計完成]]-E59</f>
        <v>0</v>
      </c>
      <c r="H60" s="83" t="str">
        <f>IF(表格1[[#This Row],[本周完成]]&gt;表格1[[#This Row],[本周預計]],"提前",IF(表格1[[#This Row],[本周完成]]&lt;表格1[[#This Row],[本周預計]],"延遲","如期"))</f>
        <v>如期</v>
      </c>
      <c r="I60" s="339">
        <f>表格1[[#This Row],[累計預估]]/表格1[[#This Row],[合計數]]</f>
        <v>0.614100185528757</v>
      </c>
      <c r="J60" s="339">
        <f>表格1[[#This Row],[累計完成]]/表格1[[#This Row],[合計數]]</f>
        <v>0.67717996289424864</v>
      </c>
      <c r="K60" s="336"/>
      <c r="L60" s="294"/>
    </row>
    <row r="61" spans="1:12" ht="15" hidden="1" customHeight="1" x14ac:dyDescent="0.35">
      <c r="A61" s="290">
        <v>44515</v>
      </c>
      <c r="B61" s="316">
        <f>表格1[[#This Row],[日期]]</f>
        <v>44515</v>
      </c>
      <c r="C61" s="317">
        <v>503</v>
      </c>
      <c r="D61" s="297">
        <f>COUNTIF(URS確認!K:K,"&lt;"&amp;A61+1)</f>
        <v>375</v>
      </c>
      <c r="E61" s="83">
        <f>COUNTIF(URS確認!L:L,"&lt;"&amp;A61+1)</f>
        <v>365</v>
      </c>
      <c r="F61" s="297">
        <f>D65-D60</f>
        <v>161</v>
      </c>
      <c r="G61" s="297">
        <f>E61-E60</f>
        <v>0</v>
      </c>
      <c r="H61" s="297" t="str">
        <f>IF(表格1[[#This Row],[本周完成]]&gt;表格1[[#This Row],[本周預計]],"提前",IF(表格1[[#This Row],[本周完成]]&lt;表格1[[#This Row],[本周預計]],"延遲","如期"))</f>
        <v>延遲</v>
      </c>
      <c r="I61" s="318">
        <f>表格1[[#This Row],[累計預估]]/表格1[[#This Row],[合計數]]</f>
        <v>0.74552683896620275</v>
      </c>
      <c r="J61" s="318">
        <f>表格1[[#This Row],[累計完成]]/表格1[[#This Row],[合計數]]</f>
        <v>0.72564612326043743</v>
      </c>
      <c r="K61" s="336"/>
      <c r="L61" s="294"/>
    </row>
    <row r="62" spans="1:12" ht="15" hidden="1" customHeight="1" x14ac:dyDescent="0.35">
      <c r="A62" s="290">
        <v>44516</v>
      </c>
      <c r="B62" s="316">
        <f>表格1[[#This Row],[日期]]</f>
        <v>44516</v>
      </c>
      <c r="C62" s="317">
        <f>COUNTA(URS確認!E:E)-1</f>
        <v>548</v>
      </c>
      <c r="D62" s="297">
        <f>COUNTIF(URS確認!K:K,"&lt;"&amp;A62+1)</f>
        <v>418</v>
      </c>
      <c r="E62" s="83">
        <f>COUNTIF(URS確認!L:L,"&lt;"&amp;A62+1)</f>
        <v>365</v>
      </c>
      <c r="F62" s="297">
        <f>D65-D60</f>
        <v>161</v>
      </c>
      <c r="G62" s="297">
        <f>E62-E60</f>
        <v>0</v>
      </c>
      <c r="H62" s="297" t="str">
        <f>IF(表格1[[#This Row],[本周完成]]&gt;表格1[[#This Row],[本周預計]],"提前",IF(表格1[[#This Row],[本周完成]]&lt;表格1[[#This Row],[本周預計]],"延遲","如期"))</f>
        <v>延遲</v>
      </c>
      <c r="I62" s="318">
        <f>表格1[[#This Row],[累計預估]]/表格1[[#This Row],[合計數]]</f>
        <v>0.76277372262773724</v>
      </c>
      <c r="J62" s="318">
        <f>表格1[[#This Row],[累計完成]]/表格1[[#This Row],[合計數]]</f>
        <v>0.66605839416058399</v>
      </c>
      <c r="K62" s="336"/>
      <c r="L62" s="294"/>
    </row>
    <row r="63" spans="1:12" ht="15" hidden="1" customHeight="1" x14ac:dyDescent="0.35">
      <c r="A63" s="290">
        <v>44517</v>
      </c>
      <c r="B63" s="316">
        <f>表格1[[#This Row],[日期]]</f>
        <v>44517</v>
      </c>
      <c r="C63" s="317">
        <f>COUNTA(URS確認!E:E)-1</f>
        <v>548</v>
      </c>
      <c r="D63" s="297">
        <f>COUNTIF(URS確認!K:K,"&lt;"&amp;A63+1)</f>
        <v>431</v>
      </c>
      <c r="E63" s="83">
        <f>COUNTIF(URS確認!L:L,"&lt;"&amp;A63+1)</f>
        <v>483</v>
      </c>
      <c r="F63" s="297">
        <f>$D65-$D60</f>
        <v>161</v>
      </c>
      <c r="G63" s="297">
        <f>E65-E60</f>
        <v>127</v>
      </c>
      <c r="H63" s="297" t="str">
        <f>IF(表格1[[#This Row],[本周完成]]&gt;表格1[[#This Row],[本周預計]],"提前",IF(表格1[[#This Row],[本周完成]]&lt;表格1[[#This Row],[本周預計]],"延遲","如期"))</f>
        <v>延遲</v>
      </c>
      <c r="I63" s="318">
        <f>表格1[[#This Row],[累計預估]]/表格1[[#This Row],[合計數]]</f>
        <v>0.78649635036496346</v>
      </c>
      <c r="J63" s="318">
        <f>表格1[[#This Row],[累計完成]]/表格1[[#This Row],[合計數]]</f>
        <v>0.88138686131386856</v>
      </c>
      <c r="K63" s="336"/>
      <c r="L63" s="294"/>
    </row>
    <row r="64" spans="1:12" ht="15" hidden="1" customHeight="1" x14ac:dyDescent="0.35">
      <c r="A64" s="290">
        <v>44518</v>
      </c>
      <c r="B64" s="316">
        <f>表格1[[#This Row],[日期]]</f>
        <v>44518</v>
      </c>
      <c r="C64" s="317">
        <f>COUNTA(URS確認!E:E)-1</f>
        <v>548</v>
      </c>
      <c r="D64" s="297">
        <f>COUNTIF(URS確認!K:K,"&lt;"&amp;A64+1)</f>
        <v>469</v>
      </c>
      <c r="E64" s="83">
        <f>COUNTIF(URS確認!L:L,"&lt;"&amp;A64+1)</f>
        <v>492</v>
      </c>
      <c r="F64" s="297">
        <f>$D65-$D60</f>
        <v>161</v>
      </c>
      <c r="G64" s="297">
        <f>表格1[[#This Row],[累計完成]]-E60</f>
        <v>127</v>
      </c>
      <c r="H64" s="297" t="str">
        <f>IF(表格1[[#This Row],[本周完成]]&gt;表格1[[#This Row],[本周預計]],"提前",IF(表格1[[#This Row],[本周完成]]&lt;表格1[[#This Row],[本周預計]],"延遲","如期"))</f>
        <v>延遲</v>
      </c>
      <c r="I64" s="318">
        <f>表格1[[#This Row],[累計預估]]/表格1[[#This Row],[合計數]]</f>
        <v>0.8558394160583942</v>
      </c>
      <c r="J64" s="318">
        <f>表格1[[#This Row],[累計完成]]/表格1[[#This Row],[合計數]]</f>
        <v>0.8978102189781022</v>
      </c>
      <c r="K64" s="336"/>
      <c r="L64" s="294"/>
    </row>
    <row r="65" spans="1:12" ht="15" customHeight="1" x14ac:dyDescent="0.35">
      <c r="A65" s="48">
        <v>44519</v>
      </c>
      <c r="B65" s="337">
        <f>表格1[[#This Row],[日期]]</f>
        <v>44519</v>
      </c>
      <c r="C65" s="338">
        <f>COUNTA(URS確認!E:E)-1-9</f>
        <v>539</v>
      </c>
      <c r="D65" s="83">
        <f>COUNTIF(URS確認!K:K,"&lt;"&amp;A65+1)</f>
        <v>492</v>
      </c>
      <c r="E65" s="83">
        <f>COUNTIF(URS確認!L:L,"&lt;"&amp;A65+1)</f>
        <v>492</v>
      </c>
      <c r="F65" s="83">
        <f>表格1[[#This Row],[累計預估]]-D60</f>
        <v>161</v>
      </c>
      <c r="G65" s="83">
        <f>表格1[[#This Row],[累計完成]]-E60</f>
        <v>127</v>
      </c>
      <c r="H65" s="83" t="str">
        <f>IF(表格1[[#This Row],[本周完成]]&gt;表格1[[#This Row],[本周預計]],"提前",IF(表格1[[#This Row],[本周完成]]&lt;表格1[[#This Row],[本周預計]],"延遲","如期"))</f>
        <v>延遲</v>
      </c>
      <c r="I65" s="339">
        <f>表格1[[#This Row],[累計預估]]/表格1[[#This Row],[合計數]]</f>
        <v>0.91280148423005569</v>
      </c>
      <c r="J65" s="339">
        <f>表格1[[#This Row],[累計完成]]/表格1[[#This Row],[合計數]]</f>
        <v>0.91280148423005569</v>
      </c>
      <c r="K65" s="336"/>
      <c r="L65" s="294"/>
    </row>
    <row r="66" spans="1:12" ht="15" hidden="1" customHeight="1" x14ac:dyDescent="0.35">
      <c r="A66" s="290">
        <v>44522</v>
      </c>
      <c r="B66" s="316">
        <f>表格1[[#This Row],[日期]]</f>
        <v>44522</v>
      </c>
      <c r="C66" s="317">
        <f>COUNTA(URS確認!E:E)-1</f>
        <v>548</v>
      </c>
      <c r="D66" s="297">
        <f>COUNTIF(URS確認!K:K,"&lt;"&amp;A66+1)</f>
        <v>492</v>
      </c>
      <c r="E66" s="83">
        <f>COUNTIF(URS確認!L:L,"&lt;"&amp;A66+1)</f>
        <v>494</v>
      </c>
      <c r="F66" s="297">
        <f>D68-D65</f>
        <v>18</v>
      </c>
      <c r="G66" s="297">
        <f>表格1[[#This Row],[累計完成]]-E65</f>
        <v>2</v>
      </c>
      <c r="H66" s="297" t="str">
        <f>IF(表格1[[#This Row],[本周完成]]&gt;表格1[[#This Row],[本周預計]],"提前",IF(表格1[[#This Row],[本周完成]]&lt;表格1[[#This Row],[本周預計]],"延遲","如期"))</f>
        <v>延遲</v>
      </c>
      <c r="I66" s="318">
        <f>表格1[[#This Row],[累計預估]]/表格1[[#This Row],[合計數]]</f>
        <v>0.8978102189781022</v>
      </c>
      <c r="J66" s="318">
        <f>表格1[[#This Row],[累計完成]]/表格1[[#This Row],[合計數]]</f>
        <v>0.90145985401459849</v>
      </c>
      <c r="K66" s="336"/>
      <c r="L66" s="294"/>
    </row>
    <row r="67" spans="1:12" ht="15" hidden="1" customHeight="1" x14ac:dyDescent="0.35">
      <c r="A67" s="290">
        <v>44523</v>
      </c>
      <c r="B67" s="316">
        <f>表格1[[#This Row],[日期]]</f>
        <v>44523</v>
      </c>
      <c r="C67" s="317">
        <f>COUNTA(URS確認!E:E)-1</f>
        <v>548</v>
      </c>
      <c r="D67" s="297">
        <f>COUNTIF(URS確認!K:K,"&lt;"&amp;A67+1)</f>
        <v>495</v>
      </c>
      <c r="E67" s="83">
        <f>COUNTIF(URS確認!L:L,"&lt;"&amp;A67+1)</f>
        <v>494</v>
      </c>
      <c r="F67" s="297">
        <v>29</v>
      </c>
      <c r="G67" s="297">
        <f>表格1[[#This Row],[累計完成]]-E66</f>
        <v>0</v>
      </c>
      <c r="H67" s="297" t="str">
        <f>IF(表格1[[#This Row],[本周完成]]&gt;表格1[[#This Row],[本周預計]],"提前",IF(表格1[[#This Row],[本周完成]]&lt;表格1[[#This Row],[本周預計]],"延遲","如期"))</f>
        <v>延遲</v>
      </c>
      <c r="I67" s="318">
        <f>表格1[[#This Row],[累計預估]]/表格1[[#This Row],[合計數]]</f>
        <v>0.90328467153284675</v>
      </c>
      <c r="J67" s="318">
        <f>表格1[[#This Row],[累計完成]]/表格1[[#This Row],[合計數]]</f>
        <v>0.90145985401459849</v>
      </c>
      <c r="K67" s="336"/>
      <c r="L67" s="294"/>
    </row>
    <row r="68" spans="1:12" ht="15" customHeight="1" x14ac:dyDescent="0.35">
      <c r="A68" s="48">
        <v>44526</v>
      </c>
      <c r="B68" s="337">
        <f>表格1[[#This Row],[日期]]</f>
        <v>44526</v>
      </c>
      <c r="C68" s="338">
        <f>COUNTA(URS確認!E:E)-1-9</f>
        <v>539</v>
      </c>
      <c r="D68" s="83">
        <f>COUNTIF(URS確認!K:K,"&lt;"&amp;A68+1)</f>
        <v>510</v>
      </c>
      <c r="E68" s="83">
        <f>COUNTIF(URS確認!L:L,"&lt;"&amp;A68+1)</f>
        <v>512</v>
      </c>
      <c r="F68" s="83">
        <f>表格1[[#This Row],[累計預估]]-D65</f>
        <v>18</v>
      </c>
      <c r="G68" s="83">
        <f>表格1[[#This Row],[累計完成]]-E65</f>
        <v>20</v>
      </c>
      <c r="H68" s="83" t="str">
        <f>IF(表格1[[#This Row],[本周完成]]&gt;表格1[[#This Row],[本周預計]],"提前",IF(表格1[[#This Row],[本周完成]]&lt;表格1[[#This Row],[本周預計]],"延遲","如期"))</f>
        <v>提前</v>
      </c>
      <c r="I68" s="339">
        <f>表格1[[#This Row],[累計預估]]/表格1[[#This Row],[合計數]]</f>
        <v>0.94619666048237472</v>
      </c>
      <c r="J68" s="339">
        <f>表格1[[#This Row],[累計完成]]/表格1[[#This Row],[合計數]]</f>
        <v>0.94990723562152135</v>
      </c>
      <c r="K68" s="336"/>
      <c r="L68" s="294"/>
    </row>
    <row r="69" spans="1:12" ht="14.5" x14ac:dyDescent="0.35">
      <c r="A69" s="290">
        <v>44529</v>
      </c>
      <c r="B69" s="316">
        <f>表格1[[#This Row],[日期]]</f>
        <v>44529</v>
      </c>
      <c r="C69" s="317">
        <f>COUNTA(URS確認!E:E)-1-9</f>
        <v>539</v>
      </c>
      <c r="D69" s="397">
        <f>COUNTIF(URS確認!K:K,"&lt;"&amp;A69+1)</f>
        <v>527</v>
      </c>
      <c r="E69" s="401">
        <f>COUNTIF(URS確認!L:L,"&lt;"&amp;A69+1)</f>
        <v>524</v>
      </c>
      <c r="F69" s="397">
        <f>$D$73-$D$68</f>
        <v>38</v>
      </c>
      <c r="G69" s="397">
        <f>表格1[[#This Row],[累計完成]]-$E$68</f>
        <v>12</v>
      </c>
      <c r="H69" s="397"/>
      <c r="I69" s="399">
        <f>表格1[[#This Row],[累計預估]]/表格1[[#This Row],[合計數]]</f>
        <v>0.97773654916512054</v>
      </c>
      <c r="J69" s="399">
        <f>表格1[[#This Row],[累計完成]]/表格1[[#This Row],[合計數]]</f>
        <v>0.9721706864564007</v>
      </c>
      <c r="K69" s="400"/>
    </row>
    <row r="70" spans="1:12" ht="14.5" x14ac:dyDescent="0.35">
      <c r="A70" s="290">
        <v>44530</v>
      </c>
      <c r="B70" s="316">
        <f>表格1[[#This Row],[日期]]</f>
        <v>44530</v>
      </c>
      <c r="C70" s="317">
        <f>COUNTA(URS確認!E:E)-1</f>
        <v>548</v>
      </c>
      <c r="D70" s="397">
        <f>COUNTIF(URS確認!K:K,"&lt;"&amp;A70+1)</f>
        <v>536</v>
      </c>
      <c r="E70" s="401">
        <f>COUNTIF(URS確認!L:L,"&lt;"&amp;A70+1)</f>
        <v>533</v>
      </c>
      <c r="F70" s="397">
        <f t="shared" ref="F70:F73" si="8">$D$73-$D$68</f>
        <v>38</v>
      </c>
      <c r="G70" s="397">
        <f>表格1[[#This Row],[累計完成]]-$E$68</f>
        <v>21</v>
      </c>
      <c r="H70" s="397"/>
      <c r="I70" s="399">
        <f>表格1[[#This Row],[累計預估]]/表格1[[#This Row],[合計數]]</f>
        <v>0.97810218978102192</v>
      </c>
      <c r="J70" s="399">
        <f>表格1[[#This Row],[累計完成]]/表格1[[#This Row],[合計數]]</f>
        <v>0.97262773722627738</v>
      </c>
      <c r="K70" s="400"/>
    </row>
    <row r="71" spans="1:12" ht="14.5" x14ac:dyDescent="0.35">
      <c r="A71" s="290">
        <v>44531</v>
      </c>
      <c r="B71" s="316">
        <f>表格1[[#This Row],[日期]]</f>
        <v>44531</v>
      </c>
      <c r="C71" s="317">
        <f>COUNTA(URS確認!E:E)-1</f>
        <v>548</v>
      </c>
      <c r="D71" s="397">
        <f>COUNTIF(URS確認!K:K,"&lt;"&amp;A71+1)</f>
        <v>536</v>
      </c>
      <c r="E71" s="401">
        <f>COUNTIF(URS確認!L:L,"&lt;"&amp;A71+1)</f>
        <v>533</v>
      </c>
      <c r="F71" s="397">
        <f t="shared" si="8"/>
        <v>38</v>
      </c>
      <c r="G71" s="397">
        <f>表格1[[#This Row],[累計完成]]-$E$68</f>
        <v>21</v>
      </c>
      <c r="H71" s="397"/>
      <c r="I71" s="399">
        <f>表格1[[#This Row],[累計預估]]/表格1[[#This Row],[合計數]]</f>
        <v>0.97810218978102192</v>
      </c>
      <c r="J71" s="399">
        <f>表格1[[#This Row],[累計完成]]/表格1[[#This Row],[合計數]]</f>
        <v>0.97262773722627738</v>
      </c>
      <c r="K71" s="400"/>
    </row>
    <row r="72" spans="1:12" ht="14.5" x14ac:dyDescent="0.35">
      <c r="A72" s="290">
        <v>44532</v>
      </c>
      <c r="B72" s="316">
        <f>表格1[[#This Row],[日期]]</f>
        <v>44532</v>
      </c>
      <c r="C72" s="317">
        <f>COUNTA(URS確認!E:E)-1</f>
        <v>548</v>
      </c>
      <c r="D72" s="397">
        <f>COUNTIF(URS確認!K:K,"&lt;"&amp;A72+1)</f>
        <v>536</v>
      </c>
      <c r="E72" s="401">
        <f>COUNTIF(URS確認!L:L,"&lt;"&amp;A72+1)</f>
        <v>533</v>
      </c>
      <c r="F72" s="397">
        <f t="shared" si="8"/>
        <v>38</v>
      </c>
      <c r="G72" s="397">
        <f>表格1[[#This Row],[累計完成]]-$E$68</f>
        <v>21</v>
      </c>
      <c r="H72" s="397"/>
      <c r="I72" s="399">
        <f>表格1[[#This Row],[累計預估]]/表格1[[#This Row],[合計數]]</f>
        <v>0.97810218978102192</v>
      </c>
      <c r="J72" s="399">
        <f>表格1[[#This Row],[累計完成]]/表格1[[#This Row],[合計數]]</f>
        <v>0.97262773722627738</v>
      </c>
      <c r="K72" s="400"/>
    </row>
    <row r="73" spans="1:12" ht="14.5" x14ac:dyDescent="0.35">
      <c r="A73" s="48">
        <v>44533</v>
      </c>
      <c r="B73" s="337">
        <f>表格1[[#This Row],[日期]]</f>
        <v>44533</v>
      </c>
      <c r="C73" s="338">
        <f>COUNTA(URS確認!E:E)-1</f>
        <v>548</v>
      </c>
      <c r="D73" s="398">
        <f>COUNTIF(URS確認!K:K,"&lt;"&amp;A73+1)</f>
        <v>548</v>
      </c>
      <c r="E73" s="83">
        <f>COUNTIF(URS確認!L:L,"&lt;"&amp;A73+1)</f>
        <v>544</v>
      </c>
      <c r="F73" s="398">
        <f t="shared" si="8"/>
        <v>38</v>
      </c>
      <c r="G73" s="398">
        <f>E73-E68</f>
        <v>32</v>
      </c>
      <c r="H73" s="398" t="str">
        <f>IF(表格1[[#This Row],[本周完成]]&gt;表格1[[#This Row],[本周預計]],"提前",IF(表格1[[#This Row],[本周完成]]&lt;表格1[[#This Row],[本周預計]],"延遲","如期"))</f>
        <v>延遲</v>
      </c>
      <c r="I73" s="339">
        <f>表格1[[#This Row],[累計預估]]/表格1[[#This Row],[合計數]]</f>
        <v>1</v>
      </c>
      <c r="J73" s="339">
        <f>表格1[[#This Row],[累計完成]]/表格1[[#This Row],[合計數]]</f>
        <v>0.99270072992700731</v>
      </c>
      <c r="K73" s="400"/>
    </row>
    <row r="74" spans="1:12" ht="14.5" x14ac:dyDescent="0.35">
      <c r="A74" s="290">
        <v>44540</v>
      </c>
      <c r="B74" s="316">
        <f>表格1[[#This Row],[日期]]</f>
        <v>44540</v>
      </c>
      <c r="C74" s="317">
        <f>COUNTA(URS確認!E:E)-1</f>
        <v>548</v>
      </c>
      <c r="D74" s="397">
        <f>COUNTIF(URS確認!K:K,"&lt;"&amp;A74+1)</f>
        <v>548</v>
      </c>
      <c r="E74" s="397">
        <v>0</v>
      </c>
      <c r="F74" s="397">
        <v>0</v>
      </c>
      <c r="G74" s="397">
        <v>0</v>
      </c>
      <c r="H74" s="398" t="str">
        <f>IF(表格1[[#This Row],[本周完成]]&gt;表格1[[#This Row],[本周預計]],"提前",IF(表格1[[#This Row],[本周完成]]&lt;表格1[[#This Row],[本周預計]],"延遲","如期"))</f>
        <v>如期</v>
      </c>
      <c r="I74" s="399">
        <f>表格1[[#This Row],[累計預估]]/表格1[[#This Row],[合計數]]</f>
        <v>1</v>
      </c>
      <c r="J74" s="399">
        <f>表格1[[#This Row],[累計完成]]/表格1[[#This Row],[合計數]]</f>
        <v>0</v>
      </c>
      <c r="K74" s="400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PE227"/>
  <sheetViews>
    <sheetView workbookViewId="0">
      <selection activeCell="OY7" sqref="OY7:OY14"/>
    </sheetView>
  </sheetViews>
  <sheetFormatPr defaultRowHeight="14.5" x14ac:dyDescent="0.3"/>
  <cols>
    <col min="1" max="1" width="16.59765625" style="293" bestFit="1" customWidth="1"/>
    <col min="2" max="2" width="22.69921875" style="293" hidden="1" customWidth="1"/>
    <col min="3" max="4" width="18.09765625" style="293" hidden="1" customWidth="1"/>
    <col min="5" max="5" width="23.69921875" style="293" hidden="1" customWidth="1"/>
    <col min="6" max="6" width="27.19921875" style="293" hidden="1" customWidth="1"/>
    <col min="7" max="7" width="18.09765625" style="293" hidden="1" customWidth="1"/>
    <col min="8" max="8" width="17.69921875" style="293" hidden="1" customWidth="1"/>
    <col min="9" max="11" width="18.09765625" style="293" hidden="1" customWidth="1"/>
    <col min="12" max="12" width="23.69921875" style="293" hidden="1" customWidth="1"/>
    <col min="13" max="13" width="27.19921875" style="293" hidden="1" customWidth="1"/>
    <col min="14" max="14" width="18.09765625" style="293" hidden="1" customWidth="1"/>
    <col min="15" max="15" width="17.69921875" style="293" hidden="1" customWidth="1"/>
    <col min="16" max="18" width="18.09765625" style="293" hidden="1" customWidth="1"/>
    <col min="19" max="19" width="23.69921875" style="293" hidden="1" customWidth="1"/>
    <col min="20" max="20" width="27.19921875" style="293" hidden="1" customWidth="1"/>
    <col min="21" max="21" width="18.09765625" style="293" hidden="1" customWidth="1"/>
    <col min="22" max="22" width="17.69921875" style="293" hidden="1" customWidth="1"/>
    <col min="23" max="25" width="18.09765625" style="293" hidden="1" customWidth="1"/>
    <col min="26" max="26" width="23.69921875" hidden="1" customWidth="1"/>
    <col min="27" max="27" width="27.19921875" hidden="1" customWidth="1"/>
    <col min="28" max="28" width="18.09765625" hidden="1" customWidth="1"/>
    <col min="29" max="29" width="17.69921875" hidden="1" customWidth="1"/>
    <col min="30" max="32" width="18.09765625" hidden="1" customWidth="1"/>
    <col min="33" max="33" width="23.69921875" hidden="1" customWidth="1"/>
    <col min="34" max="34" width="27.19921875" hidden="1" customWidth="1"/>
    <col min="35" max="35" width="18.09765625" hidden="1" customWidth="1"/>
    <col min="36" max="36" width="17.69921875" hidden="1" customWidth="1"/>
    <col min="37" max="39" width="18.09765625" hidden="1" customWidth="1"/>
    <col min="40" max="40" width="23.69921875" hidden="1" customWidth="1"/>
    <col min="41" max="41" width="27.19921875" hidden="1" customWidth="1"/>
    <col min="42" max="42" width="18.09765625" hidden="1" customWidth="1"/>
    <col min="43" max="43" width="17.69921875" hidden="1" customWidth="1"/>
    <col min="44" max="46" width="18.09765625" hidden="1" customWidth="1"/>
    <col min="47" max="47" width="23.69921875" hidden="1" customWidth="1"/>
    <col min="48" max="48" width="27.19921875" hidden="1" customWidth="1"/>
    <col min="49" max="49" width="18.09765625" hidden="1" customWidth="1"/>
    <col min="50" max="50" width="17.69921875" hidden="1" customWidth="1"/>
    <col min="51" max="53" width="18.09765625" hidden="1" customWidth="1"/>
    <col min="54" max="54" width="23.69921875" hidden="1" customWidth="1"/>
    <col min="55" max="55" width="27.19921875" hidden="1" customWidth="1"/>
    <col min="56" max="56" width="18.09765625" hidden="1" customWidth="1"/>
    <col min="57" max="57" width="17.69921875" hidden="1" customWidth="1"/>
    <col min="58" max="60" width="18.09765625" hidden="1" customWidth="1"/>
    <col min="61" max="61" width="23.69921875" hidden="1" customWidth="1"/>
    <col min="62" max="62" width="27.19921875" hidden="1" customWidth="1"/>
    <col min="63" max="63" width="18.09765625" hidden="1" customWidth="1"/>
    <col min="64" max="64" width="17.69921875" hidden="1" customWidth="1"/>
    <col min="65" max="67" width="18.09765625" hidden="1" customWidth="1"/>
    <col min="68" max="68" width="23.69921875" hidden="1" customWidth="1"/>
    <col min="69" max="69" width="27.19921875" hidden="1" customWidth="1"/>
    <col min="70" max="70" width="18.09765625" hidden="1" customWidth="1"/>
    <col min="71" max="71" width="17.69921875" hidden="1" customWidth="1"/>
    <col min="72" max="74" width="18.09765625" hidden="1" customWidth="1"/>
    <col min="75" max="75" width="23.69921875" hidden="1" customWidth="1"/>
    <col min="76" max="76" width="27.19921875" hidden="1" customWidth="1"/>
    <col min="77" max="77" width="18.09765625" hidden="1" customWidth="1"/>
    <col min="78" max="78" width="17.69921875" hidden="1" customWidth="1"/>
    <col min="79" max="81" width="18.09765625" hidden="1" customWidth="1"/>
    <col min="82" max="82" width="23.69921875" hidden="1" customWidth="1"/>
    <col min="83" max="83" width="27.19921875" hidden="1" customWidth="1"/>
    <col min="84" max="84" width="18.09765625" hidden="1" customWidth="1"/>
    <col min="85" max="85" width="17.69921875" hidden="1" customWidth="1"/>
    <col min="86" max="88" width="18.09765625" hidden="1" customWidth="1"/>
    <col min="89" max="89" width="23.69921875" hidden="1" customWidth="1"/>
    <col min="90" max="90" width="27.19921875" hidden="1" customWidth="1"/>
    <col min="91" max="91" width="18.09765625" hidden="1" customWidth="1"/>
    <col min="92" max="92" width="17.69921875" hidden="1" customWidth="1"/>
    <col min="93" max="95" width="18.09765625" hidden="1" customWidth="1"/>
    <col min="96" max="96" width="23.69921875" hidden="1" customWidth="1"/>
    <col min="97" max="97" width="27.19921875" hidden="1" customWidth="1"/>
    <col min="98" max="98" width="18.09765625" hidden="1" customWidth="1"/>
    <col min="99" max="99" width="17.69921875" hidden="1" customWidth="1"/>
    <col min="100" max="102" width="18.09765625" hidden="1" customWidth="1"/>
    <col min="103" max="103" width="23.69921875" hidden="1" customWidth="1"/>
    <col min="104" max="104" width="27.19921875" hidden="1" customWidth="1"/>
    <col min="105" max="105" width="18.09765625" hidden="1" customWidth="1"/>
    <col min="106" max="106" width="17.69921875" hidden="1" customWidth="1"/>
    <col min="107" max="109" width="18.09765625" hidden="1" customWidth="1"/>
    <col min="110" max="110" width="23.69921875" hidden="1" customWidth="1"/>
    <col min="111" max="111" width="27.19921875" hidden="1" customWidth="1"/>
    <col min="112" max="112" width="18.09765625" hidden="1" customWidth="1"/>
    <col min="113" max="113" width="17.69921875" hidden="1" customWidth="1"/>
    <col min="114" max="116" width="18.09765625" hidden="1" customWidth="1"/>
    <col min="117" max="117" width="23.69921875" hidden="1" customWidth="1"/>
    <col min="118" max="118" width="27.19921875" hidden="1" customWidth="1"/>
    <col min="119" max="119" width="18.09765625" hidden="1" customWidth="1"/>
    <col min="120" max="120" width="17.69921875" hidden="1" customWidth="1"/>
    <col min="121" max="123" width="18.09765625" hidden="1" customWidth="1"/>
    <col min="124" max="124" width="23.69921875" hidden="1" customWidth="1"/>
    <col min="125" max="125" width="27.19921875" hidden="1" customWidth="1"/>
    <col min="126" max="126" width="18.09765625" hidden="1" customWidth="1"/>
    <col min="127" max="127" width="17.69921875" hidden="1" customWidth="1"/>
    <col min="128" max="130" width="18.09765625" hidden="1" customWidth="1"/>
    <col min="131" max="131" width="23.69921875" hidden="1" customWidth="1"/>
    <col min="132" max="132" width="27.19921875" hidden="1" customWidth="1"/>
    <col min="133" max="133" width="18.09765625" hidden="1" customWidth="1"/>
    <col min="134" max="134" width="17.69921875" hidden="1" customWidth="1"/>
    <col min="135" max="137" width="18.09765625" hidden="1" customWidth="1"/>
    <col min="138" max="138" width="23.69921875" hidden="1" customWidth="1"/>
    <col min="139" max="139" width="27.19921875" hidden="1" customWidth="1"/>
    <col min="140" max="140" width="18.09765625" hidden="1" customWidth="1"/>
    <col min="141" max="141" width="17.69921875" hidden="1" customWidth="1"/>
    <col min="142" max="144" width="18.09765625" hidden="1" customWidth="1"/>
    <col min="145" max="145" width="23.69921875" hidden="1" customWidth="1"/>
    <col min="146" max="146" width="27.19921875" hidden="1" customWidth="1"/>
    <col min="147" max="147" width="18.09765625" hidden="1" customWidth="1"/>
    <col min="148" max="148" width="17.69921875" hidden="1" customWidth="1"/>
    <col min="149" max="151" width="18.09765625" hidden="1" customWidth="1"/>
    <col min="152" max="152" width="23.69921875" hidden="1" customWidth="1"/>
    <col min="153" max="153" width="27.19921875" hidden="1" customWidth="1"/>
    <col min="154" max="154" width="18.09765625" hidden="1" customWidth="1"/>
    <col min="155" max="155" width="17.69921875" hidden="1" customWidth="1"/>
    <col min="156" max="158" width="18.09765625" hidden="1" customWidth="1"/>
    <col min="159" max="159" width="23.69921875" hidden="1" customWidth="1"/>
    <col min="160" max="160" width="27.19921875" hidden="1" customWidth="1"/>
    <col min="161" max="161" width="18.09765625" hidden="1" customWidth="1"/>
    <col min="162" max="162" width="17.69921875" hidden="1" customWidth="1"/>
    <col min="163" max="165" width="18.09765625" hidden="1" customWidth="1"/>
    <col min="166" max="166" width="23.69921875" hidden="1" customWidth="1"/>
    <col min="167" max="167" width="27.19921875" hidden="1" customWidth="1"/>
    <col min="168" max="168" width="18.09765625" hidden="1" customWidth="1"/>
    <col min="169" max="169" width="17.69921875" hidden="1" customWidth="1"/>
    <col min="170" max="172" width="18.09765625" hidden="1" customWidth="1"/>
    <col min="173" max="173" width="23.69921875" hidden="1" customWidth="1"/>
    <col min="174" max="174" width="27.19921875" hidden="1" customWidth="1"/>
    <col min="175" max="175" width="18.09765625" hidden="1" customWidth="1"/>
    <col min="176" max="176" width="17.69921875" hidden="1" customWidth="1"/>
    <col min="177" max="179" width="18.09765625" hidden="1" customWidth="1"/>
    <col min="180" max="180" width="23.69921875" hidden="1" customWidth="1"/>
    <col min="181" max="181" width="27.19921875" hidden="1" customWidth="1"/>
    <col min="182" max="182" width="18.09765625" hidden="1" customWidth="1"/>
    <col min="183" max="183" width="17.69921875" hidden="1" customWidth="1"/>
    <col min="184" max="186" width="18.09765625" hidden="1" customWidth="1"/>
    <col min="187" max="187" width="23.69921875" hidden="1" customWidth="1"/>
    <col min="188" max="188" width="27.19921875" hidden="1" customWidth="1"/>
    <col min="189" max="189" width="18.09765625" hidden="1" customWidth="1"/>
    <col min="190" max="190" width="17.69921875" hidden="1" customWidth="1"/>
    <col min="191" max="193" width="18.09765625" hidden="1" customWidth="1"/>
    <col min="194" max="194" width="23.69921875" hidden="1" customWidth="1"/>
    <col min="195" max="195" width="27.19921875" hidden="1" customWidth="1"/>
    <col min="196" max="196" width="18.09765625" hidden="1" customWidth="1"/>
    <col min="197" max="197" width="17.69921875" hidden="1" customWidth="1"/>
    <col min="198" max="200" width="18.09765625" hidden="1" customWidth="1"/>
    <col min="201" max="201" width="23.69921875" hidden="1" customWidth="1"/>
    <col min="202" max="202" width="27.19921875" hidden="1" customWidth="1"/>
    <col min="203" max="203" width="18.09765625" hidden="1" customWidth="1"/>
    <col min="204" max="204" width="17.69921875" hidden="1" customWidth="1"/>
    <col min="205" max="207" width="18.09765625" hidden="1" customWidth="1"/>
    <col min="208" max="208" width="23.69921875" hidden="1" customWidth="1"/>
    <col min="209" max="209" width="27.19921875" hidden="1" customWidth="1"/>
    <col min="210" max="210" width="18.09765625" hidden="1" customWidth="1"/>
    <col min="211" max="211" width="17.69921875" hidden="1" customWidth="1"/>
    <col min="212" max="214" width="18.09765625" hidden="1" customWidth="1"/>
    <col min="215" max="215" width="23.69921875" hidden="1" customWidth="1"/>
    <col min="216" max="216" width="27.19921875" hidden="1" customWidth="1"/>
    <col min="217" max="217" width="18.09765625" hidden="1" customWidth="1"/>
    <col min="218" max="218" width="17.69921875" hidden="1" customWidth="1"/>
    <col min="219" max="221" width="18.09765625" hidden="1" customWidth="1"/>
    <col min="222" max="222" width="23.69921875" hidden="1" customWidth="1"/>
    <col min="223" max="223" width="27.19921875" hidden="1" customWidth="1"/>
    <col min="224" max="224" width="18.09765625" hidden="1" customWidth="1"/>
    <col min="225" max="225" width="17.69921875" hidden="1" customWidth="1"/>
    <col min="226" max="228" width="18.09765625" hidden="1" customWidth="1"/>
    <col min="229" max="229" width="23.69921875" hidden="1" customWidth="1"/>
    <col min="230" max="230" width="27.19921875" hidden="1" customWidth="1"/>
    <col min="231" max="231" width="18.09765625" hidden="1" customWidth="1"/>
    <col min="232" max="232" width="17.69921875" hidden="1" customWidth="1"/>
    <col min="233" max="235" width="18.09765625" hidden="1" customWidth="1"/>
    <col min="236" max="236" width="23.69921875" hidden="1" customWidth="1"/>
    <col min="237" max="237" width="27.19921875" hidden="1" customWidth="1"/>
    <col min="238" max="238" width="18.09765625" hidden="1" customWidth="1"/>
    <col min="239" max="239" width="17.69921875" hidden="1" customWidth="1"/>
    <col min="240" max="242" width="18.09765625" hidden="1" customWidth="1"/>
    <col min="243" max="243" width="23.69921875" hidden="1" customWidth="1"/>
    <col min="244" max="244" width="27.19921875" hidden="1" customWidth="1"/>
    <col min="245" max="245" width="18.09765625" hidden="1" customWidth="1"/>
    <col min="246" max="246" width="17.69921875" hidden="1" customWidth="1"/>
    <col min="247" max="249" width="18.09765625" hidden="1" customWidth="1"/>
    <col min="250" max="250" width="23.69921875" hidden="1" customWidth="1"/>
    <col min="251" max="251" width="27.19921875" hidden="1" customWidth="1"/>
    <col min="252" max="252" width="18.09765625" hidden="1" customWidth="1"/>
    <col min="253" max="253" width="17.69921875" hidden="1" customWidth="1"/>
    <col min="254" max="256" width="18.09765625" hidden="1" customWidth="1"/>
    <col min="257" max="257" width="23.69921875" hidden="1" customWidth="1"/>
    <col min="258" max="258" width="27.19921875" hidden="1" customWidth="1"/>
    <col min="259" max="259" width="18.09765625" hidden="1" customWidth="1"/>
    <col min="260" max="260" width="17.69921875" hidden="1" customWidth="1"/>
    <col min="261" max="263" width="18.09765625" hidden="1" customWidth="1"/>
    <col min="264" max="264" width="23.69921875" hidden="1" customWidth="1"/>
    <col min="265" max="265" width="27.19921875" hidden="1" customWidth="1"/>
    <col min="266" max="266" width="18.09765625" hidden="1" customWidth="1"/>
    <col min="267" max="267" width="17.69921875" hidden="1" customWidth="1"/>
    <col min="268" max="270" width="18.09765625" hidden="1" customWidth="1"/>
    <col min="271" max="271" width="23.69921875" hidden="1" customWidth="1"/>
    <col min="272" max="272" width="27.19921875" hidden="1" customWidth="1"/>
    <col min="273" max="273" width="18.09765625" hidden="1" customWidth="1"/>
    <col min="274" max="274" width="17.69921875" hidden="1" customWidth="1"/>
    <col min="275" max="277" width="18.09765625" hidden="1" customWidth="1"/>
    <col min="278" max="278" width="23.69921875" hidden="1" customWidth="1"/>
    <col min="279" max="279" width="27.19921875" hidden="1" customWidth="1"/>
    <col min="280" max="280" width="18.09765625" hidden="1" customWidth="1"/>
    <col min="281" max="281" width="17.69921875" hidden="1" customWidth="1"/>
    <col min="282" max="284" width="18.09765625" hidden="1" customWidth="1"/>
    <col min="285" max="285" width="23.69921875" hidden="1" customWidth="1"/>
    <col min="286" max="286" width="27.19921875" hidden="1" customWidth="1"/>
    <col min="287" max="287" width="18.09765625" hidden="1" customWidth="1"/>
    <col min="288" max="288" width="17.69921875" hidden="1" customWidth="1"/>
    <col min="289" max="291" width="18.09765625" hidden="1" customWidth="1"/>
    <col min="292" max="292" width="23.69921875" hidden="1" customWidth="1"/>
    <col min="293" max="293" width="27.19921875" hidden="1" customWidth="1"/>
    <col min="294" max="294" width="18.09765625" hidden="1" customWidth="1"/>
    <col min="295" max="295" width="17.69921875" hidden="1" customWidth="1"/>
    <col min="296" max="298" width="18.09765625" hidden="1" customWidth="1"/>
    <col min="299" max="299" width="23.69921875" hidden="1" customWidth="1"/>
    <col min="300" max="300" width="27.19921875" hidden="1" customWidth="1"/>
    <col min="301" max="301" width="18.09765625" hidden="1" customWidth="1"/>
    <col min="302" max="302" width="17.69921875" hidden="1" customWidth="1"/>
    <col min="303" max="305" width="18.09765625" hidden="1" customWidth="1"/>
    <col min="306" max="306" width="23.69921875" hidden="1" customWidth="1"/>
    <col min="307" max="307" width="27.19921875" hidden="1" customWidth="1"/>
    <col min="308" max="308" width="18.09765625" hidden="1" customWidth="1"/>
    <col min="309" max="309" width="17.69921875" hidden="1" customWidth="1"/>
    <col min="310" max="312" width="18.09765625" hidden="1" customWidth="1"/>
    <col min="313" max="313" width="23.69921875" hidden="1" customWidth="1"/>
    <col min="314" max="314" width="27.19921875" hidden="1" customWidth="1"/>
    <col min="315" max="315" width="18.09765625" hidden="1" customWidth="1"/>
    <col min="316" max="316" width="17.69921875" hidden="1" customWidth="1"/>
    <col min="317" max="319" width="18.09765625" hidden="1" customWidth="1"/>
    <col min="320" max="320" width="23.69921875" hidden="1" customWidth="1"/>
    <col min="321" max="321" width="27.19921875" hidden="1" customWidth="1"/>
    <col min="322" max="322" width="18.09765625" hidden="1" customWidth="1"/>
    <col min="323" max="323" width="17.69921875" hidden="1" customWidth="1"/>
    <col min="324" max="326" width="18.09765625" hidden="1" customWidth="1"/>
    <col min="327" max="327" width="23.69921875" hidden="1" customWidth="1"/>
    <col min="328" max="328" width="27.19921875" hidden="1" customWidth="1"/>
    <col min="329" max="329" width="18.09765625" hidden="1" customWidth="1"/>
    <col min="330" max="330" width="17.69921875" hidden="1" customWidth="1"/>
    <col min="331" max="333" width="18.09765625" hidden="1" customWidth="1"/>
    <col min="334" max="334" width="23.69921875" hidden="1" customWidth="1"/>
    <col min="335" max="335" width="27.19921875" hidden="1" customWidth="1"/>
    <col min="336" max="336" width="18.09765625" hidden="1" customWidth="1"/>
    <col min="337" max="337" width="17.69921875" hidden="1" customWidth="1"/>
    <col min="338" max="340" width="18.09765625" hidden="1" customWidth="1"/>
    <col min="341" max="341" width="23.69921875" hidden="1" customWidth="1"/>
    <col min="342" max="342" width="27.19921875" hidden="1" customWidth="1"/>
    <col min="343" max="343" width="18.09765625" hidden="1" customWidth="1"/>
    <col min="344" max="344" width="17.69921875" hidden="1" customWidth="1"/>
    <col min="345" max="347" width="18.09765625" hidden="1" customWidth="1"/>
    <col min="348" max="348" width="23.69921875" hidden="1" customWidth="1"/>
    <col min="349" max="349" width="27.19921875" hidden="1" customWidth="1"/>
    <col min="350" max="350" width="18.09765625" hidden="1" customWidth="1"/>
    <col min="351" max="351" width="17.69921875" hidden="1" customWidth="1"/>
    <col min="352" max="354" width="18.09765625" hidden="1" customWidth="1"/>
    <col min="355" max="355" width="23.69921875" hidden="1" customWidth="1"/>
    <col min="356" max="356" width="27.19921875" hidden="1" customWidth="1"/>
    <col min="357" max="357" width="18.09765625" hidden="1" customWidth="1"/>
    <col min="358" max="358" width="17.69921875" hidden="1" customWidth="1"/>
    <col min="359" max="361" width="18.09765625" hidden="1" customWidth="1"/>
    <col min="362" max="362" width="23.69921875" hidden="1" customWidth="1"/>
    <col min="363" max="363" width="27.19921875" hidden="1" customWidth="1"/>
    <col min="364" max="364" width="18.09765625" hidden="1" customWidth="1"/>
    <col min="365" max="365" width="17.69921875" hidden="1" customWidth="1"/>
    <col min="366" max="368" width="18.09765625" hidden="1" customWidth="1"/>
    <col min="369" max="369" width="23.69921875" hidden="1" customWidth="1"/>
    <col min="370" max="370" width="27.19921875" hidden="1" customWidth="1"/>
    <col min="371" max="371" width="18.09765625" hidden="1" customWidth="1"/>
    <col min="372" max="372" width="17.69921875" hidden="1" customWidth="1"/>
    <col min="373" max="375" width="18.09765625" hidden="1" customWidth="1"/>
    <col min="376" max="376" width="23.69921875" hidden="1" customWidth="1"/>
    <col min="377" max="377" width="27.19921875" hidden="1" customWidth="1"/>
    <col min="378" max="378" width="18.09765625" hidden="1" customWidth="1"/>
    <col min="379" max="379" width="17.69921875" hidden="1" customWidth="1"/>
    <col min="380" max="382" width="18.09765625" hidden="1" customWidth="1"/>
    <col min="383" max="383" width="23.69921875" hidden="1" customWidth="1"/>
    <col min="384" max="384" width="27.19921875" hidden="1" customWidth="1"/>
    <col min="385" max="385" width="18.09765625" hidden="1" customWidth="1"/>
    <col min="386" max="386" width="17.69921875" hidden="1" customWidth="1"/>
    <col min="387" max="389" width="18.09765625" hidden="1" customWidth="1"/>
    <col min="390" max="390" width="23.69921875" hidden="1" customWidth="1"/>
    <col min="391" max="391" width="27.19921875" hidden="1" customWidth="1"/>
    <col min="392" max="392" width="18.09765625" hidden="1" customWidth="1"/>
    <col min="393" max="393" width="17.69921875" hidden="1" customWidth="1"/>
    <col min="394" max="396" width="18.09765625" hidden="1" customWidth="1"/>
    <col min="397" max="397" width="23.69921875" hidden="1" customWidth="1"/>
    <col min="398" max="398" width="27.19921875" hidden="1" customWidth="1"/>
    <col min="399" max="399" width="18.09765625" hidden="1" customWidth="1"/>
    <col min="400" max="400" width="17.69921875" hidden="1" customWidth="1"/>
    <col min="401" max="403" width="18.09765625" hidden="1" customWidth="1"/>
    <col min="404" max="404" width="23.69921875" hidden="1" customWidth="1"/>
    <col min="405" max="405" width="27.19921875" hidden="1" customWidth="1"/>
    <col min="406" max="406" width="18.09765625" hidden="1" customWidth="1"/>
    <col min="407" max="407" width="17.69921875" hidden="1" customWidth="1"/>
    <col min="408" max="408" width="21.09765625" hidden="1" customWidth="1"/>
    <col min="409" max="410" width="18.09765625" hidden="1" customWidth="1"/>
    <col min="411" max="411" width="23.69921875" hidden="1" customWidth="1"/>
    <col min="412" max="412" width="27.19921875" hidden="1" customWidth="1"/>
    <col min="413" max="413" width="18.09765625" hidden="1" customWidth="1"/>
    <col min="414" max="414" width="17.69921875" hidden="1" customWidth="1"/>
    <col min="415" max="417" width="26.296875" bestFit="1" customWidth="1"/>
    <col min="418" max="418" width="32.09765625" bestFit="1" customWidth="1"/>
    <col min="419" max="419" width="30" bestFit="1" customWidth="1"/>
    <col min="420" max="420" width="26.296875" bestFit="1" customWidth="1"/>
    <col min="421" max="421" width="26" bestFit="1" customWidth="1"/>
    <col min="422" max="424" width="26.19921875" bestFit="1" customWidth="1"/>
    <col min="425" max="425" width="32.09765625" bestFit="1" customWidth="1"/>
    <col min="426" max="426" width="35.59765625" bestFit="1" customWidth="1"/>
    <col min="427" max="427" width="26.19921875" bestFit="1" customWidth="1"/>
    <col min="428" max="428" width="26" bestFit="1" customWidth="1"/>
  </cols>
  <sheetData>
    <row r="3" spans="1:421" x14ac:dyDescent="0.3">
      <c r="A3"/>
      <c r="B3" s="271" t="s">
        <v>82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 spans="1:421" x14ac:dyDescent="0.3">
      <c r="A4"/>
      <c r="B4" s="277">
        <v>44399</v>
      </c>
      <c r="C4"/>
      <c r="D4"/>
      <c r="E4"/>
      <c r="F4"/>
      <c r="G4"/>
      <c r="H4"/>
      <c r="I4" s="277">
        <v>44403</v>
      </c>
      <c r="J4"/>
      <c r="K4"/>
      <c r="L4"/>
      <c r="M4"/>
      <c r="N4"/>
      <c r="O4"/>
      <c r="P4" s="277">
        <v>44461</v>
      </c>
      <c r="Q4"/>
      <c r="R4"/>
      <c r="S4"/>
      <c r="T4"/>
      <c r="U4"/>
      <c r="V4"/>
      <c r="W4" s="277">
        <v>44404</v>
      </c>
      <c r="X4"/>
      <c r="Y4"/>
      <c r="AD4" s="277">
        <v>44431</v>
      </c>
      <c r="AK4" s="277">
        <v>44432</v>
      </c>
      <c r="AR4" s="277">
        <v>44433</v>
      </c>
      <c r="AY4" s="277">
        <v>44434</v>
      </c>
      <c r="BF4" s="277">
        <v>44435</v>
      </c>
      <c r="BM4" s="277">
        <v>44438</v>
      </c>
      <c r="BT4" s="277">
        <v>44439</v>
      </c>
      <c r="CA4" s="277">
        <v>44440</v>
      </c>
      <c r="CH4" s="277">
        <v>44441</v>
      </c>
      <c r="CO4" s="277">
        <v>44442</v>
      </c>
      <c r="CV4" s="277">
        <v>44447</v>
      </c>
      <c r="DC4" s="277">
        <v>44448</v>
      </c>
      <c r="DJ4" s="277">
        <v>44452</v>
      </c>
      <c r="DQ4" s="277">
        <v>44481</v>
      </c>
      <c r="DX4" s="277">
        <v>44453</v>
      </c>
      <c r="EE4" s="277">
        <v>44455</v>
      </c>
      <c r="EL4" s="277">
        <v>44456</v>
      </c>
      <c r="ES4" s="277">
        <v>44462</v>
      </c>
      <c r="EZ4" s="277">
        <v>44467</v>
      </c>
      <c r="FG4" s="277">
        <v>44463</v>
      </c>
      <c r="FN4" s="277">
        <v>44466</v>
      </c>
      <c r="FU4" s="277">
        <v>44515</v>
      </c>
      <c r="GB4" s="277">
        <v>44516</v>
      </c>
      <c r="GI4" s="277">
        <v>44468</v>
      </c>
      <c r="GP4" s="277">
        <v>44469</v>
      </c>
      <c r="GW4" s="277">
        <v>44473</v>
      </c>
      <c r="HD4" s="277">
        <v>44470</v>
      </c>
      <c r="HK4" s="277">
        <v>44491</v>
      </c>
      <c r="HR4" s="277">
        <v>44474</v>
      </c>
      <c r="HY4" s="277">
        <v>44475</v>
      </c>
      <c r="IF4" s="277">
        <v>44482</v>
      </c>
      <c r="IM4" s="277">
        <v>44487</v>
      </c>
      <c r="IT4" s="277">
        <v>44488</v>
      </c>
      <c r="JA4" s="277">
        <v>44490</v>
      </c>
      <c r="JH4" s="277">
        <v>44489</v>
      </c>
      <c r="JO4" s="277">
        <v>44494</v>
      </c>
      <c r="JV4" s="277">
        <v>44496</v>
      </c>
      <c r="KC4" s="277">
        <v>44497</v>
      </c>
      <c r="KJ4" s="277">
        <v>44502</v>
      </c>
      <c r="KQ4" s="277">
        <v>44524</v>
      </c>
      <c r="KX4" s="277">
        <v>44503</v>
      </c>
      <c r="LE4" s="277">
        <v>44498</v>
      </c>
      <c r="LL4" s="277">
        <v>44504</v>
      </c>
      <c r="LS4" s="277">
        <v>44505</v>
      </c>
      <c r="LZ4" s="277">
        <v>44396</v>
      </c>
      <c r="MG4" s="277">
        <v>44397</v>
      </c>
      <c r="MN4" s="277">
        <v>44398</v>
      </c>
      <c r="MU4" s="277">
        <v>44518</v>
      </c>
      <c r="NB4" s="277">
        <v>44517</v>
      </c>
      <c r="NI4" s="277">
        <v>44523</v>
      </c>
      <c r="NP4" s="277">
        <v>44519</v>
      </c>
      <c r="NW4" s="277">
        <v>44529</v>
      </c>
      <c r="OD4" s="277">
        <v>44530</v>
      </c>
      <c r="OK4" s="277">
        <v>44533</v>
      </c>
      <c r="OR4" s="293" t="s">
        <v>99</v>
      </c>
      <c r="OY4" s="293" t="s">
        <v>83</v>
      </c>
      <c r="OZ4" s="293" t="s">
        <v>84</v>
      </c>
      <c r="PA4" s="293" t="s">
        <v>85</v>
      </c>
      <c r="PB4" s="293" t="s">
        <v>2749</v>
      </c>
      <c r="PC4" s="293" t="s">
        <v>3070</v>
      </c>
      <c r="PD4" s="293" t="s">
        <v>2799</v>
      </c>
      <c r="PE4" s="293" t="s">
        <v>2910</v>
      </c>
    </row>
    <row r="5" spans="1:421" x14ac:dyDescent="0.3">
      <c r="A5" s="271" t="s">
        <v>86</v>
      </c>
      <c r="B5" s="293" t="s">
        <v>87</v>
      </c>
      <c r="C5" s="293" t="s">
        <v>88</v>
      </c>
      <c r="D5" s="293" t="s">
        <v>89</v>
      </c>
      <c r="E5" s="293" t="s">
        <v>2750</v>
      </c>
      <c r="F5" s="293" t="s">
        <v>3071</v>
      </c>
      <c r="G5" s="293" t="s">
        <v>2800</v>
      </c>
      <c r="H5" s="293" t="s">
        <v>2911</v>
      </c>
      <c r="I5" s="293" t="s">
        <v>87</v>
      </c>
      <c r="J5" s="293" t="s">
        <v>88</v>
      </c>
      <c r="K5" s="293" t="s">
        <v>89</v>
      </c>
      <c r="L5" s="293" t="s">
        <v>2750</v>
      </c>
      <c r="M5" s="293" t="s">
        <v>3071</v>
      </c>
      <c r="N5" s="293" t="s">
        <v>2800</v>
      </c>
      <c r="O5" s="293" t="s">
        <v>2911</v>
      </c>
      <c r="P5" s="293" t="s">
        <v>87</v>
      </c>
      <c r="Q5" s="293" t="s">
        <v>88</v>
      </c>
      <c r="R5" s="293" t="s">
        <v>89</v>
      </c>
      <c r="S5" s="293" t="s">
        <v>2750</v>
      </c>
      <c r="T5" s="293" t="s">
        <v>3071</v>
      </c>
      <c r="U5" s="293" t="s">
        <v>2800</v>
      </c>
      <c r="V5" s="293" t="s">
        <v>2911</v>
      </c>
      <c r="W5" s="293" t="s">
        <v>87</v>
      </c>
      <c r="X5" s="293" t="s">
        <v>88</v>
      </c>
      <c r="Y5" s="293" t="s">
        <v>89</v>
      </c>
      <c r="Z5" s="293" t="s">
        <v>2750</v>
      </c>
      <c r="AA5" s="293" t="s">
        <v>3071</v>
      </c>
      <c r="AB5" s="293" t="s">
        <v>2800</v>
      </c>
      <c r="AC5" s="293" t="s">
        <v>2911</v>
      </c>
      <c r="AD5" s="293" t="s">
        <v>87</v>
      </c>
      <c r="AE5" s="293" t="s">
        <v>88</v>
      </c>
      <c r="AF5" s="293" t="s">
        <v>89</v>
      </c>
      <c r="AG5" s="293" t="s">
        <v>2750</v>
      </c>
      <c r="AH5" s="293" t="s">
        <v>3071</v>
      </c>
      <c r="AI5" s="293" t="s">
        <v>2800</v>
      </c>
      <c r="AJ5" s="293" t="s">
        <v>2911</v>
      </c>
      <c r="AK5" s="293" t="s">
        <v>87</v>
      </c>
      <c r="AL5" s="293" t="s">
        <v>88</v>
      </c>
      <c r="AM5" s="293" t="s">
        <v>89</v>
      </c>
      <c r="AN5" s="293" t="s">
        <v>2750</v>
      </c>
      <c r="AO5" s="293" t="s">
        <v>3071</v>
      </c>
      <c r="AP5" s="293" t="s">
        <v>2800</v>
      </c>
      <c r="AQ5" s="293" t="s">
        <v>2911</v>
      </c>
      <c r="AR5" s="293" t="s">
        <v>87</v>
      </c>
      <c r="AS5" s="293" t="s">
        <v>88</v>
      </c>
      <c r="AT5" s="293" t="s">
        <v>89</v>
      </c>
      <c r="AU5" s="293" t="s">
        <v>2750</v>
      </c>
      <c r="AV5" s="293" t="s">
        <v>3071</v>
      </c>
      <c r="AW5" s="293" t="s">
        <v>2800</v>
      </c>
      <c r="AX5" s="293" t="s">
        <v>2911</v>
      </c>
      <c r="AY5" s="293" t="s">
        <v>87</v>
      </c>
      <c r="AZ5" s="293" t="s">
        <v>88</v>
      </c>
      <c r="BA5" s="293" t="s">
        <v>89</v>
      </c>
      <c r="BB5" s="293" t="s">
        <v>2750</v>
      </c>
      <c r="BC5" s="293" t="s">
        <v>3071</v>
      </c>
      <c r="BD5" s="293" t="s">
        <v>2800</v>
      </c>
      <c r="BE5" s="293" t="s">
        <v>2911</v>
      </c>
      <c r="BF5" s="293" t="s">
        <v>87</v>
      </c>
      <c r="BG5" s="293" t="s">
        <v>88</v>
      </c>
      <c r="BH5" s="293" t="s">
        <v>89</v>
      </c>
      <c r="BI5" s="293" t="s">
        <v>2750</v>
      </c>
      <c r="BJ5" s="293" t="s">
        <v>3071</v>
      </c>
      <c r="BK5" s="293" t="s">
        <v>2800</v>
      </c>
      <c r="BL5" s="293" t="s">
        <v>2911</v>
      </c>
      <c r="BM5" s="293" t="s">
        <v>87</v>
      </c>
      <c r="BN5" s="293" t="s">
        <v>88</v>
      </c>
      <c r="BO5" s="293" t="s">
        <v>89</v>
      </c>
      <c r="BP5" s="293" t="s">
        <v>2750</v>
      </c>
      <c r="BQ5" s="293" t="s">
        <v>3071</v>
      </c>
      <c r="BR5" s="293" t="s">
        <v>2800</v>
      </c>
      <c r="BS5" s="293" t="s">
        <v>2911</v>
      </c>
      <c r="BT5" s="293" t="s">
        <v>87</v>
      </c>
      <c r="BU5" s="293" t="s">
        <v>88</v>
      </c>
      <c r="BV5" s="293" t="s">
        <v>89</v>
      </c>
      <c r="BW5" s="293" t="s">
        <v>2750</v>
      </c>
      <c r="BX5" s="293" t="s">
        <v>3071</v>
      </c>
      <c r="BY5" s="293" t="s">
        <v>2800</v>
      </c>
      <c r="BZ5" s="293" t="s">
        <v>2911</v>
      </c>
      <c r="CA5" s="293" t="s">
        <v>87</v>
      </c>
      <c r="CB5" s="293" t="s">
        <v>88</v>
      </c>
      <c r="CC5" s="293" t="s">
        <v>89</v>
      </c>
      <c r="CD5" s="293" t="s">
        <v>2750</v>
      </c>
      <c r="CE5" s="293" t="s">
        <v>3071</v>
      </c>
      <c r="CF5" s="293" t="s">
        <v>2800</v>
      </c>
      <c r="CG5" s="293" t="s">
        <v>2911</v>
      </c>
      <c r="CH5" s="293" t="s">
        <v>87</v>
      </c>
      <c r="CI5" s="293" t="s">
        <v>88</v>
      </c>
      <c r="CJ5" s="293" t="s">
        <v>89</v>
      </c>
      <c r="CK5" s="293" t="s">
        <v>2750</v>
      </c>
      <c r="CL5" s="293" t="s">
        <v>3071</v>
      </c>
      <c r="CM5" s="293" t="s">
        <v>2800</v>
      </c>
      <c r="CN5" s="293" t="s">
        <v>2911</v>
      </c>
      <c r="CO5" s="293" t="s">
        <v>87</v>
      </c>
      <c r="CP5" s="293" t="s">
        <v>88</v>
      </c>
      <c r="CQ5" s="293" t="s">
        <v>89</v>
      </c>
      <c r="CR5" s="293" t="s">
        <v>2750</v>
      </c>
      <c r="CS5" s="293" t="s">
        <v>3071</v>
      </c>
      <c r="CT5" s="293" t="s">
        <v>2800</v>
      </c>
      <c r="CU5" s="293" t="s">
        <v>2911</v>
      </c>
      <c r="CV5" s="293" t="s">
        <v>87</v>
      </c>
      <c r="CW5" s="293" t="s">
        <v>88</v>
      </c>
      <c r="CX5" s="293" t="s">
        <v>89</v>
      </c>
      <c r="CY5" s="293" t="s">
        <v>2750</v>
      </c>
      <c r="CZ5" s="293" t="s">
        <v>3071</v>
      </c>
      <c r="DA5" s="293" t="s">
        <v>2800</v>
      </c>
      <c r="DB5" s="293" t="s">
        <v>2911</v>
      </c>
      <c r="DC5" s="293" t="s">
        <v>87</v>
      </c>
      <c r="DD5" s="293" t="s">
        <v>88</v>
      </c>
      <c r="DE5" s="293" t="s">
        <v>89</v>
      </c>
      <c r="DF5" s="293" t="s">
        <v>2750</v>
      </c>
      <c r="DG5" s="293" t="s">
        <v>3071</v>
      </c>
      <c r="DH5" s="293" t="s">
        <v>2800</v>
      </c>
      <c r="DI5" s="293" t="s">
        <v>2911</v>
      </c>
      <c r="DJ5" s="293" t="s">
        <v>87</v>
      </c>
      <c r="DK5" s="293" t="s">
        <v>88</v>
      </c>
      <c r="DL5" s="293" t="s">
        <v>89</v>
      </c>
      <c r="DM5" s="293" t="s">
        <v>2750</v>
      </c>
      <c r="DN5" s="293" t="s">
        <v>3071</v>
      </c>
      <c r="DO5" s="293" t="s">
        <v>2800</v>
      </c>
      <c r="DP5" s="293" t="s">
        <v>2911</v>
      </c>
      <c r="DQ5" s="293" t="s">
        <v>87</v>
      </c>
      <c r="DR5" s="293" t="s">
        <v>88</v>
      </c>
      <c r="DS5" s="293" t="s">
        <v>89</v>
      </c>
      <c r="DT5" s="293" t="s">
        <v>2750</v>
      </c>
      <c r="DU5" s="293" t="s">
        <v>3071</v>
      </c>
      <c r="DV5" s="293" t="s">
        <v>2800</v>
      </c>
      <c r="DW5" s="293" t="s">
        <v>2911</v>
      </c>
      <c r="DX5" s="293" t="s">
        <v>87</v>
      </c>
      <c r="DY5" s="293" t="s">
        <v>88</v>
      </c>
      <c r="DZ5" s="293" t="s">
        <v>89</v>
      </c>
      <c r="EA5" s="293" t="s">
        <v>2750</v>
      </c>
      <c r="EB5" s="293" t="s">
        <v>3071</v>
      </c>
      <c r="EC5" s="293" t="s">
        <v>2800</v>
      </c>
      <c r="ED5" s="293" t="s">
        <v>2911</v>
      </c>
      <c r="EE5" s="293" t="s">
        <v>87</v>
      </c>
      <c r="EF5" s="293" t="s">
        <v>88</v>
      </c>
      <c r="EG5" s="293" t="s">
        <v>89</v>
      </c>
      <c r="EH5" s="293" t="s">
        <v>2750</v>
      </c>
      <c r="EI5" s="293" t="s">
        <v>3071</v>
      </c>
      <c r="EJ5" s="293" t="s">
        <v>2800</v>
      </c>
      <c r="EK5" s="293" t="s">
        <v>2911</v>
      </c>
      <c r="EL5" s="293" t="s">
        <v>87</v>
      </c>
      <c r="EM5" s="293" t="s">
        <v>88</v>
      </c>
      <c r="EN5" s="293" t="s">
        <v>89</v>
      </c>
      <c r="EO5" s="293" t="s">
        <v>2750</v>
      </c>
      <c r="EP5" s="293" t="s">
        <v>3071</v>
      </c>
      <c r="EQ5" s="293" t="s">
        <v>2800</v>
      </c>
      <c r="ER5" s="293" t="s">
        <v>2911</v>
      </c>
      <c r="ES5" s="293" t="s">
        <v>87</v>
      </c>
      <c r="ET5" s="293" t="s">
        <v>88</v>
      </c>
      <c r="EU5" s="293" t="s">
        <v>89</v>
      </c>
      <c r="EV5" s="293" t="s">
        <v>2750</v>
      </c>
      <c r="EW5" s="293" t="s">
        <v>3071</v>
      </c>
      <c r="EX5" s="293" t="s">
        <v>2800</v>
      </c>
      <c r="EY5" s="293" t="s">
        <v>2911</v>
      </c>
      <c r="EZ5" s="293" t="s">
        <v>87</v>
      </c>
      <c r="FA5" s="293" t="s">
        <v>88</v>
      </c>
      <c r="FB5" s="293" t="s">
        <v>89</v>
      </c>
      <c r="FC5" s="293" t="s">
        <v>2750</v>
      </c>
      <c r="FD5" s="293" t="s">
        <v>3071</v>
      </c>
      <c r="FE5" s="293" t="s">
        <v>2800</v>
      </c>
      <c r="FF5" s="293" t="s">
        <v>2911</v>
      </c>
      <c r="FG5" s="293" t="s">
        <v>87</v>
      </c>
      <c r="FH5" s="293" t="s">
        <v>88</v>
      </c>
      <c r="FI5" s="293" t="s">
        <v>89</v>
      </c>
      <c r="FJ5" s="293" t="s">
        <v>2750</v>
      </c>
      <c r="FK5" s="293" t="s">
        <v>3071</v>
      </c>
      <c r="FL5" s="293" t="s">
        <v>2800</v>
      </c>
      <c r="FM5" s="293" t="s">
        <v>2911</v>
      </c>
      <c r="FN5" s="293" t="s">
        <v>87</v>
      </c>
      <c r="FO5" s="293" t="s">
        <v>88</v>
      </c>
      <c r="FP5" s="293" t="s">
        <v>89</v>
      </c>
      <c r="FQ5" s="293" t="s">
        <v>2750</v>
      </c>
      <c r="FR5" s="293" t="s">
        <v>3071</v>
      </c>
      <c r="FS5" s="293" t="s">
        <v>2800</v>
      </c>
      <c r="FT5" s="293" t="s">
        <v>2911</v>
      </c>
      <c r="FU5" s="293" t="s">
        <v>87</v>
      </c>
      <c r="FV5" s="293" t="s">
        <v>88</v>
      </c>
      <c r="FW5" s="293" t="s">
        <v>89</v>
      </c>
      <c r="FX5" s="293" t="s">
        <v>2750</v>
      </c>
      <c r="FY5" s="293" t="s">
        <v>3071</v>
      </c>
      <c r="FZ5" s="293" t="s">
        <v>2800</v>
      </c>
      <c r="GA5" s="293" t="s">
        <v>2911</v>
      </c>
      <c r="GB5" s="293" t="s">
        <v>87</v>
      </c>
      <c r="GC5" s="293" t="s">
        <v>88</v>
      </c>
      <c r="GD5" s="293" t="s">
        <v>89</v>
      </c>
      <c r="GE5" s="293" t="s">
        <v>2750</v>
      </c>
      <c r="GF5" s="293" t="s">
        <v>3071</v>
      </c>
      <c r="GG5" s="293" t="s">
        <v>2800</v>
      </c>
      <c r="GH5" s="293" t="s">
        <v>2911</v>
      </c>
      <c r="GI5" s="293" t="s">
        <v>87</v>
      </c>
      <c r="GJ5" s="293" t="s">
        <v>88</v>
      </c>
      <c r="GK5" s="293" t="s">
        <v>89</v>
      </c>
      <c r="GL5" s="293" t="s">
        <v>2750</v>
      </c>
      <c r="GM5" s="293" t="s">
        <v>3071</v>
      </c>
      <c r="GN5" s="293" t="s">
        <v>2800</v>
      </c>
      <c r="GO5" s="293" t="s">
        <v>2911</v>
      </c>
      <c r="GP5" s="293" t="s">
        <v>87</v>
      </c>
      <c r="GQ5" s="293" t="s">
        <v>88</v>
      </c>
      <c r="GR5" s="293" t="s">
        <v>89</v>
      </c>
      <c r="GS5" s="293" t="s">
        <v>2750</v>
      </c>
      <c r="GT5" s="293" t="s">
        <v>3071</v>
      </c>
      <c r="GU5" s="293" t="s">
        <v>2800</v>
      </c>
      <c r="GV5" s="293" t="s">
        <v>2911</v>
      </c>
      <c r="GW5" s="293" t="s">
        <v>87</v>
      </c>
      <c r="GX5" s="293" t="s">
        <v>88</v>
      </c>
      <c r="GY5" s="293" t="s">
        <v>89</v>
      </c>
      <c r="GZ5" s="293" t="s">
        <v>2750</v>
      </c>
      <c r="HA5" s="293" t="s">
        <v>3071</v>
      </c>
      <c r="HB5" s="293" t="s">
        <v>2800</v>
      </c>
      <c r="HC5" s="293" t="s">
        <v>2911</v>
      </c>
      <c r="HD5" s="293" t="s">
        <v>87</v>
      </c>
      <c r="HE5" s="293" t="s">
        <v>88</v>
      </c>
      <c r="HF5" s="293" t="s">
        <v>89</v>
      </c>
      <c r="HG5" s="293" t="s">
        <v>2750</v>
      </c>
      <c r="HH5" s="293" t="s">
        <v>3071</v>
      </c>
      <c r="HI5" s="293" t="s">
        <v>2800</v>
      </c>
      <c r="HJ5" s="293" t="s">
        <v>2911</v>
      </c>
      <c r="HK5" s="293" t="s">
        <v>87</v>
      </c>
      <c r="HL5" s="293" t="s">
        <v>88</v>
      </c>
      <c r="HM5" s="293" t="s">
        <v>89</v>
      </c>
      <c r="HN5" s="293" t="s">
        <v>2750</v>
      </c>
      <c r="HO5" s="293" t="s">
        <v>3071</v>
      </c>
      <c r="HP5" s="293" t="s">
        <v>2800</v>
      </c>
      <c r="HQ5" s="293" t="s">
        <v>2911</v>
      </c>
      <c r="HR5" s="293" t="s">
        <v>87</v>
      </c>
      <c r="HS5" s="293" t="s">
        <v>88</v>
      </c>
      <c r="HT5" s="293" t="s">
        <v>89</v>
      </c>
      <c r="HU5" s="293" t="s">
        <v>2750</v>
      </c>
      <c r="HV5" s="293" t="s">
        <v>3071</v>
      </c>
      <c r="HW5" s="293" t="s">
        <v>2800</v>
      </c>
      <c r="HX5" s="293" t="s">
        <v>2911</v>
      </c>
      <c r="HY5" s="293" t="s">
        <v>87</v>
      </c>
      <c r="HZ5" s="293" t="s">
        <v>88</v>
      </c>
      <c r="IA5" s="293" t="s">
        <v>89</v>
      </c>
      <c r="IB5" s="293" t="s">
        <v>2750</v>
      </c>
      <c r="IC5" s="293" t="s">
        <v>3071</v>
      </c>
      <c r="ID5" s="293" t="s">
        <v>2800</v>
      </c>
      <c r="IE5" s="293" t="s">
        <v>2911</v>
      </c>
      <c r="IF5" s="293" t="s">
        <v>87</v>
      </c>
      <c r="IG5" s="293" t="s">
        <v>88</v>
      </c>
      <c r="IH5" s="293" t="s">
        <v>89</v>
      </c>
      <c r="II5" s="293" t="s">
        <v>2750</v>
      </c>
      <c r="IJ5" s="293" t="s">
        <v>3071</v>
      </c>
      <c r="IK5" s="293" t="s">
        <v>2800</v>
      </c>
      <c r="IL5" s="293" t="s">
        <v>2911</v>
      </c>
      <c r="IM5" s="293" t="s">
        <v>87</v>
      </c>
      <c r="IN5" s="293" t="s">
        <v>88</v>
      </c>
      <c r="IO5" s="293" t="s">
        <v>89</v>
      </c>
      <c r="IP5" s="293" t="s">
        <v>2750</v>
      </c>
      <c r="IQ5" s="293" t="s">
        <v>3071</v>
      </c>
      <c r="IR5" s="293" t="s">
        <v>2800</v>
      </c>
      <c r="IS5" s="293" t="s">
        <v>2911</v>
      </c>
      <c r="IT5" s="293" t="s">
        <v>87</v>
      </c>
      <c r="IU5" s="293" t="s">
        <v>88</v>
      </c>
      <c r="IV5" s="293" t="s">
        <v>89</v>
      </c>
      <c r="IW5" s="293" t="s">
        <v>2750</v>
      </c>
      <c r="IX5" s="293" t="s">
        <v>3071</v>
      </c>
      <c r="IY5" s="293" t="s">
        <v>2800</v>
      </c>
      <c r="IZ5" s="293" t="s">
        <v>2911</v>
      </c>
      <c r="JA5" s="293" t="s">
        <v>87</v>
      </c>
      <c r="JB5" s="293" t="s">
        <v>88</v>
      </c>
      <c r="JC5" s="293" t="s">
        <v>89</v>
      </c>
      <c r="JD5" s="293" t="s">
        <v>2750</v>
      </c>
      <c r="JE5" s="293" t="s">
        <v>3071</v>
      </c>
      <c r="JF5" s="293" t="s">
        <v>2800</v>
      </c>
      <c r="JG5" s="293" t="s">
        <v>2911</v>
      </c>
      <c r="JH5" s="293" t="s">
        <v>87</v>
      </c>
      <c r="JI5" s="293" t="s">
        <v>88</v>
      </c>
      <c r="JJ5" s="293" t="s">
        <v>89</v>
      </c>
      <c r="JK5" s="293" t="s">
        <v>2750</v>
      </c>
      <c r="JL5" s="293" t="s">
        <v>3071</v>
      </c>
      <c r="JM5" s="293" t="s">
        <v>2800</v>
      </c>
      <c r="JN5" s="293" t="s">
        <v>2911</v>
      </c>
      <c r="JO5" s="293" t="s">
        <v>87</v>
      </c>
      <c r="JP5" s="293" t="s">
        <v>88</v>
      </c>
      <c r="JQ5" s="293" t="s">
        <v>89</v>
      </c>
      <c r="JR5" s="293" t="s">
        <v>2750</v>
      </c>
      <c r="JS5" s="293" t="s">
        <v>3071</v>
      </c>
      <c r="JT5" s="293" t="s">
        <v>2800</v>
      </c>
      <c r="JU5" s="293" t="s">
        <v>2911</v>
      </c>
      <c r="JV5" s="293" t="s">
        <v>87</v>
      </c>
      <c r="JW5" s="293" t="s">
        <v>88</v>
      </c>
      <c r="JX5" s="293" t="s">
        <v>89</v>
      </c>
      <c r="JY5" s="293" t="s">
        <v>2750</v>
      </c>
      <c r="JZ5" s="293" t="s">
        <v>3071</v>
      </c>
      <c r="KA5" s="293" t="s">
        <v>2800</v>
      </c>
      <c r="KB5" s="293" t="s">
        <v>2911</v>
      </c>
      <c r="KC5" s="293" t="s">
        <v>87</v>
      </c>
      <c r="KD5" s="293" t="s">
        <v>88</v>
      </c>
      <c r="KE5" s="293" t="s">
        <v>89</v>
      </c>
      <c r="KF5" s="293" t="s">
        <v>2750</v>
      </c>
      <c r="KG5" s="293" t="s">
        <v>3071</v>
      </c>
      <c r="KH5" s="293" t="s">
        <v>2800</v>
      </c>
      <c r="KI5" s="293" t="s">
        <v>2911</v>
      </c>
      <c r="KJ5" s="293" t="s">
        <v>87</v>
      </c>
      <c r="KK5" s="293" t="s">
        <v>88</v>
      </c>
      <c r="KL5" s="293" t="s">
        <v>89</v>
      </c>
      <c r="KM5" s="293" t="s">
        <v>2750</v>
      </c>
      <c r="KN5" s="293" t="s">
        <v>3071</v>
      </c>
      <c r="KO5" s="293" t="s">
        <v>2800</v>
      </c>
      <c r="KP5" s="293" t="s">
        <v>2911</v>
      </c>
      <c r="KQ5" s="293" t="s">
        <v>87</v>
      </c>
      <c r="KR5" s="293" t="s">
        <v>88</v>
      </c>
      <c r="KS5" s="293" t="s">
        <v>89</v>
      </c>
      <c r="KT5" s="293" t="s">
        <v>2750</v>
      </c>
      <c r="KU5" s="293" t="s">
        <v>3071</v>
      </c>
      <c r="KV5" s="293" t="s">
        <v>2800</v>
      </c>
      <c r="KW5" s="293" t="s">
        <v>2911</v>
      </c>
      <c r="KX5" s="293" t="s">
        <v>87</v>
      </c>
      <c r="KY5" s="293" t="s">
        <v>88</v>
      </c>
      <c r="KZ5" s="293" t="s">
        <v>89</v>
      </c>
      <c r="LA5" s="293" t="s">
        <v>2750</v>
      </c>
      <c r="LB5" s="293" t="s">
        <v>3071</v>
      </c>
      <c r="LC5" s="293" t="s">
        <v>2800</v>
      </c>
      <c r="LD5" s="293" t="s">
        <v>2911</v>
      </c>
      <c r="LE5" s="293" t="s">
        <v>87</v>
      </c>
      <c r="LF5" s="293" t="s">
        <v>88</v>
      </c>
      <c r="LG5" s="293" t="s">
        <v>89</v>
      </c>
      <c r="LH5" s="293" t="s">
        <v>2750</v>
      </c>
      <c r="LI5" s="293" t="s">
        <v>3071</v>
      </c>
      <c r="LJ5" s="293" t="s">
        <v>2800</v>
      </c>
      <c r="LK5" s="293" t="s">
        <v>2911</v>
      </c>
      <c r="LL5" s="293" t="s">
        <v>87</v>
      </c>
      <c r="LM5" s="293" t="s">
        <v>88</v>
      </c>
      <c r="LN5" s="293" t="s">
        <v>89</v>
      </c>
      <c r="LO5" s="293" t="s">
        <v>2750</v>
      </c>
      <c r="LP5" s="293" t="s">
        <v>3071</v>
      </c>
      <c r="LQ5" s="293" t="s">
        <v>2800</v>
      </c>
      <c r="LR5" s="293" t="s">
        <v>2911</v>
      </c>
      <c r="LS5" s="293" t="s">
        <v>87</v>
      </c>
      <c r="LT5" s="293" t="s">
        <v>88</v>
      </c>
      <c r="LU5" s="293" t="s">
        <v>89</v>
      </c>
      <c r="LV5" s="293" t="s">
        <v>2750</v>
      </c>
      <c r="LW5" s="293" t="s">
        <v>3071</v>
      </c>
      <c r="LX5" s="293" t="s">
        <v>2800</v>
      </c>
      <c r="LY5" s="293" t="s">
        <v>2911</v>
      </c>
      <c r="LZ5" s="293" t="s">
        <v>87</v>
      </c>
      <c r="MA5" s="293" t="s">
        <v>88</v>
      </c>
      <c r="MB5" s="293" t="s">
        <v>89</v>
      </c>
      <c r="MC5" s="293" t="s">
        <v>2750</v>
      </c>
      <c r="MD5" s="293" t="s">
        <v>3071</v>
      </c>
      <c r="ME5" s="293" t="s">
        <v>2800</v>
      </c>
      <c r="MF5" s="293" t="s">
        <v>2911</v>
      </c>
      <c r="MG5" s="293" t="s">
        <v>87</v>
      </c>
      <c r="MH5" s="293" t="s">
        <v>88</v>
      </c>
      <c r="MI5" s="293" t="s">
        <v>89</v>
      </c>
      <c r="MJ5" s="293" t="s">
        <v>2750</v>
      </c>
      <c r="MK5" s="293" t="s">
        <v>3071</v>
      </c>
      <c r="ML5" s="293" t="s">
        <v>2800</v>
      </c>
      <c r="MM5" s="293" t="s">
        <v>2911</v>
      </c>
      <c r="MN5" s="293" t="s">
        <v>87</v>
      </c>
      <c r="MO5" s="293" t="s">
        <v>88</v>
      </c>
      <c r="MP5" s="293" t="s">
        <v>89</v>
      </c>
      <c r="MQ5" s="293" t="s">
        <v>2750</v>
      </c>
      <c r="MR5" s="293" t="s">
        <v>3071</v>
      </c>
      <c r="MS5" s="293" t="s">
        <v>2800</v>
      </c>
      <c r="MT5" s="293" t="s">
        <v>2911</v>
      </c>
      <c r="MU5" s="293" t="s">
        <v>87</v>
      </c>
      <c r="MV5" s="293" t="s">
        <v>88</v>
      </c>
      <c r="MW5" s="293" t="s">
        <v>89</v>
      </c>
      <c r="MX5" s="293" t="s">
        <v>2750</v>
      </c>
      <c r="MY5" s="293" t="s">
        <v>3071</v>
      </c>
      <c r="MZ5" s="293" t="s">
        <v>2800</v>
      </c>
      <c r="NA5" s="293" t="s">
        <v>2911</v>
      </c>
      <c r="NB5" s="293" t="s">
        <v>87</v>
      </c>
      <c r="NC5" s="293" t="s">
        <v>88</v>
      </c>
      <c r="ND5" s="293" t="s">
        <v>89</v>
      </c>
      <c r="NE5" s="293" t="s">
        <v>2750</v>
      </c>
      <c r="NF5" s="293" t="s">
        <v>3071</v>
      </c>
      <c r="NG5" s="293" t="s">
        <v>2800</v>
      </c>
      <c r="NH5" s="293" t="s">
        <v>2911</v>
      </c>
      <c r="NI5" s="293" t="s">
        <v>87</v>
      </c>
      <c r="NJ5" s="293" t="s">
        <v>88</v>
      </c>
      <c r="NK5" s="293" t="s">
        <v>89</v>
      </c>
      <c r="NL5" s="293" t="s">
        <v>2750</v>
      </c>
      <c r="NM5" s="293" t="s">
        <v>3071</v>
      </c>
      <c r="NN5" s="293" t="s">
        <v>2800</v>
      </c>
      <c r="NO5" s="293" t="s">
        <v>2911</v>
      </c>
      <c r="NP5" s="293" t="s">
        <v>87</v>
      </c>
      <c r="NQ5" s="293" t="s">
        <v>88</v>
      </c>
      <c r="NR5" s="293" t="s">
        <v>89</v>
      </c>
      <c r="NS5" s="293" t="s">
        <v>2750</v>
      </c>
      <c r="NT5" s="293" t="s">
        <v>3071</v>
      </c>
      <c r="NU5" s="293" t="s">
        <v>2800</v>
      </c>
      <c r="NV5" s="293" t="s">
        <v>2911</v>
      </c>
      <c r="NW5" s="293" t="s">
        <v>87</v>
      </c>
      <c r="NX5" s="293" t="s">
        <v>88</v>
      </c>
      <c r="NY5" s="293" t="s">
        <v>89</v>
      </c>
      <c r="NZ5" s="293" t="s">
        <v>2750</v>
      </c>
      <c r="OA5" s="293" t="s">
        <v>3071</v>
      </c>
      <c r="OB5" s="293" t="s">
        <v>2800</v>
      </c>
      <c r="OC5" s="293" t="s">
        <v>2911</v>
      </c>
      <c r="OD5" s="293" t="s">
        <v>87</v>
      </c>
      <c r="OE5" s="293" t="s">
        <v>88</v>
      </c>
      <c r="OF5" s="293" t="s">
        <v>89</v>
      </c>
      <c r="OG5" s="293" t="s">
        <v>2750</v>
      </c>
      <c r="OH5" s="293" t="s">
        <v>3071</v>
      </c>
      <c r="OI5" s="293" t="s">
        <v>2800</v>
      </c>
      <c r="OJ5" s="293" t="s">
        <v>2911</v>
      </c>
      <c r="OK5" s="293" t="s">
        <v>87</v>
      </c>
      <c r="OL5" s="293" t="s">
        <v>88</v>
      </c>
      <c r="OM5" s="293" t="s">
        <v>89</v>
      </c>
      <c r="ON5" s="293" t="s">
        <v>2750</v>
      </c>
      <c r="OO5" s="293" t="s">
        <v>3071</v>
      </c>
      <c r="OP5" s="293" t="s">
        <v>2800</v>
      </c>
      <c r="OQ5" s="293" t="s">
        <v>2911</v>
      </c>
      <c r="OR5" s="293" t="s">
        <v>87</v>
      </c>
      <c r="OS5" s="293" t="s">
        <v>88</v>
      </c>
      <c r="OT5" s="293" t="s">
        <v>89</v>
      </c>
      <c r="OU5" s="293" t="s">
        <v>2750</v>
      </c>
      <c r="OV5" s="293" t="s">
        <v>3071</v>
      </c>
      <c r="OW5" s="293" t="s">
        <v>2800</v>
      </c>
      <c r="OX5" s="293" t="s">
        <v>2911</v>
      </c>
    </row>
    <row r="6" spans="1:421" x14ac:dyDescent="0.3">
      <c r="A6" s="272" t="s">
        <v>90</v>
      </c>
      <c r="B6" s="402">
        <v>8</v>
      </c>
      <c r="C6" s="402">
        <v>8</v>
      </c>
      <c r="D6" s="402">
        <v>8</v>
      </c>
      <c r="E6" s="402">
        <v>8</v>
      </c>
      <c r="F6" s="402">
        <v>8</v>
      </c>
      <c r="G6" s="402">
        <v>8</v>
      </c>
      <c r="H6" s="402">
        <v>8</v>
      </c>
      <c r="I6" s="402">
        <v>4</v>
      </c>
      <c r="J6" s="402">
        <v>4</v>
      </c>
      <c r="K6" s="402">
        <v>4</v>
      </c>
      <c r="L6" s="402">
        <v>4</v>
      </c>
      <c r="M6" s="402">
        <v>4</v>
      </c>
      <c r="N6" s="402">
        <v>4</v>
      </c>
      <c r="O6" s="402">
        <v>4</v>
      </c>
      <c r="P6" s="402">
        <v>3</v>
      </c>
      <c r="Q6" s="402">
        <v>3</v>
      </c>
      <c r="R6" s="402">
        <v>3</v>
      </c>
      <c r="S6" s="402">
        <v>3</v>
      </c>
      <c r="T6" s="402">
        <v>3</v>
      </c>
      <c r="U6" s="402">
        <v>3</v>
      </c>
      <c r="V6" s="402">
        <v>3</v>
      </c>
      <c r="W6" s="402"/>
      <c r="X6" s="402"/>
      <c r="Y6" s="402"/>
      <c r="Z6" s="402"/>
      <c r="AA6" s="402"/>
      <c r="AB6" s="402"/>
      <c r="AC6" s="402"/>
      <c r="AD6" s="402"/>
      <c r="AE6" s="402"/>
      <c r="AF6" s="402"/>
      <c r="AG6" s="402"/>
      <c r="AH6" s="402"/>
      <c r="AI6" s="402"/>
      <c r="AJ6" s="402"/>
      <c r="AK6" s="402"/>
      <c r="AL6" s="402"/>
      <c r="AM6" s="402"/>
      <c r="AN6" s="402"/>
      <c r="AO6" s="402"/>
      <c r="AP6" s="402"/>
      <c r="AQ6" s="402"/>
      <c r="AR6" s="402"/>
      <c r="AS6" s="402"/>
      <c r="AT6" s="402"/>
      <c r="AU6" s="402"/>
      <c r="AV6" s="402"/>
      <c r="AW6" s="402"/>
      <c r="AX6" s="402"/>
      <c r="AY6" s="402"/>
      <c r="AZ6" s="402"/>
      <c r="BA6" s="402"/>
      <c r="BB6" s="402"/>
      <c r="BC6" s="402"/>
      <c r="BD6" s="402"/>
      <c r="BE6" s="402"/>
      <c r="BF6" s="402"/>
      <c r="BG6" s="402"/>
      <c r="BH6" s="402"/>
      <c r="BI6" s="402"/>
      <c r="BJ6" s="402"/>
      <c r="BK6" s="402"/>
      <c r="BL6" s="402"/>
      <c r="BM6" s="402"/>
      <c r="BN6" s="402"/>
      <c r="BO6" s="402"/>
      <c r="BP6" s="402"/>
      <c r="BQ6" s="402"/>
      <c r="BR6" s="402"/>
      <c r="BS6" s="402"/>
      <c r="BT6" s="402"/>
      <c r="BU6" s="402"/>
      <c r="BV6" s="402"/>
      <c r="BW6" s="402"/>
      <c r="BX6" s="402"/>
      <c r="BY6" s="402"/>
      <c r="BZ6" s="402"/>
      <c r="CA6" s="402"/>
      <c r="CB6" s="402"/>
      <c r="CC6" s="402"/>
      <c r="CD6" s="402"/>
      <c r="CE6" s="402"/>
      <c r="CF6" s="402"/>
      <c r="CG6" s="402"/>
      <c r="CH6" s="402"/>
      <c r="CI6" s="402"/>
      <c r="CJ6" s="402"/>
      <c r="CK6" s="402"/>
      <c r="CL6" s="402"/>
      <c r="CM6" s="402"/>
      <c r="CN6" s="402"/>
      <c r="CO6" s="402"/>
      <c r="CP6" s="402"/>
      <c r="CQ6" s="402"/>
      <c r="CR6" s="402"/>
      <c r="CS6" s="402"/>
      <c r="CT6" s="402"/>
      <c r="CU6" s="402"/>
      <c r="CV6" s="402"/>
      <c r="CW6" s="402"/>
      <c r="CX6" s="402"/>
      <c r="CY6" s="402"/>
      <c r="CZ6" s="402"/>
      <c r="DA6" s="402"/>
      <c r="DB6" s="402"/>
      <c r="DC6" s="402"/>
      <c r="DD6" s="402"/>
      <c r="DE6" s="402"/>
      <c r="DF6" s="402"/>
      <c r="DG6" s="402"/>
      <c r="DH6" s="402"/>
      <c r="DI6" s="402"/>
      <c r="DJ6" s="402"/>
      <c r="DK6" s="402"/>
      <c r="DL6" s="402"/>
      <c r="DM6" s="402"/>
      <c r="DN6" s="402"/>
      <c r="DO6" s="402"/>
      <c r="DP6" s="402"/>
      <c r="DQ6" s="402"/>
      <c r="DR6" s="402"/>
      <c r="DS6" s="402"/>
      <c r="DT6" s="402"/>
      <c r="DU6" s="402"/>
      <c r="DV6" s="402"/>
      <c r="DW6" s="402"/>
      <c r="DX6" s="402"/>
      <c r="DY6" s="402"/>
      <c r="DZ6" s="402"/>
      <c r="EA6" s="402"/>
      <c r="EB6" s="402"/>
      <c r="EC6" s="402"/>
      <c r="ED6" s="402"/>
      <c r="EE6" s="402"/>
      <c r="EF6" s="402"/>
      <c r="EG6" s="402"/>
      <c r="EH6" s="402"/>
      <c r="EI6" s="402"/>
      <c r="EJ6" s="402"/>
      <c r="EK6" s="402"/>
      <c r="EL6" s="402"/>
      <c r="EM6" s="402"/>
      <c r="EN6" s="402"/>
      <c r="EO6" s="402"/>
      <c r="EP6" s="402"/>
      <c r="EQ6" s="402"/>
      <c r="ER6" s="402"/>
      <c r="ES6" s="402"/>
      <c r="ET6" s="402"/>
      <c r="EU6" s="402"/>
      <c r="EV6" s="402"/>
      <c r="EW6" s="402"/>
      <c r="EX6" s="402"/>
      <c r="EY6" s="402"/>
      <c r="EZ6" s="402"/>
      <c r="FA6" s="402"/>
      <c r="FB6" s="402"/>
      <c r="FC6" s="402"/>
      <c r="FD6" s="402"/>
      <c r="FE6" s="402"/>
      <c r="FF6" s="402"/>
      <c r="FG6" s="402"/>
      <c r="FH6" s="402"/>
      <c r="FI6" s="402"/>
      <c r="FJ6" s="402"/>
      <c r="FK6" s="402"/>
      <c r="FL6" s="402"/>
      <c r="FM6" s="402"/>
      <c r="FN6" s="402"/>
      <c r="FO6" s="402"/>
      <c r="FP6" s="402"/>
      <c r="FQ6" s="402"/>
      <c r="FR6" s="402"/>
      <c r="FS6" s="402"/>
      <c r="FT6" s="402"/>
      <c r="FU6" s="402"/>
      <c r="FV6" s="402"/>
      <c r="FW6" s="402"/>
      <c r="FX6" s="402"/>
      <c r="FY6" s="402"/>
      <c r="FZ6" s="402"/>
      <c r="GA6" s="402"/>
      <c r="GB6" s="402"/>
      <c r="GC6" s="402"/>
      <c r="GD6" s="402"/>
      <c r="GE6" s="402"/>
      <c r="GF6" s="402"/>
      <c r="GG6" s="402"/>
      <c r="GH6" s="402"/>
      <c r="GI6" s="402"/>
      <c r="GJ6" s="402"/>
      <c r="GK6" s="402"/>
      <c r="GL6" s="402"/>
      <c r="GM6" s="402"/>
      <c r="GN6" s="402"/>
      <c r="GO6" s="402"/>
      <c r="GP6" s="402"/>
      <c r="GQ6" s="402"/>
      <c r="GR6" s="402"/>
      <c r="GS6" s="402"/>
      <c r="GT6" s="402"/>
      <c r="GU6" s="402"/>
      <c r="GV6" s="402"/>
      <c r="GW6" s="402"/>
      <c r="GX6" s="402"/>
      <c r="GY6" s="402"/>
      <c r="GZ6" s="402"/>
      <c r="HA6" s="402"/>
      <c r="HB6" s="402"/>
      <c r="HC6" s="402"/>
      <c r="HD6" s="402"/>
      <c r="HE6" s="402"/>
      <c r="HF6" s="402"/>
      <c r="HG6" s="402"/>
      <c r="HH6" s="402"/>
      <c r="HI6" s="402"/>
      <c r="HJ6" s="402"/>
      <c r="HK6" s="402"/>
      <c r="HL6" s="402"/>
      <c r="HM6" s="402"/>
      <c r="HN6" s="402"/>
      <c r="HO6" s="402"/>
      <c r="HP6" s="402"/>
      <c r="HQ6" s="402"/>
      <c r="HR6" s="402"/>
      <c r="HS6" s="402"/>
      <c r="HT6" s="402"/>
      <c r="HU6" s="402"/>
      <c r="HV6" s="402"/>
      <c r="HW6" s="402"/>
      <c r="HX6" s="402"/>
      <c r="HY6" s="402"/>
      <c r="HZ6" s="402"/>
      <c r="IA6" s="402"/>
      <c r="IB6" s="402"/>
      <c r="IC6" s="402"/>
      <c r="ID6" s="402"/>
      <c r="IE6" s="402"/>
      <c r="IF6" s="402"/>
      <c r="IG6" s="402"/>
      <c r="IH6" s="402"/>
      <c r="II6" s="402"/>
      <c r="IJ6" s="402"/>
      <c r="IK6" s="402"/>
      <c r="IL6" s="402"/>
      <c r="IM6" s="402"/>
      <c r="IN6" s="402"/>
      <c r="IO6" s="402"/>
      <c r="IP6" s="402"/>
      <c r="IQ6" s="402"/>
      <c r="IR6" s="402"/>
      <c r="IS6" s="402"/>
      <c r="IT6" s="402"/>
      <c r="IU6" s="402"/>
      <c r="IV6" s="402"/>
      <c r="IW6" s="402"/>
      <c r="IX6" s="402"/>
      <c r="IY6" s="402"/>
      <c r="IZ6" s="402"/>
      <c r="JA6" s="402"/>
      <c r="JB6" s="402"/>
      <c r="JC6" s="402"/>
      <c r="JD6" s="402"/>
      <c r="JE6" s="402"/>
      <c r="JF6" s="402"/>
      <c r="JG6" s="402"/>
      <c r="JH6" s="402"/>
      <c r="JI6" s="402"/>
      <c r="JJ6" s="402"/>
      <c r="JK6" s="402"/>
      <c r="JL6" s="402"/>
      <c r="JM6" s="402"/>
      <c r="JN6" s="402"/>
      <c r="JO6" s="402"/>
      <c r="JP6" s="402"/>
      <c r="JQ6" s="402"/>
      <c r="JR6" s="402"/>
      <c r="JS6" s="402"/>
      <c r="JT6" s="402"/>
      <c r="JU6" s="402"/>
      <c r="JV6" s="402"/>
      <c r="JW6" s="402"/>
      <c r="JX6" s="402"/>
      <c r="JY6" s="402"/>
      <c r="JZ6" s="402"/>
      <c r="KA6" s="402"/>
      <c r="KB6" s="402"/>
      <c r="KC6" s="402"/>
      <c r="KD6" s="402"/>
      <c r="KE6" s="402"/>
      <c r="KF6" s="402"/>
      <c r="KG6" s="402"/>
      <c r="KH6" s="402"/>
      <c r="KI6" s="402"/>
      <c r="KJ6" s="402"/>
      <c r="KK6" s="402"/>
      <c r="KL6" s="402"/>
      <c r="KM6" s="402"/>
      <c r="KN6" s="402"/>
      <c r="KO6" s="402"/>
      <c r="KP6" s="402"/>
      <c r="KQ6" s="402"/>
      <c r="KR6" s="402"/>
      <c r="KS6" s="402"/>
      <c r="KT6" s="402"/>
      <c r="KU6" s="402"/>
      <c r="KV6" s="402"/>
      <c r="KW6" s="402"/>
      <c r="KX6" s="402"/>
      <c r="KY6" s="402"/>
      <c r="KZ6" s="402"/>
      <c r="LA6" s="402"/>
      <c r="LB6" s="402"/>
      <c r="LC6" s="402"/>
      <c r="LD6" s="402"/>
      <c r="LE6" s="402"/>
      <c r="LF6" s="402"/>
      <c r="LG6" s="402"/>
      <c r="LH6" s="402"/>
      <c r="LI6" s="402"/>
      <c r="LJ6" s="402"/>
      <c r="LK6" s="402"/>
      <c r="LL6" s="402"/>
      <c r="LM6" s="402"/>
      <c r="LN6" s="402"/>
      <c r="LO6" s="402"/>
      <c r="LP6" s="402"/>
      <c r="LQ6" s="402"/>
      <c r="LR6" s="402"/>
      <c r="LS6" s="402"/>
      <c r="LT6" s="402"/>
      <c r="LU6" s="402"/>
      <c r="LV6" s="402"/>
      <c r="LW6" s="402"/>
      <c r="LX6" s="402"/>
      <c r="LY6" s="402"/>
      <c r="LZ6" s="402"/>
      <c r="MA6" s="402"/>
      <c r="MB6" s="402"/>
      <c r="MC6" s="402"/>
      <c r="MD6" s="402"/>
      <c r="ME6" s="402"/>
      <c r="MF6" s="402"/>
      <c r="MG6" s="402"/>
      <c r="MH6" s="402"/>
      <c r="MI6" s="402"/>
      <c r="MJ6" s="402"/>
      <c r="MK6" s="402"/>
      <c r="ML6" s="402"/>
      <c r="MM6" s="402"/>
      <c r="MN6" s="402"/>
      <c r="MO6" s="402"/>
      <c r="MP6" s="402"/>
      <c r="MQ6" s="402"/>
      <c r="MR6" s="402"/>
      <c r="MS6" s="402"/>
      <c r="MT6" s="402"/>
      <c r="MU6" s="402"/>
      <c r="MV6" s="402"/>
      <c r="MW6" s="402"/>
      <c r="MX6" s="402"/>
      <c r="MY6" s="402"/>
      <c r="MZ6" s="402"/>
      <c r="NA6" s="402"/>
      <c r="NB6" s="402"/>
      <c r="NC6" s="402"/>
      <c r="ND6" s="402"/>
      <c r="NE6" s="402"/>
      <c r="NF6" s="402"/>
      <c r="NG6" s="402"/>
      <c r="NH6" s="402"/>
      <c r="NI6" s="402"/>
      <c r="NJ6" s="402"/>
      <c r="NK6" s="402"/>
      <c r="NL6" s="402"/>
      <c r="NM6" s="402"/>
      <c r="NN6" s="402"/>
      <c r="NO6" s="402"/>
      <c r="NP6" s="402"/>
      <c r="NQ6" s="402"/>
      <c r="NR6" s="402"/>
      <c r="NS6" s="402"/>
      <c r="NT6" s="402"/>
      <c r="NU6" s="402"/>
      <c r="NV6" s="402"/>
      <c r="NW6" s="402"/>
      <c r="NX6" s="402"/>
      <c r="NY6" s="402"/>
      <c r="NZ6" s="402"/>
      <c r="OA6" s="402"/>
      <c r="OB6" s="402"/>
      <c r="OC6" s="402"/>
      <c r="OD6" s="402"/>
      <c r="OE6" s="402"/>
      <c r="OF6" s="402"/>
      <c r="OG6" s="402"/>
      <c r="OH6" s="402"/>
      <c r="OI6" s="402"/>
      <c r="OJ6" s="402"/>
      <c r="OK6" s="402"/>
      <c r="OL6" s="402"/>
      <c r="OM6" s="402"/>
      <c r="ON6" s="402"/>
      <c r="OO6" s="402"/>
      <c r="OP6" s="402"/>
      <c r="OQ6" s="402"/>
      <c r="OR6" s="402"/>
      <c r="OS6" s="402"/>
      <c r="OT6" s="402"/>
      <c r="OU6" s="402"/>
      <c r="OV6" s="402"/>
      <c r="OW6" s="402"/>
      <c r="OX6" s="402"/>
      <c r="OY6" s="402">
        <v>15</v>
      </c>
      <c r="OZ6" s="402">
        <v>15</v>
      </c>
      <c r="PA6" s="402">
        <v>15</v>
      </c>
      <c r="PB6" s="402">
        <v>15</v>
      </c>
      <c r="PC6" s="402">
        <v>15</v>
      </c>
      <c r="PD6" s="402">
        <v>15</v>
      </c>
      <c r="PE6" s="402">
        <v>15</v>
      </c>
    </row>
    <row r="7" spans="1:421" x14ac:dyDescent="0.3">
      <c r="A7" s="272" t="s">
        <v>91</v>
      </c>
      <c r="B7" s="402"/>
      <c r="C7" s="402"/>
      <c r="D7" s="402"/>
      <c r="E7" s="402"/>
      <c r="F7" s="402"/>
      <c r="G7" s="402"/>
      <c r="H7" s="402"/>
      <c r="I7" s="402">
        <v>5</v>
      </c>
      <c r="J7" s="402">
        <v>5</v>
      </c>
      <c r="K7" s="402">
        <v>5</v>
      </c>
      <c r="L7" s="402">
        <v>5</v>
      </c>
      <c r="M7" s="402">
        <v>5</v>
      </c>
      <c r="N7" s="402">
        <v>5</v>
      </c>
      <c r="O7" s="402">
        <v>5</v>
      </c>
      <c r="P7" s="402"/>
      <c r="Q7" s="402"/>
      <c r="R7" s="402"/>
      <c r="S7" s="402"/>
      <c r="T7" s="402"/>
      <c r="U7" s="402"/>
      <c r="V7" s="402"/>
      <c r="W7" s="402">
        <v>10</v>
      </c>
      <c r="X7" s="402">
        <v>10</v>
      </c>
      <c r="Y7" s="402">
        <v>10</v>
      </c>
      <c r="Z7" s="402">
        <v>10</v>
      </c>
      <c r="AA7" s="402">
        <v>10</v>
      </c>
      <c r="AB7" s="402">
        <v>10</v>
      </c>
      <c r="AC7" s="402">
        <v>10</v>
      </c>
      <c r="AD7" s="402">
        <v>9</v>
      </c>
      <c r="AE7" s="402">
        <v>9</v>
      </c>
      <c r="AF7" s="402">
        <v>9</v>
      </c>
      <c r="AG7" s="402">
        <v>9</v>
      </c>
      <c r="AH7" s="402">
        <v>9</v>
      </c>
      <c r="AI7" s="402">
        <v>9</v>
      </c>
      <c r="AJ7" s="402">
        <v>9</v>
      </c>
      <c r="AK7" s="402">
        <v>6</v>
      </c>
      <c r="AL7" s="402">
        <v>6</v>
      </c>
      <c r="AM7" s="402">
        <v>6</v>
      </c>
      <c r="AN7" s="402">
        <v>6</v>
      </c>
      <c r="AO7" s="402">
        <v>6</v>
      </c>
      <c r="AP7" s="402">
        <v>6</v>
      </c>
      <c r="AQ7" s="402">
        <v>6</v>
      </c>
      <c r="AR7" s="402">
        <v>4</v>
      </c>
      <c r="AS7" s="402">
        <v>4</v>
      </c>
      <c r="AT7" s="402">
        <v>4</v>
      </c>
      <c r="AU7" s="402">
        <v>4</v>
      </c>
      <c r="AV7" s="402">
        <v>4</v>
      </c>
      <c r="AW7" s="402">
        <v>4</v>
      </c>
      <c r="AX7" s="402">
        <v>4</v>
      </c>
      <c r="AY7" s="402">
        <v>4</v>
      </c>
      <c r="AZ7" s="402">
        <v>4</v>
      </c>
      <c r="BA7" s="402">
        <v>4</v>
      </c>
      <c r="BB7" s="402">
        <v>4</v>
      </c>
      <c r="BC7" s="402">
        <v>4</v>
      </c>
      <c r="BD7" s="402">
        <v>4</v>
      </c>
      <c r="BE7" s="402">
        <v>4</v>
      </c>
      <c r="BF7" s="402">
        <v>4</v>
      </c>
      <c r="BG7" s="402">
        <v>4</v>
      </c>
      <c r="BH7" s="402">
        <v>4</v>
      </c>
      <c r="BI7" s="402">
        <v>4</v>
      </c>
      <c r="BJ7" s="402">
        <v>4</v>
      </c>
      <c r="BK7" s="402">
        <v>4</v>
      </c>
      <c r="BL7" s="402">
        <v>4</v>
      </c>
      <c r="BM7" s="402"/>
      <c r="BN7" s="402"/>
      <c r="BO7" s="402"/>
      <c r="BP7" s="402"/>
      <c r="BQ7" s="402"/>
      <c r="BR7" s="402"/>
      <c r="BS7" s="402"/>
      <c r="BT7" s="402"/>
      <c r="BU7" s="402"/>
      <c r="BV7" s="402"/>
      <c r="BW7" s="402"/>
      <c r="BX7" s="402"/>
      <c r="BY7" s="402"/>
      <c r="BZ7" s="402"/>
      <c r="CA7" s="402"/>
      <c r="CB7" s="402"/>
      <c r="CC7" s="402"/>
      <c r="CD7" s="402"/>
      <c r="CE7" s="402"/>
      <c r="CF7" s="402"/>
      <c r="CG7" s="402"/>
      <c r="CH7" s="402">
        <v>4</v>
      </c>
      <c r="CI7" s="402">
        <v>4</v>
      </c>
      <c r="CJ7" s="402">
        <v>4</v>
      </c>
      <c r="CK7" s="402">
        <v>4</v>
      </c>
      <c r="CL7" s="402">
        <v>4</v>
      </c>
      <c r="CM7" s="402">
        <v>4</v>
      </c>
      <c r="CN7" s="402">
        <v>4</v>
      </c>
      <c r="CO7" s="402"/>
      <c r="CP7" s="402"/>
      <c r="CQ7" s="402"/>
      <c r="CR7" s="402"/>
      <c r="CS7" s="402"/>
      <c r="CT7" s="402"/>
      <c r="CU7" s="402"/>
      <c r="CV7" s="402"/>
      <c r="CW7" s="402"/>
      <c r="CX7" s="402"/>
      <c r="CY7" s="402"/>
      <c r="CZ7" s="402"/>
      <c r="DA7" s="402"/>
      <c r="DB7" s="402"/>
      <c r="DC7" s="402"/>
      <c r="DD7" s="402"/>
      <c r="DE7" s="402"/>
      <c r="DF7" s="402"/>
      <c r="DG7" s="402"/>
      <c r="DH7" s="402"/>
      <c r="DI7" s="402"/>
      <c r="DJ7" s="402"/>
      <c r="DK7" s="402"/>
      <c r="DL7" s="402"/>
      <c r="DM7" s="402"/>
      <c r="DN7" s="402"/>
      <c r="DO7" s="402"/>
      <c r="DP7" s="402"/>
      <c r="DQ7" s="402"/>
      <c r="DR7" s="402"/>
      <c r="DS7" s="402"/>
      <c r="DT7" s="402"/>
      <c r="DU7" s="402"/>
      <c r="DV7" s="402"/>
      <c r="DW7" s="402"/>
      <c r="DX7" s="402">
        <v>3</v>
      </c>
      <c r="DY7" s="402">
        <v>3</v>
      </c>
      <c r="DZ7" s="402">
        <v>3</v>
      </c>
      <c r="EA7" s="402">
        <v>3</v>
      </c>
      <c r="EB7" s="402">
        <v>3</v>
      </c>
      <c r="EC7" s="402">
        <v>3</v>
      </c>
      <c r="ED7" s="402">
        <v>3</v>
      </c>
      <c r="EE7" s="402"/>
      <c r="EF7" s="402"/>
      <c r="EG7" s="402"/>
      <c r="EH7" s="402"/>
      <c r="EI7" s="402"/>
      <c r="EJ7" s="402"/>
      <c r="EK7" s="402"/>
      <c r="EL7" s="402"/>
      <c r="EM7" s="402"/>
      <c r="EN7" s="402"/>
      <c r="EO7" s="402"/>
      <c r="EP7" s="402"/>
      <c r="EQ7" s="402"/>
      <c r="ER7" s="402"/>
      <c r="ES7" s="402"/>
      <c r="ET7" s="402"/>
      <c r="EU7" s="402"/>
      <c r="EV7" s="402"/>
      <c r="EW7" s="402"/>
      <c r="EX7" s="402"/>
      <c r="EY7" s="402"/>
      <c r="EZ7" s="402"/>
      <c r="FA7" s="402"/>
      <c r="FB7" s="402"/>
      <c r="FC7" s="402"/>
      <c r="FD7" s="402"/>
      <c r="FE7" s="402"/>
      <c r="FF7" s="402"/>
      <c r="FG7" s="402"/>
      <c r="FH7" s="402"/>
      <c r="FI7" s="402"/>
      <c r="FJ7" s="402"/>
      <c r="FK7" s="402"/>
      <c r="FL7" s="402"/>
      <c r="FM7" s="402"/>
      <c r="FN7" s="402"/>
      <c r="FO7" s="402"/>
      <c r="FP7" s="402"/>
      <c r="FQ7" s="402"/>
      <c r="FR7" s="402"/>
      <c r="FS7" s="402"/>
      <c r="FT7" s="402"/>
      <c r="FU7" s="402"/>
      <c r="FV7" s="402"/>
      <c r="FW7" s="402"/>
      <c r="FX7" s="402"/>
      <c r="FY7" s="402"/>
      <c r="FZ7" s="402"/>
      <c r="GA7" s="402"/>
      <c r="GB7" s="402"/>
      <c r="GC7" s="402"/>
      <c r="GD7" s="402"/>
      <c r="GE7" s="402"/>
      <c r="GF7" s="402"/>
      <c r="GG7" s="402"/>
      <c r="GH7" s="402"/>
      <c r="GI7" s="402"/>
      <c r="GJ7" s="402"/>
      <c r="GK7" s="402"/>
      <c r="GL7" s="402"/>
      <c r="GM7" s="402"/>
      <c r="GN7" s="402"/>
      <c r="GO7" s="402"/>
      <c r="GP7" s="402"/>
      <c r="GQ7" s="402"/>
      <c r="GR7" s="402"/>
      <c r="GS7" s="402"/>
      <c r="GT7" s="402"/>
      <c r="GU7" s="402"/>
      <c r="GV7" s="402"/>
      <c r="GW7" s="402"/>
      <c r="GX7" s="402"/>
      <c r="GY7" s="402"/>
      <c r="GZ7" s="402"/>
      <c r="HA7" s="402"/>
      <c r="HB7" s="402"/>
      <c r="HC7" s="402"/>
      <c r="HD7" s="402"/>
      <c r="HE7" s="402"/>
      <c r="HF7" s="402"/>
      <c r="HG7" s="402"/>
      <c r="HH7" s="402"/>
      <c r="HI7" s="402"/>
      <c r="HJ7" s="402"/>
      <c r="HK7" s="402">
        <v>6</v>
      </c>
      <c r="HL7" s="402">
        <v>6</v>
      </c>
      <c r="HM7" s="402">
        <v>6</v>
      </c>
      <c r="HN7" s="402">
        <v>6</v>
      </c>
      <c r="HO7" s="402">
        <v>6</v>
      </c>
      <c r="HP7" s="402">
        <v>6</v>
      </c>
      <c r="HQ7" s="402">
        <v>6</v>
      </c>
      <c r="HR7" s="402"/>
      <c r="HS7" s="402"/>
      <c r="HT7" s="402"/>
      <c r="HU7" s="402"/>
      <c r="HV7" s="402"/>
      <c r="HW7" s="402"/>
      <c r="HX7" s="402"/>
      <c r="HY7" s="402">
        <v>1</v>
      </c>
      <c r="HZ7" s="402">
        <v>1</v>
      </c>
      <c r="IA7" s="402">
        <v>1</v>
      </c>
      <c r="IB7" s="402">
        <v>1</v>
      </c>
      <c r="IC7" s="402">
        <v>1</v>
      </c>
      <c r="ID7" s="402">
        <v>1</v>
      </c>
      <c r="IE7" s="402">
        <v>1</v>
      </c>
      <c r="IF7" s="402">
        <v>5</v>
      </c>
      <c r="IG7" s="402">
        <v>5</v>
      </c>
      <c r="IH7" s="402">
        <v>5</v>
      </c>
      <c r="II7" s="402">
        <v>5</v>
      </c>
      <c r="IJ7" s="402">
        <v>5</v>
      </c>
      <c r="IK7" s="402">
        <v>5</v>
      </c>
      <c r="IL7" s="402">
        <v>5</v>
      </c>
      <c r="IM7" s="402">
        <v>4</v>
      </c>
      <c r="IN7" s="402">
        <v>4</v>
      </c>
      <c r="IO7" s="402">
        <v>4</v>
      </c>
      <c r="IP7" s="402">
        <v>4</v>
      </c>
      <c r="IQ7" s="402">
        <v>4</v>
      </c>
      <c r="IR7" s="402">
        <v>4</v>
      </c>
      <c r="IS7" s="402">
        <v>4</v>
      </c>
      <c r="IT7" s="402"/>
      <c r="IU7" s="402"/>
      <c r="IV7" s="402"/>
      <c r="IW7" s="402"/>
      <c r="IX7" s="402"/>
      <c r="IY7" s="402"/>
      <c r="IZ7" s="402"/>
      <c r="JA7" s="402"/>
      <c r="JB7" s="402"/>
      <c r="JC7" s="402"/>
      <c r="JD7" s="402"/>
      <c r="JE7" s="402"/>
      <c r="JF7" s="402"/>
      <c r="JG7" s="402"/>
      <c r="JH7" s="402"/>
      <c r="JI7" s="402"/>
      <c r="JJ7" s="402"/>
      <c r="JK7" s="402"/>
      <c r="JL7" s="402"/>
      <c r="JM7" s="402"/>
      <c r="JN7" s="402"/>
      <c r="JO7" s="402">
        <v>14</v>
      </c>
      <c r="JP7" s="402">
        <v>14</v>
      </c>
      <c r="JQ7" s="402">
        <v>14</v>
      </c>
      <c r="JR7" s="402">
        <v>14</v>
      </c>
      <c r="JS7" s="402">
        <v>14</v>
      </c>
      <c r="JT7" s="402">
        <v>14</v>
      </c>
      <c r="JU7" s="402">
        <v>14</v>
      </c>
      <c r="JV7" s="402"/>
      <c r="JW7" s="402"/>
      <c r="JX7" s="402"/>
      <c r="JY7" s="402"/>
      <c r="JZ7" s="402"/>
      <c r="KA7" s="402"/>
      <c r="KB7" s="402"/>
      <c r="KC7" s="402"/>
      <c r="KD7" s="402"/>
      <c r="KE7" s="402"/>
      <c r="KF7" s="402"/>
      <c r="KG7" s="402"/>
      <c r="KH7" s="402"/>
      <c r="KI7" s="402"/>
      <c r="KJ7" s="402"/>
      <c r="KK7" s="402"/>
      <c r="KL7" s="402"/>
      <c r="KM7" s="402"/>
      <c r="KN7" s="402"/>
      <c r="KO7" s="402"/>
      <c r="KP7" s="402"/>
      <c r="KQ7" s="402"/>
      <c r="KR7" s="402"/>
      <c r="KS7" s="402"/>
      <c r="KT7" s="402"/>
      <c r="KU7" s="402"/>
      <c r="KV7" s="402"/>
      <c r="KW7" s="402"/>
      <c r="KX7" s="402"/>
      <c r="KY7" s="402"/>
      <c r="KZ7" s="402"/>
      <c r="LA7" s="402"/>
      <c r="LB7" s="402"/>
      <c r="LC7" s="402"/>
      <c r="LD7" s="402"/>
      <c r="LE7" s="402"/>
      <c r="LF7" s="402"/>
      <c r="LG7" s="402"/>
      <c r="LH7" s="402"/>
      <c r="LI7" s="402"/>
      <c r="LJ7" s="402"/>
      <c r="LK7" s="402"/>
      <c r="LL7" s="402"/>
      <c r="LM7" s="402"/>
      <c r="LN7" s="402"/>
      <c r="LO7" s="402"/>
      <c r="LP7" s="402"/>
      <c r="LQ7" s="402"/>
      <c r="LR7" s="402"/>
      <c r="LS7" s="402"/>
      <c r="LT7" s="402"/>
      <c r="LU7" s="402"/>
      <c r="LV7" s="402"/>
      <c r="LW7" s="402"/>
      <c r="LX7" s="402"/>
      <c r="LY7" s="402"/>
      <c r="LZ7" s="402"/>
      <c r="MA7" s="402"/>
      <c r="MB7" s="402"/>
      <c r="MC7" s="402"/>
      <c r="MD7" s="402"/>
      <c r="ME7" s="402"/>
      <c r="MF7" s="402"/>
      <c r="MG7" s="402"/>
      <c r="MH7" s="402"/>
      <c r="MI7" s="402"/>
      <c r="MJ7" s="402"/>
      <c r="MK7" s="402"/>
      <c r="ML7" s="402"/>
      <c r="MM7" s="402"/>
      <c r="MN7" s="402"/>
      <c r="MO7" s="402"/>
      <c r="MP7" s="402"/>
      <c r="MQ7" s="402"/>
      <c r="MR7" s="402"/>
      <c r="MS7" s="402"/>
      <c r="MT7" s="402"/>
      <c r="MU7" s="402"/>
      <c r="MV7" s="402"/>
      <c r="MW7" s="402"/>
      <c r="MX7" s="402"/>
      <c r="MY7" s="402"/>
      <c r="MZ7" s="402"/>
      <c r="NA7" s="402"/>
      <c r="NB7" s="402"/>
      <c r="NC7" s="402"/>
      <c r="ND7" s="402"/>
      <c r="NE7" s="402"/>
      <c r="NF7" s="402"/>
      <c r="NG7" s="402"/>
      <c r="NH7" s="402"/>
      <c r="NI7" s="402"/>
      <c r="NJ7" s="402"/>
      <c r="NK7" s="402"/>
      <c r="NL7" s="402"/>
      <c r="NM7" s="402"/>
      <c r="NN7" s="402"/>
      <c r="NO7" s="402"/>
      <c r="NP7" s="402"/>
      <c r="NQ7" s="402"/>
      <c r="NR7" s="402"/>
      <c r="NS7" s="402"/>
      <c r="NT7" s="402"/>
      <c r="NU7" s="402"/>
      <c r="NV7" s="402"/>
      <c r="NW7" s="402"/>
      <c r="NX7" s="402"/>
      <c r="NY7" s="402"/>
      <c r="NZ7" s="402"/>
      <c r="OA7" s="402"/>
      <c r="OB7" s="402"/>
      <c r="OC7" s="402"/>
      <c r="OD7" s="402"/>
      <c r="OE7" s="402"/>
      <c r="OF7" s="402"/>
      <c r="OG7" s="402"/>
      <c r="OH7" s="402"/>
      <c r="OI7" s="402"/>
      <c r="OJ7" s="402"/>
      <c r="OK7" s="402"/>
      <c r="OL7" s="402"/>
      <c r="OM7" s="402"/>
      <c r="ON7" s="402"/>
      <c r="OO7" s="402"/>
      <c r="OP7" s="402"/>
      <c r="OQ7" s="402"/>
      <c r="OR7" s="402"/>
      <c r="OS7" s="402"/>
      <c r="OT7" s="402"/>
      <c r="OU7" s="402"/>
      <c r="OV7" s="402"/>
      <c r="OW7" s="402"/>
      <c r="OX7" s="402"/>
      <c r="OY7" s="402">
        <v>79</v>
      </c>
      <c r="OZ7" s="402">
        <v>79</v>
      </c>
      <c r="PA7" s="402">
        <v>79</v>
      </c>
      <c r="PB7" s="402">
        <v>79</v>
      </c>
      <c r="PC7" s="402">
        <v>79</v>
      </c>
      <c r="PD7" s="402">
        <v>79</v>
      </c>
      <c r="PE7" s="402">
        <v>79</v>
      </c>
    </row>
    <row r="8" spans="1:421" x14ac:dyDescent="0.3">
      <c r="A8" s="272" t="s">
        <v>92</v>
      </c>
      <c r="B8" s="402"/>
      <c r="C8" s="402"/>
      <c r="D8" s="402"/>
      <c r="E8" s="402"/>
      <c r="F8" s="402"/>
      <c r="G8" s="402"/>
      <c r="H8" s="402"/>
      <c r="I8" s="402"/>
      <c r="J8" s="402"/>
      <c r="K8" s="402"/>
      <c r="L8" s="402"/>
      <c r="M8" s="402"/>
      <c r="N8" s="402"/>
      <c r="O8" s="402"/>
      <c r="P8" s="402"/>
      <c r="Q8" s="402"/>
      <c r="R8" s="402"/>
      <c r="S8" s="402"/>
      <c r="T8" s="402"/>
      <c r="U8" s="402"/>
      <c r="V8" s="402"/>
      <c r="W8" s="402"/>
      <c r="X8" s="402"/>
      <c r="Y8" s="402"/>
      <c r="Z8" s="402"/>
      <c r="AA8" s="402"/>
      <c r="AB8" s="402"/>
      <c r="AC8" s="402"/>
      <c r="AD8" s="402"/>
      <c r="AE8" s="402"/>
      <c r="AF8" s="402"/>
      <c r="AG8" s="402"/>
      <c r="AH8" s="402"/>
      <c r="AI8" s="402"/>
      <c r="AJ8" s="402"/>
      <c r="AK8" s="402"/>
      <c r="AL8" s="402"/>
      <c r="AM8" s="402"/>
      <c r="AN8" s="402"/>
      <c r="AO8" s="402"/>
      <c r="AP8" s="402"/>
      <c r="AQ8" s="402"/>
      <c r="AR8" s="402"/>
      <c r="AS8" s="402"/>
      <c r="AT8" s="402"/>
      <c r="AU8" s="402"/>
      <c r="AV8" s="402"/>
      <c r="AW8" s="402"/>
      <c r="AX8" s="402"/>
      <c r="AY8" s="402"/>
      <c r="AZ8" s="402"/>
      <c r="BA8" s="402"/>
      <c r="BB8" s="402"/>
      <c r="BC8" s="402"/>
      <c r="BD8" s="402"/>
      <c r="BE8" s="402"/>
      <c r="BF8" s="402"/>
      <c r="BG8" s="402"/>
      <c r="BH8" s="402"/>
      <c r="BI8" s="402"/>
      <c r="BJ8" s="402"/>
      <c r="BK8" s="402"/>
      <c r="BL8" s="402"/>
      <c r="BM8" s="402">
        <v>1</v>
      </c>
      <c r="BN8" s="402">
        <v>1</v>
      </c>
      <c r="BO8" s="402">
        <v>1</v>
      </c>
      <c r="BP8" s="402">
        <v>1</v>
      </c>
      <c r="BQ8" s="402">
        <v>1</v>
      </c>
      <c r="BR8" s="402">
        <v>1</v>
      </c>
      <c r="BS8" s="402">
        <v>1</v>
      </c>
      <c r="BT8" s="402">
        <v>3</v>
      </c>
      <c r="BU8" s="402">
        <v>3</v>
      </c>
      <c r="BV8" s="402">
        <v>3</v>
      </c>
      <c r="BW8" s="402">
        <v>3</v>
      </c>
      <c r="BX8" s="402">
        <v>3</v>
      </c>
      <c r="BY8" s="402">
        <v>3</v>
      </c>
      <c r="BZ8" s="402">
        <v>3</v>
      </c>
      <c r="CA8" s="402">
        <v>3</v>
      </c>
      <c r="CB8" s="402">
        <v>3</v>
      </c>
      <c r="CC8" s="402">
        <v>3</v>
      </c>
      <c r="CD8" s="402">
        <v>3</v>
      </c>
      <c r="CE8" s="402">
        <v>3</v>
      </c>
      <c r="CF8" s="402">
        <v>3</v>
      </c>
      <c r="CG8" s="402">
        <v>3</v>
      </c>
      <c r="CH8" s="402">
        <v>1</v>
      </c>
      <c r="CI8" s="402">
        <v>1</v>
      </c>
      <c r="CJ8" s="402">
        <v>1</v>
      </c>
      <c r="CK8" s="402">
        <v>1</v>
      </c>
      <c r="CL8" s="402">
        <v>1</v>
      </c>
      <c r="CM8" s="402">
        <v>1</v>
      </c>
      <c r="CN8" s="402">
        <v>1</v>
      </c>
      <c r="CO8" s="402">
        <v>5</v>
      </c>
      <c r="CP8" s="402">
        <v>5</v>
      </c>
      <c r="CQ8" s="402">
        <v>5</v>
      </c>
      <c r="CR8" s="402">
        <v>5</v>
      </c>
      <c r="CS8" s="402">
        <v>5</v>
      </c>
      <c r="CT8" s="402">
        <v>5</v>
      </c>
      <c r="CU8" s="402">
        <v>5</v>
      </c>
      <c r="CV8" s="402"/>
      <c r="CW8" s="402"/>
      <c r="CX8" s="402"/>
      <c r="CY8" s="402"/>
      <c r="CZ8" s="402"/>
      <c r="DA8" s="402"/>
      <c r="DB8" s="402"/>
      <c r="DC8" s="402"/>
      <c r="DD8" s="402"/>
      <c r="DE8" s="402"/>
      <c r="DF8" s="402"/>
      <c r="DG8" s="402"/>
      <c r="DH8" s="402"/>
      <c r="DI8" s="402"/>
      <c r="DJ8" s="402">
        <v>5</v>
      </c>
      <c r="DK8" s="402">
        <v>5</v>
      </c>
      <c r="DL8" s="402">
        <v>5</v>
      </c>
      <c r="DM8" s="402">
        <v>5</v>
      </c>
      <c r="DN8" s="402">
        <v>5</v>
      </c>
      <c r="DO8" s="402">
        <v>5</v>
      </c>
      <c r="DP8" s="402">
        <v>5</v>
      </c>
      <c r="DQ8" s="402"/>
      <c r="DR8" s="402"/>
      <c r="DS8" s="402"/>
      <c r="DT8" s="402"/>
      <c r="DU8" s="402"/>
      <c r="DV8" s="402"/>
      <c r="DW8" s="402"/>
      <c r="DX8" s="402"/>
      <c r="DY8" s="402"/>
      <c r="DZ8" s="402"/>
      <c r="EA8" s="402"/>
      <c r="EB8" s="402"/>
      <c r="EC8" s="402"/>
      <c r="ED8" s="402"/>
      <c r="EE8" s="402"/>
      <c r="EF8" s="402"/>
      <c r="EG8" s="402"/>
      <c r="EH8" s="402"/>
      <c r="EI8" s="402"/>
      <c r="EJ8" s="402"/>
      <c r="EK8" s="402"/>
      <c r="EL8" s="402"/>
      <c r="EM8" s="402"/>
      <c r="EN8" s="402"/>
      <c r="EO8" s="402"/>
      <c r="EP8" s="402"/>
      <c r="EQ8" s="402"/>
      <c r="ER8" s="402"/>
      <c r="ES8" s="402"/>
      <c r="ET8" s="402"/>
      <c r="EU8" s="402"/>
      <c r="EV8" s="402"/>
      <c r="EW8" s="402"/>
      <c r="EX8" s="402"/>
      <c r="EY8" s="402"/>
      <c r="EZ8" s="402"/>
      <c r="FA8" s="402"/>
      <c r="FB8" s="402"/>
      <c r="FC8" s="402"/>
      <c r="FD8" s="402"/>
      <c r="FE8" s="402"/>
      <c r="FF8" s="402"/>
      <c r="FG8" s="402"/>
      <c r="FH8" s="402"/>
      <c r="FI8" s="402"/>
      <c r="FJ8" s="402"/>
      <c r="FK8" s="402"/>
      <c r="FL8" s="402"/>
      <c r="FM8" s="402"/>
      <c r="FN8" s="402"/>
      <c r="FO8" s="402"/>
      <c r="FP8" s="402"/>
      <c r="FQ8" s="402"/>
      <c r="FR8" s="402"/>
      <c r="FS8" s="402"/>
      <c r="FT8" s="402"/>
      <c r="FU8" s="402"/>
      <c r="FV8" s="402"/>
      <c r="FW8" s="402"/>
      <c r="FX8" s="402"/>
      <c r="FY8" s="402"/>
      <c r="FZ8" s="402"/>
      <c r="GA8" s="402"/>
      <c r="GB8" s="402"/>
      <c r="GC8" s="402"/>
      <c r="GD8" s="402"/>
      <c r="GE8" s="402"/>
      <c r="GF8" s="402"/>
      <c r="GG8" s="402"/>
      <c r="GH8" s="402"/>
      <c r="GI8" s="402"/>
      <c r="GJ8" s="402"/>
      <c r="GK8" s="402"/>
      <c r="GL8" s="402"/>
      <c r="GM8" s="402"/>
      <c r="GN8" s="402"/>
      <c r="GO8" s="402"/>
      <c r="GP8" s="402"/>
      <c r="GQ8" s="402"/>
      <c r="GR8" s="402"/>
      <c r="GS8" s="402"/>
      <c r="GT8" s="402"/>
      <c r="GU8" s="402"/>
      <c r="GV8" s="402"/>
      <c r="GW8" s="402"/>
      <c r="GX8" s="402"/>
      <c r="GY8" s="402"/>
      <c r="GZ8" s="402"/>
      <c r="HA8" s="402"/>
      <c r="HB8" s="402"/>
      <c r="HC8" s="402"/>
      <c r="HD8" s="402"/>
      <c r="HE8" s="402"/>
      <c r="HF8" s="402"/>
      <c r="HG8" s="402"/>
      <c r="HH8" s="402"/>
      <c r="HI8" s="402"/>
      <c r="HJ8" s="402"/>
      <c r="HK8" s="402">
        <v>3</v>
      </c>
      <c r="HL8" s="402">
        <v>3</v>
      </c>
      <c r="HM8" s="402">
        <v>3</v>
      </c>
      <c r="HN8" s="402">
        <v>3</v>
      </c>
      <c r="HO8" s="402">
        <v>2</v>
      </c>
      <c r="HP8" s="402">
        <v>3</v>
      </c>
      <c r="HQ8" s="402">
        <v>3</v>
      </c>
      <c r="HR8" s="402"/>
      <c r="HS8" s="402"/>
      <c r="HT8" s="402"/>
      <c r="HU8" s="402"/>
      <c r="HV8" s="402"/>
      <c r="HW8" s="402"/>
      <c r="HX8" s="402"/>
      <c r="HY8" s="402">
        <v>16</v>
      </c>
      <c r="HZ8" s="402">
        <v>16</v>
      </c>
      <c r="IA8" s="402">
        <v>16</v>
      </c>
      <c r="IB8" s="402">
        <v>16</v>
      </c>
      <c r="IC8" s="402">
        <v>15</v>
      </c>
      <c r="ID8" s="402">
        <v>16</v>
      </c>
      <c r="IE8" s="402">
        <v>16</v>
      </c>
      <c r="IF8" s="402"/>
      <c r="IG8" s="402"/>
      <c r="IH8" s="402"/>
      <c r="II8" s="402"/>
      <c r="IJ8" s="402"/>
      <c r="IK8" s="402"/>
      <c r="IL8" s="402"/>
      <c r="IM8" s="402">
        <v>1</v>
      </c>
      <c r="IN8" s="402">
        <v>1</v>
      </c>
      <c r="IO8" s="402">
        <v>1</v>
      </c>
      <c r="IP8" s="402">
        <v>1</v>
      </c>
      <c r="IQ8" s="402">
        <v>1</v>
      </c>
      <c r="IR8" s="402">
        <v>1</v>
      </c>
      <c r="IS8" s="402">
        <v>1</v>
      </c>
      <c r="IT8" s="402"/>
      <c r="IU8" s="402"/>
      <c r="IV8" s="402"/>
      <c r="IW8" s="402"/>
      <c r="IX8" s="402"/>
      <c r="IY8" s="402"/>
      <c r="IZ8" s="402"/>
      <c r="JA8" s="402"/>
      <c r="JB8" s="402"/>
      <c r="JC8" s="402"/>
      <c r="JD8" s="402"/>
      <c r="JE8" s="402"/>
      <c r="JF8" s="402"/>
      <c r="JG8" s="402"/>
      <c r="JH8" s="402"/>
      <c r="JI8" s="402"/>
      <c r="JJ8" s="402"/>
      <c r="JK8" s="402"/>
      <c r="JL8" s="402"/>
      <c r="JM8" s="402"/>
      <c r="JN8" s="402"/>
      <c r="JO8" s="402"/>
      <c r="JP8" s="402"/>
      <c r="JQ8" s="402"/>
      <c r="JR8" s="402"/>
      <c r="JS8" s="402"/>
      <c r="JT8" s="402"/>
      <c r="JU8" s="402"/>
      <c r="JV8" s="402"/>
      <c r="JW8" s="402"/>
      <c r="JX8" s="402"/>
      <c r="JY8" s="402"/>
      <c r="JZ8" s="402"/>
      <c r="KA8" s="402"/>
      <c r="KB8" s="402"/>
      <c r="KC8" s="402"/>
      <c r="KD8" s="402"/>
      <c r="KE8" s="402"/>
      <c r="KF8" s="402"/>
      <c r="KG8" s="402"/>
      <c r="KH8" s="402"/>
      <c r="KI8" s="402"/>
      <c r="KJ8" s="402"/>
      <c r="KK8" s="402"/>
      <c r="KL8" s="402"/>
      <c r="KM8" s="402"/>
      <c r="KN8" s="402"/>
      <c r="KO8" s="402"/>
      <c r="KP8" s="402"/>
      <c r="KQ8" s="402"/>
      <c r="KR8" s="402"/>
      <c r="KS8" s="402"/>
      <c r="KT8" s="402"/>
      <c r="KU8" s="402"/>
      <c r="KV8" s="402"/>
      <c r="KW8" s="402"/>
      <c r="KX8" s="402"/>
      <c r="KY8" s="402"/>
      <c r="KZ8" s="402"/>
      <c r="LA8" s="402"/>
      <c r="LB8" s="402"/>
      <c r="LC8" s="402"/>
      <c r="LD8" s="402"/>
      <c r="LE8" s="402"/>
      <c r="LF8" s="402"/>
      <c r="LG8" s="402"/>
      <c r="LH8" s="402"/>
      <c r="LI8" s="402"/>
      <c r="LJ8" s="402"/>
      <c r="LK8" s="402"/>
      <c r="LL8" s="402"/>
      <c r="LM8" s="402"/>
      <c r="LN8" s="402"/>
      <c r="LO8" s="402"/>
      <c r="LP8" s="402"/>
      <c r="LQ8" s="402"/>
      <c r="LR8" s="402"/>
      <c r="LS8" s="402"/>
      <c r="LT8" s="402"/>
      <c r="LU8" s="402"/>
      <c r="LV8" s="402"/>
      <c r="LW8" s="402"/>
      <c r="LX8" s="402"/>
      <c r="LY8" s="402"/>
      <c r="LZ8" s="402"/>
      <c r="MA8" s="402"/>
      <c r="MB8" s="402"/>
      <c r="MC8" s="402"/>
      <c r="MD8" s="402"/>
      <c r="ME8" s="402"/>
      <c r="MF8" s="402"/>
      <c r="MG8" s="402"/>
      <c r="MH8" s="402"/>
      <c r="MI8" s="402"/>
      <c r="MJ8" s="402"/>
      <c r="MK8" s="402"/>
      <c r="ML8" s="402"/>
      <c r="MM8" s="402"/>
      <c r="MN8" s="402"/>
      <c r="MO8" s="402"/>
      <c r="MP8" s="402"/>
      <c r="MQ8" s="402"/>
      <c r="MR8" s="402"/>
      <c r="MS8" s="402"/>
      <c r="MT8" s="402"/>
      <c r="MU8" s="402"/>
      <c r="MV8" s="402"/>
      <c r="MW8" s="402"/>
      <c r="MX8" s="402"/>
      <c r="MY8" s="402"/>
      <c r="MZ8" s="402"/>
      <c r="NA8" s="402"/>
      <c r="NB8" s="402"/>
      <c r="NC8" s="402"/>
      <c r="ND8" s="402"/>
      <c r="NE8" s="402"/>
      <c r="NF8" s="402"/>
      <c r="NG8" s="402"/>
      <c r="NH8" s="402"/>
      <c r="NI8" s="402"/>
      <c r="NJ8" s="402"/>
      <c r="NK8" s="402"/>
      <c r="NL8" s="402"/>
      <c r="NM8" s="402"/>
      <c r="NN8" s="402"/>
      <c r="NO8" s="402"/>
      <c r="NP8" s="402"/>
      <c r="NQ8" s="402"/>
      <c r="NR8" s="402"/>
      <c r="NS8" s="402"/>
      <c r="NT8" s="402"/>
      <c r="NU8" s="402"/>
      <c r="NV8" s="402"/>
      <c r="NW8" s="402"/>
      <c r="NX8" s="402"/>
      <c r="NY8" s="402"/>
      <c r="NZ8" s="402"/>
      <c r="OA8" s="402"/>
      <c r="OB8" s="402"/>
      <c r="OC8" s="402"/>
      <c r="OD8" s="402"/>
      <c r="OE8" s="402"/>
      <c r="OF8" s="402"/>
      <c r="OG8" s="402"/>
      <c r="OH8" s="402"/>
      <c r="OI8" s="402"/>
      <c r="OJ8" s="402"/>
      <c r="OK8" s="402"/>
      <c r="OL8" s="402"/>
      <c r="OM8" s="402"/>
      <c r="ON8" s="402"/>
      <c r="OO8" s="402"/>
      <c r="OP8" s="402"/>
      <c r="OQ8" s="402"/>
      <c r="OR8" s="402"/>
      <c r="OS8" s="402"/>
      <c r="OT8" s="402"/>
      <c r="OU8" s="402"/>
      <c r="OV8" s="402"/>
      <c r="OW8" s="402"/>
      <c r="OX8" s="402"/>
      <c r="OY8" s="402">
        <v>38</v>
      </c>
      <c r="OZ8" s="402">
        <v>38</v>
      </c>
      <c r="PA8" s="402">
        <v>38</v>
      </c>
      <c r="PB8" s="402">
        <v>38</v>
      </c>
      <c r="PC8" s="402">
        <v>36</v>
      </c>
      <c r="PD8" s="402">
        <v>38</v>
      </c>
      <c r="PE8" s="402">
        <v>38</v>
      </c>
    </row>
    <row r="9" spans="1:421" x14ac:dyDescent="0.3">
      <c r="A9" s="272" t="s">
        <v>93</v>
      </c>
      <c r="B9" s="402"/>
      <c r="C9" s="402"/>
      <c r="D9" s="402"/>
      <c r="E9" s="402"/>
      <c r="F9" s="402"/>
      <c r="G9" s="402"/>
      <c r="H9" s="402"/>
      <c r="I9" s="402"/>
      <c r="J9" s="402"/>
      <c r="K9" s="402"/>
      <c r="L9" s="402"/>
      <c r="M9" s="402"/>
      <c r="N9" s="402"/>
      <c r="O9" s="402"/>
      <c r="P9" s="402"/>
      <c r="Q9" s="402"/>
      <c r="R9" s="402"/>
      <c r="S9" s="402"/>
      <c r="T9" s="402"/>
      <c r="U9" s="402"/>
      <c r="V9" s="402"/>
      <c r="W9" s="402"/>
      <c r="X9" s="402"/>
      <c r="Y9" s="402"/>
      <c r="Z9" s="402"/>
      <c r="AA9" s="402"/>
      <c r="AB9" s="402"/>
      <c r="AC9" s="402"/>
      <c r="AD9" s="402"/>
      <c r="AE9" s="402"/>
      <c r="AF9" s="402"/>
      <c r="AG9" s="402"/>
      <c r="AH9" s="402"/>
      <c r="AI9" s="402"/>
      <c r="AJ9" s="402"/>
      <c r="AK9" s="402"/>
      <c r="AL9" s="402"/>
      <c r="AM9" s="402"/>
      <c r="AN9" s="402"/>
      <c r="AO9" s="402"/>
      <c r="AP9" s="402"/>
      <c r="AQ9" s="402"/>
      <c r="AR9" s="402"/>
      <c r="AS9" s="402"/>
      <c r="AT9" s="402"/>
      <c r="AU9" s="402"/>
      <c r="AV9" s="402"/>
      <c r="AW9" s="402"/>
      <c r="AX9" s="402"/>
      <c r="AY9" s="402"/>
      <c r="AZ9" s="402"/>
      <c r="BA9" s="402"/>
      <c r="BB9" s="402"/>
      <c r="BC9" s="402"/>
      <c r="BD9" s="402"/>
      <c r="BE9" s="402"/>
      <c r="BF9" s="402"/>
      <c r="BG9" s="402"/>
      <c r="BH9" s="402"/>
      <c r="BI9" s="402"/>
      <c r="BJ9" s="402"/>
      <c r="BK9" s="402"/>
      <c r="BL9" s="402"/>
      <c r="BM9" s="402">
        <v>3</v>
      </c>
      <c r="BN9" s="402">
        <v>3</v>
      </c>
      <c r="BO9" s="402">
        <v>3</v>
      </c>
      <c r="BP9" s="402">
        <v>3</v>
      </c>
      <c r="BQ9" s="402">
        <v>3</v>
      </c>
      <c r="BR9" s="402">
        <v>3</v>
      </c>
      <c r="BS9" s="402">
        <v>3</v>
      </c>
      <c r="BT9" s="402"/>
      <c r="BU9" s="402"/>
      <c r="BV9" s="402"/>
      <c r="BW9" s="402"/>
      <c r="BX9" s="402"/>
      <c r="BY9" s="402"/>
      <c r="BZ9" s="402"/>
      <c r="CA9" s="402"/>
      <c r="CB9" s="402"/>
      <c r="CC9" s="402"/>
      <c r="CD9" s="402"/>
      <c r="CE9" s="402"/>
      <c r="CF9" s="402"/>
      <c r="CG9" s="402"/>
      <c r="CH9" s="402"/>
      <c r="CI9" s="402"/>
      <c r="CJ9" s="402"/>
      <c r="CK9" s="402"/>
      <c r="CL9" s="402"/>
      <c r="CM9" s="402"/>
      <c r="CN9" s="402"/>
      <c r="CO9" s="402"/>
      <c r="CP9" s="402"/>
      <c r="CQ9" s="402"/>
      <c r="CR9" s="402"/>
      <c r="CS9" s="402"/>
      <c r="CT9" s="402"/>
      <c r="CU9" s="402"/>
      <c r="CV9" s="402">
        <v>6</v>
      </c>
      <c r="CW9" s="402">
        <v>6</v>
      </c>
      <c r="CX9" s="402">
        <v>6</v>
      </c>
      <c r="CY9" s="402">
        <v>6</v>
      </c>
      <c r="CZ9" s="402">
        <v>6</v>
      </c>
      <c r="DA9" s="402">
        <v>6</v>
      </c>
      <c r="DB9" s="402">
        <v>6</v>
      </c>
      <c r="DC9" s="402">
        <v>4</v>
      </c>
      <c r="DD9" s="402">
        <v>4</v>
      </c>
      <c r="DE9" s="402">
        <v>4</v>
      </c>
      <c r="DF9" s="402">
        <v>4</v>
      </c>
      <c r="DG9" s="402">
        <v>4</v>
      </c>
      <c r="DH9" s="402">
        <v>4</v>
      </c>
      <c r="DI9" s="402">
        <v>4</v>
      </c>
      <c r="DJ9" s="402">
        <v>1</v>
      </c>
      <c r="DK9" s="402">
        <v>1</v>
      </c>
      <c r="DL9" s="402">
        <v>1</v>
      </c>
      <c r="DM9" s="402">
        <v>1</v>
      </c>
      <c r="DN9" s="402">
        <v>1</v>
      </c>
      <c r="DO9" s="402">
        <v>1</v>
      </c>
      <c r="DP9" s="402">
        <v>1</v>
      </c>
      <c r="DQ9" s="402">
        <v>4</v>
      </c>
      <c r="DR9" s="402">
        <v>4</v>
      </c>
      <c r="DS9" s="402">
        <v>4</v>
      </c>
      <c r="DT9" s="402">
        <v>4</v>
      </c>
      <c r="DU9" s="402">
        <v>4</v>
      </c>
      <c r="DV9" s="402">
        <v>4</v>
      </c>
      <c r="DW9" s="402">
        <v>4</v>
      </c>
      <c r="DX9" s="402"/>
      <c r="DY9" s="402"/>
      <c r="DZ9" s="402"/>
      <c r="EA9" s="402"/>
      <c r="EB9" s="402"/>
      <c r="EC9" s="402"/>
      <c r="ED9" s="402"/>
      <c r="EE9" s="402">
        <v>12</v>
      </c>
      <c r="EF9" s="402">
        <v>12</v>
      </c>
      <c r="EG9" s="402">
        <v>12</v>
      </c>
      <c r="EH9" s="402">
        <v>12</v>
      </c>
      <c r="EI9" s="402">
        <v>11</v>
      </c>
      <c r="EJ9" s="402">
        <v>12</v>
      </c>
      <c r="EK9" s="402">
        <v>12</v>
      </c>
      <c r="EL9" s="402">
        <v>5</v>
      </c>
      <c r="EM9" s="402">
        <v>5</v>
      </c>
      <c r="EN9" s="402">
        <v>5</v>
      </c>
      <c r="EO9" s="402">
        <v>5</v>
      </c>
      <c r="EP9" s="402">
        <v>5</v>
      </c>
      <c r="EQ9" s="402">
        <v>5</v>
      </c>
      <c r="ER9" s="402">
        <v>5</v>
      </c>
      <c r="ES9" s="402"/>
      <c r="ET9" s="402"/>
      <c r="EU9" s="402"/>
      <c r="EV9" s="402"/>
      <c r="EW9" s="402"/>
      <c r="EX9" s="402"/>
      <c r="EY9" s="402"/>
      <c r="EZ9" s="402"/>
      <c r="FA9" s="402"/>
      <c r="FB9" s="402"/>
      <c r="FC9" s="402"/>
      <c r="FD9" s="402"/>
      <c r="FE9" s="402"/>
      <c r="FF9" s="402"/>
      <c r="FG9" s="402"/>
      <c r="FH9" s="402"/>
      <c r="FI9" s="402"/>
      <c r="FJ9" s="402"/>
      <c r="FK9" s="402"/>
      <c r="FL9" s="402"/>
      <c r="FM9" s="402"/>
      <c r="FN9" s="402"/>
      <c r="FO9" s="402"/>
      <c r="FP9" s="402"/>
      <c r="FQ9" s="402"/>
      <c r="FR9" s="402"/>
      <c r="FS9" s="402"/>
      <c r="FT9" s="402"/>
      <c r="FU9" s="402"/>
      <c r="FV9" s="402"/>
      <c r="FW9" s="402"/>
      <c r="FX9" s="402"/>
      <c r="FY9" s="402"/>
      <c r="FZ9" s="402"/>
      <c r="GA9" s="402"/>
      <c r="GB9" s="402"/>
      <c r="GC9" s="402"/>
      <c r="GD9" s="402"/>
      <c r="GE9" s="402"/>
      <c r="GF9" s="402"/>
      <c r="GG9" s="402"/>
      <c r="GH9" s="402"/>
      <c r="GI9" s="402">
        <v>6</v>
      </c>
      <c r="GJ9" s="402">
        <v>6</v>
      </c>
      <c r="GK9" s="402">
        <v>6</v>
      </c>
      <c r="GL9" s="402">
        <v>6</v>
      </c>
      <c r="GM9" s="402">
        <v>6</v>
      </c>
      <c r="GN9" s="402">
        <v>6</v>
      </c>
      <c r="GO9" s="402">
        <v>6</v>
      </c>
      <c r="GP9" s="402">
        <v>11</v>
      </c>
      <c r="GQ9" s="402">
        <v>11</v>
      </c>
      <c r="GR9" s="402">
        <v>11</v>
      </c>
      <c r="GS9" s="402">
        <v>11</v>
      </c>
      <c r="GT9" s="402">
        <v>10</v>
      </c>
      <c r="GU9" s="402">
        <v>11</v>
      </c>
      <c r="GV9" s="402">
        <v>11</v>
      </c>
      <c r="GW9" s="402">
        <v>2</v>
      </c>
      <c r="GX9" s="402">
        <v>2</v>
      </c>
      <c r="GY9" s="402">
        <v>2</v>
      </c>
      <c r="GZ9" s="402">
        <v>2</v>
      </c>
      <c r="HA9" s="402">
        <v>1</v>
      </c>
      <c r="HB9" s="402">
        <v>2</v>
      </c>
      <c r="HC9" s="402">
        <v>2</v>
      </c>
      <c r="HD9" s="402">
        <v>1</v>
      </c>
      <c r="HE9" s="402">
        <v>1</v>
      </c>
      <c r="HF9" s="402">
        <v>1</v>
      </c>
      <c r="HG9" s="402">
        <v>1</v>
      </c>
      <c r="HH9" s="402">
        <v>1</v>
      </c>
      <c r="HI9" s="402">
        <v>1</v>
      </c>
      <c r="HJ9" s="402">
        <v>1</v>
      </c>
      <c r="HK9" s="402"/>
      <c r="HL9" s="402"/>
      <c r="HM9" s="402"/>
      <c r="HN9" s="402"/>
      <c r="HO9" s="402"/>
      <c r="HP9" s="402"/>
      <c r="HQ9" s="402"/>
      <c r="HR9" s="402">
        <v>7</v>
      </c>
      <c r="HS9" s="402">
        <v>7</v>
      </c>
      <c r="HT9" s="402">
        <v>7</v>
      </c>
      <c r="HU9" s="402">
        <v>7</v>
      </c>
      <c r="HV9" s="402">
        <v>5</v>
      </c>
      <c r="HW9" s="402">
        <v>7</v>
      </c>
      <c r="HX9" s="402">
        <v>7</v>
      </c>
      <c r="HY9" s="402"/>
      <c r="HZ9" s="402"/>
      <c r="IA9" s="402"/>
      <c r="IB9" s="402"/>
      <c r="IC9" s="402"/>
      <c r="ID9" s="402"/>
      <c r="IE9" s="402"/>
      <c r="IF9" s="402"/>
      <c r="IG9" s="402"/>
      <c r="IH9" s="402"/>
      <c r="II9" s="402"/>
      <c r="IJ9" s="402"/>
      <c r="IK9" s="402"/>
      <c r="IL9" s="402"/>
      <c r="IM9" s="402"/>
      <c r="IN9" s="402"/>
      <c r="IO9" s="402"/>
      <c r="IP9" s="402"/>
      <c r="IQ9" s="402"/>
      <c r="IR9" s="402"/>
      <c r="IS9" s="402"/>
      <c r="IT9" s="402">
        <v>5</v>
      </c>
      <c r="IU9" s="402">
        <v>5</v>
      </c>
      <c r="IV9" s="402">
        <v>5</v>
      </c>
      <c r="IW9" s="402">
        <v>5</v>
      </c>
      <c r="IX9" s="402">
        <v>5</v>
      </c>
      <c r="IY9" s="402">
        <v>5</v>
      </c>
      <c r="IZ9" s="402">
        <v>5</v>
      </c>
      <c r="JA9" s="402">
        <v>8</v>
      </c>
      <c r="JB9" s="402">
        <v>8</v>
      </c>
      <c r="JC9" s="402">
        <v>8</v>
      </c>
      <c r="JD9" s="402">
        <v>8</v>
      </c>
      <c r="JE9" s="402">
        <v>8</v>
      </c>
      <c r="JF9" s="402">
        <v>8</v>
      </c>
      <c r="JG9" s="402">
        <v>8</v>
      </c>
      <c r="JH9" s="402"/>
      <c r="JI9" s="402"/>
      <c r="JJ9" s="402"/>
      <c r="JK9" s="402"/>
      <c r="JL9" s="402"/>
      <c r="JM9" s="402"/>
      <c r="JN9" s="402"/>
      <c r="JO9" s="402"/>
      <c r="JP9" s="402"/>
      <c r="JQ9" s="402"/>
      <c r="JR9" s="402"/>
      <c r="JS9" s="402"/>
      <c r="JT9" s="402"/>
      <c r="JU9" s="402"/>
      <c r="JV9" s="402"/>
      <c r="JW9" s="402"/>
      <c r="JX9" s="402"/>
      <c r="JY9" s="402"/>
      <c r="JZ9" s="402"/>
      <c r="KA9" s="402"/>
      <c r="KB9" s="402"/>
      <c r="KC9" s="402"/>
      <c r="KD9" s="402"/>
      <c r="KE9" s="402"/>
      <c r="KF9" s="402"/>
      <c r="KG9" s="402"/>
      <c r="KH9" s="402"/>
      <c r="KI9" s="402"/>
      <c r="KJ9" s="402"/>
      <c r="KK9" s="402"/>
      <c r="KL9" s="402"/>
      <c r="KM9" s="402"/>
      <c r="KN9" s="402"/>
      <c r="KO9" s="402"/>
      <c r="KP9" s="402"/>
      <c r="KQ9" s="402"/>
      <c r="KR9" s="402"/>
      <c r="KS9" s="402"/>
      <c r="KT9" s="402"/>
      <c r="KU9" s="402"/>
      <c r="KV9" s="402"/>
      <c r="KW9" s="402"/>
      <c r="KX9" s="402"/>
      <c r="KY9" s="402"/>
      <c r="KZ9" s="402"/>
      <c r="LA9" s="402"/>
      <c r="LB9" s="402"/>
      <c r="LC9" s="402"/>
      <c r="LD9" s="402"/>
      <c r="LE9" s="402"/>
      <c r="LF9" s="402"/>
      <c r="LG9" s="402"/>
      <c r="LH9" s="402"/>
      <c r="LI9" s="402"/>
      <c r="LJ9" s="402"/>
      <c r="LK9" s="402"/>
      <c r="LL9" s="402"/>
      <c r="LM9" s="402"/>
      <c r="LN9" s="402"/>
      <c r="LO9" s="402"/>
      <c r="LP9" s="402"/>
      <c r="LQ9" s="402"/>
      <c r="LR9" s="402"/>
      <c r="LS9" s="402"/>
      <c r="LT9" s="402"/>
      <c r="LU9" s="402"/>
      <c r="LV9" s="402"/>
      <c r="LW9" s="402"/>
      <c r="LX9" s="402"/>
      <c r="LY9" s="402"/>
      <c r="LZ9" s="402"/>
      <c r="MA9" s="402"/>
      <c r="MB9" s="402"/>
      <c r="MC9" s="402"/>
      <c r="MD9" s="402"/>
      <c r="ME9" s="402"/>
      <c r="MF9" s="402"/>
      <c r="MG9" s="402"/>
      <c r="MH9" s="402"/>
      <c r="MI9" s="402"/>
      <c r="MJ9" s="402"/>
      <c r="MK9" s="402"/>
      <c r="ML9" s="402"/>
      <c r="MM9" s="402"/>
      <c r="MN9" s="402"/>
      <c r="MO9" s="402"/>
      <c r="MP9" s="402"/>
      <c r="MQ9" s="402"/>
      <c r="MR9" s="402"/>
      <c r="MS9" s="402"/>
      <c r="MT9" s="402"/>
      <c r="MU9" s="402"/>
      <c r="MV9" s="402"/>
      <c r="MW9" s="402"/>
      <c r="MX9" s="402"/>
      <c r="MY9" s="402"/>
      <c r="MZ9" s="402"/>
      <c r="NA9" s="402"/>
      <c r="NB9" s="402"/>
      <c r="NC9" s="402"/>
      <c r="ND9" s="402"/>
      <c r="NE9" s="402"/>
      <c r="NF9" s="402"/>
      <c r="NG9" s="402"/>
      <c r="NH9" s="402"/>
      <c r="NI9" s="402"/>
      <c r="NJ9" s="402"/>
      <c r="NK9" s="402"/>
      <c r="NL9" s="402"/>
      <c r="NM9" s="402"/>
      <c r="NN9" s="402"/>
      <c r="NO9" s="402"/>
      <c r="NP9" s="402"/>
      <c r="NQ9" s="402"/>
      <c r="NR9" s="402"/>
      <c r="NS9" s="402"/>
      <c r="NT9" s="402"/>
      <c r="NU9" s="402"/>
      <c r="NV9" s="402"/>
      <c r="NW9" s="402"/>
      <c r="NX9" s="402"/>
      <c r="NY9" s="402"/>
      <c r="NZ9" s="402"/>
      <c r="OA9" s="402"/>
      <c r="OB9" s="402"/>
      <c r="OC9" s="402"/>
      <c r="OD9" s="402"/>
      <c r="OE9" s="402"/>
      <c r="OF9" s="402"/>
      <c r="OG9" s="402"/>
      <c r="OH9" s="402"/>
      <c r="OI9" s="402"/>
      <c r="OJ9" s="402"/>
      <c r="OK9" s="402"/>
      <c r="OL9" s="402"/>
      <c r="OM9" s="402"/>
      <c r="ON9" s="402"/>
      <c r="OO9" s="402"/>
      <c r="OP9" s="402"/>
      <c r="OQ9" s="402"/>
      <c r="OR9" s="402"/>
      <c r="OS9" s="402"/>
      <c r="OT9" s="402"/>
      <c r="OU9" s="402"/>
      <c r="OV9" s="402"/>
      <c r="OW9" s="402"/>
      <c r="OX9" s="402"/>
      <c r="OY9" s="402">
        <v>75</v>
      </c>
      <c r="OZ9" s="402">
        <v>75</v>
      </c>
      <c r="PA9" s="402">
        <v>75</v>
      </c>
      <c r="PB9" s="402">
        <v>75</v>
      </c>
      <c r="PC9" s="402">
        <v>70</v>
      </c>
      <c r="PD9" s="402">
        <v>75</v>
      </c>
      <c r="PE9" s="402">
        <v>75</v>
      </c>
    </row>
    <row r="10" spans="1:421" x14ac:dyDescent="0.3">
      <c r="A10" s="272" t="s">
        <v>94</v>
      </c>
      <c r="B10" s="402"/>
      <c r="C10" s="402"/>
      <c r="D10" s="402"/>
      <c r="E10" s="402"/>
      <c r="F10" s="402"/>
      <c r="G10" s="402"/>
      <c r="H10" s="402"/>
      <c r="I10" s="402"/>
      <c r="J10" s="402"/>
      <c r="K10" s="402"/>
      <c r="L10" s="402"/>
      <c r="M10" s="402"/>
      <c r="N10" s="402"/>
      <c r="O10" s="402"/>
      <c r="P10" s="402"/>
      <c r="Q10" s="402"/>
      <c r="R10" s="402"/>
      <c r="S10" s="402"/>
      <c r="T10" s="402"/>
      <c r="U10" s="402"/>
      <c r="V10" s="402"/>
      <c r="W10" s="402"/>
      <c r="X10" s="402"/>
      <c r="Y10" s="402"/>
      <c r="Z10" s="402"/>
      <c r="AA10" s="402"/>
      <c r="AB10" s="402"/>
      <c r="AC10" s="402"/>
      <c r="AD10" s="402"/>
      <c r="AE10" s="402"/>
      <c r="AF10" s="402"/>
      <c r="AG10" s="402"/>
      <c r="AH10" s="402"/>
      <c r="AI10" s="402"/>
      <c r="AJ10" s="402"/>
      <c r="AK10" s="402"/>
      <c r="AL10" s="402"/>
      <c r="AM10" s="402"/>
      <c r="AN10" s="402"/>
      <c r="AO10" s="402"/>
      <c r="AP10" s="402"/>
      <c r="AQ10" s="402"/>
      <c r="AR10" s="402"/>
      <c r="AS10" s="402"/>
      <c r="AT10" s="402"/>
      <c r="AU10" s="402"/>
      <c r="AV10" s="402"/>
      <c r="AW10" s="402"/>
      <c r="AX10" s="402"/>
      <c r="AY10" s="402"/>
      <c r="AZ10" s="402"/>
      <c r="BA10" s="402"/>
      <c r="BB10" s="402"/>
      <c r="BC10" s="402"/>
      <c r="BD10" s="402"/>
      <c r="BE10" s="402"/>
      <c r="BF10" s="402"/>
      <c r="BG10" s="402"/>
      <c r="BH10" s="402"/>
      <c r="BI10" s="402"/>
      <c r="BJ10" s="402"/>
      <c r="BK10" s="402"/>
      <c r="BL10" s="402"/>
      <c r="BM10" s="402"/>
      <c r="BN10" s="402"/>
      <c r="BO10" s="402"/>
      <c r="BP10" s="402"/>
      <c r="BQ10" s="402"/>
      <c r="BR10" s="402"/>
      <c r="BS10" s="402"/>
      <c r="BT10" s="402"/>
      <c r="BU10" s="402"/>
      <c r="BV10" s="402"/>
      <c r="BW10" s="402"/>
      <c r="BX10" s="402"/>
      <c r="BY10" s="402"/>
      <c r="BZ10" s="402"/>
      <c r="CA10" s="402"/>
      <c r="CB10" s="402"/>
      <c r="CC10" s="402"/>
      <c r="CD10" s="402"/>
      <c r="CE10" s="402"/>
      <c r="CF10" s="402"/>
      <c r="CG10" s="402"/>
      <c r="CH10" s="402"/>
      <c r="CI10" s="402"/>
      <c r="CJ10" s="402"/>
      <c r="CK10" s="402"/>
      <c r="CL10" s="402"/>
      <c r="CM10" s="402"/>
      <c r="CN10" s="402"/>
      <c r="CO10" s="402"/>
      <c r="CP10" s="402"/>
      <c r="CQ10" s="402"/>
      <c r="CR10" s="402"/>
      <c r="CS10" s="402"/>
      <c r="CT10" s="402"/>
      <c r="CU10" s="402"/>
      <c r="CV10" s="402"/>
      <c r="CW10" s="402"/>
      <c r="CX10" s="402"/>
      <c r="CY10" s="402"/>
      <c r="CZ10" s="402"/>
      <c r="DA10" s="402"/>
      <c r="DB10" s="402"/>
      <c r="DC10" s="402"/>
      <c r="DD10" s="402"/>
      <c r="DE10" s="402"/>
      <c r="DF10" s="402"/>
      <c r="DG10" s="402"/>
      <c r="DH10" s="402"/>
      <c r="DI10" s="402"/>
      <c r="DJ10" s="402"/>
      <c r="DK10" s="402"/>
      <c r="DL10" s="402"/>
      <c r="DM10" s="402"/>
      <c r="DN10" s="402"/>
      <c r="DO10" s="402"/>
      <c r="DP10" s="402"/>
      <c r="DQ10" s="402"/>
      <c r="DR10" s="402"/>
      <c r="DS10" s="402"/>
      <c r="DT10" s="402"/>
      <c r="DU10" s="402"/>
      <c r="DV10" s="402"/>
      <c r="DW10" s="402"/>
      <c r="DX10" s="402"/>
      <c r="DY10" s="402"/>
      <c r="DZ10" s="402"/>
      <c r="EA10" s="402"/>
      <c r="EB10" s="402"/>
      <c r="EC10" s="402"/>
      <c r="ED10" s="402"/>
      <c r="EE10" s="402"/>
      <c r="EF10" s="402"/>
      <c r="EG10" s="402"/>
      <c r="EH10" s="402"/>
      <c r="EI10" s="402"/>
      <c r="EJ10" s="402"/>
      <c r="EK10" s="402"/>
      <c r="EL10" s="402"/>
      <c r="EM10" s="402"/>
      <c r="EN10" s="402"/>
      <c r="EO10" s="402"/>
      <c r="EP10" s="402"/>
      <c r="EQ10" s="402"/>
      <c r="ER10" s="402"/>
      <c r="ES10" s="402">
        <v>6</v>
      </c>
      <c r="ET10" s="402">
        <v>6</v>
      </c>
      <c r="EU10" s="402">
        <v>6</v>
      </c>
      <c r="EV10" s="402">
        <v>6</v>
      </c>
      <c r="EW10" s="402">
        <v>6</v>
      </c>
      <c r="EX10" s="402">
        <v>6</v>
      </c>
      <c r="EY10" s="402">
        <v>6</v>
      </c>
      <c r="EZ10" s="402">
        <v>4</v>
      </c>
      <c r="FA10" s="402">
        <v>4</v>
      </c>
      <c r="FB10" s="402">
        <v>4</v>
      </c>
      <c r="FC10" s="402">
        <v>4</v>
      </c>
      <c r="FD10" s="402">
        <v>4</v>
      </c>
      <c r="FE10" s="402">
        <v>4</v>
      </c>
      <c r="FF10" s="402">
        <v>4</v>
      </c>
      <c r="FG10" s="402">
        <v>8</v>
      </c>
      <c r="FH10" s="402">
        <v>8</v>
      </c>
      <c r="FI10" s="402">
        <v>8</v>
      </c>
      <c r="FJ10" s="402">
        <v>8</v>
      </c>
      <c r="FK10" s="402">
        <v>8</v>
      </c>
      <c r="FL10" s="402">
        <v>8</v>
      </c>
      <c r="FM10" s="402">
        <v>8</v>
      </c>
      <c r="FN10" s="402">
        <v>8</v>
      </c>
      <c r="FO10" s="402">
        <v>8</v>
      </c>
      <c r="FP10" s="402">
        <v>8</v>
      </c>
      <c r="FQ10" s="402">
        <v>8</v>
      </c>
      <c r="FR10" s="402">
        <v>8</v>
      </c>
      <c r="FS10" s="402">
        <v>8</v>
      </c>
      <c r="FT10" s="402">
        <v>8</v>
      </c>
      <c r="FU10" s="402"/>
      <c r="FV10" s="402"/>
      <c r="FW10" s="402"/>
      <c r="FX10" s="402"/>
      <c r="FY10" s="402"/>
      <c r="FZ10" s="402"/>
      <c r="GA10" s="402"/>
      <c r="GB10" s="402"/>
      <c r="GC10" s="402"/>
      <c r="GD10" s="402"/>
      <c r="GE10" s="402"/>
      <c r="GF10" s="402"/>
      <c r="GG10" s="402"/>
      <c r="GH10" s="402"/>
      <c r="GI10" s="402"/>
      <c r="GJ10" s="402"/>
      <c r="GK10" s="402"/>
      <c r="GL10" s="402"/>
      <c r="GM10" s="402"/>
      <c r="GN10" s="402"/>
      <c r="GO10" s="402"/>
      <c r="GP10" s="402"/>
      <c r="GQ10" s="402"/>
      <c r="GR10" s="402"/>
      <c r="GS10" s="402"/>
      <c r="GT10" s="402"/>
      <c r="GU10" s="402"/>
      <c r="GV10" s="402"/>
      <c r="GW10" s="402"/>
      <c r="GX10" s="402"/>
      <c r="GY10" s="402"/>
      <c r="GZ10" s="402"/>
      <c r="HA10" s="402"/>
      <c r="HB10" s="402"/>
      <c r="HC10" s="402"/>
      <c r="HD10" s="402"/>
      <c r="HE10" s="402"/>
      <c r="HF10" s="402"/>
      <c r="HG10" s="402"/>
      <c r="HH10" s="402"/>
      <c r="HI10" s="402"/>
      <c r="HJ10" s="402"/>
      <c r="HK10" s="402"/>
      <c r="HL10" s="402"/>
      <c r="HM10" s="402"/>
      <c r="HN10" s="402"/>
      <c r="HO10" s="402"/>
      <c r="HP10" s="402"/>
      <c r="HQ10" s="402"/>
      <c r="HR10" s="402"/>
      <c r="HS10" s="402"/>
      <c r="HT10" s="402"/>
      <c r="HU10" s="402"/>
      <c r="HV10" s="402"/>
      <c r="HW10" s="402"/>
      <c r="HX10" s="402"/>
      <c r="HY10" s="402"/>
      <c r="HZ10" s="402"/>
      <c r="IA10" s="402"/>
      <c r="IB10" s="402"/>
      <c r="IC10" s="402"/>
      <c r="ID10" s="402"/>
      <c r="IE10" s="402"/>
      <c r="IF10" s="402"/>
      <c r="IG10" s="402"/>
      <c r="IH10" s="402"/>
      <c r="II10" s="402"/>
      <c r="IJ10" s="402"/>
      <c r="IK10" s="402"/>
      <c r="IL10" s="402"/>
      <c r="IM10" s="402"/>
      <c r="IN10" s="402"/>
      <c r="IO10" s="402"/>
      <c r="IP10" s="402"/>
      <c r="IQ10" s="402"/>
      <c r="IR10" s="402"/>
      <c r="IS10" s="402"/>
      <c r="IT10" s="402"/>
      <c r="IU10" s="402"/>
      <c r="IV10" s="402"/>
      <c r="IW10" s="402"/>
      <c r="IX10" s="402"/>
      <c r="IY10" s="402"/>
      <c r="IZ10" s="402"/>
      <c r="JA10" s="402"/>
      <c r="JB10" s="402"/>
      <c r="JC10" s="402"/>
      <c r="JD10" s="402"/>
      <c r="JE10" s="402"/>
      <c r="JF10" s="402"/>
      <c r="JG10" s="402"/>
      <c r="JH10" s="402"/>
      <c r="JI10" s="402"/>
      <c r="JJ10" s="402"/>
      <c r="JK10" s="402"/>
      <c r="JL10" s="402"/>
      <c r="JM10" s="402"/>
      <c r="JN10" s="402"/>
      <c r="JO10" s="402"/>
      <c r="JP10" s="402"/>
      <c r="JQ10" s="402"/>
      <c r="JR10" s="402"/>
      <c r="JS10" s="402"/>
      <c r="JT10" s="402"/>
      <c r="JU10" s="402"/>
      <c r="JV10" s="402">
        <v>8</v>
      </c>
      <c r="JW10" s="402">
        <v>8</v>
      </c>
      <c r="JX10" s="402">
        <v>8</v>
      </c>
      <c r="JY10" s="402">
        <v>8</v>
      </c>
      <c r="JZ10" s="402">
        <v>7</v>
      </c>
      <c r="KA10" s="402">
        <v>8</v>
      </c>
      <c r="KB10" s="402">
        <v>8</v>
      </c>
      <c r="KC10" s="402">
        <v>7</v>
      </c>
      <c r="KD10" s="402">
        <v>7</v>
      </c>
      <c r="KE10" s="402">
        <v>7</v>
      </c>
      <c r="KF10" s="402">
        <v>7</v>
      </c>
      <c r="KG10" s="402">
        <v>7</v>
      </c>
      <c r="KH10" s="402">
        <v>7</v>
      </c>
      <c r="KI10" s="402">
        <v>7</v>
      </c>
      <c r="KJ10" s="402"/>
      <c r="KK10" s="402"/>
      <c r="KL10" s="402"/>
      <c r="KM10" s="402"/>
      <c r="KN10" s="402"/>
      <c r="KO10" s="402"/>
      <c r="KP10" s="402"/>
      <c r="KQ10" s="402">
        <v>3</v>
      </c>
      <c r="KR10" s="402">
        <v>3</v>
      </c>
      <c r="KS10" s="402">
        <v>3</v>
      </c>
      <c r="KT10" s="402">
        <v>3</v>
      </c>
      <c r="KU10" s="402">
        <v>3</v>
      </c>
      <c r="KV10" s="402">
        <v>3</v>
      </c>
      <c r="KW10" s="402">
        <v>3</v>
      </c>
      <c r="KX10" s="402">
        <v>4</v>
      </c>
      <c r="KY10" s="402">
        <v>4</v>
      </c>
      <c r="KZ10" s="402">
        <v>4</v>
      </c>
      <c r="LA10" s="402">
        <v>4</v>
      </c>
      <c r="LB10" s="402">
        <v>4</v>
      </c>
      <c r="LC10" s="402">
        <v>4</v>
      </c>
      <c r="LD10" s="402">
        <v>4</v>
      </c>
      <c r="LE10" s="402"/>
      <c r="LF10" s="402"/>
      <c r="LG10" s="402"/>
      <c r="LH10" s="402"/>
      <c r="LI10" s="402"/>
      <c r="LJ10" s="402"/>
      <c r="LK10" s="402"/>
      <c r="LL10" s="402">
        <v>7</v>
      </c>
      <c r="LM10" s="402">
        <v>7</v>
      </c>
      <c r="LN10" s="402">
        <v>7</v>
      </c>
      <c r="LO10" s="402">
        <v>7</v>
      </c>
      <c r="LP10" s="402">
        <v>6</v>
      </c>
      <c r="LQ10" s="402">
        <v>7</v>
      </c>
      <c r="LR10" s="402">
        <v>7</v>
      </c>
      <c r="LS10" s="402">
        <v>5</v>
      </c>
      <c r="LT10" s="402">
        <v>5</v>
      </c>
      <c r="LU10" s="402">
        <v>5</v>
      </c>
      <c r="LV10" s="402">
        <v>5</v>
      </c>
      <c r="LW10" s="402">
        <v>5</v>
      </c>
      <c r="LX10" s="402">
        <v>5</v>
      </c>
      <c r="LY10" s="402">
        <v>5</v>
      </c>
      <c r="LZ10" s="402">
        <v>5</v>
      </c>
      <c r="MA10" s="402">
        <v>5</v>
      </c>
      <c r="MB10" s="402">
        <v>5</v>
      </c>
      <c r="MC10" s="402">
        <v>5</v>
      </c>
      <c r="MD10" s="402">
        <v>4</v>
      </c>
      <c r="ME10" s="402">
        <v>5</v>
      </c>
      <c r="MF10" s="402">
        <v>5</v>
      </c>
      <c r="MG10" s="402">
        <v>5</v>
      </c>
      <c r="MH10" s="402">
        <v>5</v>
      </c>
      <c r="MI10" s="402">
        <v>5</v>
      </c>
      <c r="MJ10" s="402">
        <v>5</v>
      </c>
      <c r="MK10" s="402">
        <v>5</v>
      </c>
      <c r="ML10" s="402">
        <v>5</v>
      </c>
      <c r="MM10" s="402">
        <v>5</v>
      </c>
      <c r="MN10" s="402"/>
      <c r="MO10" s="402"/>
      <c r="MP10" s="402"/>
      <c r="MQ10" s="402"/>
      <c r="MR10" s="402"/>
      <c r="MS10" s="402"/>
      <c r="MT10" s="402"/>
      <c r="MU10" s="402">
        <v>8</v>
      </c>
      <c r="MV10" s="402">
        <v>8</v>
      </c>
      <c r="MW10" s="402">
        <v>8</v>
      </c>
      <c r="MX10" s="402">
        <v>8</v>
      </c>
      <c r="MY10" s="402"/>
      <c r="MZ10" s="402">
        <v>8</v>
      </c>
      <c r="NA10" s="402">
        <v>8</v>
      </c>
      <c r="NB10" s="402">
        <v>1</v>
      </c>
      <c r="NC10" s="402">
        <v>1</v>
      </c>
      <c r="ND10" s="402">
        <v>1</v>
      </c>
      <c r="NE10" s="402">
        <v>1</v>
      </c>
      <c r="NF10" s="402"/>
      <c r="NG10" s="402">
        <v>1</v>
      </c>
      <c r="NH10" s="402">
        <v>1</v>
      </c>
      <c r="NI10" s="402">
        <v>3</v>
      </c>
      <c r="NJ10" s="402">
        <v>3</v>
      </c>
      <c r="NK10" s="402">
        <v>3</v>
      </c>
      <c r="NL10" s="402">
        <v>3</v>
      </c>
      <c r="NM10" s="402"/>
      <c r="NN10" s="402">
        <v>3</v>
      </c>
      <c r="NO10" s="402">
        <v>3</v>
      </c>
      <c r="NP10" s="402">
        <v>5</v>
      </c>
      <c r="NQ10" s="402">
        <v>5</v>
      </c>
      <c r="NR10" s="402">
        <v>5</v>
      </c>
      <c r="NS10" s="402">
        <v>5</v>
      </c>
      <c r="NT10" s="402">
        <v>2</v>
      </c>
      <c r="NU10" s="402">
        <v>5</v>
      </c>
      <c r="NV10" s="402">
        <v>5</v>
      </c>
      <c r="NW10" s="402"/>
      <c r="NX10" s="402"/>
      <c r="NY10" s="402"/>
      <c r="NZ10" s="402"/>
      <c r="OA10" s="402"/>
      <c r="OB10" s="402"/>
      <c r="OC10" s="402"/>
      <c r="OD10" s="402"/>
      <c r="OE10" s="402"/>
      <c r="OF10" s="402"/>
      <c r="OG10" s="402"/>
      <c r="OH10" s="402"/>
      <c r="OI10" s="402"/>
      <c r="OJ10" s="402"/>
      <c r="OK10" s="402"/>
      <c r="OL10" s="402"/>
      <c r="OM10" s="402"/>
      <c r="ON10" s="402"/>
      <c r="OO10" s="402"/>
      <c r="OP10" s="402"/>
      <c r="OQ10" s="402"/>
      <c r="OR10" s="402"/>
      <c r="OS10" s="402"/>
      <c r="OT10" s="402"/>
      <c r="OU10" s="402"/>
      <c r="OV10" s="402"/>
      <c r="OW10" s="402"/>
      <c r="OX10" s="402"/>
      <c r="OY10" s="402">
        <v>87</v>
      </c>
      <c r="OZ10" s="402">
        <v>87</v>
      </c>
      <c r="PA10" s="402">
        <v>87</v>
      </c>
      <c r="PB10" s="402">
        <v>87</v>
      </c>
      <c r="PC10" s="402">
        <v>69</v>
      </c>
      <c r="PD10" s="402">
        <v>87</v>
      </c>
      <c r="PE10" s="402">
        <v>87</v>
      </c>
    </row>
    <row r="11" spans="1:421" x14ac:dyDescent="0.3">
      <c r="A11" s="272" t="s">
        <v>95</v>
      </c>
      <c r="B11" s="402">
        <v>1</v>
      </c>
      <c r="C11" s="402">
        <v>1</v>
      </c>
      <c r="D11" s="402">
        <v>1</v>
      </c>
      <c r="E11" s="402">
        <v>1</v>
      </c>
      <c r="F11" s="402">
        <v>1</v>
      </c>
      <c r="G11" s="402">
        <v>1</v>
      </c>
      <c r="H11" s="402">
        <v>1</v>
      </c>
      <c r="I11" s="402"/>
      <c r="J11" s="402"/>
      <c r="K11" s="402"/>
      <c r="L11" s="402"/>
      <c r="M11" s="402"/>
      <c r="N11" s="402"/>
      <c r="O11" s="402"/>
      <c r="P11" s="402"/>
      <c r="Q11" s="402"/>
      <c r="R11" s="402"/>
      <c r="S11" s="402"/>
      <c r="T11" s="402"/>
      <c r="U11" s="402"/>
      <c r="V11" s="402"/>
      <c r="W11" s="402">
        <v>2</v>
      </c>
      <c r="X11" s="402">
        <v>2</v>
      </c>
      <c r="Y11" s="402">
        <v>2</v>
      </c>
      <c r="Z11" s="402">
        <v>2</v>
      </c>
      <c r="AA11" s="402">
        <v>2</v>
      </c>
      <c r="AB11" s="402">
        <v>2</v>
      </c>
      <c r="AC11" s="402">
        <v>2</v>
      </c>
      <c r="AD11" s="402"/>
      <c r="AE11" s="402"/>
      <c r="AF11" s="402"/>
      <c r="AG11" s="402"/>
      <c r="AH11" s="402"/>
      <c r="AI11" s="402"/>
      <c r="AJ11" s="402"/>
      <c r="AK11" s="402"/>
      <c r="AL11" s="402"/>
      <c r="AM11" s="402"/>
      <c r="AN11" s="402"/>
      <c r="AO11" s="402"/>
      <c r="AP11" s="402"/>
      <c r="AQ11" s="402"/>
      <c r="AR11" s="402">
        <v>2</v>
      </c>
      <c r="AS11" s="402">
        <v>2</v>
      </c>
      <c r="AT11" s="402">
        <v>2</v>
      </c>
      <c r="AU11" s="402">
        <v>2</v>
      </c>
      <c r="AV11" s="402">
        <v>2</v>
      </c>
      <c r="AW11" s="402">
        <v>2</v>
      </c>
      <c r="AX11" s="402">
        <v>2</v>
      </c>
      <c r="AY11" s="402"/>
      <c r="AZ11" s="402"/>
      <c r="BA11" s="402"/>
      <c r="BB11" s="402"/>
      <c r="BC11" s="402"/>
      <c r="BD11" s="402"/>
      <c r="BE11" s="402"/>
      <c r="BF11" s="402"/>
      <c r="BG11" s="402"/>
      <c r="BH11" s="402"/>
      <c r="BI11" s="402"/>
      <c r="BJ11" s="402"/>
      <c r="BK11" s="402"/>
      <c r="BL11" s="402"/>
      <c r="BM11" s="402"/>
      <c r="BN11" s="402"/>
      <c r="BO11" s="402"/>
      <c r="BP11" s="402"/>
      <c r="BQ11" s="402"/>
      <c r="BR11" s="402"/>
      <c r="BS11" s="402"/>
      <c r="BT11" s="402">
        <v>1</v>
      </c>
      <c r="BU11" s="402">
        <v>1</v>
      </c>
      <c r="BV11" s="402">
        <v>1</v>
      </c>
      <c r="BW11" s="402">
        <v>1</v>
      </c>
      <c r="BX11" s="402">
        <v>1</v>
      </c>
      <c r="BY11" s="402">
        <v>1</v>
      </c>
      <c r="BZ11" s="402">
        <v>1</v>
      </c>
      <c r="CA11" s="402"/>
      <c r="CB11" s="402"/>
      <c r="CC11" s="402"/>
      <c r="CD11" s="402"/>
      <c r="CE11" s="402"/>
      <c r="CF11" s="402"/>
      <c r="CG11" s="402"/>
      <c r="CH11" s="402">
        <v>2</v>
      </c>
      <c r="CI11" s="402">
        <v>2</v>
      </c>
      <c r="CJ11" s="402">
        <v>2</v>
      </c>
      <c r="CK11" s="402">
        <v>2</v>
      </c>
      <c r="CL11" s="402">
        <v>2</v>
      </c>
      <c r="CM11" s="402">
        <v>2</v>
      </c>
      <c r="CN11" s="402">
        <v>2</v>
      </c>
      <c r="CO11" s="402"/>
      <c r="CP11" s="402"/>
      <c r="CQ11" s="402"/>
      <c r="CR11" s="402"/>
      <c r="CS11" s="402"/>
      <c r="CT11" s="402"/>
      <c r="CU11" s="402"/>
      <c r="CV11" s="402">
        <v>1</v>
      </c>
      <c r="CW11" s="402">
        <v>1</v>
      </c>
      <c r="CX11" s="402">
        <v>1</v>
      </c>
      <c r="CY11" s="402">
        <v>1</v>
      </c>
      <c r="CZ11" s="402"/>
      <c r="DA11" s="402">
        <v>1</v>
      </c>
      <c r="DB11" s="402">
        <v>1</v>
      </c>
      <c r="DC11" s="402"/>
      <c r="DD11" s="402"/>
      <c r="DE11" s="402"/>
      <c r="DF11" s="402"/>
      <c r="DG11" s="402"/>
      <c r="DH11" s="402"/>
      <c r="DI11" s="402"/>
      <c r="DJ11" s="402">
        <v>1</v>
      </c>
      <c r="DK11" s="402">
        <v>1</v>
      </c>
      <c r="DL11" s="402">
        <v>1</v>
      </c>
      <c r="DM11" s="402">
        <v>1</v>
      </c>
      <c r="DN11" s="402">
        <v>1</v>
      </c>
      <c r="DO11" s="402">
        <v>1</v>
      </c>
      <c r="DP11" s="402">
        <v>1</v>
      </c>
      <c r="DQ11" s="402"/>
      <c r="DR11" s="402"/>
      <c r="DS11" s="402"/>
      <c r="DT11" s="402"/>
      <c r="DU11" s="402"/>
      <c r="DV11" s="402"/>
      <c r="DW11" s="402"/>
      <c r="DX11" s="402"/>
      <c r="DY11" s="402"/>
      <c r="DZ11" s="402"/>
      <c r="EA11" s="402"/>
      <c r="EB11" s="402"/>
      <c r="EC11" s="402"/>
      <c r="ED11" s="402"/>
      <c r="EE11" s="402"/>
      <c r="EF11" s="402"/>
      <c r="EG11" s="402"/>
      <c r="EH11" s="402"/>
      <c r="EI11" s="402"/>
      <c r="EJ11" s="402"/>
      <c r="EK11" s="402"/>
      <c r="EL11" s="402"/>
      <c r="EM11" s="402"/>
      <c r="EN11" s="402"/>
      <c r="EO11" s="402"/>
      <c r="EP11" s="402"/>
      <c r="EQ11" s="402"/>
      <c r="ER11" s="402"/>
      <c r="ES11" s="402"/>
      <c r="ET11" s="402"/>
      <c r="EU11" s="402"/>
      <c r="EV11" s="402"/>
      <c r="EW11" s="402"/>
      <c r="EX11" s="402"/>
      <c r="EY11" s="402"/>
      <c r="EZ11" s="402"/>
      <c r="FA11" s="402"/>
      <c r="FB11" s="402"/>
      <c r="FC11" s="402"/>
      <c r="FD11" s="402"/>
      <c r="FE11" s="402"/>
      <c r="FF11" s="402"/>
      <c r="FG11" s="402"/>
      <c r="FH11" s="402"/>
      <c r="FI11" s="402"/>
      <c r="FJ11" s="402"/>
      <c r="FK11" s="402"/>
      <c r="FL11" s="402"/>
      <c r="FM11" s="402"/>
      <c r="FN11" s="402"/>
      <c r="FO11" s="402"/>
      <c r="FP11" s="402"/>
      <c r="FQ11" s="402"/>
      <c r="FR11" s="402"/>
      <c r="FS11" s="402"/>
      <c r="FT11" s="402"/>
      <c r="FU11" s="402">
        <v>13</v>
      </c>
      <c r="FV11" s="402">
        <v>13</v>
      </c>
      <c r="FW11" s="402">
        <v>13</v>
      </c>
      <c r="FX11" s="402">
        <v>13</v>
      </c>
      <c r="FY11" s="402">
        <v>13</v>
      </c>
      <c r="FZ11" s="402">
        <v>13</v>
      </c>
      <c r="GA11" s="402">
        <v>13</v>
      </c>
      <c r="GB11" s="402">
        <v>22</v>
      </c>
      <c r="GC11" s="402">
        <v>22</v>
      </c>
      <c r="GD11" s="402">
        <v>22</v>
      </c>
      <c r="GE11" s="402">
        <v>22</v>
      </c>
      <c r="GF11" s="402">
        <v>22</v>
      </c>
      <c r="GG11" s="402">
        <v>22</v>
      </c>
      <c r="GH11" s="402">
        <v>22</v>
      </c>
      <c r="GI11" s="402"/>
      <c r="GJ11" s="402"/>
      <c r="GK11" s="402"/>
      <c r="GL11" s="402"/>
      <c r="GM11" s="402"/>
      <c r="GN11" s="402"/>
      <c r="GO11" s="402"/>
      <c r="GP11" s="402"/>
      <c r="GQ11" s="402"/>
      <c r="GR11" s="402"/>
      <c r="GS11" s="402"/>
      <c r="GT11" s="402"/>
      <c r="GU11" s="402"/>
      <c r="GV11" s="402"/>
      <c r="GW11" s="402"/>
      <c r="GX11" s="402"/>
      <c r="GY11" s="402"/>
      <c r="GZ11" s="402"/>
      <c r="HA11" s="402"/>
      <c r="HB11" s="402"/>
      <c r="HC11" s="402"/>
      <c r="HD11" s="402"/>
      <c r="HE11" s="402"/>
      <c r="HF11" s="402"/>
      <c r="HG11" s="402"/>
      <c r="HH11" s="402"/>
      <c r="HI11" s="402"/>
      <c r="HJ11" s="402"/>
      <c r="HK11" s="402"/>
      <c r="HL11" s="402"/>
      <c r="HM11" s="402"/>
      <c r="HN11" s="402"/>
      <c r="HO11" s="402"/>
      <c r="HP11" s="402"/>
      <c r="HQ11" s="402"/>
      <c r="HR11" s="402"/>
      <c r="HS11" s="402"/>
      <c r="HT11" s="402"/>
      <c r="HU11" s="402"/>
      <c r="HV11" s="402"/>
      <c r="HW11" s="402"/>
      <c r="HX11" s="402"/>
      <c r="HY11" s="402">
        <v>1</v>
      </c>
      <c r="HZ11" s="402">
        <v>1</v>
      </c>
      <c r="IA11" s="402">
        <v>1</v>
      </c>
      <c r="IB11" s="402">
        <v>1</v>
      </c>
      <c r="IC11" s="402"/>
      <c r="ID11" s="402">
        <v>1</v>
      </c>
      <c r="IE11" s="402">
        <v>1</v>
      </c>
      <c r="IF11" s="402"/>
      <c r="IG11" s="402"/>
      <c r="IH11" s="402"/>
      <c r="II11" s="402"/>
      <c r="IJ11" s="402"/>
      <c r="IK11" s="402"/>
      <c r="IL11" s="402"/>
      <c r="IM11" s="402">
        <v>10</v>
      </c>
      <c r="IN11" s="402">
        <v>10</v>
      </c>
      <c r="IO11" s="402">
        <v>10</v>
      </c>
      <c r="IP11" s="402">
        <v>10</v>
      </c>
      <c r="IQ11" s="402">
        <v>10</v>
      </c>
      <c r="IR11" s="402">
        <v>10</v>
      </c>
      <c r="IS11" s="402">
        <v>10</v>
      </c>
      <c r="IT11" s="402">
        <v>3</v>
      </c>
      <c r="IU11" s="402">
        <v>3</v>
      </c>
      <c r="IV11" s="402">
        <v>3</v>
      </c>
      <c r="IW11" s="402">
        <v>3</v>
      </c>
      <c r="IX11" s="402">
        <v>3</v>
      </c>
      <c r="IY11" s="402">
        <v>3</v>
      </c>
      <c r="IZ11" s="402">
        <v>3</v>
      </c>
      <c r="JA11" s="402"/>
      <c r="JB11" s="402"/>
      <c r="JC11" s="402"/>
      <c r="JD11" s="402"/>
      <c r="JE11" s="402"/>
      <c r="JF11" s="402"/>
      <c r="JG11" s="402"/>
      <c r="JH11" s="402">
        <v>4</v>
      </c>
      <c r="JI11" s="402">
        <v>4</v>
      </c>
      <c r="JJ11" s="402">
        <v>4</v>
      </c>
      <c r="JK11" s="402">
        <v>4</v>
      </c>
      <c r="JL11" s="402">
        <v>4</v>
      </c>
      <c r="JM11" s="402">
        <v>4</v>
      </c>
      <c r="JN11" s="402">
        <v>4</v>
      </c>
      <c r="JO11" s="402"/>
      <c r="JP11" s="402"/>
      <c r="JQ11" s="402"/>
      <c r="JR11" s="402"/>
      <c r="JS11" s="402"/>
      <c r="JT11" s="402"/>
      <c r="JU11" s="402"/>
      <c r="JV11" s="402"/>
      <c r="JW11" s="402"/>
      <c r="JX11" s="402"/>
      <c r="JY11" s="402"/>
      <c r="JZ11" s="402"/>
      <c r="KA11" s="402"/>
      <c r="KB11" s="402"/>
      <c r="KC11" s="402"/>
      <c r="KD11" s="402"/>
      <c r="KE11" s="402"/>
      <c r="KF11" s="402"/>
      <c r="KG11" s="402"/>
      <c r="KH11" s="402"/>
      <c r="KI11" s="402"/>
      <c r="KJ11" s="402"/>
      <c r="KK11" s="402"/>
      <c r="KL11" s="402"/>
      <c r="KM11" s="402"/>
      <c r="KN11" s="402"/>
      <c r="KO11" s="402"/>
      <c r="KP11" s="402"/>
      <c r="KQ11" s="402"/>
      <c r="KR11" s="402"/>
      <c r="KS11" s="402"/>
      <c r="KT11" s="402"/>
      <c r="KU11" s="402"/>
      <c r="KV11" s="402"/>
      <c r="KW11" s="402"/>
      <c r="KX11" s="402"/>
      <c r="KY11" s="402"/>
      <c r="KZ11" s="402"/>
      <c r="LA11" s="402"/>
      <c r="LB11" s="402"/>
      <c r="LC11" s="402"/>
      <c r="LD11" s="402"/>
      <c r="LE11" s="402"/>
      <c r="LF11" s="402"/>
      <c r="LG11" s="402"/>
      <c r="LH11" s="402"/>
      <c r="LI11" s="402"/>
      <c r="LJ11" s="402"/>
      <c r="LK11" s="402"/>
      <c r="LL11" s="402"/>
      <c r="LM11" s="402"/>
      <c r="LN11" s="402"/>
      <c r="LO11" s="402"/>
      <c r="LP11" s="402"/>
      <c r="LQ11" s="402"/>
      <c r="LR11" s="402"/>
      <c r="LS11" s="402"/>
      <c r="LT11" s="402"/>
      <c r="LU11" s="402"/>
      <c r="LV11" s="402"/>
      <c r="LW11" s="402"/>
      <c r="LX11" s="402"/>
      <c r="LY11" s="402"/>
      <c r="LZ11" s="402">
        <v>2</v>
      </c>
      <c r="MA11" s="402">
        <v>2</v>
      </c>
      <c r="MB11" s="402">
        <v>2</v>
      </c>
      <c r="MC11" s="402">
        <v>2</v>
      </c>
      <c r="MD11" s="402">
        <v>2</v>
      </c>
      <c r="ME11" s="402">
        <v>2</v>
      </c>
      <c r="MF11" s="402">
        <v>2</v>
      </c>
      <c r="MG11" s="402">
        <v>9</v>
      </c>
      <c r="MH11" s="402">
        <v>9</v>
      </c>
      <c r="MI11" s="402">
        <v>9</v>
      </c>
      <c r="MJ11" s="402">
        <v>9</v>
      </c>
      <c r="MK11" s="402">
        <v>9</v>
      </c>
      <c r="ML11" s="402">
        <v>9</v>
      </c>
      <c r="MM11" s="402">
        <v>9</v>
      </c>
      <c r="MN11" s="402">
        <v>4</v>
      </c>
      <c r="MO11" s="402">
        <v>4</v>
      </c>
      <c r="MP11" s="402">
        <v>4</v>
      </c>
      <c r="MQ11" s="402">
        <v>4</v>
      </c>
      <c r="MR11" s="402">
        <v>4</v>
      </c>
      <c r="MS11" s="402">
        <v>4</v>
      </c>
      <c r="MT11" s="402">
        <v>4</v>
      </c>
      <c r="MU11" s="402"/>
      <c r="MV11" s="402"/>
      <c r="MW11" s="402"/>
      <c r="MX11" s="402"/>
      <c r="MY11" s="402"/>
      <c r="MZ11" s="402"/>
      <c r="NA11" s="402"/>
      <c r="NB11" s="402"/>
      <c r="NC11" s="402"/>
      <c r="ND11" s="402"/>
      <c r="NE11" s="402"/>
      <c r="NF11" s="402"/>
      <c r="NG11" s="402"/>
      <c r="NH11" s="402"/>
      <c r="NI11" s="402"/>
      <c r="NJ11" s="402"/>
      <c r="NK11" s="402"/>
      <c r="NL11" s="402"/>
      <c r="NM11" s="402"/>
      <c r="NN11" s="402"/>
      <c r="NO11" s="402"/>
      <c r="NP11" s="402"/>
      <c r="NQ11" s="402"/>
      <c r="NR11" s="402"/>
      <c r="NS11" s="402"/>
      <c r="NT11" s="402"/>
      <c r="NU11" s="402"/>
      <c r="NV11" s="402"/>
      <c r="NW11" s="402">
        <v>17</v>
      </c>
      <c r="NX11" s="402">
        <v>17</v>
      </c>
      <c r="NY11" s="402">
        <v>17</v>
      </c>
      <c r="NZ11" s="402">
        <v>17</v>
      </c>
      <c r="OA11" s="402"/>
      <c r="OB11" s="402">
        <v>17</v>
      </c>
      <c r="OC11" s="402">
        <v>17</v>
      </c>
      <c r="OD11" s="402"/>
      <c r="OE11" s="402"/>
      <c r="OF11" s="402"/>
      <c r="OG11" s="402"/>
      <c r="OH11" s="402"/>
      <c r="OI11" s="402"/>
      <c r="OJ11" s="402"/>
      <c r="OK11" s="402"/>
      <c r="OL11" s="402"/>
      <c r="OM11" s="402"/>
      <c r="ON11" s="402"/>
      <c r="OO11" s="402"/>
      <c r="OP11" s="402"/>
      <c r="OQ11" s="402"/>
      <c r="OR11" s="402"/>
      <c r="OS11" s="402"/>
      <c r="OT11" s="402"/>
      <c r="OU11" s="402"/>
      <c r="OV11" s="402"/>
      <c r="OW11" s="402"/>
      <c r="OX11" s="402"/>
      <c r="OY11" s="402">
        <v>95</v>
      </c>
      <c r="OZ11" s="402">
        <v>95</v>
      </c>
      <c r="PA11" s="402">
        <v>95</v>
      </c>
      <c r="PB11" s="402">
        <v>95</v>
      </c>
      <c r="PC11" s="402">
        <v>76</v>
      </c>
      <c r="PD11" s="402">
        <v>95</v>
      </c>
      <c r="PE11" s="402">
        <v>95</v>
      </c>
    </row>
    <row r="12" spans="1:421" x14ac:dyDescent="0.3">
      <c r="A12" s="272" t="s">
        <v>96</v>
      </c>
      <c r="B12" s="402"/>
      <c r="C12" s="402"/>
      <c r="D12" s="402"/>
      <c r="E12" s="402"/>
      <c r="F12" s="402"/>
      <c r="G12" s="402"/>
      <c r="H12" s="402"/>
      <c r="I12" s="402"/>
      <c r="J12" s="402"/>
      <c r="K12" s="402"/>
      <c r="L12" s="402"/>
      <c r="M12" s="402"/>
      <c r="N12" s="402"/>
      <c r="O12" s="402"/>
      <c r="P12" s="402"/>
      <c r="Q12" s="402"/>
      <c r="R12" s="402"/>
      <c r="S12" s="402"/>
      <c r="T12" s="402"/>
      <c r="U12" s="402"/>
      <c r="V12" s="402"/>
      <c r="W12" s="402"/>
      <c r="X12" s="402"/>
      <c r="Y12" s="402"/>
      <c r="Z12" s="402"/>
      <c r="AA12" s="402"/>
      <c r="AB12" s="402"/>
      <c r="AC12" s="402"/>
      <c r="AD12" s="402"/>
      <c r="AE12" s="402"/>
      <c r="AF12" s="402"/>
      <c r="AG12" s="402"/>
      <c r="AH12" s="402"/>
      <c r="AI12" s="402"/>
      <c r="AJ12" s="402"/>
      <c r="AK12" s="402"/>
      <c r="AL12" s="402"/>
      <c r="AM12" s="402"/>
      <c r="AN12" s="402"/>
      <c r="AO12" s="402"/>
      <c r="AP12" s="402"/>
      <c r="AQ12" s="402"/>
      <c r="AR12" s="402"/>
      <c r="AS12" s="402"/>
      <c r="AT12" s="402"/>
      <c r="AU12" s="402"/>
      <c r="AV12" s="402"/>
      <c r="AW12" s="402"/>
      <c r="AX12" s="402"/>
      <c r="AY12" s="402"/>
      <c r="AZ12" s="402"/>
      <c r="BA12" s="402"/>
      <c r="BB12" s="402"/>
      <c r="BC12" s="402"/>
      <c r="BD12" s="402"/>
      <c r="BE12" s="402"/>
      <c r="BF12" s="402"/>
      <c r="BG12" s="402"/>
      <c r="BH12" s="402"/>
      <c r="BI12" s="402"/>
      <c r="BJ12" s="402"/>
      <c r="BK12" s="402"/>
      <c r="BL12" s="402"/>
      <c r="BM12" s="402"/>
      <c r="BN12" s="402"/>
      <c r="BO12" s="402"/>
      <c r="BP12" s="402"/>
      <c r="BQ12" s="402"/>
      <c r="BR12" s="402"/>
      <c r="BS12" s="402"/>
      <c r="BT12" s="402"/>
      <c r="BU12" s="402"/>
      <c r="BV12" s="402"/>
      <c r="BW12" s="402"/>
      <c r="BX12" s="402"/>
      <c r="BY12" s="402"/>
      <c r="BZ12" s="402"/>
      <c r="CA12" s="402"/>
      <c r="CB12" s="402"/>
      <c r="CC12" s="402"/>
      <c r="CD12" s="402"/>
      <c r="CE12" s="402"/>
      <c r="CF12" s="402"/>
      <c r="CG12" s="402"/>
      <c r="CH12" s="402"/>
      <c r="CI12" s="402"/>
      <c r="CJ12" s="402"/>
      <c r="CK12" s="402"/>
      <c r="CL12" s="402"/>
      <c r="CM12" s="402"/>
      <c r="CN12" s="402"/>
      <c r="CO12" s="402"/>
      <c r="CP12" s="402"/>
      <c r="CQ12" s="402"/>
      <c r="CR12" s="402"/>
      <c r="CS12" s="402"/>
      <c r="CT12" s="402"/>
      <c r="CU12" s="402"/>
      <c r="CV12" s="402"/>
      <c r="CW12" s="402"/>
      <c r="CX12" s="402"/>
      <c r="CY12" s="402"/>
      <c r="CZ12" s="402"/>
      <c r="DA12" s="402"/>
      <c r="DB12" s="402"/>
      <c r="DC12" s="402"/>
      <c r="DD12" s="402"/>
      <c r="DE12" s="402"/>
      <c r="DF12" s="402"/>
      <c r="DG12" s="402"/>
      <c r="DH12" s="402"/>
      <c r="DI12" s="402"/>
      <c r="DJ12" s="402"/>
      <c r="DK12" s="402"/>
      <c r="DL12" s="402"/>
      <c r="DM12" s="402"/>
      <c r="DN12" s="402"/>
      <c r="DO12" s="402"/>
      <c r="DP12" s="402"/>
      <c r="DQ12" s="402"/>
      <c r="DR12" s="402"/>
      <c r="DS12" s="402"/>
      <c r="DT12" s="402"/>
      <c r="DU12" s="402"/>
      <c r="DV12" s="402"/>
      <c r="DW12" s="402"/>
      <c r="DX12" s="402"/>
      <c r="DY12" s="402"/>
      <c r="DZ12" s="402"/>
      <c r="EA12" s="402"/>
      <c r="EB12" s="402"/>
      <c r="EC12" s="402"/>
      <c r="ED12" s="402"/>
      <c r="EE12" s="402"/>
      <c r="EF12" s="402"/>
      <c r="EG12" s="402"/>
      <c r="EH12" s="402"/>
      <c r="EI12" s="402"/>
      <c r="EJ12" s="402"/>
      <c r="EK12" s="402"/>
      <c r="EL12" s="402"/>
      <c r="EM12" s="402"/>
      <c r="EN12" s="402"/>
      <c r="EO12" s="402"/>
      <c r="EP12" s="402"/>
      <c r="EQ12" s="402"/>
      <c r="ER12" s="402"/>
      <c r="ES12" s="402"/>
      <c r="ET12" s="402"/>
      <c r="EU12" s="402"/>
      <c r="EV12" s="402"/>
      <c r="EW12" s="402"/>
      <c r="EX12" s="402"/>
      <c r="EY12" s="402"/>
      <c r="EZ12" s="402"/>
      <c r="FA12" s="402"/>
      <c r="FB12" s="402"/>
      <c r="FC12" s="402"/>
      <c r="FD12" s="402"/>
      <c r="FE12" s="402"/>
      <c r="FF12" s="402"/>
      <c r="FG12" s="402"/>
      <c r="FH12" s="402"/>
      <c r="FI12" s="402"/>
      <c r="FJ12" s="402"/>
      <c r="FK12" s="402"/>
      <c r="FL12" s="402"/>
      <c r="FM12" s="402"/>
      <c r="FN12" s="402"/>
      <c r="FO12" s="402"/>
      <c r="FP12" s="402"/>
      <c r="FQ12" s="402"/>
      <c r="FR12" s="402"/>
      <c r="FS12" s="402"/>
      <c r="FT12" s="402"/>
      <c r="FU12" s="402"/>
      <c r="FV12" s="402"/>
      <c r="FW12" s="402"/>
      <c r="FX12" s="402"/>
      <c r="FY12" s="402"/>
      <c r="FZ12" s="402"/>
      <c r="GA12" s="402"/>
      <c r="GB12" s="402"/>
      <c r="GC12" s="402"/>
      <c r="GD12" s="402"/>
      <c r="GE12" s="402"/>
      <c r="GF12" s="402"/>
      <c r="GG12" s="402"/>
      <c r="GH12" s="402"/>
      <c r="GI12" s="402"/>
      <c r="GJ12" s="402"/>
      <c r="GK12" s="402"/>
      <c r="GL12" s="402"/>
      <c r="GM12" s="402"/>
      <c r="GN12" s="402"/>
      <c r="GO12" s="402"/>
      <c r="GP12" s="402"/>
      <c r="GQ12" s="402"/>
      <c r="GR12" s="402"/>
      <c r="GS12" s="402"/>
      <c r="GT12" s="402"/>
      <c r="GU12" s="402"/>
      <c r="GV12" s="402"/>
      <c r="GW12" s="402"/>
      <c r="GX12" s="402"/>
      <c r="GY12" s="402"/>
      <c r="GZ12" s="402"/>
      <c r="HA12" s="402"/>
      <c r="HB12" s="402"/>
      <c r="HC12" s="402"/>
      <c r="HD12" s="402"/>
      <c r="HE12" s="402"/>
      <c r="HF12" s="402"/>
      <c r="HG12" s="402"/>
      <c r="HH12" s="402"/>
      <c r="HI12" s="402"/>
      <c r="HJ12" s="402"/>
      <c r="HK12" s="402"/>
      <c r="HL12" s="402"/>
      <c r="HM12" s="402"/>
      <c r="HN12" s="402"/>
      <c r="HO12" s="402"/>
      <c r="HP12" s="402"/>
      <c r="HQ12" s="402"/>
      <c r="HR12" s="402"/>
      <c r="HS12" s="402"/>
      <c r="HT12" s="402"/>
      <c r="HU12" s="402"/>
      <c r="HV12" s="402"/>
      <c r="HW12" s="402"/>
      <c r="HX12" s="402"/>
      <c r="HY12" s="402"/>
      <c r="HZ12" s="402"/>
      <c r="IA12" s="402"/>
      <c r="IB12" s="402"/>
      <c r="IC12" s="402"/>
      <c r="ID12" s="402"/>
      <c r="IE12" s="402"/>
      <c r="IF12" s="402"/>
      <c r="IG12" s="402"/>
      <c r="IH12" s="402"/>
      <c r="II12" s="402"/>
      <c r="IJ12" s="402"/>
      <c r="IK12" s="402"/>
      <c r="IL12" s="402"/>
      <c r="IM12" s="402"/>
      <c r="IN12" s="402"/>
      <c r="IO12" s="402"/>
      <c r="IP12" s="402"/>
      <c r="IQ12" s="402"/>
      <c r="IR12" s="402"/>
      <c r="IS12" s="402"/>
      <c r="IT12" s="402"/>
      <c r="IU12" s="402"/>
      <c r="IV12" s="402"/>
      <c r="IW12" s="402"/>
      <c r="IX12" s="402"/>
      <c r="IY12" s="402"/>
      <c r="IZ12" s="402"/>
      <c r="JA12" s="402"/>
      <c r="JB12" s="402"/>
      <c r="JC12" s="402"/>
      <c r="JD12" s="402"/>
      <c r="JE12" s="402"/>
      <c r="JF12" s="402"/>
      <c r="JG12" s="402"/>
      <c r="JH12" s="402"/>
      <c r="JI12" s="402"/>
      <c r="JJ12" s="402"/>
      <c r="JK12" s="402"/>
      <c r="JL12" s="402"/>
      <c r="JM12" s="402"/>
      <c r="JN12" s="402"/>
      <c r="JO12" s="402"/>
      <c r="JP12" s="402"/>
      <c r="JQ12" s="402"/>
      <c r="JR12" s="402"/>
      <c r="JS12" s="402"/>
      <c r="JT12" s="402"/>
      <c r="JU12" s="402"/>
      <c r="JV12" s="402"/>
      <c r="JW12" s="402"/>
      <c r="JX12" s="402"/>
      <c r="JY12" s="402"/>
      <c r="JZ12" s="402"/>
      <c r="KA12" s="402"/>
      <c r="KB12" s="402"/>
      <c r="KC12" s="402"/>
      <c r="KD12" s="402"/>
      <c r="KE12" s="402"/>
      <c r="KF12" s="402"/>
      <c r="KG12" s="402"/>
      <c r="KH12" s="402"/>
      <c r="KI12" s="402"/>
      <c r="KJ12" s="402"/>
      <c r="KK12" s="402"/>
      <c r="KL12" s="402"/>
      <c r="KM12" s="402"/>
      <c r="KN12" s="402"/>
      <c r="KO12" s="402"/>
      <c r="KP12" s="402"/>
      <c r="KQ12" s="402">
        <v>1</v>
      </c>
      <c r="KR12" s="402">
        <v>1</v>
      </c>
      <c r="KS12" s="402">
        <v>1</v>
      </c>
      <c r="KT12" s="402">
        <v>1</v>
      </c>
      <c r="KU12" s="402">
        <v>1</v>
      </c>
      <c r="KV12" s="402">
        <v>1</v>
      </c>
      <c r="KW12" s="402">
        <v>1</v>
      </c>
      <c r="KX12" s="402"/>
      <c r="KY12" s="402"/>
      <c r="KZ12" s="402"/>
      <c r="LA12" s="402"/>
      <c r="LB12" s="402"/>
      <c r="LC12" s="402"/>
      <c r="LD12" s="402"/>
      <c r="LE12" s="402"/>
      <c r="LF12" s="402"/>
      <c r="LG12" s="402"/>
      <c r="LH12" s="402"/>
      <c r="LI12" s="402"/>
      <c r="LJ12" s="402"/>
      <c r="LK12" s="402"/>
      <c r="LL12" s="402"/>
      <c r="LM12" s="402"/>
      <c r="LN12" s="402"/>
      <c r="LO12" s="402"/>
      <c r="LP12" s="402"/>
      <c r="LQ12" s="402"/>
      <c r="LR12" s="402"/>
      <c r="LS12" s="402"/>
      <c r="LT12" s="402"/>
      <c r="LU12" s="402"/>
      <c r="LV12" s="402"/>
      <c r="LW12" s="402"/>
      <c r="LX12" s="402"/>
      <c r="LY12" s="402"/>
      <c r="LZ12" s="402"/>
      <c r="MA12" s="402"/>
      <c r="MB12" s="402"/>
      <c r="MC12" s="402"/>
      <c r="MD12" s="402"/>
      <c r="ME12" s="402"/>
      <c r="MF12" s="402"/>
      <c r="MG12" s="402"/>
      <c r="MH12" s="402"/>
      <c r="MI12" s="402"/>
      <c r="MJ12" s="402"/>
      <c r="MK12" s="402"/>
      <c r="ML12" s="402"/>
      <c r="MM12" s="402"/>
      <c r="MN12" s="402"/>
      <c r="MO12" s="402"/>
      <c r="MP12" s="402"/>
      <c r="MQ12" s="402"/>
      <c r="MR12" s="402"/>
      <c r="MS12" s="402"/>
      <c r="MT12" s="402"/>
      <c r="MU12" s="402"/>
      <c r="MV12" s="402"/>
      <c r="MW12" s="402"/>
      <c r="MX12" s="402"/>
      <c r="MY12" s="402"/>
      <c r="MZ12" s="402"/>
      <c r="NA12" s="402"/>
      <c r="NB12" s="402"/>
      <c r="NC12" s="402"/>
      <c r="ND12" s="402"/>
      <c r="NE12" s="402"/>
      <c r="NF12" s="402"/>
      <c r="NG12" s="402"/>
      <c r="NH12" s="402"/>
      <c r="NI12" s="402"/>
      <c r="NJ12" s="402"/>
      <c r="NK12" s="402"/>
      <c r="NL12" s="402"/>
      <c r="NM12" s="402"/>
      <c r="NN12" s="402"/>
      <c r="NO12" s="402"/>
      <c r="NP12" s="402"/>
      <c r="NQ12" s="402"/>
      <c r="NR12" s="402"/>
      <c r="NS12" s="402"/>
      <c r="NT12" s="402"/>
      <c r="NU12" s="402"/>
      <c r="NV12" s="402"/>
      <c r="NW12" s="402"/>
      <c r="NX12" s="402"/>
      <c r="NY12" s="402"/>
      <c r="NZ12" s="402"/>
      <c r="OA12" s="402"/>
      <c r="OB12" s="402"/>
      <c r="OC12" s="402"/>
      <c r="OD12" s="402">
        <v>9</v>
      </c>
      <c r="OE12" s="402">
        <v>9</v>
      </c>
      <c r="OF12" s="402">
        <v>9</v>
      </c>
      <c r="OG12" s="402">
        <v>9</v>
      </c>
      <c r="OH12" s="402">
        <v>3</v>
      </c>
      <c r="OI12" s="402">
        <v>9</v>
      </c>
      <c r="OJ12" s="402">
        <v>9</v>
      </c>
      <c r="OK12" s="402"/>
      <c r="OL12" s="402"/>
      <c r="OM12" s="402"/>
      <c r="ON12" s="402"/>
      <c r="OO12" s="402"/>
      <c r="OP12" s="402"/>
      <c r="OQ12" s="402"/>
      <c r="OR12" s="402"/>
      <c r="OS12" s="402"/>
      <c r="OT12" s="402"/>
      <c r="OU12" s="402"/>
      <c r="OV12" s="402"/>
      <c r="OW12" s="402"/>
      <c r="OX12" s="402"/>
      <c r="OY12" s="402">
        <v>10</v>
      </c>
      <c r="OZ12" s="402">
        <v>10</v>
      </c>
      <c r="PA12" s="402">
        <v>10</v>
      </c>
      <c r="PB12" s="402">
        <v>10</v>
      </c>
      <c r="PC12" s="402">
        <v>4</v>
      </c>
      <c r="PD12" s="402">
        <v>10</v>
      </c>
      <c r="PE12" s="402">
        <v>10</v>
      </c>
    </row>
    <row r="13" spans="1:421" x14ac:dyDescent="0.3">
      <c r="A13" s="272" t="s">
        <v>97</v>
      </c>
      <c r="B13" s="402"/>
      <c r="C13" s="402"/>
      <c r="D13" s="402"/>
      <c r="E13" s="402"/>
      <c r="F13" s="402"/>
      <c r="G13" s="402"/>
      <c r="H13" s="402"/>
      <c r="I13" s="402"/>
      <c r="J13" s="402"/>
      <c r="K13" s="402"/>
      <c r="L13" s="402"/>
      <c r="M13" s="402"/>
      <c r="N13" s="402"/>
      <c r="O13" s="402"/>
      <c r="P13" s="402"/>
      <c r="Q13" s="402"/>
      <c r="R13" s="402"/>
      <c r="S13" s="402"/>
      <c r="T13" s="402"/>
      <c r="U13" s="402"/>
      <c r="V13" s="402"/>
      <c r="W13" s="402"/>
      <c r="X13" s="402"/>
      <c r="Y13" s="402"/>
      <c r="Z13" s="402"/>
      <c r="AA13" s="402"/>
      <c r="AB13" s="402"/>
      <c r="AC13" s="402"/>
      <c r="AD13" s="402"/>
      <c r="AE13" s="402"/>
      <c r="AF13" s="402"/>
      <c r="AG13" s="402"/>
      <c r="AH13" s="402"/>
      <c r="AI13" s="402"/>
      <c r="AJ13" s="402"/>
      <c r="AK13" s="402"/>
      <c r="AL13" s="402"/>
      <c r="AM13" s="402"/>
      <c r="AN13" s="402"/>
      <c r="AO13" s="402"/>
      <c r="AP13" s="402"/>
      <c r="AQ13" s="402"/>
      <c r="AR13" s="402"/>
      <c r="AS13" s="402"/>
      <c r="AT13" s="402"/>
      <c r="AU13" s="402"/>
      <c r="AV13" s="402"/>
      <c r="AW13" s="402"/>
      <c r="AX13" s="402"/>
      <c r="AY13" s="402"/>
      <c r="AZ13" s="402"/>
      <c r="BA13" s="402"/>
      <c r="BB13" s="402"/>
      <c r="BC13" s="402"/>
      <c r="BD13" s="402"/>
      <c r="BE13" s="402"/>
      <c r="BF13" s="402"/>
      <c r="BG13" s="402"/>
      <c r="BH13" s="402"/>
      <c r="BI13" s="402"/>
      <c r="BJ13" s="402"/>
      <c r="BK13" s="402"/>
      <c r="BL13" s="402"/>
      <c r="BM13" s="402"/>
      <c r="BN13" s="402"/>
      <c r="BO13" s="402"/>
      <c r="BP13" s="402"/>
      <c r="BQ13" s="402"/>
      <c r="BR13" s="402"/>
      <c r="BS13" s="402"/>
      <c r="BT13" s="402"/>
      <c r="BU13" s="402"/>
      <c r="BV13" s="402"/>
      <c r="BW13" s="402"/>
      <c r="BX13" s="402"/>
      <c r="BY13" s="402"/>
      <c r="BZ13" s="402"/>
      <c r="CA13" s="402"/>
      <c r="CB13" s="402"/>
      <c r="CC13" s="402"/>
      <c r="CD13" s="402"/>
      <c r="CE13" s="402"/>
      <c r="CF13" s="402"/>
      <c r="CG13" s="402"/>
      <c r="CH13" s="402"/>
      <c r="CI13" s="402"/>
      <c r="CJ13" s="402"/>
      <c r="CK13" s="402"/>
      <c r="CL13" s="402"/>
      <c r="CM13" s="402"/>
      <c r="CN13" s="402"/>
      <c r="CO13" s="402"/>
      <c r="CP13" s="402"/>
      <c r="CQ13" s="402"/>
      <c r="CR13" s="402"/>
      <c r="CS13" s="402"/>
      <c r="CT13" s="402"/>
      <c r="CU13" s="402"/>
      <c r="CV13" s="402"/>
      <c r="CW13" s="402"/>
      <c r="CX13" s="402"/>
      <c r="CY13" s="402"/>
      <c r="CZ13" s="402"/>
      <c r="DA13" s="402"/>
      <c r="DB13" s="402"/>
      <c r="DC13" s="402"/>
      <c r="DD13" s="402"/>
      <c r="DE13" s="402"/>
      <c r="DF13" s="402"/>
      <c r="DG13" s="402"/>
      <c r="DH13" s="402"/>
      <c r="DI13" s="402"/>
      <c r="DJ13" s="402"/>
      <c r="DK13" s="402"/>
      <c r="DL13" s="402"/>
      <c r="DM13" s="402"/>
      <c r="DN13" s="402"/>
      <c r="DO13" s="402"/>
      <c r="DP13" s="402"/>
      <c r="DQ13" s="402"/>
      <c r="DR13" s="402"/>
      <c r="DS13" s="402"/>
      <c r="DT13" s="402"/>
      <c r="DU13" s="402"/>
      <c r="DV13" s="402"/>
      <c r="DW13" s="402"/>
      <c r="DX13" s="402"/>
      <c r="DY13" s="402"/>
      <c r="DZ13" s="402"/>
      <c r="EA13" s="402"/>
      <c r="EB13" s="402"/>
      <c r="EC13" s="402"/>
      <c r="ED13" s="402"/>
      <c r="EE13" s="402"/>
      <c r="EF13" s="402"/>
      <c r="EG13" s="402"/>
      <c r="EH13" s="402"/>
      <c r="EI13" s="402"/>
      <c r="EJ13" s="402"/>
      <c r="EK13" s="402"/>
      <c r="EL13" s="402"/>
      <c r="EM13" s="402"/>
      <c r="EN13" s="402"/>
      <c r="EO13" s="402"/>
      <c r="EP13" s="402"/>
      <c r="EQ13" s="402"/>
      <c r="ER13" s="402"/>
      <c r="ES13" s="402"/>
      <c r="ET13" s="402"/>
      <c r="EU13" s="402"/>
      <c r="EV13" s="402"/>
      <c r="EW13" s="402"/>
      <c r="EX13" s="402"/>
      <c r="EY13" s="402"/>
      <c r="EZ13" s="402"/>
      <c r="FA13" s="402"/>
      <c r="FB13" s="402"/>
      <c r="FC13" s="402"/>
      <c r="FD13" s="402"/>
      <c r="FE13" s="402"/>
      <c r="FF13" s="402"/>
      <c r="FG13" s="402"/>
      <c r="FH13" s="402"/>
      <c r="FI13" s="402"/>
      <c r="FJ13" s="402"/>
      <c r="FK13" s="402"/>
      <c r="FL13" s="402"/>
      <c r="FM13" s="402"/>
      <c r="FN13" s="402"/>
      <c r="FO13" s="402"/>
      <c r="FP13" s="402"/>
      <c r="FQ13" s="402"/>
      <c r="FR13" s="402"/>
      <c r="FS13" s="402"/>
      <c r="FT13" s="402"/>
      <c r="FU13" s="402">
        <v>31</v>
      </c>
      <c r="FV13" s="402">
        <v>31</v>
      </c>
      <c r="FW13" s="402">
        <v>31</v>
      </c>
      <c r="FX13" s="402">
        <v>31</v>
      </c>
      <c r="FY13" s="402">
        <v>21</v>
      </c>
      <c r="FZ13" s="402">
        <v>31</v>
      </c>
      <c r="GA13" s="402">
        <v>31</v>
      </c>
      <c r="GB13" s="402">
        <v>21</v>
      </c>
      <c r="GC13" s="402">
        <v>21</v>
      </c>
      <c r="GD13" s="402">
        <v>21</v>
      </c>
      <c r="GE13" s="402">
        <v>21</v>
      </c>
      <c r="GF13" s="402">
        <v>14</v>
      </c>
      <c r="GG13" s="402">
        <v>21</v>
      </c>
      <c r="GH13" s="402">
        <v>21</v>
      </c>
      <c r="GI13" s="402"/>
      <c r="GJ13" s="402"/>
      <c r="GK13" s="402"/>
      <c r="GL13" s="402"/>
      <c r="GM13" s="402"/>
      <c r="GN13" s="402"/>
      <c r="GO13" s="402"/>
      <c r="GP13" s="402"/>
      <c r="GQ13" s="402"/>
      <c r="GR13" s="402"/>
      <c r="GS13" s="402"/>
      <c r="GT13" s="402"/>
      <c r="GU13" s="402"/>
      <c r="GV13" s="402"/>
      <c r="GW13" s="402"/>
      <c r="GX13" s="402"/>
      <c r="GY13" s="402"/>
      <c r="GZ13" s="402"/>
      <c r="HA13" s="402"/>
      <c r="HB13" s="402"/>
      <c r="HC13" s="402"/>
      <c r="HD13" s="402"/>
      <c r="HE13" s="402"/>
      <c r="HF13" s="402"/>
      <c r="HG13" s="402"/>
      <c r="HH13" s="402"/>
      <c r="HI13" s="402"/>
      <c r="HJ13" s="402"/>
      <c r="HK13" s="402"/>
      <c r="HL13" s="402"/>
      <c r="HM13" s="402"/>
      <c r="HN13" s="402"/>
      <c r="HO13" s="402"/>
      <c r="HP13" s="402"/>
      <c r="HQ13" s="402"/>
      <c r="HR13" s="402"/>
      <c r="HS13" s="402"/>
      <c r="HT13" s="402"/>
      <c r="HU13" s="402"/>
      <c r="HV13" s="402"/>
      <c r="HW13" s="402"/>
      <c r="HX13" s="402"/>
      <c r="HY13" s="402"/>
      <c r="HZ13" s="402"/>
      <c r="IA13" s="402"/>
      <c r="IB13" s="402"/>
      <c r="IC13" s="402"/>
      <c r="ID13" s="402"/>
      <c r="IE13" s="402"/>
      <c r="IF13" s="402"/>
      <c r="IG13" s="402"/>
      <c r="IH13" s="402"/>
      <c r="II13" s="402"/>
      <c r="IJ13" s="402"/>
      <c r="IK13" s="402"/>
      <c r="IL13" s="402"/>
      <c r="IM13" s="402"/>
      <c r="IN13" s="402"/>
      <c r="IO13" s="402"/>
      <c r="IP13" s="402"/>
      <c r="IQ13" s="402"/>
      <c r="IR13" s="402"/>
      <c r="IS13" s="402"/>
      <c r="IT13" s="402"/>
      <c r="IU13" s="402"/>
      <c r="IV13" s="402"/>
      <c r="IW13" s="402"/>
      <c r="IX13" s="402"/>
      <c r="IY13" s="402"/>
      <c r="IZ13" s="402"/>
      <c r="JA13" s="402"/>
      <c r="JB13" s="402"/>
      <c r="JC13" s="402"/>
      <c r="JD13" s="402"/>
      <c r="JE13" s="402"/>
      <c r="JF13" s="402"/>
      <c r="JG13" s="402"/>
      <c r="JH13" s="402"/>
      <c r="JI13" s="402"/>
      <c r="JJ13" s="402"/>
      <c r="JK13" s="402"/>
      <c r="JL13" s="402"/>
      <c r="JM13" s="402"/>
      <c r="JN13" s="402"/>
      <c r="JO13" s="402"/>
      <c r="JP13" s="402"/>
      <c r="JQ13" s="402"/>
      <c r="JR13" s="402"/>
      <c r="JS13" s="402"/>
      <c r="JT13" s="402"/>
      <c r="JU13" s="402"/>
      <c r="JV13" s="402"/>
      <c r="JW13" s="402"/>
      <c r="JX13" s="402"/>
      <c r="JY13" s="402"/>
      <c r="JZ13" s="402"/>
      <c r="KA13" s="402"/>
      <c r="KB13" s="402"/>
      <c r="KC13" s="402"/>
      <c r="KD13" s="402"/>
      <c r="KE13" s="402"/>
      <c r="KF13" s="402"/>
      <c r="KG13" s="402"/>
      <c r="KH13" s="402"/>
      <c r="KI13" s="402"/>
      <c r="KJ13" s="402">
        <v>2</v>
      </c>
      <c r="KK13" s="402">
        <v>2</v>
      </c>
      <c r="KL13" s="402">
        <v>2</v>
      </c>
      <c r="KM13" s="402">
        <v>2</v>
      </c>
      <c r="KN13" s="402">
        <v>2</v>
      </c>
      <c r="KO13" s="402">
        <v>2</v>
      </c>
      <c r="KP13" s="402">
        <v>2</v>
      </c>
      <c r="KQ13" s="402">
        <v>11</v>
      </c>
      <c r="KR13" s="402">
        <v>11</v>
      </c>
      <c r="KS13" s="402">
        <v>11</v>
      </c>
      <c r="KT13" s="402">
        <v>11</v>
      </c>
      <c r="KU13" s="402">
        <v>5</v>
      </c>
      <c r="KV13" s="402">
        <v>11</v>
      </c>
      <c r="KW13" s="402">
        <v>11</v>
      </c>
      <c r="KX13" s="402">
        <v>1</v>
      </c>
      <c r="KY13" s="402">
        <v>1</v>
      </c>
      <c r="KZ13" s="402">
        <v>1</v>
      </c>
      <c r="LA13" s="402">
        <v>1</v>
      </c>
      <c r="LB13" s="402">
        <v>1</v>
      </c>
      <c r="LC13" s="402">
        <v>1</v>
      </c>
      <c r="LD13" s="402">
        <v>1</v>
      </c>
      <c r="LE13" s="402">
        <v>10</v>
      </c>
      <c r="LF13" s="402">
        <v>10</v>
      </c>
      <c r="LG13" s="402">
        <v>10</v>
      </c>
      <c r="LH13" s="402">
        <v>10</v>
      </c>
      <c r="LI13" s="402">
        <v>10</v>
      </c>
      <c r="LJ13" s="402">
        <v>10</v>
      </c>
      <c r="LK13" s="402">
        <v>10</v>
      </c>
      <c r="LL13" s="402"/>
      <c r="LM13" s="402"/>
      <c r="LN13" s="402"/>
      <c r="LO13" s="402"/>
      <c r="LP13" s="402"/>
      <c r="LQ13" s="402"/>
      <c r="LR13" s="402"/>
      <c r="LS13" s="402"/>
      <c r="LT13" s="402"/>
      <c r="LU13" s="402"/>
      <c r="LV13" s="402"/>
      <c r="LW13" s="402"/>
      <c r="LX13" s="402"/>
      <c r="LY13" s="402"/>
      <c r="LZ13" s="402"/>
      <c r="MA13" s="402"/>
      <c r="MB13" s="402"/>
      <c r="MC13" s="402"/>
      <c r="MD13" s="402"/>
      <c r="ME13" s="402"/>
      <c r="MF13" s="402"/>
      <c r="MG13" s="402"/>
      <c r="MH13" s="402"/>
      <c r="MI13" s="402"/>
      <c r="MJ13" s="402"/>
      <c r="MK13" s="402"/>
      <c r="ML13" s="402"/>
      <c r="MM13" s="402"/>
      <c r="MN13" s="402"/>
      <c r="MO13" s="402"/>
      <c r="MP13" s="402"/>
      <c r="MQ13" s="402"/>
      <c r="MR13" s="402"/>
      <c r="MS13" s="402"/>
      <c r="MT13" s="402"/>
      <c r="MU13" s="402">
        <v>30</v>
      </c>
      <c r="MV13" s="402">
        <v>30</v>
      </c>
      <c r="MW13" s="402">
        <v>30</v>
      </c>
      <c r="MX13" s="402">
        <v>30</v>
      </c>
      <c r="MY13" s="402">
        <v>20</v>
      </c>
      <c r="MZ13" s="402">
        <v>30</v>
      </c>
      <c r="NA13" s="402">
        <v>30</v>
      </c>
      <c r="NB13" s="402">
        <v>12</v>
      </c>
      <c r="NC13" s="402">
        <v>12</v>
      </c>
      <c r="ND13" s="402">
        <v>12</v>
      </c>
      <c r="NE13" s="402">
        <v>12</v>
      </c>
      <c r="NF13" s="402">
        <v>8</v>
      </c>
      <c r="NG13" s="402">
        <v>12</v>
      </c>
      <c r="NH13" s="402">
        <v>12</v>
      </c>
      <c r="NI13" s="402"/>
      <c r="NJ13" s="402"/>
      <c r="NK13" s="402"/>
      <c r="NL13" s="402"/>
      <c r="NM13" s="402"/>
      <c r="NN13" s="402"/>
      <c r="NO13" s="402"/>
      <c r="NP13" s="402">
        <v>18</v>
      </c>
      <c r="NQ13" s="402">
        <v>18</v>
      </c>
      <c r="NR13" s="402">
        <v>18</v>
      </c>
      <c r="NS13" s="402">
        <v>18</v>
      </c>
      <c r="NT13" s="402">
        <v>12</v>
      </c>
      <c r="NU13" s="402">
        <v>18</v>
      </c>
      <c r="NV13" s="402">
        <v>18</v>
      </c>
      <c r="NW13" s="402"/>
      <c r="NX13" s="402"/>
      <c r="NY13" s="402"/>
      <c r="NZ13" s="402"/>
      <c r="OA13" s="402"/>
      <c r="OB13" s="402"/>
      <c r="OC13" s="402"/>
      <c r="OD13" s="402"/>
      <c r="OE13" s="402"/>
      <c r="OF13" s="402"/>
      <c r="OG13" s="402"/>
      <c r="OH13" s="402"/>
      <c r="OI13" s="402"/>
      <c r="OJ13" s="402"/>
      <c r="OK13" s="402"/>
      <c r="OL13" s="402"/>
      <c r="OM13" s="402"/>
      <c r="ON13" s="402"/>
      <c r="OO13" s="402"/>
      <c r="OP13" s="402"/>
      <c r="OQ13" s="402"/>
      <c r="OR13" s="402"/>
      <c r="OS13" s="402"/>
      <c r="OT13" s="402"/>
      <c r="OU13" s="402"/>
      <c r="OV13" s="402"/>
      <c r="OW13" s="402"/>
      <c r="OX13" s="402"/>
      <c r="OY13" s="402">
        <v>136</v>
      </c>
      <c r="OZ13" s="402">
        <v>136</v>
      </c>
      <c r="PA13" s="402">
        <v>136</v>
      </c>
      <c r="PB13" s="402">
        <v>136</v>
      </c>
      <c r="PC13" s="402">
        <v>93</v>
      </c>
      <c r="PD13" s="402">
        <v>136</v>
      </c>
      <c r="PE13" s="402">
        <v>136</v>
      </c>
    </row>
    <row r="14" spans="1:421" x14ac:dyDescent="0.3">
      <c r="A14" s="272" t="s">
        <v>98</v>
      </c>
      <c r="B14" s="402"/>
      <c r="C14" s="402"/>
      <c r="D14" s="402"/>
      <c r="E14" s="402"/>
      <c r="F14" s="402"/>
      <c r="G14" s="402"/>
      <c r="H14" s="402"/>
      <c r="I14" s="402"/>
      <c r="J14" s="402"/>
      <c r="K14" s="402"/>
      <c r="L14" s="402"/>
      <c r="M14" s="402"/>
      <c r="N14" s="402"/>
      <c r="O14" s="402"/>
      <c r="P14" s="402"/>
      <c r="Q14" s="402"/>
      <c r="R14" s="402"/>
      <c r="S14" s="402"/>
      <c r="T14" s="402"/>
      <c r="U14" s="402"/>
      <c r="V14" s="402"/>
      <c r="W14" s="402"/>
      <c r="X14" s="402"/>
      <c r="Y14" s="402"/>
      <c r="Z14" s="402"/>
      <c r="AA14" s="402"/>
      <c r="AB14" s="402"/>
      <c r="AC14" s="402"/>
      <c r="AD14" s="402"/>
      <c r="AE14" s="402"/>
      <c r="AF14" s="402"/>
      <c r="AG14" s="402"/>
      <c r="AH14" s="402"/>
      <c r="AI14" s="402"/>
      <c r="AJ14" s="402"/>
      <c r="AK14" s="402"/>
      <c r="AL14" s="402"/>
      <c r="AM14" s="402"/>
      <c r="AN14" s="402"/>
      <c r="AO14" s="402"/>
      <c r="AP14" s="402"/>
      <c r="AQ14" s="402"/>
      <c r="AR14" s="402"/>
      <c r="AS14" s="402"/>
      <c r="AT14" s="402"/>
      <c r="AU14" s="402"/>
      <c r="AV14" s="402"/>
      <c r="AW14" s="402"/>
      <c r="AX14" s="402"/>
      <c r="AY14" s="402"/>
      <c r="AZ14" s="402"/>
      <c r="BA14" s="402"/>
      <c r="BB14" s="402"/>
      <c r="BC14" s="402"/>
      <c r="BD14" s="402"/>
      <c r="BE14" s="402"/>
      <c r="BF14" s="402"/>
      <c r="BG14" s="402"/>
      <c r="BH14" s="402"/>
      <c r="BI14" s="402"/>
      <c r="BJ14" s="402"/>
      <c r="BK14" s="402"/>
      <c r="BL14" s="402"/>
      <c r="BM14" s="402">
        <v>1</v>
      </c>
      <c r="BN14" s="402">
        <v>1</v>
      </c>
      <c r="BO14" s="402">
        <v>1</v>
      </c>
      <c r="BP14" s="402">
        <v>1</v>
      </c>
      <c r="BQ14" s="402">
        <v>1</v>
      </c>
      <c r="BR14" s="402">
        <v>1</v>
      </c>
      <c r="BS14" s="402">
        <v>1</v>
      </c>
      <c r="BT14" s="402"/>
      <c r="BU14" s="402"/>
      <c r="BV14" s="402"/>
      <c r="BW14" s="402"/>
      <c r="BX14" s="402"/>
      <c r="BY14" s="402"/>
      <c r="BZ14" s="402"/>
      <c r="CA14" s="402"/>
      <c r="CB14" s="402"/>
      <c r="CC14" s="402"/>
      <c r="CD14" s="402"/>
      <c r="CE14" s="402"/>
      <c r="CF14" s="402"/>
      <c r="CG14" s="402"/>
      <c r="CH14" s="402"/>
      <c r="CI14" s="402"/>
      <c r="CJ14" s="402"/>
      <c r="CK14" s="402"/>
      <c r="CL14" s="402"/>
      <c r="CM14" s="402"/>
      <c r="CN14" s="402"/>
      <c r="CO14" s="402"/>
      <c r="CP14" s="402"/>
      <c r="CQ14" s="402"/>
      <c r="CR14" s="402"/>
      <c r="CS14" s="402"/>
      <c r="CT14" s="402"/>
      <c r="CU14" s="402"/>
      <c r="CV14" s="402"/>
      <c r="CW14" s="402"/>
      <c r="CX14" s="402"/>
      <c r="CY14" s="402"/>
      <c r="CZ14" s="402"/>
      <c r="DA14" s="402"/>
      <c r="DB14" s="402"/>
      <c r="DC14" s="402"/>
      <c r="DD14" s="402"/>
      <c r="DE14" s="402"/>
      <c r="DF14" s="402"/>
      <c r="DG14" s="402"/>
      <c r="DH14" s="402"/>
      <c r="DI14" s="402"/>
      <c r="DJ14" s="402"/>
      <c r="DK14" s="402"/>
      <c r="DL14" s="402"/>
      <c r="DM14" s="402"/>
      <c r="DN14" s="402"/>
      <c r="DO14" s="402"/>
      <c r="DP14" s="402"/>
      <c r="DQ14" s="402"/>
      <c r="DR14" s="402"/>
      <c r="DS14" s="402"/>
      <c r="DT14" s="402"/>
      <c r="DU14" s="402"/>
      <c r="DV14" s="402"/>
      <c r="DW14" s="402"/>
      <c r="DX14" s="402"/>
      <c r="DY14" s="402"/>
      <c r="DZ14" s="402"/>
      <c r="EA14" s="402"/>
      <c r="EB14" s="402"/>
      <c r="EC14" s="402"/>
      <c r="ED14" s="402"/>
      <c r="EE14" s="402"/>
      <c r="EF14" s="402"/>
      <c r="EG14" s="402"/>
      <c r="EH14" s="402"/>
      <c r="EI14" s="402"/>
      <c r="EJ14" s="402"/>
      <c r="EK14" s="402"/>
      <c r="EL14" s="402"/>
      <c r="EM14" s="402"/>
      <c r="EN14" s="402"/>
      <c r="EO14" s="402"/>
      <c r="EP14" s="402"/>
      <c r="EQ14" s="402"/>
      <c r="ER14" s="402"/>
      <c r="ES14" s="402"/>
      <c r="ET14" s="402"/>
      <c r="EU14" s="402"/>
      <c r="EV14" s="402"/>
      <c r="EW14" s="402"/>
      <c r="EX14" s="402"/>
      <c r="EY14" s="402"/>
      <c r="EZ14" s="402"/>
      <c r="FA14" s="402"/>
      <c r="FB14" s="402"/>
      <c r="FC14" s="402"/>
      <c r="FD14" s="402"/>
      <c r="FE14" s="402"/>
      <c r="FF14" s="402"/>
      <c r="FG14" s="402"/>
      <c r="FH14" s="402"/>
      <c r="FI14" s="402"/>
      <c r="FJ14" s="402"/>
      <c r="FK14" s="402"/>
      <c r="FL14" s="402"/>
      <c r="FM14" s="402"/>
      <c r="FN14" s="402"/>
      <c r="FO14" s="402"/>
      <c r="FP14" s="402"/>
      <c r="FQ14" s="402"/>
      <c r="FR14" s="402"/>
      <c r="FS14" s="402"/>
      <c r="FT14" s="402"/>
      <c r="FU14" s="402"/>
      <c r="FV14" s="402"/>
      <c r="FW14" s="402"/>
      <c r="FX14" s="402"/>
      <c r="FY14" s="402"/>
      <c r="FZ14" s="402"/>
      <c r="GA14" s="402"/>
      <c r="GB14" s="402"/>
      <c r="GC14" s="402"/>
      <c r="GD14" s="402"/>
      <c r="GE14" s="402"/>
      <c r="GF14" s="402"/>
      <c r="GG14" s="402"/>
      <c r="GH14" s="402"/>
      <c r="GI14" s="402"/>
      <c r="GJ14" s="402"/>
      <c r="GK14" s="402"/>
      <c r="GL14" s="402"/>
      <c r="GM14" s="402"/>
      <c r="GN14" s="402"/>
      <c r="GO14" s="402"/>
      <c r="GP14" s="402"/>
      <c r="GQ14" s="402"/>
      <c r="GR14" s="402"/>
      <c r="GS14" s="402"/>
      <c r="GT14" s="402"/>
      <c r="GU14" s="402"/>
      <c r="GV14" s="402"/>
      <c r="GW14" s="402"/>
      <c r="GX14" s="402"/>
      <c r="GY14" s="402"/>
      <c r="GZ14" s="402"/>
      <c r="HA14" s="402"/>
      <c r="HB14" s="402"/>
      <c r="HC14" s="402"/>
      <c r="HD14" s="402"/>
      <c r="HE14" s="402"/>
      <c r="HF14" s="402"/>
      <c r="HG14" s="402"/>
      <c r="HH14" s="402"/>
      <c r="HI14" s="402"/>
      <c r="HJ14" s="402"/>
      <c r="HK14" s="402"/>
      <c r="HL14" s="402"/>
      <c r="HM14" s="402"/>
      <c r="HN14" s="402"/>
      <c r="HO14" s="402"/>
      <c r="HP14" s="402"/>
      <c r="HQ14" s="402"/>
      <c r="HR14" s="402"/>
      <c r="HS14" s="402"/>
      <c r="HT14" s="402"/>
      <c r="HU14" s="402"/>
      <c r="HV14" s="402"/>
      <c r="HW14" s="402"/>
      <c r="HX14" s="402"/>
      <c r="HY14" s="402"/>
      <c r="HZ14" s="402"/>
      <c r="IA14" s="402"/>
      <c r="IB14" s="402"/>
      <c r="IC14" s="402"/>
      <c r="ID14" s="402"/>
      <c r="IE14" s="402"/>
      <c r="IF14" s="402"/>
      <c r="IG14" s="402"/>
      <c r="IH14" s="402"/>
      <c r="II14" s="402"/>
      <c r="IJ14" s="402"/>
      <c r="IK14" s="402"/>
      <c r="IL14" s="402"/>
      <c r="IM14" s="402"/>
      <c r="IN14" s="402"/>
      <c r="IO14" s="402"/>
      <c r="IP14" s="402"/>
      <c r="IQ14" s="402"/>
      <c r="IR14" s="402"/>
      <c r="IS14" s="402"/>
      <c r="IT14" s="402"/>
      <c r="IU14" s="402"/>
      <c r="IV14" s="402"/>
      <c r="IW14" s="402"/>
      <c r="IX14" s="402"/>
      <c r="IY14" s="402"/>
      <c r="IZ14" s="402"/>
      <c r="JA14" s="402"/>
      <c r="JB14" s="402"/>
      <c r="JC14" s="402"/>
      <c r="JD14" s="402"/>
      <c r="JE14" s="402"/>
      <c r="JF14" s="402"/>
      <c r="JG14" s="402"/>
      <c r="JH14" s="402"/>
      <c r="JI14" s="402"/>
      <c r="JJ14" s="402"/>
      <c r="JK14" s="402"/>
      <c r="JL14" s="402"/>
      <c r="JM14" s="402"/>
      <c r="JN14" s="402"/>
      <c r="JO14" s="402"/>
      <c r="JP14" s="402"/>
      <c r="JQ14" s="402"/>
      <c r="JR14" s="402"/>
      <c r="JS14" s="402"/>
      <c r="JT14" s="402"/>
      <c r="JU14" s="402"/>
      <c r="JV14" s="402"/>
      <c r="JW14" s="402"/>
      <c r="JX14" s="402"/>
      <c r="JY14" s="402"/>
      <c r="JZ14" s="402"/>
      <c r="KA14" s="402"/>
      <c r="KB14" s="402"/>
      <c r="KC14" s="402"/>
      <c r="KD14" s="402"/>
      <c r="KE14" s="402"/>
      <c r="KF14" s="402"/>
      <c r="KG14" s="402"/>
      <c r="KH14" s="402"/>
      <c r="KI14" s="402"/>
      <c r="KJ14" s="402"/>
      <c r="KK14" s="402"/>
      <c r="KL14" s="402"/>
      <c r="KM14" s="402"/>
      <c r="KN14" s="402"/>
      <c r="KO14" s="402"/>
      <c r="KP14" s="402"/>
      <c r="KQ14" s="402"/>
      <c r="KR14" s="402"/>
      <c r="KS14" s="402"/>
      <c r="KT14" s="402"/>
      <c r="KU14" s="402"/>
      <c r="KV14" s="402"/>
      <c r="KW14" s="402"/>
      <c r="KX14" s="402"/>
      <c r="KY14" s="402"/>
      <c r="KZ14" s="402"/>
      <c r="LA14" s="402"/>
      <c r="LB14" s="402"/>
      <c r="LC14" s="402"/>
      <c r="LD14" s="402"/>
      <c r="LE14" s="402"/>
      <c r="LF14" s="402"/>
      <c r="LG14" s="402"/>
      <c r="LH14" s="402"/>
      <c r="LI14" s="402"/>
      <c r="LJ14" s="402"/>
      <c r="LK14" s="402"/>
      <c r="LL14" s="402"/>
      <c r="LM14" s="402"/>
      <c r="LN14" s="402"/>
      <c r="LO14" s="402"/>
      <c r="LP14" s="402"/>
      <c r="LQ14" s="402"/>
      <c r="LR14" s="402"/>
      <c r="LS14" s="402"/>
      <c r="LT14" s="402"/>
      <c r="LU14" s="402"/>
      <c r="LV14" s="402"/>
      <c r="LW14" s="402"/>
      <c r="LX14" s="402"/>
      <c r="LY14" s="402"/>
      <c r="LZ14" s="402"/>
      <c r="MA14" s="402"/>
      <c r="MB14" s="402"/>
      <c r="MC14" s="402"/>
      <c r="MD14" s="402"/>
      <c r="ME14" s="402"/>
      <c r="MF14" s="402"/>
      <c r="MG14" s="402"/>
      <c r="MH14" s="402"/>
      <c r="MI14" s="402"/>
      <c r="MJ14" s="402"/>
      <c r="MK14" s="402"/>
      <c r="ML14" s="402"/>
      <c r="MM14" s="402"/>
      <c r="MN14" s="402"/>
      <c r="MO14" s="402"/>
      <c r="MP14" s="402"/>
      <c r="MQ14" s="402"/>
      <c r="MR14" s="402"/>
      <c r="MS14" s="402"/>
      <c r="MT14" s="402"/>
      <c r="MU14" s="402"/>
      <c r="MV14" s="402"/>
      <c r="MW14" s="402"/>
      <c r="MX14" s="402"/>
      <c r="MY14" s="402"/>
      <c r="MZ14" s="402"/>
      <c r="NA14" s="402"/>
      <c r="NB14" s="402"/>
      <c r="NC14" s="402"/>
      <c r="ND14" s="402"/>
      <c r="NE14" s="402"/>
      <c r="NF14" s="402"/>
      <c r="NG14" s="402"/>
      <c r="NH14" s="402"/>
      <c r="NI14" s="402"/>
      <c r="NJ14" s="402"/>
      <c r="NK14" s="402"/>
      <c r="NL14" s="402"/>
      <c r="NM14" s="402"/>
      <c r="NN14" s="402"/>
      <c r="NO14" s="402"/>
      <c r="NP14" s="402"/>
      <c r="NQ14" s="402"/>
      <c r="NR14" s="402"/>
      <c r="NS14" s="402"/>
      <c r="NT14" s="402"/>
      <c r="NU14" s="402"/>
      <c r="NV14" s="402"/>
      <c r="NW14" s="402"/>
      <c r="NX14" s="402"/>
      <c r="NY14" s="402"/>
      <c r="NZ14" s="402"/>
      <c r="OA14" s="402"/>
      <c r="OB14" s="402"/>
      <c r="OC14" s="402"/>
      <c r="OD14" s="402"/>
      <c r="OE14" s="402"/>
      <c r="OF14" s="402"/>
      <c r="OG14" s="402"/>
      <c r="OH14" s="402"/>
      <c r="OI14" s="402"/>
      <c r="OJ14" s="402"/>
      <c r="OK14" s="402"/>
      <c r="OL14" s="402"/>
      <c r="OM14" s="402"/>
      <c r="ON14" s="402"/>
      <c r="OO14" s="402"/>
      <c r="OP14" s="402"/>
      <c r="OQ14" s="402"/>
      <c r="OR14" s="402"/>
      <c r="OS14" s="402"/>
      <c r="OT14" s="402"/>
      <c r="OU14" s="402"/>
      <c r="OV14" s="402"/>
      <c r="OW14" s="402"/>
      <c r="OX14" s="402"/>
      <c r="OY14" s="402">
        <v>1</v>
      </c>
      <c r="OZ14" s="402">
        <v>1</v>
      </c>
      <c r="PA14" s="402">
        <v>1</v>
      </c>
      <c r="PB14" s="402">
        <v>1</v>
      </c>
      <c r="PC14" s="402">
        <v>1</v>
      </c>
      <c r="PD14" s="402">
        <v>1</v>
      </c>
      <c r="PE14" s="402">
        <v>1</v>
      </c>
    </row>
    <row r="15" spans="1:421" x14ac:dyDescent="0.3">
      <c r="A15" s="272" t="s">
        <v>99</v>
      </c>
      <c r="B15" s="402"/>
      <c r="C15" s="402"/>
      <c r="D15" s="402"/>
      <c r="E15" s="402"/>
      <c r="F15" s="402"/>
      <c r="G15" s="402"/>
      <c r="H15" s="402"/>
      <c r="I15" s="402"/>
      <c r="J15" s="402"/>
      <c r="K15" s="402"/>
      <c r="L15" s="402"/>
      <c r="M15" s="402"/>
      <c r="N15" s="402"/>
      <c r="O15" s="402"/>
      <c r="P15" s="402"/>
      <c r="Q15" s="402"/>
      <c r="R15" s="402"/>
      <c r="S15" s="402"/>
      <c r="T15" s="402"/>
      <c r="U15" s="402"/>
      <c r="V15" s="402"/>
      <c r="W15" s="402"/>
      <c r="X15" s="402"/>
      <c r="Y15" s="402"/>
      <c r="Z15" s="402"/>
      <c r="AA15" s="402"/>
      <c r="AB15" s="402"/>
      <c r="AC15" s="402"/>
      <c r="AD15" s="402"/>
      <c r="AE15" s="402"/>
      <c r="AF15" s="402"/>
      <c r="AG15" s="402"/>
      <c r="AH15" s="402"/>
      <c r="AI15" s="402"/>
      <c r="AJ15" s="402"/>
      <c r="AK15" s="402"/>
      <c r="AL15" s="402"/>
      <c r="AM15" s="402"/>
      <c r="AN15" s="402"/>
      <c r="AO15" s="402"/>
      <c r="AP15" s="402"/>
      <c r="AQ15" s="402"/>
      <c r="AR15" s="402"/>
      <c r="AS15" s="402"/>
      <c r="AT15" s="402"/>
      <c r="AU15" s="402"/>
      <c r="AV15" s="402"/>
      <c r="AW15" s="402"/>
      <c r="AX15" s="402"/>
      <c r="AY15" s="402"/>
      <c r="AZ15" s="402"/>
      <c r="BA15" s="402"/>
      <c r="BB15" s="402"/>
      <c r="BC15" s="402"/>
      <c r="BD15" s="402"/>
      <c r="BE15" s="402"/>
      <c r="BF15" s="402"/>
      <c r="BG15" s="402"/>
      <c r="BH15" s="402"/>
      <c r="BI15" s="402"/>
      <c r="BJ15" s="402"/>
      <c r="BK15" s="402"/>
      <c r="BL15" s="402"/>
      <c r="BM15" s="402"/>
      <c r="BN15" s="402"/>
      <c r="BO15" s="402"/>
      <c r="BP15" s="402"/>
      <c r="BQ15" s="402"/>
      <c r="BR15" s="402"/>
      <c r="BS15" s="402"/>
      <c r="BT15" s="402"/>
      <c r="BU15" s="402"/>
      <c r="BV15" s="402"/>
      <c r="BW15" s="402"/>
      <c r="BX15" s="402"/>
      <c r="BY15" s="402"/>
      <c r="BZ15" s="402"/>
      <c r="CA15" s="402"/>
      <c r="CB15" s="402"/>
      <c r="CC15" s="402"/>
      <c r="CD15" s="402"/>
      <c r="CE15" s="402"/>
      <c r="CF15" s="402"/>
      <c r="CG15" s="402"/>
      <c r="CH15" s="402"/>
      <c r="CI15" s="402"/>
      <c r="CJ15" s="402"/>
      <c r="CK15" s="402"/>
      <c r="CL15" s="402"/>
      <c r="CM15" s="402"/>
      <c r="CN15" s="402"/>
      <c r="CO15" s="402"/>
      <c r="CP15" s="402"/>
      <c r="CQ15" s="402"/>
      <c r="CR15" s="402"/>
      <c r="CS15" s="402"/>
      <c r="CT15" s="402"/>
      <c r="CU15" s="402"/>
      <c r="CV15" s="402"/>
      <c r="CW15" s="402"/>
      <c r="CX15" s="402"/>
      <c r="CY15" s="402"/>
      <c r="CZ15" s="402"/>
      <c r="DA15" s="402"/>
      <c r="DB15" s="402"/>
      <c r="DC15" s="402"/>
      <c r="DD15" s="402"/>
      <c r="DE15" s="402"/>
      <c r="DF15" s="402"/>
      <c r="DG15" s="402"/>
      <c r="DH15" s="402"/>
      <c r="DI15" s="402"/>
      <c r="DJ15" s="402"/>
      <c r="DK15" s="402"/>
      <c r="DL15" s="402"/>
      <c r="DM15" s="402"/>
      <c r="DN15" s="402"/>
      <c r="DO15" s="402"/>
      <c r="DP15" s="402"/>
      <c r="DQ15" s="402"/>
      <c r="DR15" s="402"/>
      <c r="DS15" s="402"/>
      <c r="DT15" s="402"/>
      <c r="DU15" s="402"/>
      <c r="DV15" s="402"/>
      <c r="DW15" s="402"/>
      <c r="DX15" s="402"/>
      <c r="DY15" s="402"/>
      <c r="DZ15" s="402"/>
      <c r="EA15" s="402"/>
      <c r="EB15" s="402"/>
      <c r="EC15" s="402"/>
      <c r="ED15" s="402"/>
      <c r="EE15" s="402"/>
      <c r="EF15" s="402"/>
      <c r="EG15" s="402"/>
      <c r="EH15" s="402"/>
      <c r="EI15" s="402"/>
      <c r="EJ15" s="402"/>
      <c r="EK15" s="402"/>
      <c r="EL15" s="402"/>
      <c r="EM15" s="402"/>
      <c r="EN15" s="402"/>
      <c r="EO15" s="402"/>
      <c r="EP15" s="402"/>
      <c r="EQ15" s="402"/>
      <c r="ER15" s="402"/>
      <c r="ES15" s="402"/>
      <c r="ET15" s="402"/>
      <c r="EU15" s="402"/>
      <c r="EV15" s="402"/>
      <c r="EW15" s="402"/>
      <c r="EX15" s="402"/>
      <c r="EY15" s="402"/>
      <c r="EZ15" s="402"/>
      <c r="FA15" s="402"/>
      <c r="FB15" s="402"/>
      <c r="FC15" s="402"/>
      <c r="FD15" s="402"/>
      <c r="FE15" s="402"/>
      <c r="FF15" s="402"/>
      <c r="FG15" s="402"/>
      <c r="FH15" s="402"/>
      <c r="FI15" s="402"/>
      <c r="FJ15" s="402"/>
      <c r="FK15" s="402"/>
      <c r="FL15" s="402"/>
      <c r="FM15" s="402"/>
      <c r="FN15" s="402"/>
      <c r="FO15" s="402"/>
      <c r="FP15" s="402"/>
      <c r="FQ15" s="402"/>
      <c r="FR15" s="402"/>
      <c r="FS15" s="402"/>
      <c r="FT15" s="402"/>
      <c r="FU15" s="402"/>
      <c r="FV15" s="402"/>
      <c r="FW15" s="402"/>
      <c r="FX15" s="402"/>
      <c r="FY15" s="402"/>
      <c r="FZ15" s="402"/>
      <c r="GA15" s="402"/>
      <c r="GB15" s="402"/>
      <c r="GC15" s="402"/>
      <c r="GD15" s="402"/>
      <c r="GE15" s="402"/>
      <c r="GF15" s="402"/>
      <c r="GG15" s="402"/>
      <c r="GH15" s="402"/>
      <c r="GI15" s="402"/>
      <c r="GJ15" s="402"/>
      <c r="GK15" s="402"/>
      <c r="GL15" s="402"/>
      <c r="GM15" s="402"/>
      <c r="GN15" s="402"/>
      <c r="GO15" s="402"/>
      <c r="GP15" s="402"/>
      <c r="GQ15" s="402"/>
      <c r="GR15" s="402"/>
      <c r="GS15" s="402"/>
      <c r="GT15" s="402"/>
      <c r="GU15" s="402"/>
      <c r="GV15" s="402"/>
      <c r="GW15" s="402"/>
      <c r="GX15" s="402"/>
      <c r="GY15" s="402"/>
      <c r="GZ15" s="402"/>
      <c r="HA15" s="402"/>
      <c r="HB15" s="402"/>
      <c r="HC15" s="402"/>
      <c r="HD15" s="402"/>
      <c r="HE15" s="402"/>
      <c r="HF15" s="402"/>
      <c r="HG15" s="402"/>
      <c r="HH15" s="402"/>
      <c r="HI15" s="402"/>
      <c r="HJ15" s="402"/>
      <c r="HK15" s="402"/>
      <c r="HL15" s="402"/>
      <c r="HM15" s="402"/>
      <c r="HN15" s="402"/>
      <c r="HO15" s="402"/>
      <c r="HP15" s="402"/>
      <c r="HQ15" s="402"/>
      <c r="HR15" s="402"/>
      <c r="HS15" s="402"/>
      <c r="HT15" s="402"/>
      <c r="HU15" s="402"/>
      <c r="HV15" s="402"/>
      <c r="HW15" s="402"/>
      <c r="HX15" s="402"/>
      <c r="HY15" s="402"/>
      <c r="HZ15" s="402"/>
      <c r="IA15" s="402"/>
      <c r="IB15" s="402"/>
      <c r="IC15" s="402"/>
      <c r="ID15" s="402"/>
      <c r="IE15" s="402"/>
      <c r="IF15" s="402"/>
      <c r="IG15" s="402"/>
      <c r="IH15" s="402"/>
      <c r="II15" s="402"/>
      <c r="IJ15" s="402"/>
      <c r="IK15" s="402"/>
      <c r="IL15" s="402"/>
      <c r="IM15" s="402"/>
      <c r="IN15" s="402"/>
      <c r="IO15" s="402"/>
      <c r="IP15" s="402"/>
      <c r="IQ15" s="402"/>
      <c r="IR15" s="402"/>
      <c r="IS15" s="402"/>
      <c r="IT15" s="402"/>
      <c r="IU15" s="402"/>
      <c r="IV15" s="402"/>
      <c r="IW15" s="402"/>
      <c r="IX15" s="402"/>
      <c r="IY15" s="402"/>
      <c r="IZ15" s="402"/>
      <c r="JA15" s="402"/>
      <c r="JB15" s="402"/>
      <c r="JC15" s="402"/>
      <c r="JD15" s="402"/>
      <c r="JE15" s="402"/>
      <c r="JF15" s="402"/>
      <c r="JG15" s="402"/>
      <c r="JH15" s="402"/>
      <c r="JI15" s="402"/>
      <c r="JJ15" s="402"/>
      <c r="JK15" s="402"/>
      <c r="JL15" s="402"/>
      <c r="JM15" s="402"/>
      <c r="JN15" s="402"/>
      <c r="JO15" s="402"/>
      <c r="JP15" s="402"/>
      <c r="JQ15" s="402"/>
      <c r="JR15" s="402"/>
      <c r="JS15" s="402"/>
      <c r="JT15" s="402"/>
      <c r="JU15" s="402"/>
      <c r="JV15" s="402"/>
      <c r="JW15" s="402"/>
      <c r="JX15" s="402"/>
      <c r="JY15" s="402"/>
      <c r="JZ15" s="402"/>
      <c r="KA15" s="402"/>
      <c r="KB15" s="402"/>
      <c r="KC15" s="402"/>
      <c r="KD15" s="402"/>
      <c r="KE15" s="402"/>
      <c r="KF15" s="402"/>
      <c r="KG15" s="402"/>
      <c r="KH15" s="402"/>
      <c r="KI15" s="402"/>
      <c r="KJ15" s="402"/>
      <c r="KK15" s="402"/>
      <c r="KL15" s="402"/>
      <c r="KM15" s="402"/>
      <c r="KN15" s="402"/>
      <c r="KO15" s="402"/>
      <c r="KP15" s="402"/>
      <c r="KQ15" s="402"/>
      <c r="KR15" s="402"/>
      <c r="KS15" s="402"/>
      <c r="KT15" s="402"/>
      <c r="KU15" s="402"/>
      <c r="KV15" s="402"/>
      <c r="KW15" s="402"/>
      <c r="KX15" s="402"/>
      <c r="KY15" s="402"/>
      <c r="KZ15" s="402"/>
      <c r="LA15" s="402"/>
      <c r="LB15" s="402"/>
      <c r="LC15" s="402"/>
      <c r="LD15" s="402"/>
      <c r="LE15" s="402"/>
      <c r="LF15" s="402"/>
      <c r="LG15" s="402"/>
      <c r="LH15" s="402"/>
      <c r="LI15" s="402"/>
      <c r="LJ15" s="402"/>
      <c r="LK15" s="402"/>
      <c r="LL15" s="402"/>
      <c r="LM15" s="402"/>
      <c r="LN15" s="402"/>
      <c r="LO15" s="402"/>
      <c r="LP15" s="402"/>
      <c r="LQ15" s="402"/>
      <c r="LR15" s="402"/>
      <c r="LS15" s="402"/>
      <c r="LT15" s="402"/>
      <c r="LU15" s="402"/>
      <c r="LV15" s="402"/>
      <c r="LW15" s="402"/>
      <c r="LX15" s="402"/>
      <c r="LY15" s="402"/>
      <c r="LZ15" s="402"/>
      <c r="MA15" s="402"/>
      <c r="MB15" s="402"/>
      <c r="MC15" s="402"/>
      <c r="MD15" s="402"/>
      <c r="ME15" s="402"/>
      <c r="MF15" s="402"/>
      <c r="MG15" s="402"/>
      <c r="MH15" s="402"/>
      <c r="MI15" s="402"/>
      <c r="MJ15" s="402"/>
      <c r="MK15" s="402"/>
      <c r="ML15" s="402"/>
      <c r="MM15" s="402"/>
      <c r="MN15" s="402"/>
      <c r="MO15" s="402"/>
      <c r="MP15" s="402"/>
      <c r="MQ15" s="402"/>
      <c r="MR15" s="402"/>
      <c r="MS15" s="402"/>
      <c r="MT15" s="402"/>
      <c r="MU15" s="402"/>
      <c r="MV15" s="402"/>
      <c r="MW15" s="402"/>
      <c r="MX15" s="402"/>
      <c r="MY15" s="402"/>
      <c r="MZ15" s="402"/>
      <c r="NA15" s="402"/>
      <c r="NB15" s="402"/>
      <c r="NC15" s="402"/>
      <c r="ND15" s="402"/>
      <c r="NE15" s="402"/>
      <c r="NF15" s="402"/>
      <c r="NG15" s="402"/>
      <c r="NH15" s="402"/>
      <c r="NI15" s="402"/>
      <c r="NJ15" s="402"/>
      <c r="NK15" s="402"/>
      <c r="NL15" s="402"/>
      <c r="NM15" s="402"/>
      <c r="NN15" s="402"/>
      <c r="NO15" s="402"/>
      <c r="NP15" s="402"/>
      <c r="NQ15" s="402"/>
      <c r="NR15" s="402"/>
      <c r="NS15" s="402"/>
      <c r="NT15" s="402"/>
      <c r="NU15" s="402"/>
      <c r="NV15" s="402"/>
      <c r="NW15" s="402"/>
      <c r="NX15" s="402"/>
      <c r="NY15" s="402"/>
      <c r="NZ15" s="402"/>
      <c r="OA15" s="402"/>
      <c r="OB15" s="402"/>
      <c r="OC15" s="402"/>
      <c r="OD15" s="402"/>
      <c r="OE15" s="402"/>
      <c r="OF15" s="402"/>
      <c r="OG15" s="402"/>
      <c r="OH15" s="402"/>
      <c r="OI15" s="402"/>
      <c r="OJ15" s="402"/>
      <c r="OK15" s="402"/>
      <c r="OL15" s="402"/>
      <c r="OM15" s="402"/>
      <c r="ON15" s="402"/>
      <c r="OO15" s="402"/>
      <c r="OP15" s="402"/>
      <c r="OQ15" s="402"/>
      <c r="OR15" s="402"/>
      <c r="OS15" s="402"/>
      <c r="OT15" s="402"/>
      <c r="OU15" s="402"/>
      <c r="OV15" s="402"/>
      <c r="OW15" s="402"/>
      <c r="OX15" s="402"/>
      <c r="OY15" s="402"/>
      <c r="OZ15" s="402"/>
      <c r="PA15" s="402"/>
      <c r="PB15" s="402"/>
      <c r="PC15" s="402"/>
      <c r="PD15" s="402"/>
      <c r="PE15" s="402"/>
    </row>
    <row r="16" spans="1:421" x14ac:dyDescent="0.3">
      <c r="A16" s="272" t="s">
        <v>2880</v>
      </c>
      <c r="B16" s="402"/>
      <c r="C16" s="402"/>
      <c r="D16" s="402"/>
      <c r="E16" s="402"/>
      <c r="F16" s="402"/>
      <c r="G16" s="402"/>
      <c r="H16" s="402"/>
      <c r="I16" s="402"/>
      <c r="J16" s="402"/>
      <c r="K16" s="402"/>
      <c r="L16" s="402"/>
      <c r="M16" s="402"/>
      <c r="N16" s="402"/>
      <c r="O16" s="402"/>
      <c r="P16" s="402"/>
      <c r="Q16" s="402"/>
      <c r="R16" s="402"/>
      <c r="S16" s="402"/>
      <c r="T16" s="402"/>
      <c r="U16" s="402"/>
      <c r="V16" s="402"/>
      <c r="W16" s="402"/>
      <c r="X16" s="402"/>
      <c r="Y16" s="402"/>
      <c r="Z16" s="402"/>
      <c r="AA16" s="402"/>
      <c r="AB16" s="402"/>
      <c r="AC16" s="402"/>
      <c r="AD16" s="402"/>
      <c r="AE16" s="402"/>
      <c r="AF16" s="402"/>
      <c r="AG16" s="402"/>
      <c r="AH16" s="402"/>
      <c r="AI16" s="402"/>
      <c r="AJ16" s="402"/>
      <c r="AK16" s="402"/>
      <c r="AL16" s="402"/>
      <c r="AM16" s="402"/>
      <c r="AN16" s="402"/>
      <c r="AO16" s="402"/>
      <c r="AP16" s="402"/>
      <c r="AQ16" s="402"/>
      <c r="AR16" s="402"/>
      <c r="AS16" s="402"/>
      <c r="AT16" s="402"/>
      <c r="AU16" s="402"/>
      <c r="AV16" s="402"/>
      <c r="AW16" s="402"/>
      <c r="AX16" s="402"/>
      <c r="AY16" s="402"/>
      <c r="AZ16" s="402"/>
      <c r="BA16" s="402"/>
      <c r="BB16" s="402"/>
      <c r="BC16" s="402"/>
      <c r="BD16" s="402"/>
      <c r="BE16" s="402"/>
      <c r="BF16" s="402"/>
      <c r="BG16" s="402"/>
      <c r="BH16" s="402"/>
      <c r="BI16" s="402"/>
      <c r="BJ16" s="402"/>
      <c r="BK16" s="402"/>
      <c r="BL16" s="402"/>
      <c r="BM16" s="402"/>
      <c r="BN16" s="402"/>
      <c r="BO16" s="402"/>
      <c r="BP16" s="402"/>
      <c r="BQ16" s="402"/>
      <c r="BR16" s="402"/>
      <c r="BS16" s="402"/>
      <c r="BT16" s="402"/>
      <c r="BU16" s="402"/>
      <c r="BV16" s="402"/>
      <c r="BW16" s="402"/>
      <c r="BX16" s="402"/>
      <c r="BY16" s="402"/>
      <c r="BZ16" s="402"/>
      <c r="CA16" s="402"/>
      <c r="CB16" s="402"/>
      <c r="CC16" s="402"/>
      <c r="CD16" s="402"/>
      <c r="CE16" s="402"/>
      <c r="CF16" s="402"/>
      <c r="CG16" s="402"/>
      <c r="CH16" s="402"/>
      <c r="CI16" s="402"/>
      <c r="CJ16" s="402"/>
      <c r="CK16" s="402"/>
      <c r="CL16" s="402"/>
      <c r="CM16" s="402"/>
      <c r="CN16" s="402"/>
      <c r="CO16" s="402"/>
      <c r="CP16" s="402"/>
      <c r="CQ16" s="402"/>
      <c r="CR16" s="402"/>
      <c r="CS16" s="402"/>
      <c r="CT16" s="402"/>
      <c r="CU16" s="402"/>
      <c r="CV16" s="402"/>
      <c r="CW16" s="402"/>
      <c r="CX16" s="402"/>
      <c r="CY16" s="402"/>
      <c r="CZ16" s="402"/>
      <c r="DA16" s="402"/>
      <c r="DB16" s="402"/>
      <c r="DC16" s="402"/>
      <c r="DD16" s="402"/>
      <c r="DE16" s="402"/>
      <c r="DF16" s="402"/>
      <c r="DG16" s="402"/>
      <c r="DH16" s="402"/>
      <c r="DI16" s="402"/>
      <c r="DJ16" s="402"/>
      <c r="DK16" s="402"/>
      <c r="DL16" s="402"/>
      <c r="DM16" s="402"/>
      <c r="DN16" s="402"/>
      <c r="DO16" s="402"/>
      <c r="DP16" s="402"/>
      <c r="DQ16" s="402"/>
      <c r="DR16" s="402"/>
      <c r="DS16" s="402"/>
      <c r="DT16" s="402"/>
      <c r="DU16" s="402"/>
      <c r="DV16" s="402"/>
      <c r="DW16" s="402"/>
      <c r="DX16" s="402"/>
      <c r="DY16" s="402"/>
      <c r="DZ16" s="402"/>
      <c r="EA16" s="402"/>
      <c r="EB16" s="402"/>
      <c r="EC16" s="402"/>
      <c r="ED16" s="402"/>
      <c r="EE16" s="402"/>
      <c r="EF16" s="402"/>
      <c r="EG16" s="402"/>
      <c r="EH16" s="402"/>
      <c r="EI16" s="402"/>
      <c r="EJ16" s="402"/>
      <c r="EK16" s="402"/>
      <c r="EL16" s="402"/>
      <c r="EM16" s="402"/>
      <c r="EN16" s="402"/>
      <c r="EO16" s="402"/>
      <c r="EP16" s="402"/>
      <c r="EQ16" s="402"/>
      <c r="ER16" s="402"/>
      <c r="ES16" s="402"/>
      <c r="ET16" s="402"/>
      <c r="EU16" s="402"/>
      <c r="EV16" s="402"/>
      <c r="EW16" s="402"/>
      <c r="EX16" s="402"/>
      <c r="EY16" s="402"/>
      <c r="EZ16" s="402"/>
      <c r="FA16" s="402"/>
      <c r="FB16" s="402"/>
      <c r="FC16" s="402"/>
      <c r="FD16" s="402"/>
      <c r="FE16" s="402"/>
      <c r="FF16" s="402"/>
      <c r="FG16" s="402"/>
      <c r="FH16" s="402"/>
      <c r="FI16" s="402"/>
      <c r="FJ16" s="402"/>
      <c r="FK16" s="402"/>
      <c r="FL16" s="402"/>
      <c r="FM16" s="402"/>
      <c r="FN16" s="402"/>
      <c r="FO16" s="402"/>
      <c r="FP16" s="402"/>
      <c r="FQ16" s="402"/>
      <c r="FR16" s="402"/>
      <c r="FS16" s="402"/>
      <c r="FT16" s="402"/>
      <c r="FU16" s="402"/>
      <c r="FV16" s="402"/>
      <c r="FW16" s="402"/>
      <c r="FX16" s="402"/>
      <c r="FY16" s="402"/>
      <c r="FZ16" s="402"/>
      <c r="GA16" s="402"/>
      <c r="GB16" s="402"/>
      <c r="GC16" s="402"/>
      <c r="GD16" s="402"/>
      <c r="GE16" s="402"/>
      <c r="GF16" s="402"/>
      <c r="GG16" s="402"/>
      <c r="GH16" s="402"/>
      <c r="GI16" s="402"/>
      <c r="GJ16" s="402"/>
      <c r="GK16" s="402"/>
      <c r="GL16" s="402"/>
      <c r="GM16" s="402"/>
      <c r="GN16" s="402"/>
      <c r="GO16" s="402"/>
      <c r="GP16" s="402"/>
      <c r="GQ16" s="402"/>
      <c r="GR16" s="402"/>
      <c r="GS16" s="402"/>
      <c r="GT16" s="402"/>
      <c r="GU16" s="402"/>
      <c r="GV16" s="402"/>
      <c r="GW16" s="402"/>
      <c r="GX16" s="402"/>
      <c r="GY16" s="402"/>
      <c r="GZ16" s="402"/>
      <c r="HA16" s="402"/>
      <c r="HB16" s="402"/>
      <c r="HC16" s="402"/>
      <c r="HD16" s="402"/>
      <c r="HE16" s="402"/>
      <c r="HF16" s="402"/>
      <c r="HG16" s="402"/>
      <c r="HH16" s="402"/>
      <c r="HI16" s="402"/>
      <c r="HJ16" s="402"/>
      <c r="HK16" s="402"/>
      <c r="HL16" s="402"/>
      <c r="HM16" s="402"/>
      <c r="HN16" s="402"/>
      <c r="HO16" s="402"/>
      <c r="HP16" s="402"/>
      <c r="HQ16" s="402"/>
      <c r="HR16" s="402"/>
      <c r="HS16" s="402"/>
      <c r="HT16" s="402"/>
      <c r="HU16" s="402"/>
      <c r="HV16" s="402"/>
      <c r="HW16" s="402"/>
      <c r="HX16" s="402"/>
      <c r="HY16" s="402"/>
      <c r="HZ16" s="402"/>
      <c r="IA16" s="402"/>
      <c r="IB16" s="402"/>
      <c r="IC16" s="402"/>
      <c r="ID16" s="402"/>
      <c r="IE16" s="402"/>
      <c r="IF16" s="402"/>
      <c r="IG16" s="402"/>
      <c r="IH16" s="402"/>
      <c r="II16" s="402"/>
      <c r="IJ16" s="402"/>
      <c r="IK16" s="402"/>
      <c r="IL16" s="402"/>
      <c r="IM16" s="402"/>
      <c r="IN16" s="402"/>
      <c r="IO16" s="402"/>
      <c r="IP16" s="402"/>
      <c r="IQ16" s="402"/>
      <c r="IR16" s="402"/>
      <c r="IS16" s="402"/>
      <c r="IT16" s="402"/>
      <c r="IU16" s="402"/>
      <c r="IV16" s="402"/>
      <c r="IW16" s="402"/>
      <c r="IX16" s="402"/>
      <c r="IY16" s="402"/>
      <c r="IZ16" s="402"/>
      <c r="JA16" s="402"/>
      <c r="JB16" s="402"/>
      <c r="JC16" s="402"/>
      <c r="JD16" s="402"/>
      <c r="JE16" s="402"/>
      <c r="JF16" s="402"/>
      <c r="JG16" s="402"/>
      <c r="JH16" s="402"/>
      <c r="JI16" s="402"/>
      <c r="JJ16" s="402"/>
      <c r="JK16" s="402"/>
      <c r="JL16" s="402"/>
      <c r="JM16" s="402"/>
      <c r="JN16" s="402"/>
      <c r="JO16" s="402"/>
      <c r="JP16" s="402"/>
      <c r="JQ16" s="402"/>
      <c r="JR16" s="402"/>
      <c r="JS16" s="402"/>
      <c r="JT16" s="402"/>
      <c r="JU16" s="402"/>
      <c r="JV16" s="402"/>
      <c r="JW16" s="402"/>
      <c r="JX16" s="402"/>
      <c r="JY16" s="402"/>
      <c r="JZ16" s="402"/>
      <c r="KA16" s="402"/>
      <c r="KB16" s="402"/>
      <c r="KC16" s="402"/>
      <c r="KD16" s="402"/>
      <c r="KE16" s="402"/>
      <c r="KF16" s="402"/>
      <c r="KG16" s="402"/>
      <c r="KH16" s="402"/>
      <c r="KI16" s="402"/>
      <c r="KJ16" s="402"/>
      <c r="KK16" s="402"/>
      <c r="KL16" s="402"/>
      <c r="KM16" s="402"/>
      <c r="KN16" s="402"/>
      <c r="KO16" s="402"/>
      <c r="KP16" s="402"/>
      <c r="KQ16" s="402"/>
      <c r="KR16" s="402"/>
      <c r="KS16" s="402"/>
      <c r="KT16" s="402"/>
      <c r="KU16" s="402"/>
      <c r="KV16" s="402"/>
      <c r="KW16" s="402"/>
      <c r="KX16" s="402"/>
      <c r="KY16" s="402"/>
      <c r="KZ16" s="402"/>
      <c r="LA16" s="402"/>
      <c r="LB16" s="402"/>
      <c r="LC16" s="402"/>
      <c r="LD16" s="402"/>
      <c r="LE16" s="402"/>
      <c r="LF16" s="402"/>
      <c r="LG16" s="402"/>
      <c r="LH16" s="402"/>
      <c r="LI16" s="402"/>
      <c r="LJ16" s="402"/>
      <c r="LK16" s="402"/>
      <c r="LL16" s="402"/>
      <c r="LM16" s="402"/>
      <c r="LN16" s="402"/>
      <c r="LO16" s="402"/>
      <c r="LP16" s="402"/>
      <c r="LQ16" s="402"/>
      <c r="LR16" s="402"/>
      <c r="LS16" s="402"/>
      <c r="LT16" s="402"/>
      <c r="LU16" s="402"/>
      <c r="LV16" s="402"/>
      <c r="LW16" s="402"/>
      <c r="LX16" s="402"/>
      <c r="LY16" s="402"/>
      <c r="LZ16" s="402"/>
      <c r="MA16" s="402"/>
      <c r="MB16" s="402"/>
      <c r="MC16" s="402"/>
      <c r="MD16" s="402"/>
      <c r="ME16" s="402"/>
      <c r="MF16" s="402"/>
      <c r="MG16" s="402"/>
      <c r="MH16" s="402"/>
      <c r="MI16" s="402"/>
      <c r="MJ16" s="402"/>
      <c r="MK16" s="402"/>
      <c r="ML16" s="402"/>
      <c r="MM16" s="402"/>
      <c r="MN16" s="402"/>
      <c r="MO16" s="402"/>
      <c r="MP16" s="402"/>
      <c r="MQ16" s="402"/>
      <c r="MR16" s="402"/>
      <c r="MS16" s="402"/>
      <c r="MT16" s="402"/>
      <c r="MU16" s="402"/>
      <c r="MV16" s="402"/>
      <c r="MW16" s="402"/>
      <c r="MX16" s="402"/>
      <c r="MY16" s="402"/>
      <c r="MZ16" s="402"/>
      <c r="NA16" s="402"/>
      <c r="NB16" s="402"/>
      <c r="NC16" s="402"/>
      <c r="ND16" s="402"/>
      <c r="NE16" s="402"/>
      <c r="NF16" s="402"/>
      <c r="NG16" s="402"/>
      <c r="NH16" s="402"/>
      <c r="NI16" s="402"/>
      <c r="NJ16" s="402"/>
      <c r="NK16" s="402"/>
      <c r="NL16" s="402"/>
      <c r="NM16" s="402"/>
      <c r="NN16" s="402"/>
      <c r="NO16" s="402"/>
      <c r="NP16" s="402"/>
      <c r="NQ16" s="402"/>
      <c r="NR16" s="402"/>
      <c r="NS16" s="402"/>
      <c r="NT16" s="402"/>
      <c r="NU16" s="402"/>
      <c r="NV16" s="402"/>
      <c r="NW16" s="402"/>
      <c r="NX16" s="402"/>
      <c r="NY16" s="402"/>
      <c r="NZ16" s="402"/>
      <c r="OA16" s="402"/>
      <c r="OB16" s="402"/>
      <c r="OC16" s="402"/>
      <c r="OD16" s="402"/>
      <c r="OE16" s="402"/>
      <c r="OF16" s="402"/>
      <c r="OG16" s="402"/>
      <c r="OH16" s="402"/>
      <c r="OI16" s="402"/>
      <c r="OJ16" s="402"/>
      <c r="OK16" s="402">
        <v>12</v>
      </c>
      <c r="OL16" s="402">
        <v>12</v>
      </c>
      <c r="OM16" s="402">
        <v>12</v>
      </c>
      <c r="ON16" s="402">
        <v>12</v>
      </c>
      <c r="OO16" s="402"/>
      <c r="OP16" s="402">
        <v>12</v>
      </c>
      <c r="OQ16" s="402">
        <v>12</v>
      </c>
      <c r="OR16" s="402"/>
      <c r="OS16" s="402"/>
      <c r="OT16" s="402"/>
      <c r="OU16" s="402"/>
      <c r="OV16" s="402"/>
      <c r="OW16" s="402"/>
      <c r="OX16" s="402"/>
      <c r="OY16" s="402">
        <v>12</v>
      </c>
      <c r="OZ16" s="402">
        <v>12</v>
      </c>
      <c r="PA16" s="402">
        <v>12</v>
      </c>
      <c r="PB16" s="402">
        <v>12</v>
      </c>
      <c r="PC16" s="402"/>
      <c r="PD16" s="402">
        <v>12</v>
      </c>
      <c r="PE16" s="402">
        <v>12</v>
      </c>
    </row>
    <row r="17" spans="1:421" x14ac:dyDescent="0.3">
      <c r="A17" s="272" t="s">
        <v>58</v>
      </c>
      <c r="B17" s="402">
        <v>9</v>
      </c>
      <c r="C17" s="402">
        <v>9</v>
      </c>
      <c r="D17" s="402">
        <v>9</v>
      </c>
      <c r="E17" s="402">
        <v>9</v>
      </c>
      <c r="F17" s="402">
        <v>9</v>
      </c>
      <c r="G17" s="402">
        <v>9</v>
      </c>
      <c r="H17" s="402">
        <v>9</v>
      </c>
      <c r="I17" s="402">
        <v>9</v>
      </c>
      <c r="J17" s="402">
        <v>9</v>
      </c>
      <c r="K17" s="402">
        <v>9</v>
      </c>
      <c r="L17" s="402">
        <v>9</v>
      </c>
      <c r="M17" s="402">
        <v>9</v>
      </c>
      <c r="N17" s="402">
        <v>9</v>
      </c>
      <c r="O17" s="402">
        <v>9</v>
      </c>
      <c r="P17" s="402">
        <v>3</v>
      </c>
      <c r="Q17" s="402">
        <v>3</v>
      </c>
      <c r="R17" s="402">
        <v>3</v>
      </c>
      <c r="S17" s="402">
        <v>3</v>
      </c>
      <c r="T17" s="402">
        <v>3</v>
      </c>
      <c r="U17" s="402">
        <v>3</v>
      </c>
      <c r="V17" s="402">
        <v>3</v>
      </c>
      <c r="W17" s="402">
        <v>12</v>
      </c>
      <c r="X17" s="402">
        <v>12</v>
      </c>
      <c r="Y17" s="402">
        <v>12</v>
      </c>
      <c r="Z17" s="402">
        <v>12</v>
      </c>
      <c r="AA17" s="402">
        <v>12</v>
      </c>
      <c r="AB17" s="402">
        <v>12</v>
      </c>
      <c r="AC17" s="402">
        <v>12</v>
      </c>
      <c r="AD17" s="402">
        <v>9</v>
      </c>
      <c r="AE17" s="402">
        <v>9</v>
      </c>
      <c r="AF17" s="402">
        <v>9</v>
      </c>
      <c r="AG17" s="402">
        <v>9</v>
      </c>
      <c r="AH17" s="402">
        <v>9</v>
      </c>
      <c r="AI17" s="402">
        <v>9</v>
      </c>
      <c r="AJ17" s="402">
        <v>9</v>
      </c>
      <c r="AK17" s="402">
        <v>6</v>
      </c>
      <c r="AL17" s="402">
        <v>6</v>
      </c>
      <c r="AM17" s="402">
        <v>6</v>
      </c>
      <c r="AN17" s="402">
        <v>6</v>
      </c>
      <c r="AO17" s="402">
        <v>6</v>
      </c>
      <c r="AP17" s="402">
        <v>6</v>
      </c>
      <c r="AQ17" s="402">
        <v>6</v>
      </c>
      <c r="AR17" s="402">
        <v>6</v>
      </c>
      <c r="AS17" s="402">
        <v>6</v>
      </c>
      <c r="AT17" s="402">
        <v>6</v>
      </c>
      <c r="AU17" s="402">
        <v>6</v>
      </c>
      <c r="AV17" s="402">
        <v>6</v>
      </c>
      <c r="AW17" s="402">
        <v>6</v>
      </c>
      <c r="AX17" s="402">
        <v>6</v>
      </c>
      <c r="AY17" s="402">
        <v>4</v>
      </c>
      <c r="AZ17" s="402">
        <v>4</v>
      </c>
      <c r="BA17" s="402">
        <v>4</v>
      </c>
      <c r="BB17" s="402">
        <v>4</v>
      </c>
      <c r="BC17" s="402">
        <v>4</v>
      </c>
      <c r="BD17" s="402">
        <v>4</v>
      </c>
      <c r="BE17" s="402">
        <v>4</v>
      </c>
      <c r="BF17" s="402">
        <v>4</v>
      </c>
      <c r="BG17" s="402">
        <v>4</v>
      </c>
      <c r="BH17" s="402">
        <v>4</v>
      </c>
      <c r="BI17" s="402">
        <v>4</v>
      </c>
      <c r="BJ17" s="402">
        <v>4</v>
      </c>
      <c r="BK17" s="402">
        <v>4</v>
      </c>
      <c r="BL17" s="402">
        <v>4</v>
      </c>
      <c r="BM17" s="402">
        <v>5</v>
      </c>
      <c r="BN17" s="402">
        <v>5</v>
      </c>
      <c r="BO17" s="402">
        <v>5</v>
      </c>
      <c r="BP17" s="402">
        <v>5</v>
      </c>
      <c r="BQ17" s="402">
        <v>5</v>
      </c>
      <c r="BR17" s="402">
        <v>5</v>
      </c>
      <c r="BS17" s="402">
        <v>5</v>
      </c>
      <c r="BT17" s="402">
        <v>4</v>
      </c>
      <c r="BU17" s="402">
        <v>4</v>
      </c>
      <c r="BV17" s="402">
        <v>4</v>
      </c>
      <c r="BW17" s="402">
        <v>4</v>
      </c>
      <c r="BX17" s="402">
        <v>4</v>
      </c>
      <c r="BY17" s="402">
        <v>4</v>
      </c>
      <c r="BZ17" s="402">
        <v>4</v>
      </c>
      <c r="CA17" s="402">
        <v>3</v>
      </c>
      <c r="CB17" s="402">
        <v>3</v>
      </c>
      <c r="CC17" s="402">
        <v>3</v>
      </c>
      <c r="CD17" s="402">
        <v>3</v>
      </c>
      <c r="CE17" s="402">
        <v>3</v>
      </c>
      <c r="CF17" s="402">
        <v>3</v>
      </c>
      <c r="CG17" s="402">
        <v>3</v>
      </c>
      <c r="CH17" s="402">
        <v>7</v>
      </c>
      <c r="CI17" s="402">
        <v>7</v>
      </c>
      <c r="CJ17" s="402">
        <v>7</v>
      </c>
      <c r="CK17" s="402">
        <v>7</v>
      </c>
      <c r="CL17" s="402">
        <v>7</v>
      </c>
      <c r="CM17" s="402">
        <v>7</v>
      </c>
      <c r="CN17" s="402">
        <v>7</v>
      </c>
      <c r="CO17" s="402">
        <v>5</v>
      </c>
      <c r="CP17" s="402">
        <v>5</v>
      </c>
      <c r="CQ17" s="402">
        <v>5</v>
      </c>
      <c r="CR17" s="402">
        <v>5</v>
      </c>
      <c r="CS17" s="402">
        <v>5</v>
      </c>
      <c r="CT17" s="402">
        <v>5</v>
      </c>
      <c r="CU17" s="402">
        <v>5</v>
      </c>
      <c r="CV17" s="402">
        <v>7</v>
      </c>
      <c r="CW17" s="402">
        <v>7</v>
      </c>
      <c r="CX17" s="402">
        <v>7</v>
      </c>
      <c r="CY17" s="402">
        <v>7</v>
      </c>
      <c r="CZ17" s="402">
        <v>6</v>
      </c>
      <c r="DA17" s="402">
        <v>7</v>
      </c>
      <c r="DB17" s="402">
        <v>7</v>
      </c>
      <c r="DC17" s="402">
        <v>4</v>
      </c>
      <c r="DD17" s="402">
        <v>4</v>
      </c>
      <c r="DE17" s="402">
        <v>4</v>
      </c>
      <c r="DF17" s="402">
        <v>4</v>
      </c>
      <c r="DG17" s="402">
        <v>4</v>
      </c>
      <c r="DH17" s="402">
        <v>4</v>
      </c>
      <c r="DI17" s="402">
        <v>4</v>
      </c>
      <c r="DJ17" s="402">
        <v>7</v>
      </c>
      <c r="DK17" s="402">
        <v>7</v>
      </c>
      <c r="DL17" s="402">
        <v>7</v>
      </c>
      <c r="DM17" s="402">
        <v>7</v>
      </c>
      <c r="DN17" s="402">
        <v>7</v>
      </c>
      <c r="DO17" s="402">
        <v>7</v>
      </c>
      <c r="DP17" s="402">
        <v>7</v>
      </c>
      <c r="DQ17" s="402">
        <v>4</v>
      </c>
      <c r="DR17" s="402">
        <v>4</v>
      </c>
      <c r="DS17" s="402">
        <v>4</v>
      </c>
      <c r="DT17" s="402">
        <v>4</v>
      </c>
      <c r="DU17" s="402">
        <v>4</v>
      </c>
      <c r="DV17" s="402">
        <v>4</v>
      </c>
      <c r="DW17" s="402">
        <v>4</v>
      </c>
      <c r="DX17" s="402">
        <v>3</v>
      </c>
      <c r="DY17" s="402">
        <v>3</v>
      </c>
      <c r="DZ17" s="402">
        <v>3</v>
      </c>
      <c r="EA17" s="402">
        <v>3</v>
      </c>
      <c r="EB17" s="402">
        <v>3</v>
      </c>
      <c r="EC17" s="402">
        <v>3</v>
      </c>
      <c r="ED17" s="402">
        <v>3</v>
      </c>
      <c r="EE17" s="402">
        <v>12</v>
      </c>
      <c r="EF17" s="402">
        <v>12</v>
      </c>
      <c r="EG17" s="402">
        <v>12</v>
      </c>
      <c r="EH17" s="402">
        <v>12</v>
      </c>
      <c r="EI17" s="402">
        <v>11</v>
      </c>
      <c r="EJ17" s="402">
        <v>12</v>
      </c>
      <c r="EK17" s="402">
        <v>12</v>
      </c>
      <c r="EL17" s="402">
        <v>5</v>
      </c>
      <c r="EM17" s="402">
        <v>5</v>
      </c>
      <c r="EN17" s="402">
        <v>5</v>
      </c>
      <c r="EO17" s="402">
        <v>5</v>
      </c>
      <c r="EP17" s="402">
        <v>5</v>
      </c>
      <c r="EQ17" s="402">
        <v>5</v>
      </c>
      <c r="ER17" s="402">
        <v>5</v>
      </c>
      <c r="ES17" s="402">
        <v>6</v>
      </c>
      <c r="ET17" s="402">
        <v>6</v>
      </c>
      <c r="EU17" s="402">
        <v>6</v>
      </c>
      <c r="EV17" s="402">
        <v>6</v>
      </c>
      <c r="EW17" s="402">
        <v>6</v>
      </c>
      <c r="EX17" s="402">
        <v>6</v>
      </c>
      <c r="EY17" s="402">
        <v>6</v>
      </c>
      <c r="EZ17" s="402">
        <v>4</v>
      </c>
      <c r="FA17" s="402">
        <v>4</v>
      </c>
      <c r="FB17" s="402">
        <v>4</v>
      </c>
      <c r="FC17" s="402">
        <v>4</v>
      </c>
      <c r="FD17" s="402">
        <v>4</v>
      </c>
      <c r="FE17" s="402">
        <v>4</v>
      </c>
      <c r="FF17" s="402">
        <v>4</v>
      </c>
      <c r="FG17" s="402">
        <v>8</v>
      </c>
      <c r="FH17" s="402">
        <v>8</v>
      </c>
      <c r="FI17" s="402">
        <v>8</v>
      </c>
      <c r="FJ17" s="402">
        <v>8</v>
      </c>
      <c r="FK17" s="402">
        <v>8</v>
      </c>
      <c r="FL17" s="402">
        <v>8</v>
      </c>
      <c r="FM17" s="402">
        <v>8</v>
      </c>
      <c r="FN17" s="402">
        <v>8</v>
      </c>
      <c r="FO17" s="402">
        <v>8</v>
      </c>
      <c r="FP17" s="402">
        <v>8</v>
      </c>
      <c r="FQ17" s="402">
        <v>8</v>
      </c>
      <c r="FR17" s="402">
        <v>8</v>
      </c>
      <c r="FS17" s="402">
        <v>8</v>
      </c>
      <c r="FT17" s="402">
        <v>8</v>
      </c>
      <c r="FU17" s="402">
        <v>44</v>
      </c>
      <c r="FV17" s="402">
        <v>44</v>
      </c>
      <c r="FW17" s="402">
        <v>44</v>
      </c>
      <c r="FX17" s="402">
        <v>44</v>
      </c>
      <c r="FY17" s="402">
        <v>34</v>
      </c>
      <c r="FZ17" s="402">
        <v>44</v>
      </c>
      <c r="GA17" s="402">
        <v>44</v>
      </c>
      <c r="GB17" s="402">
        <v>43</v>
      </c>
      <c r="GC17" s="402">
        <v>43</v>
      </c>
      <c r="GD17" s="402">
        <v>43</v>
      </c>
      <c r="GE17" s="402">
        <v>43</v>
      </c>
      <c r="GF17" s="402">
        <v>36</v>
      </c>
      <c r="GG17" s="402">
        <v>43</v>
      </c>
      <c r="GH17" s="402">
        <v>43</v>
      </c>
      <c r="GI17" s="402">
        <v>6</v>
      </c>
      <c r="GJ17" s="402">
        <v>6</v>
      </c>
      <c r="GK17" s="402">
        <v>6</v>
      </c>
      <c r="GL17" s="402">
        <v>6</v>
      </c>
      <c r="GM17" s="402">
        <v>6</v>
      </c>
      <c r="GN17" s="402">
        <v>6</v>
      </c>
      <c r="GO17" s="402">
        <v>6</v>
      </c>
      <c r="GP17" s="402">
        <v>11</v>
      </c>
      <c r="GQ17" s="402">
        <v>11</v>
      </c>
      <c r="GR17" s="402">
        <v>11</v>
      </c>
      <c r="GS17" s="402">
        <v>11</v>
      </c>
      <c r="GT17" s="402">
        <v>10</v>
      </c>
      <c r="GU17" s="402">
        <v>11</v>
      </c>
      <c r="GV17" s="402">
        <v>11</v>
      </c>
      <c r="GW17" s="402">
        <v>2</v>
      </c>
      <c r="GX17" s="402">
        <v>2</v>
      </c>
      <c r="GY17" s="402">
        <v>2</v>
      </c>
      <c r="GZ17" s="402">
        <v>2</v>
      </c>
      <c r="HA17" s="402">
        <v>1</v>
      </c>
      <c r="HB17" s="402">
        <v>2</v>
      </c>
      <c r="HC17" s="402">
        <v>2</v>
      </c>
      <c r="HD17" s="402">
        <v>1</v>
      </c>
      <c r="HE17" s="402">
        <v>1</v>
      </c>
      <c r="HF17" s="402">
        <v>1</v>
      </c>
      <c r="HG17" s="402">
        <v>1</v>
      </c>
      <c r="HH17" s="402">
        <v>1</v>
      </c>
      <c r="HI17" s="402">
        <v>1</v>
      </c>
      <c r="HJ17" s="402">
        <v>1</v>
      </c>
      <c r="HK17" s="402">
        <v>9</v>
      </c>
      <c r="HL17" s="402">
        <v>9</v>
      </c>
      <c r="HM17" s="402">
        <v>9</v>
      </c>
      <c r="HN17" s="402">
        <v>9</v>
      </c>
      <c r="HO17" s="402">
        <v>8</v>
      </c>
      <c r="HP17" s="402">
        <v>9</v>
      </c>
      <c r="HQ17" s="402">
        <v>9</v>
      </c>
      <c r="HR17" s="402">
        <v>7</v>
      </c>
      <c r="HS17" s="402">
        <v>7</v>
      </c>
      <c r="HT17" s="402">
        <v>7</v>
      </c>
      <c r="HU17" s="402">
        <v>7</v>
      </c>
      <c r="HV17" s="402">
        <v>5</v>
      </c>
      <c r="HW17" s="402">
        <v>7</v>
      </c>
      <c r="HX17" s="402">
        <v>7</v>
      </c>
      <c r="HY17" s="402">
        <v>18</v>
      </c>
      <c r="HZ17" s="402">
        <v>18</v>
      </c>
      <c r="IA17" s="402">
        <v>18</v>
      </c>
      <c r="IB17" s="402">
        <v>18</v>
      </c>
      <c r="IC17" s="402">
        <v>16</v>
      </c>
      <c r="ID17" s="402">
        <v>18</v>
      </c>
      <c r="IE17" s="402">
        <v>18</v>
      </c>
      <c r="IF17" s="402">
        <v>5</v>
      </c>
      <c r="IG17" s="402">
        <v>5</v>
      </c>
      <c r="IH17" s="402">
        <v>5</v>
      </c>
      <c r="II17" s="402">
        <v>5</v>
      </c>
      <c r="IJ17" s="402">
        <v>5</v>
      </c>
      <c r="IK17" s="402">
        <v>5</v>
      </c>
      <c r="IL17" s="402">
        <v>5</v>
      </c>
      <c r="IM17" s="402">
        <v>15</v>
      </c>
      <c r="IN17" s="402">
        <v>15</v>
      </c>
      <c r="IO17" s="402">
        <v>15</v>
      </c>
      <c r="IP17" s="402">
        <v>15</v>
      </c>
      <c r="IQ17" s="402">
        <v>15</v>
      </c>
      <c r="IR17" s="402">
        <v>15</v>
      </c>
      <c r="IS17" s="402">
        <v>15</v>
      </c>
      <c r="IT17" s="402">
        <v>8</v>
      </c>
      <c r="IU17" s="402">
        <v>8</v>
      </c>
      <c r="IV17" s="402">
        <v>8</v>
      </c>
      <c r="IW17" s="402">
        <v>8</v>
      </c>
      <c r="IX17" s="402">
        <v>8</v>
      </c>
      <c r="IY17" s="402">
        <v>8</v>
      </c>
      <c r="IZ17" s="402">
        <v>8</v>
      </c>
      <c r="JA17" s="402">
        <v>8</v>
      </c>
      <c r="JB17" s="402">
        <v>8</v>
      </c>
      <c r="JC17" s="402">
        <v>8</v>
      </c>
      <c r="JD17" s="402">
        <v>8</v>
      </c>
      <c r="JE17" s="402">
        <v>8</v>
      </c>
      <c r="JF17" s="402">
        <v>8</v>
      </c>
      <c r="JG17" s="402">
        <v>8</v>
      </c>
      <c r="JH17" s="402">
        <v>4</v>
      </c>
      <c r="JI17" s="402">
        <v>4</v>
      </c>
      <c r="JJ17" s="402">
        <v>4</v>
      </c>
      <c r="JK17" s="402">
        <v>4</v>
      </c>
      <c r="JL17" s="402">
        <v>4</v>
      </c>
      <c r="JM17" s="402">
        <v>4</v>
      </c>
      <c r="JN17" s="402">
        <v>4</v>
      </c>
      <c r="JO17" s="402">
        <v>14</v>
      </c>
      <c r="JP17" s="402">
        <v>14</v>
      </c>
      <c r="JQ17" s="402">
        <v>14</v>
      </c>
      <c r="JR17" s="402">
        <v>14</v>
      </c>
      <c r="JS17" s="402">
        <v>14</v>
      </c>
      <c r="JT17" s="402">
        <v>14</v>
      </c>
      <c r="JU17" s="402">
        <v>14</v>
      </c>
      <c r="JV17" s="402">
        <v>8</v>
      </c>
      <c r="JW17" s="402">
        <v>8</v>
      </c>
      <c r="JX17" s="402">
        <v>8</v>
      </c>
      <c r="JY17" s="402">
        <v>8</v>
      </c>
      <c r="JZ17" s="402">
        <v>7</v>
      </c>
      <c r="KA17" s="402">
        <v>8</v>
      </c>
      <c r="KB17" s="402">
        <v>8</v>
      </c>
      <c r="KC17" s="402">
        <v>7</v>
      </c>
      <c r="KD17" s="402">
        <v>7</v>
      </c>
      <c r="KE17" s="402">
        <v>7</v>
      </c>
      <c r="KF17" s="402">
        <v>7</v>
      </c>
      <c r="KG17" s="402">
        <v>7</v>
      </c>
      <c r="KH17" s="402">
        <v>7</v>
      </c>
      <c r="KI17" s="402">
        <v>7</v>
      </c>
      <c r="KJ17" s="402">
        <v>2</v>
      </c>
      <c r="KK17" s="402">
        <v>2</v>
      </c>
      <c r="KL17" s="402">
        <v>2</v>
      </c>
      <c r="KM17" s="402">
        <v>2</v>
      </c>
      <c r="KN17" s="402">
        <v>2</v>
      </c>
      <c r="KO17" s="402">
        <v>2</v>
      </c>
      <c r="KP17" s="402">
        <v>2</v>
      </c>
      <c r="KQ17" s="402">
        <v>15</v>
      </c>
      <c r="KR17" s="402">
        <v>15</v>
      </c>
      <c r="KS17" s="402">
        <v>15</v>
      </c>
      <c r="KT17" s="402">
        <v>15</v>
      </c>
      <c r="KU17" s="402">
        <v>9</v>
      </c>
      <c r="KV17" s="402">
        <v>15</v>
      </c>
      <c r="KW17" s="402">
        <v>15</v>
      </c>
      <c r="KX17" s="402">
        <v>5</v>
      </c>
      <c r="KY17" s="402">
        <v>5</v>
      </c>
      <c r="KZ17" s="402">
        <v>5</v>
      </c>
      <c r="LA17" s="402">
        <v>5</v>
      </c>
      <c r="LB17" s="402">
        <v>5</v>
      </c>
      <c r="LC17" s="402">
        <v>5</v>
      </c>
      <c r="LD17" s="402">
        <v>5</v>
      </c>
      <c r="LE17" s="402">
        <v>10</v>
      </c>
      <c r="LF17" s="402">
        <v>10</v>
      </c>
      <c r="LG17" s="402">
        <v>10</v>
      </c>
      <c r="LH17" s="402">
        <v>10</v>
      </c>
      <c r="LI17" s="402">
        <v>10</v>
      </c>
      <c r="LJ17" s="402">
        <v>10</v>
      </c>
      <c r="LK17" s="402">
        <v>10</v>
      </c>
      <c r="LL17" s="402">
        <v>7</v>
      </c>
      <c r="LM17" s="402">
        <v>7</v>
      </c>
      <c r="LN17" s="402">
        <v>7</v>
      </c>
      <c r="LO17" s="402">
        <v>7</v>
      </c>
      <c r="LP17" s="402">
        <v>6</v>
      </c>
      <c r="LQ17" s="402">
        <v>7</v>
      </c>
      <c r="LR17" s="402">
        <v>7</v>
      </c>
      <c r="LS17" s="402">
        <v>5</v>
      </c>
      <c r="LT17" s="402">
        <v>5</v>
      </c>
      <c r="LU17" s="402">
        <v>5</v>
      </c>
      <c r="LV17" s="402">
        <v>5</v>
      </c>
      <c r="LW17" s="402">
        <v>5</v>
      </c>
      <c r="LX17" s="402">
        <v>5</v>
      </c>
      <c r="LY17" s="402">
        <v>5</v>
      </c>
      <c r="LZ17" s="402">
        <v>7</v>
      </c>
      <c r="MA17" s="402">
        <v>7</v>
      </c>
      <c r="MB17" s="402">
        <v>7</v>
      </c>
      <c r="MC17" s="402">
        <v>7</v>
      </c>
      <c r="MD17" s="402">
        <v>6</v>
      </c>
      <c r="ME17" s="402">
        <v>7</v>
      </c>
      <c r="MF17" s="402">
        <v>7</v>
      </c>
      <c r="MG17" s="402">
        <v>14</v>
      </c>
      <c r="MH17" s="402">
        <v>14</v>
      </c>
      <c r="MI17" s="402">
        <v>14</v>
      </c>
      <c r="MJ17" s="402">
        <v>14</v>
      </c>
      <c r="MK17" s="402">
        <v>14</v>
      </c>
      <c r="ML17" s="402">
        <v>14</v>
      </c>
      <c r="MM17" s="402">
        <v>14</v>
      </c>
      <c r="MN17" s="402">
        <v>4</v>
      </c>
      <c r="MO17" s="402">
        <v>4</v>
      </c>
      <c r="MP17" s="402">
        <v>4</v>
      </c>
      <c r="MQ17" s="402">
        <v>4</v>
      </c>
      <c r="MR17" s="402">
        <v>4</v>
      </c>
      <c r="MS17" s="402">
        <v>4</v>
      </c>
      <c r="MT17" s="402">
        <v>4</v>
      </c>
      <c r="MU17" s="402">
        <v>38</v>
      </c>
      <c r="MV17" s="402">
        <v>38</v>
      </c>
      <c r="MW17" s="402">
        <v>38</v>
      </c>
      <c r="MX17" s="402">
        <v>38</v>
      </c>
      <c r="MY17" s="402">
        <v>20</v>
      </c>
      <c r="MZ17" s="402">
        <v>38</v>
      </c>
      <c r="NA17" s="402">
        <v>38</v>
      </c>
      <c r="NB17" s="402">
        <v>13</v>
      </c>
      <c r="NC17" s="402">
        <v>13</v>
      </c>
      <c r="ND17" s="402">
        <v>13</v>
      </c>
      <c r="NE17" s="402">
        <v>13</v>
      </c>
      <c r="NF17" s="402">
        <v>8</v>
      </c>
      <c r="NG17" s="402">
        <v>13</v>
      </c>
      <c r="NH17" s="402">
        <v>13</v>
      </c>
      <c r="NI17" s="402">
        <v>3</v>
      </c>
      <c r="NJ17" s="402">
        <v>3</v>
      </c>
      <c r="NK17" s="402">
        <v>3</v>
      </c>
      <c r="NL17" s="402">
        <v>3</v>
      </c>
      <c r="NM17" s="402"/>
      <c r="NN17" s="402">
        <v>3</v>
      </c>
      <c r="NO17" s="402">
        <v>3</v>
      </c>
      <c r="NP17" s="402">
        <v>23</v>
      </c>
      <c r="NQ17" s="402">
        <v>23</v>
      </c>
      <c r="NR17" s="402">
        <v>23</v>
      </c>
      <c r="NS17" s="402">
        <v>23</v>
      </c>
      <c r="NT17" s="402">
        <v>14</v>
      </c>
      <c r="NU17" s="402">
        <v>23</v>
      </c>
      <c r="NV17" s="402">
        <v>23</v>
      </c>
      <c r="NW17" s="402">
        <v>17</v>
      </c>
      <c r="NX17" s="402">
        <v>17</v>
      </c>
      <c r="NY17" s="402">
        <v>17</v>
      </c>
      <c r="NZ17" s="402">
        <v>17</v>
      </c>
      <c r="OA17" s="402"/>
      <c r="OB17" s="402">
        <v>17</v>
      </c>
      <c r="OC17" s="402">
        <v>17</v>
      </c>
      <c r="OD17" s="402">
        <v>9</v>
      </c>
      <c r="OE17" s="402">
        <v>9</v>
      </c>
      <c r="OF17" s="402">
        <v>9</v>
      </c>
      <c r="OG17" s="402">
        <v>9</v>
      </c>
      <c r="OH17" s="402">
        <v>3</v>
      </c>
      <c r="OI17" s="402">
        <v>9</v>
      </c>
      <c r="OJ17" s="402">
        <v>9</v>
      </c>
      <c r="OK17" s="402">
        <v>12</v>
      </c>
      <c r="OL17" s="402">
        <v>12</v>
      </c>
      <c r="OM17" s="402">
        <v>12</v>
      </c>
      <c r="ON17" s="402">
        <v>12</v>
      </c>
      <c r="OO17" s="402"/>
      <c r="OP17" s="402">
        <v>12</v>
      </c>
      <c r="OQ17" s="402">
        <v>12</v>
      </c>
      <c r="OR17" s="402"/>
      <c r="OS17" s="402"/>
      <c r="OT17" s="402"/>
      <c r="OU17" s="402"/>
      <c r="OV17" s="402"/>
      <c r="OW17" s="402"/>
      <c r="OX17" s="402"/>
      <c r="OY17" s="402">
        <v>548</v>
      </c>
      <c r="OZ17" s="402">
        <v>548</v>
      </c>
      <c r="PA17" s="402">
        <v>548</v>
      </c>
      <c r="PB17" s="402">
        <v>548</v>
      </c>
      <c r="PC17" s="402">
        <v>443</v>
      </c>
      <c r="PD17" s="402">
        <v>548</v>
      </c>
      <c r="PE17" s="402">
        <v>548</v>
      </c>
    </row>
    <row r="18" spans="1:421" x14ac:dyDescent="0.3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</row>
    <row r="19" spans="1:421" x14ac:dyDescent="0.3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</row>
    <row r="20" spans="1:421" x14ac:dyDescent="0.3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</row>
    <row r="21" spans="1:421" x14ac:dyDescent="0.3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</row>
    <row r="22" spans="1:421" x14ac:dyDescent="0.3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</row>
    <row r="23" spans="1:421" x14ac:dyDescent="0.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</row>
    <row r="24" spans="1:421" x14ac:dyDescent="0.3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</row>
    <row r="25" spans="1:421" x14ac:dyDescent="0.3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</row>
    <row r="26" spans="1:421" x14ac:dyDescent="0.3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</row>
    <row r="27" spans="1:421" x14ac:dyDescent="0.3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</row>
    <row r="28" spans="1:421" x14ac:dyDescent="0.3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</row>
    <row r="29" spans="1:421" x14ac:dyDescent="0.3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</row>
    <row r="30" spans="1:421" x14ac:dyDescent="0.3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</row>
    <row r="31" spans="1:421" x14ac:dyDescent="0.3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</row>
    <row r="32" spans="1:421" x14ac:dyDescent="0.3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</row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  <row r="62" customFormat="1" x14ac:dyDescent="0.3"/>
    <row r="63" customFormat="1" x14ac:dyDescent="0.3"/>
    <row r="64" customFormat="1" x14ac:dyDescent="0.3"/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  <row r="74" customFormat="1" x14ac:dyDescent="0.3"/>
    <row r="75" customFormat="1" x14ac:dyDescent="0.3"/>
    <row r="76" customFormat="1" x14ac:dyDescent="0.3"/>
    <row r="77" customFormat="1" x14ac:dyDescent="0.3"/>
    <row r="78" customFormat="1" x14ac:dyDescent="0.3"/>
    <row r="79" customFormat="1" x14ac:dyDescent="0.3"/>
    <row r="80" customFormat="1" x14ac:dyDescent="0.3"/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  <row r="216" customFormat="1" x14ac:dyDescent="0.3"/>
    <row r="217" customFormat="1" x14ac:dyDescent="0.3"/>
    <row r="218" customFormat="1" x14ac:dyDescent="0.3"/>
    <row r="219" customFormat="1" x14ac:dyDescent="0.3"/>
    <row r="220" customFormat="1" x14ac:dyDescent="0.3"/>
    <row r="221" customFormat="1" x14ac:dyDescent="0.3"/>
    <row r="222" customFormat="1" x14ac:dyDescent="0.3"/>
    <row r="223" customFormat="1" x14ac:dyDescent="0.3"/>
    <row r="224" customFormat="1" x14ac:dyDescent="0.3"/>
    <row r="225" customFormat="1" x14ac:dyDescent="0.3"/>
    <row r="226" customFormat="1" x14ac:dyDescent="0.3"/>
    <row r="227" customFormat="1" x14ac:dyDescent="0.3"/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69"/>
  <sheetViews>
    <sheetView zoomScaleNormal="100" workbookViewId="0">
      <pane ySplit="2" topLeftCell="A9" activePane="bottomLeft" state="frozen"/>
      <selection pane="bottomLeft" activeCell="I1" sqref="I1:I1048576"/>
    </sheetView>
  </sheetViews>
  <sheetFormatPr defaultColWidth="8.69921875" defaultRowHeight="14.5" x14ac:dyDescent="0.3"/>
  <cols>
    <col min="1" max="1" width="8.69921875" style="166"/>
    <col min="2" max="2" width="28.69921875" style="166" customWidth="1"/>
    <col min="3" max="3" width="5.69921875" style="456" customWidth="1"/>
    <col min="4" max="5" width="8" style="456" customWidth="1"/>
    <col min="6" max="6" width="8.19921875" style="456" customWidth="1"/>
    <col min="7" max="7" width="9.09765625" style="456" bestFit="1" customWidth="1"/>
    <col min="8" max="8" width="5.69921875" style="456" bestFit="1" customWidth="1"/>
    <col min="9" max="9" width="10.19921875" style="456" bestFit="1" customWidth="1"/>
    <col min="10" max="10" width="8.69921875" style="456" customWidth="1"/>
    <col min="11" max="11" width="4.69921875" style="456" bestFit="1" customWidth="1"/>
    <col min="12" max="12" width="5.69921875" style="456" bestFit="1" customWidth="1"/>
    <col min="13" max="14" width="4.69921875" style="456" customWidth="1"/>
    <col min="15" max="15" width="7" style="463" customWidth="1"/>
    <col min="16" max="16" width="8" style="472" customWidth="1"/>
    <col min="17" max="17" width="12.59765625" style="472" customWidth="1"/>
    <col min="18" max="18" width="5.69921875" style="166" bestFit="1" customWidth="1"/>
    <col min="19" max="19" width="7.3984375" style="166" bestFit="1" customWidth="1"/>
    <col min="20" max="20" width="12.59765625" style="166" bestFit="1" customWidth="1"/>
    <col min="21" max="21" width="7.3984375" style="166" bestFit="1" customWidth="1"/>
    <col min="22" max="16384" width="8.69921875" style="166"/>
  </cols>
  <sheetData>
    <row r="1" spans="1:21" s="476" customFormat="1" ht="52" customHeight="1" x14ac:dyDescent="0.3">
      <c r="C1" s="477"/>
      <c r="D1" s="477"/>
      <c r="E1" s="477"/>
      <c r="F1" s="479" t="s">
        <v>2921</v>
      </c>
      <c r="G1" s="477"/>
      <c r="H1" s="477"/>
      <c r="I1" s="485" t="s">
        <v>2920</v>
      </c>
      <c r="J1" s="684" t="s">
        <v>2918</v>
      </c>
      <c r="K1" s="684"/>
      <c r="L1" s="684"/>
      <c r="M1" s="493" t="s">
        <v>2919</v>
      </c>
      <c r="N1" s="493"/>
      <c r="O1" s="494"/>
      <c r="P1" s="494"/>
      <c r="Q1" s="494"/>
      <c r="R1" s="494"/>
      <c r="S1" s="494"/>
    </row>
    <row r="2" spans="1:21" s="457" customFormat="1" ht="34.5" x14ac:dyDescent="0.3">
      <c r="A2" s="459"/>
      <c r="B2" s="459"/>
      <c r="C2" s="460" t="s">
        <v>2882</v>
      </c>
      <c r="D2" s="460" t="s">
        <v>2884</v>
      </c>
      <c r="E2" s="460" t="s">
        <v>2883</v>
      </c>
      <c r="F2" s="484" t="s">
        <v>2885</v>
      </c>
      <c r="G2" s="460" t="s">
        <v>2752</v>
      </c>
      <c r="H2" s="461" t="s">
        <v>2886</v>
      </c>
      <c r="I2" s="483" t="s">
        <v>2887</v>
      </c>
      <c r="J2" s="482" t="s">
        <v>2883</v>
      </c>
      <c r="K2" s="482" t="s">
        <v>2913</v>
      </c>
      <c r="L2" s="482" t="s">
        <v>2912</v>
      </c>
      <c r="M2" s="480" t="s">
        <v>2924</v>
      </c>
      <c r="N2" s="480" t="s">
        <v>2925</v>
      </c>
      <c r="O2" s="481" t="s">
        <v>2888</v>
      </c>
      <c r="P2" s="481" t="s">
        <v>2932</v>
      </c>
      <c r="Q2" s="481" t="s">
        <v>2933</v>
      </c>
      <c r="R2" s="502" t="s">
        <v>2935</v>
      </c>
      <c r="S2" s="480" t="s">
        <v>2917</v>
      </c>
      <c r="T2" s="460" t="s">
        <v>2914</v>
      </c>
      <c r="U2" s="459"/>
    </row>
    <row r="3" spans="1:21" s="500" customFormat="1" ht="11" x14ac:dyDescent="0.25">
      <c r="C3" s="490"/>
      <c r="D3" s="490"/>
      <c r="E3" s="490"/>
      <c r="F3" s="490">
        <v>1</v>
      </c>
      <c r="G3" s="490"/>
      <c r="H3" s="490"/>
      <c r="I3" s="490">
        <v>2</v>
      </c>
      <c r="J3" s="490">
        <v>3</v>
      </c>
      <c r="K3" s="490">
        <v>4</v>
      </c>
      <c r="L3" s="490"/>
      <c r="M3" s="490">
        <v>5</v>
      </c>
      <c r="N3" s="490">
        <v>6</v>
      </c>
      <c r="O3" s="501">
        <v>7</v>
      </c>
      <c r="P3" s="501"/>
      <c r="Q3" s="501"/>
      <c r="S3" s="490"/>
    </row>
    <row r="4" spans="1:21" x14ac:dyDescent="0.3">
      <c r="A4" s="455" t="s">
        <v>90</v>
      </c>
      <c r="B4" s="455"/>
      <c r="C4" s="458">
        <v>16</v>
      </c>
      <c r="D4" s="458">
        <v>16</v>
      </c>
      <c r="E4" s="458">
        <v>16</v>
      </c>
      <c r="F4" s="458"/>
      <c r="G4" s="458">
        <f>統計tmp!BE6</f>
        <v>0</v>
      </c>
      <c r="H4" s="458">
        <f>統計tmp!BD6</f>
        <v>0</v>
      </c>
      <c r="I4" s="458"/>
      <c r="J4" s="458"/>
      <c r="K4" s="458" t="str">
        <f t="shared" ref="K4:K10" si="0">IF(J4="V",C4,"")</f>
        <v/>
      </c>
      <c r="L4" s="458"/>
      <c r="M4" s="458"/>
      <c r="N4" s="458"/>
      <c r="O4" s="469"/>
      <c r="P4" s="473"/>
      <c r="Q4" s="473"/>
      <c r="R4" s="455"/>
      <c r="S4" s="455"/>
    </row>
    <row r="5" spans="1:21" x14ac:dyDescent="0.3">
      <c r="B5" s="166" t="s">
        <v>2806</v>
      </c>
      <c r="C5" s="456">
        <v>11</v>
      </c>
      <c r="D5" s="456">
        <v>11</v>
      </c>
      <c r="E5" s="456">
        <v>11</v>
      </c>
      <c r="F5" s="456">
        <v>11</v>
      </c>
      <c r="G5" s="456">
        <f>統計tmp!BE7</f>
        <v>4</v>
      </c>
      <c r="H5" s="456">
        <f>統計tmp!BD7</f>
        <v>4</v>
      </c>
      <c r="K5" s="456" t="str">
        <f t="shared" si="0"/>
        <v/>
      </c>
      <c r="L5" s="456">
        <f t="shared" ref="L5:L10" si="1">SUM(J5:K5)</f>
        <v>0</v>
      </c>
      <c r="R5" s="166">
        <f>SUM(M5:Q5)</f>
        <v>0</v>
      </c>
      <c r="S5" s="166">
        <f>SUM(O5:Q5)</f>
        <v>0</v>
      </c>
    </row>
    <row r="6" spans="1:21" x14ac:dyDescent="0.3">
      <c r="B6" s="166" t="s">
        <v>2808</v>
      </c>
      <c r="C6" s="456">
        <v>2</v>
      </c>
      <c r="D6" s="456">
        <v>2</v>
      </c>
      <c r="E6" s="456">
        <v>2</v>
      </c>
      <c r="F6" s="456">
        <v>2</v>
      </c>
      <c r="G6" s="456">
        <f>統計tmp!BE8</f>
        <v>0</v>
      </c>
      <c r="H6" s="456">
        <f>統計tmp!BD8</f>
        <v>0</v>
      </c>
      <c r="K6" s="456" t="str">
        <f t="shared" si="0"/>
        <v/>
      </c>
      <c r="L6" s="456">
        <f t="shared" si="1"/>
        <v>0</v>
      </c>
      <c r="R6" s="166">
        <f t="shared" ref="R6:R65" si="2">SUM(M6:Q6)</f>
        <v>0</v>
      </c>
      <c r="S6" s="166">
        <f t="shared" ref="S6:S8" si="3">SUM(O6:Q6)</f>
        <v>0</v>
      </c>
    </row>
    <row r="7" spans="1:21" x14ac:dyDescent="0.3">
      <c r="B7" s="166" t="s">
        <v>2807</v>
      </c>
      <c r="C7" s="456">
        <v>2</v>
      </c>
      <c r="D7" s="456">
        <v>2</v>
      </c>
      <c r="E7" s="456">
        <v>2</v>
      </c>
      <c r="F7" s="456">
        <v>2</v>
      </c>
      <c r="G7" s="456">
        <f>統計tmp!BE9</f>
        <v>0</v>
      </c>
      <c r="H7" s="456">
        <f>統計tmp!BD9</f>
        <v>0</v>
      </c>
      <c r="K7" s="456" t="str">
        <f t="shared" si="0"/>
        <v/>
      </c>
      <c r="L7" s="456">
        <f t="shared" si="1"/>
        <v>0</v>
      </c>
      <c r="R7" s="166">
        <f t="shared" si="2"/>
        <v>0</v>
      </c>
      <c r="S7" s="166">
        <f t="shared" si="3"/>
        <v>0</v>
      </c>
    </row>
    <row r="8" spans="1:21" x14ac:dyDescent="0.3">
      <c r="B8" s="166" t="s">
        <v>2881</v>
      </c>
      <c r="C8" s="456">
        <v>1</v>
      </c>
      <c r="D8" s="456">
        <v>1</v>
      </c>
      <c r="E8" s="456">
        <v>1</v>
      </c>
      <c r="F8" s="456">
        <v>1</v>
      </c>
      <c r="G8" s="456">
        <f>統計tmp!BE10</f>
        <v>0</v>
      </c>
      <c r="H8" s="456">
        <f>統計tmp!BD10</f>
        <v>0</v>
      </c>
      <c r="K8" s="456" t="str">
        <f t="shared" si="0"/>
        <v/>
      </c>
      <c r="L8" s="456">
        <f t="shared" si="1"/>
        <v>0</v>
      </c>
      <c r="R8" s="166">
        <f t="shared" si="2"/>
        <v>0</v>
      </c>
      <c r="S8" s="166">
        <f t="shared" si="3"/>
        <v>0</v>
      </c>
    </row>
    <row r="9" spans="1:21" x14ac:dyDescent="0.3">
      <c r="A9" s="455" t="s">
        <v>91</v>
      </c>
      <c r="B9" s="455"/>
      <c r="C9" s="458">
        <v>78</v>
      </c>
      <c r="D9" s="458">
        <v>78</v>
      </c>
      <c r="E9" s="458">
        <v>62</v>
      </c>
      <c r="F9" s="458"/>
      <c r="G9" s="458">
        <f>統計tmp!BE11</f>
        <v>0</v>
      </c>
      <c r="H9" s="458">
        <f>統計tmp!BD11</f>
        <v>0</v>
      </c>
      <c r="I9" s="458"/>
      <c r="J9" s="458"/>
      <c r="K9" s="458" t="str">
        <f t="shared" si="0"/>
        <v/>
      </c>
      <c r="L9" s="458"/>
      <c r="M9" s="458"/>
      <c r="N9" s="458"/>
      <c r="O9" s="469"/>
      <c r="P9" s="473"/>
      <c r="Q9" s="473"/>
      <c r="R9" s="455"/>
      <c r="S9" s="455"/>
    </row>
    <row r="10" spans="1:21" x14ac:dyDescent="0.3">
      <c r="B10" s="166" t="s">
        <v>2804</v>
      </c>
      <c r="C10" s="456">
        <v>2</v>
      </c>
      <c r="D10" s="456">
        <v>2</v>
      </c>
      <c r="E10" s="456">
        <v>2</v>
      </c>
      <c r="G10" s="456">
        <f>統計tmp!BE12</f>
        <v>0</v>
      </c>
      <c r="H10" s="456">
        <f>統計tmp!BD12</f>
        <v>0</v>
      </c>
      <c r="I10" s="456">
        <v>2</v>
      </c>
      <c r="K10" s="456" t="str">
        <f t="shared" si="0"/>
        <v/>
      </c>
      <c r="L10" s="456">
        <f t="shared" si="1"/>
        <v>0</v>
      </c>
      <c r="P10" s="472" t="s">
        <v>2803</v>
      </c>
      <c r="Q10" s="472" t="s">
        <v>2803</v>
      </c>
      <c r="R10" s="166">
        <f t="shared" si="2"/>
        <v>0</v>
      </c>
      <c r="S10" s="166">
        <f>SUM(O10:Q10)</f>
        <v>0</v>
      </c>
    </row>
    <row r="11" spans="1:21" x14ac:dyDescent="0.3">
      <c r="B11" s="166" t="s">
        <v>2805</v>
      </c>
      <c r="C11" s="456">
        <v>20</v>
      </c>
      <c r="D11" s="456">
        <v>20</v>
      </c>
      <c r="E11" s="468">
        <v>18</v>
      </c>
      <c r="G11" s="456">
        <f>統計tmp!BE13</f>
        <v>0</v>
      </c>
      <c r="H11" s="456">
        <f>統計tmp!BD13</f>
        <v>0</v>
      </c>
      <c r="J11" s="456">
        <v>18</v>
      </c>
      <c r="K11" s="456">
        <v>2</v>
      </c>
      <c r="L11" s="456">
        <f>SUM(J11:K11)</f>
        <v>20</v>
      </c>
      <c r="P11" s="472" t="s">
        <v>2803</v>
      </c>
      <c r="Q11" s="472" t="s">
        <v>2803</v>
      </c>
      <c r="R11" s="166">
        <f t="shared" si="2"/>
        <v>0</v>
      </c>
      <c r="S11" s="166">
        <f t="shared" ref="S11:S17" si="4">SUM(O11:Q11)</f>
        <v>0</v>
      </c>
    </row>
    <row r="12" spans="1:21" x14ac:dyDescent="0.3">
      <c r="B12" s="166" t="s">
        <v>2856</v>
      </c>
      <c r="C12" s="456">
        <v>10</v>
      </c>
      <c r="D12" s="456">
        <v>10</v>
      </c>
      <c r="E12" s="468">
        <v>10</v>
      </c>
      <c r="G12" s="456">
        <f>統計tmp!BE14</f>
        <v>0</v>
      </c>
      <c r="H12" s="456">
        <f>統計tmp!BD14</f>
        <v>0</v>
      </c>
      <c r="I12" s="456">
        <v>10</v>
      </c>
      <c r="K12" s="456" t="str">
        <f>IF(J12="V",C12,"")</f>
        <v/>
      </c>
      <c r="L12" s="456">
        <f t="shared" ref="L12:L65" si="5">SUM(J12:K12)</f>
        <v>0</v>
      </c>
      <c r="P12" s="472" t="s">
        <v>2803</v>
      </c>
      <c r="Q12" s="472" t="s">
        <v>2803</v>
      </c>
      <c r="R12" s="166">
        <f t="shared" si="2"/>
        <v>0</v>
      </c>
      <c r="S12" s="166">
        <f t="shared" si="4"/>
        <v>0</v>
      </c>
    </row>
    <row r="13" spans="1:21" x14ac:dyDescent="0.3">
      <c r="B13" s="166" t="s">
        <v>2857</v>
      </c>
      <c r="C13" s="456">
        <v>19</v>
      </c>
      <c r="D13" s="456">
        <v>19</v>
      </c>
      <c r="E13" s="468">
        <v>10</v>
      </c>
      <c r="G13" s="456">
        <f>統計tmp!BE15</f>
        <v>0</v>
      </c>
      <c r="H13" s="456">
        <f>統計tmp!BD15</f>
        <v>0</v>
      </c>
      <c r="J13" s="456">
        <v>10</v>
      </c>
      <c r="K13" s="456">
        <v>9</v>
      </c>
      <c r="L13" s="456">
        <f t="shared" si="5"/>
        <v>19</v>
      </c>
      <c r="P13" s="472" t="s">
        <v>2803</v>
      </c>
      <c r="Q13" s="472" t="s">
        <v>2803</v>
      </c>
      <c r="R13" s="166">
        <f t="shared" si="2"/>
        <v>0</v>
      </c>
      <c r="S13" s="166">
        <f t="shared" si="4"/>
        <v>0</v>
      </c>
    </row>
    <row r="14" spans="1:21" x14ac:dyDescent="0.3">
      <c r="B14" s="166" t="s">
        <v>2858</v>
      </c>
      <c r="C14" s="456">
        <v>9</v>
      </c>
      <c r="D14" s="456">
        <v>9</v>
      </c>
      <c r="E14" s="456">
        <v>9</v>
      </c>
      <c r="G14" s="456">
        <f>統計tmp!BE16</f>
        <v>0</v>
      </c>
      <c r="H14" s="456">
        <f>統計tmp!BD16</f>
        <v>0</v>
      </c>
      <c r="I14" s="456">
        <v>9</v>
      </c>
      <c r="K14" s="456" t="str">
        <f>IF(J14="V",C14,"")</f>
        <v/>
      </c>
      <c r="L14" s="456">
        <f t="shared" si="5"/>
        <v>0</v>
      </c>
      <c r="P14" s="472" t="s">
        <v>2803</v>
      </c>
      <c r="Q14" s="472" t="s">
        <v>2803</v>
      </c>
      <c r="R14" s="166">
        <f t="shared" si="2"/>
        <v>0</v>
      </c>
      <c r="S14" s="166">
        <f t="shared" si="4"/>
        <v>0</v>
      </c>
    </row>
    <row r="15" spans="1:21" x14ac:dyDescent="0.3">
      <c r="B15" s="166" t="s">
        <v>2859</v>
      </c>
      <c r="C15" s="456">
        <v>6</v>
      </c>
      <c r="D15" s="456">
        <v>6</v>
      </c>
      <c r="E15" s="456">
        <v>3</v>
      </c>
      <c r="G15" s="456">
        <f>統計tmp!BE17</f>
        <v>4</v>
      </c>
      <c r="H15" s="456">
        <f>統計tmp!BD17</f>
        <v>4</v>
      </c>
      <c r="K15" s="456" t="str">
        <f>IF(J15="V",C15,"")</f>
        <v/>
      </c>
      <c r="L15" s="456">
        <f t="shared" si="5"/>
        <v>0</v>
      </c>
      <c r="M15" s="456">
        <v>2</v>
      </c>
      <c r="N15" s="456">
        <v>1</v>
      </c>
      <c r="P15" s="472">
        <v>3</v>
      </c>
      <c r="Q15" s="472" t="s">
        <v>2803</v>
      </c>
      <c r="R15" s="166">
        <f t="shared" si="2"/>
        <v>6</v>
      </c>
      <c r="S15" s="166">
        <f t="shared" si="4"/>
        <v>3</v>
      </c>
      <c r="T15" s="166" t="s">
        <v>2915</v>
      </c>
    </row>
    <row r="16" spans="1:21" x14ac:dyDescent="0.3">
      <c r="B16" s="166" t="s">
        <v>2860</v>
      </c>
      <c r="C16" s="456">
        <v>11</v>
      </c>
      <c r="D16" s="456">
        <v>11</v>
      </c>
      <c r="E16" s="468">
        <v>9</v>
      </c>
      <c r="G16" s="456">
        <f>統計tmp!BE18</f>
        <v>0</v>
      </c>
      <c r="H16" s="456">
        <f>統計tmp!BD18</f>
        <v>0</v>
      </c>
      <c r="J16" s="456">
        <v>9</v>
      </c>
      <c r="K16" s="456">
        <v>2</v>
      </c>
      <c r="L16" s="456">
        <f t="shared" si="5"/>
        <v>11</v>
      </c>
      <c r="P16" s="472" t="s">
        <v>2803</v>
      </c>
      <c r="Q16" s="472" t="s">
        <v>2803</v>
      </c>
      <c r="R16" s="166">
        <f t="shared" si="2"/>
        <v>0</v>
      </c>
      <c r="S16" s="166">
        <f t="shared" si="4"/>
        <v>0</v>
      </c>
    </row>
    <row r="17" spans="1:20" x14ac:dyDescent="0.3">
      <c r="B17" s="166" t="s">
        <v>824</v>
      </c>
      <c r="C17" s="456">
        <v>1</v>
      </c>
      <c r="D17" s="456">
        <v>1</v>
      </c>
      <c r="E17" s="456">
        <v>1</v>
      </c>
      <c r="G17" s="456">
        <f>統計tmp!BE19</f>
        <v>0</v>
      </c>
      <c r="H17" s="456">
        <f>統計tmp!BD19</f>
        <v>0</v>
      </c>
      <c r="I17" s="456">
        <v>1</v>
      </c>
      <c r="K17" s="456" t="str">
        <f t="shared" ref="K17:K34" si="6">IF(J17="V",C17,"")</f>
        <v/>
      </c>
      <c r="L17" s="456">
        <f t="shared" si="5"/>
        <v>0</v>
      </c>
      <c r="P17" s="472" t="s">
        <v>2803</v>
      </c>
      <c r="Q17" s="472" t="s">
        <v>2803</v>
      </c>
      <c r="R17" s="166">
        <f t="shared" si="2"/>
        <v>0</v>
      </c>
      <c r="S17" s="166">
        <f t="shared" si="4"/>
        <v>0</v>
      </c>
    </row>
    <row r="18" spans="1:20" x14ac:dyDescent="0.3">
      <c r="A18" s="455" t="s">
        <v>92</v>
      </c>
      <c r="B18" s="455"/>
      <c r="C18" s="458">
        <v>38</v>
      </c>
      <c r="D18" s="458">
        <v>38</v>
      </c>
      <c r="E18" s="458">
        <v>36</v>
      </c>
      <c r="F18" s="458"/>
      <c r="G18" s="458">
        <f>統計tmp!BE20</f>
        <v>0</v>
      </c>
      <c r="H18" s="458">
        <f>統計tmp!BD20</f>
        <v>0</v>
      </c>
      <c r="I18" s="458"/>
      <c r="J18" s="458"/>
      <c r="K18" s="458" t="str">
        <f t="shared" si="6"/>
        <v/>
      </c>
      <c r="L18" s="458"/>
      <c r="M18" s="458"/>
      <c r="N18" s="458"/>
      <c r="O18" s="469"/>
      <c r="P18" s="473" t="s">
        <v>2803</v>
      </c>
      <c r="Q18" s="473" t="s">
        <v>2803</v>
      </c>
      <c r="R18" s="455"/>
      <c r="S18" s="455"/>
    </row>
    <row r="19" spans="1:20" x14ac:dyDescent="0.3">
      <c r="B19" s="166" t="s">
        <v>2861</v>
      </c>
      <c r="C19" s="456">
        <v>7</v>
      </c>
      <c r="D19" s="456">
        <v>7</v>
      </c>
      <c r="E19" s="456">
        <v>7</v>
      </c>
      <c r="F19" s="456">
        <v>7</v>
      </c>
      <c r="G19" s="456">
        <f>統計tmp!BE21</f>
        <v>0</v>
      </c>
      <c r="H19" s="456">
        <f>統計tmp!BD21</f>
        <v>0</v>
      </c>
      <c r="K19" s="456" t="str">
        <f t="shared" si="6"/>
        <v/>
      </c>
      <c r="L19" s="456">
        <f t="shared" si="5"/>
        <v>0</v>
      </c>
      <c r="P19" s="472" t="s">
        <v>2803</v>
      </c>
      <c r="Q19" s="472" t="s">
        <v>2803</v>
      </c>
      <c r="R19" s="166">
        <f t="shared" si="2"/>
        <v>0</v>
      </c>
      <c r="S19" s="166">
        <f>SUM(O19:Q19)</f>
        <v>0</v>
      </c>
    </row>
    <row r="20" spans="1:20" x14ac:dyDescent="0.3">
      <c r="B20" s="166" t="s">
        <v>2862</v>
      </c>
      <c r="C20" s="456">
        <v>9</v>
      </c>
      <c r="D20" s="456">
        <v>9</v>
      </c>
      <c r="E20" s="456">
        <v>9</v>
      </c>
      <c r="F20" s="456">
        <v>9</v>
      </c>
      <c r="G20" s="456">
        <f>統計tmp!BE22</f>
        <v>0</v>
      </c>
      <c r="H20" s="456">
        <f>統計tmp!BD22</f>
        <v>0</v>
      </c>
      <c r="K20" s="456" t="str">
        <f t="shared" si="6"/>
        <v/>
      </c>
      <c r="L20" s="456">
        <f t="shared" si="5"/>
        <v>0</v>
      </c>
      <c r="P20" s="472" t="s">
        <v>2803</v>
      </c>
      <c r="Q20" s="472" t="s">
        <v>2803</v>
      </c>
      <c r="R20" s="166">
        <f t="shared" si="2"/>
        <v>0</v>
      </c>
      <c r="S20" s="166">
        <f t="shared" ref="S20:S23" si="7">SUM(O20:Q20)</f>
        <v>0</v>
      </c>
    </row>
    <row r="21" spans="1:20" x14ac:dyDescent="0.3">
      <c r="B21" s="166" t="s">
        <v>1425</v>
      </c>
      <c r="C21" s="456">
        <v>16</v>
      </c>
      <c r="D21" s="456">
        <v>16</v>
      </c>
      <c r="E21" s="456">
        <v>14</v>
      </c>
      <c r="F21" s="456">
        <v>14</v>
      </c>
      <c r="G21" s="456">
        <f>統計tmp!BE23</f>
        <v>0</v>
      </c>
      <c r="H21" s="456">
        <f>統計tmp!BD23</f>
        <v>0</v>
      </c>
      <c r="I21" s="456">
        <v>2</v>
      </c>
      <c r="K21" s="456" t="str">
        <f t="shared" si="6"/>
        <v/>
      </c>
      <c r="L21" s="456">
        <f t="shared" si="5"/>
        <v>0</v>
      </c>
      <c r="P21" s="472" t="s">
        <v>2803</v>
      </c>
      <c r="Q21" s="472" t="s">
        <v>2803</v>
      </c>
      <c r="R21" s="166">
        <f t="shared" si="2"/>
        <v>0</v>
      </c>
      <c r="S21" s="166">
        <f t="shared" si="7"/>
        <v>0</v>
      </c>
      <c r="T21" s="166" t="s">
        <v>2791</v>
      </c>
    </row>
    <row r="22" spans="1:20" x14ac:dyDescent="0.3">
      <c r="B22" s="166" t="s">
        <v>2863</v>
      </c>
      <c r="C22" s="456">
        <v>3</v>
      </c>
      <c r="D22" s="456">
        <v>3</v>
      </c>
      <c r="E22" s="456">
        <v>3</v>
      </c>
      <c r="F22" s="456">
        <v>3</v>
      </c>
      <c r="G22" s="456">
        <f>統計tmp!BE24</f>
        <v>0</v>
      </c>
      <c r="H22" s="456">
        <f>統計tmp!BD24</f>
        <v>0</v>
      </c>
      <c r="K22" s="456" t="str">
        <f t="shared" si="6"/>
        <v/>
      </c>
      <c r="L22" s="456">
        <f t="shared" si="5"/>
        <v>0</v>
      </c>
      <c r="P22" s="472" t="s">
        <v>2803</v>
      </c>
      <c r="Q22" s="472" t="s">
        <v>2803</v>
      </c>
      <c r="R22" s="166">
        <f t="shared" si="2"/>
        <v>0</v>
      </c>
      <c r="S22" s="166">
        <f t="shared" si="7"/>
        <v>0</v>
      </c>
    </row>
    <row r="23" spans="1:20" x14ac:dyDescent="0.3">
      <c r="B23" s="166" t="s">
        <v>2864</v>
      </c>
      <c r="C23" s="456">
        <v>3</v>
      </c>
      <c r="D23" s="456">
        <v>3</v>
      </c>
      <c r="E23" s="456">
        <v>3</v>
      </c>
      <c r="F23" s="456">
        <v>3</v>
      </c>
      <c r="G23" s="456">
        <f>統計tmp!BE25</f>
        <v>0</v>
      </c>
      <c r="H23" s="456">
        <f>統計tmp!BD25</f>
        <v>0</v>
      </c>
      <c r="K23" s="456" t="str">
        <f t="shared" si="6"/>
        <v/>
      </c>
      <c r="L23" s="456">
        <f t="shared" si="5"/>
        <v>0</v>
      </c>
      <c r="P23" s="472" t="s">
        <v>2803</v>
      </c>
      <c r="Q23" s="472" t="s">
        <v>2803</v>
      </c>
      <c r="R23" s="166">
        <f t="shared" si="2"/>
        <v>0</v>
      </c>
      <c r="S23" s="166">
        <f t="shared" si="7"/>
        <v>0</v>
      </c>
    </row>
    <row r="24" spans="1:20" x14ac:dyDescent="0.3">
      <c r="A24" s="455" t="s">
        <v>93</v>
      </c>
      <c r="B24" s="455"/>
      <c r="C24" s="458">
        <v>75</v>
      </c>
      <c r="D24" s="458">
        <v>75</v>
      </c>
      <c r="E24" s="458">
        <v>75</v>
      </c>
      <c r="F24" s="458"/>
      <c r="G24" s="458">
        <f>統計tmp!BE26</f>
        <v>0</v>
      </c>
      <c r="H24" s="458">
        <f>統計tmp!BD26</f>
        <v>0</v>
      </c>
      <c r="I24" s="458"/>
      <c r="J24" s="458"/>
      <c r="K24" s="458" t="str">
        <f t="shared" si="6"/>
        <v/>
      </c>
      <c r="L24" s="458"/>
      <c r="M24" s="458"/>
      <c r="N24" s="458"/>
      <c r="O24" s="469"/>
      <c r="P24" s="473" t="s">
        <v>2803</v>
      </c>
      <c r="Q24" s="473" t="s">
        <v>2803</v>
      </c>
      <c r="R24" s="455"/>
      <c r="S24" s="455"/>
    </row>
    <row r="25" spans="1:20" x14ac:dyDescent="0.3">
      <c r="B25" s="166" t="s">
        <v>368</v>
      </c>
      <c r="C25" s="456">
        <v>5</v>
      </c>
      <c r="D25" s="456">
        <v>5</v>
      </c>
      <c r="E25" s="456">
        <v>5</v>
      </c>
      <c r="G25" s="456">
        <f>統計tmp!BE27</f>
        <v>0</v>
      </c>
      <c r="H25" s="456">
        <f>統計tmp!BD27</f>
        <v>0</v>
      </c>
      <c r="I25" s="456">
        <v>5</v>
      </c>
      <c r="K25" s="456" t="str">
        <f t="shared" si="6"/>
        <v/>
      </c>
      <c r="L25" s="456">
        <f t="shared" si="5"/>
        <v>0</v>
      </c>
      <c r="P25" s="472" t="s">
        <v>2803</v>
      </c>
      <c r="Q25" s="472" t="s">
        <v>2803</v>
      </c>
      <c r="R25" s="166">
        <f t="shared" si="2"/>
        <v>0</v>
      </c>
      <c r="S25" s="166">
        <f>SUM(O25:Q25)</f>
        <v>0</v>
      </c>
    </row>
    <row r="26" spans="1:20" x14ac:dyDescent="0.3">
      <c r="B26" s="166" t="s">
        <v>410</v>
      </c>
      <c r="C26" s="456">
        <v>17</v>
      </c>
      <c r="D26" s="456">
        <v>17</v>
      </c>
      <c r="E26" s="456">
        <v>17</v>
      </c>
      <c r="G26" s="456">
        <f>統計tmp!BE28</f>
        <v>0</v>
      </c>
      <c r="H26" s="456">
        <f>統計tmp!BD28</f>
        <v>0</v>
      </c>
      <c r="K26" s="456" t="str">
        <f t="shared" si="6"/>
        <v/>
      </c>
      <c r="L26" s="456">
        <f t="shared" si="5"/>
        <v>0</v>
      </c>
      <c r="M26" s="456">
        <v>16</v>
      </c>
      <c r="P26" s="472" t="s">
        <v>2803</v>
      </c>
      <c r="Q26" s="472">
        <v>1</v>
      </c>
      <c r="R26" s="166">
        <f t="shared" si="2"/>
        <v>17</v>
      </c>
      <c r="S26" s="166">
        <f t="shared" ref="S26:S33" si="8">SUM(O26:Q26)</f>
        <v>1</v>
      </c>
    </row>
    <row r="27" spans="1:20" x14ac:dyDescent="0.3">
      <c r="B27" s="166" t="s">
        <v>824</v>
      </c>
      <c r="C27" s="456">
        <v>8</v>
      </c>
      <c r="D27" s="456">
        <v>8</v>
      </c>
      <c r="E27" s="456">
        <v>8</v>
      </c>
      <c r="G27" s="456">
        <f>統計tmp!BE29</f>
        <v>0</v>
      </c>
      <c r="H27" s="456">
        <f>統計tmp!BD29</f>
        <v>0</v>
      </c>
      <c r="I27" s="456">
        <v>8</v>
      </c>
      <c r="K27" s="456" t="str">
        <f t="shared" si="6"/>
        <v/>
      </c>
      <c r="L27" s="456">
        <f t="shared" si="5"/>
        <v>0</v>
      </c>
      <c r="P27" s="472" t="s">
        <v>2803</v>
      </c>
      <c r="Q27" s="472" t="s">
        <v>2803</v>
      </c>
      <c r="R27" s="166">
        <f t="shared" si="2"/>
        <v>0</v>
      </c>
      <c r="S27" s="166">
        <f t="shared" si="8"/>
        <v>0</v>
      </c>
    </row>
    <row r="28" spans="1:20" x14ac:dyDescent="0.3">
      <c r="B28" s="166" t="s">
        <v>465</v>
      </c>
      <c r="C28" s="456">
        <v>7</v>
      </c>
      <c r="D28" s="456">
        <v>7</v>
      </c>
      <c r="E28" s="456">
        <v>7</v>
      </c>
      <c r="G28" s="456">
        <f>統計tmp!BE30</f>
        <v>0</v>
      </c>
      <c r="H28" s="456">
        <f>統計tmp!BD30</f>
        <v>0</v>
      </c>
      <c r="K28" s="456" t="str">
        <f t="shared" si="6"/>
        <v/>
      </c>
      <c r="L28" s="456">
        <f t="shared" si="5"/>
        <v>0</v>
      </c>
      <c r="M28" s="456">
        <v>6</v>
      </c>
      <c r="P28" s="472" t="s">
        <v>2803</v>
      </c>
      <c r="Q28" s="472">
        <v>1</v>
      </c>
      <c r="R28" s="166">
        <f t="shared" si="2"/>
        <v>7</v>
      </c>
      <c r="S28" s="166">
        <f t="shared" si="8"/>
        <v>1</v>
      </c>
    </row>
    <row r="29" spans="1:20" x14ac:dyDescent="0.3">
      <c r="B29" s="166" t="s">
        <v>378</v>
      </c>
      <c r="C29" s="456">
        <v>10</v>
      </c>
      <c r="D29" s="456">
        <v>10</v>
      </c>
      <c r="E29" s="456">
        <v>10</v>
      </c>
      <c r="G29" s="456">
        <f>統計tmp!BE31</f>
        <v>0</v>
      </c>
      <c r="H29" s="456">
        <f>統計tmp!BD31</f>
        <v>0</v>
      </c>
      <c r="I29" s="456">
        <v>10</v>
      </c>
      <c r="K29" s="456" t="str">
        <f t="shared" si="6"/>
        <v/>
      </c>
      <c r="L29" s="456">
        <f t="shared" si="5"/>
        <v>0</v>
      </c>
      <c r="P29" s="472" t="s">
        <v>2803</v>
      </c>
      <c r="Q29" s="472" t="s">
        <v>2803</v>
      </c>
      <c r="R29" s="166">
        <f t="shared" si="2"/>
        <v>0</v>
      </c>
      <c r="S29" s="166">
        <f t="shared" si="8"/>
        <v>0</v>
      </c>
    </row>
    <row r="30" spans="1:20" x14ac:dyDescent="0.3">
      <c r="B30" s="166" t="s">
        <v>624</v>
      </c>
      <c r="C30" s="456">
        <v>7</v>
      </c>
      <c r="D30" s="456">
        <v>7</v>
      </c>
      <c r="E30" s="456">
        <v>7</v>
      </c>
      <c r="G30" s="456">
        <f>統計tmp!BE32</f>
        <v>0</v>
      </c>
      <c r="H30" s="456">
        <f>統計tmp!BD32</f>
        <v>0</v>
      </c>
      <c r="K30" s="456" t="str">
        <f t="shared" si="6"/>
        <v/>
      </c>
      <c r="L30" s="456">
        <f t="shared" si="5"/>
        <v>0</v>
      </c>
      <c r="M30" s="456">
        <v>6</v>
      </c>
      <c r="P30" s="472" t="s">
        <v>2803</v>
      </c>
      <c r="Q30" s="472">
        <v>1</v>
      </c>
      <c r="R30" s="166">
        <f t="shared" si="2"/>
        <v>7</v>
      </c>
      <c r="S30" s="166">
        <f t="shared" si="8"/>
        <v>1</v>
      </c>
    </row>
    <row r="31" spans="1:20" x14ac:dyDescent="0.3">
      <c r="B31" s="166" t="s">
        <v>642</v>
      </c>
      <c r="C31" s="456">
        <v>1</v>
      </c>
      <c r="D31" s="456">
        <v>1</v>
      </c>
      <c r="E31" s="456">
        <v>1</v>
      </c>
      <c r="G31" s="456">
        <f>統計tmp!BE33</f>
        <v>0</v>
      </c>
      <c r="H31" s="456">
        <f>統計tmp!BD33</f>
        <v>0</v>
      </c>
      <c r="I31" s="456">
        <v>1</v>
      </c>
      <c r="K31" s="456" t="str">
        <f t="shared" si="6"/>
        <v/>
      </c>
      <c r="L31" s="456">
        <f t="shared" si="5"/>
        <v>0</v>
      </c>
      <c r="P31" s="472" t="s">
        <v>2803</v>
      </c>
      <c r="Q31" s="472" t="s">
        <v>2803</v>
      </c>
      <c r="R31" s="166">
        <f t="shared" si="2"/>
        <v>0</v>
      </c>
      <c r="S31" s="166">
        <f t="shared" si="8"/>
        <v>0</v>
      </c>
    </row>
    <row r="32" spans="1:20" x14ac:dyDescent="0.3">
      <c r="B32" s="166" t="s">
        <v>439</v>
      </c>
      <c r="C32" s="456">
        <v>17</v>
      </c>
      <c r="D32" s="456">
        <v>17</v>
      </c>
      <c r="E32" s="456">
        <v>17</v>
      </c>
      <c r="G32" s="456">
        <f>統計tmp!BE34</f>
        <v>0</v>
      </c>
      <c r="H32" s="456">
        <f>統計tmp!BD34</f>
        <v>0</v>
      </c>
      <c r="K32" s="456" t="str">
        <f t="shared" si="6"/>
        <v/>
      </c>
      <c r="L32" s="456">
        <f t="shared" si="5"/>
        <v>0</v>
      </c>
      <c r="M32" s="456">
        <v>16</v>
      </c>
      <c r="P32" s="472" t="s">
        <v>2803</v>
      </c>
      <c r="Q32" s="472">
        <v>1</v>
      </c>
      <c r="R32" s="166">
        <f t="shared" si="2"/>
        <v>17</v>
      </c>
      <c r="S32" s="166">
        <f t="shared" si="8"/>
        <v>1</v>
      </c>
    </row>
    <row r="33" spans="1:20" x14ac:dyDescent="0.3">
      <c r="B33" s="166" t="s">
        <v>419</v>
      </c>
      <c r="C33" s="456">
        <v>3</v>
      </c>
      <c r="D33" s="456">
        <v>3</v>
      </c>
      <c r="E33" s="456">
        <v>3</v>
      </c>
      <c r="G33" s="456">
        <f>統計tmp!BE35</f>
        <v>0</v>
      </c>
      <c r="H33" s="456">
        <f>統計tmp!BD35</f>
        <v>0</v>
      </c>
      <c r="K33" s="456" t="str">
        <f t="shared" si="6"/>
        <v/>
      </c>
      <c r="L33" s="456">
        <f t="shared" si="5"/>
        <v>0</v>
      </c>
      <c r="M33" s="456">
        <v>2</v>
      </c>
      <c r="P33" s="472" t="s">
        <v>2803</v>
      </c>
      <c r="Q33" s="472">
        <v>1</v>
      </c>
      <c r="R33" s="166">
        <f t="shared" si="2"/>
        <v>3</v>
      </c>
      <c r="S33" s="166">
        <f t="shared" si="8"/>
        <v>1</v>
      </c>
    </row>
    <row r="34" spans="1:20" x14ac:dyDescent="0.3">
      <c r="A34" s="455" t="s">
        <v>94</v>
      </c>
      <c r="B34" s="455"/>
      <c r="C34" s="458">
        <v>87</v>
      </c>
      <c r="D34" s="458">
        <v>87</v>
      </c>
      <c r="E34" s="458">
        <v>50</v>
      </c>
      <c r="F34" s="458"/>
      <c r="G34" s="458">
        <f>統計tmp!BE36</f>
        <v>0</v>
      </c>
      <c r="H34" s="458">
        <f>統計tmp!BD36</f>
        <v>0</v>
      </c>
      <c r="I34" s="458"/>
      <c r="J34" s="458"/>
      <c r="K34" s="458" t="str">
        <f t="shared" si="6"/>
        <v/>
      </c>
      <c r="L34" s="458"/>
      <c r="M34" s="458"/>
      <c r="N34" s="458"/>
      <c r="O34" s="469"/>
      <c r="P34" s="473" t="s">
        <v>2803</v>
      </c>
      <c r="Q34" s="473" t="s">
        <v>2803</v>
      </c>
      <c r="R34" s="455"/>
      <c r="S34" s="455"/>
    </row>
    <row r="35" spans="1:20" x14ac:dyDescent="0.3">
      <c r="B35" s="166" t="s">
        <v>1002</v>
      </c>
      <c r="C35" s="456">
        <v>15</v>
      </c>
      <c r="D35" s="456">
        <v>15</v>
      </c>
      <c r="E35" s="468">
        <v>11</v>
      </c>
      <c r="G35" s="456">
        <f>統計tmp!BE37</f>
        <v>0</v>
      </c>
      <c r="H35" s="456">
        <f>統計tmp!BD37</f>
        <v>0</v>
      </c>
      <c r="J35" s="456">
        <v>11</v>
      </c>
      <c r="K35" s="456">
        <v>4</v>
      </c>
      <c r="L35" s="456">
        <f t="shared" si="5"/>
        <v>15</v>
      </c>
      <c r="P35" s="472" t="s">
        <v>2803</v>
      </c>
      <c r="Q35" s="472" t="s">
        <v>2803</v>
      </c>
      <c r="R35" s="166">
        <f t="shared" si="2"/>
        <v>0</v>
      </c>
      <c r="S35" s="166">
        <f>SUM(O35:Q35)</f>
        <v>0</v>
      </c>
    </row>
    <row r="36" spans="1:20" x14ac:dyDescent="0.3">
      <c r="B36" s="166" t="s">
        <v>1461</v>
      </c>
      <c r="C36" s="456">
        <v>12</v>
      </c>
      <c r="D36" s="456">
        <v>12</v>
      </c>
      <c r="E36" s="468">
        <v>4</v>
      </c>
      <c r="G36" s="456">
        <f>統計tmp!BE38</f>
        <v>0</v>
      </c>
      <c r="H36" s="456">
        <f>統計tmp!BD38</f>
        <v>0</v>
      </c>
      <c r="J36" s="456">
        <v>4</v>
      </c>
      <c r="K36" s="456">
        <v>8</v>
      </c>
      <c r="L36" s="456">
        <f t="shared" si="5"/>
        <v>12</v>
      </c>
      <c r="P36" s="472" t="s">
        <v>2803</v>
      </c>
      <c r="Q36" s="472" t="s">
        <v>2803</v>
      </c>
      <c r="R36" s="166">
        <f t="shared" si="2"/>
        <v>0</v>
      </c>
      <c r="S36" s="166">
        <f t="shared" ref="S36:S40" si="9">SUM(O36:Q36)</f>
        <v>0</v>
      </c>
    </row>
    <row r="37" spans="1:20" x14ac:dyDescent="0.3">
      <c r="B37" s="166" t="s">
        <v>2802</v>
      </c>
      <c r="C37" s="456">
        <v>15</v>
      </c>
      <c r="D37" s="456">
        <v>15</v>
      </c>
      <c r="E37" s="468">
        <v>9</v>
      </c>
      <c r="G37" s="456">
        <f>統計tmp!BE39</f>
        <v>0</v>
      </c>
      <c r="H37" s="456">
        <f>統計tmp!BD39</f>
        <v>0</v>
      </c>
      <c r="K37" s="456" t="str">
        <f>IF(J37="V",C37,"")</f>
        <v/>
      </c>
      <c r="L37" s="456">
        <f t="shared" si="5"/>
        <v>0</v>
      </c>
      <c r="P37" s="472">
        <v>12</v>
      </c>
      <c r="Q37" s="472">
        <v>3</v>
      </c>
      <c r="R37" s="166">
        <f t="shared" si="2"/>
        <v>15</v>
      </c>
      <c r="S37" s="166">
        <f t="shared" si="9"/>
        <v>15</v>
      </c>
    </row>
    <row r="38" spans="1:20" x14ac:dyDescent="0.3">
      <c r="B38" s="166" t="s">
        <v>2865</v>
      </c>
      <c r="C38" s="456">
        <v>15</v>
      </c>
      <c r="D38" s="456">
        <v>15</v>
      </c>
      <c r="E38" s="468"/>
      <c r="G38" s="456">
        <f>統計tmp!BE40</f>
        <v>0</v>
      </c>
      <c r="H38" s="456">
        <f>統計tmp!BD40</f>
        <v>0</v>
      </c>
      <c r="K38" s="456" t="str">
        <f>IF(J38="V",C38,"")</f>
        <v/>
      </c>
      <c r="L38" s="456">
        <f t="shared" si="5"/>
        <v>0</v>
      </c>
      <c r="N38" s="456">
        <v>14</v>
      </c>
      <c r="P38" s="472" t="s">
        <v>2803</v>
      </c>
      <c r="Q38" s="472">
        <v>1</v>
      </c>
      <c r="R38" s="166">
        <f t="shared" si="2"/>
        <v>15</v>
      </c>
      <c r="S38" s="166">
        <f t="shared" si="9"/>
        <v>1</v>
      </c>
    </row>
    <row r="39" spans="1:20" x14ac:dyDescent="0.3">
      <c r="B39" s="166" t="s">
        <v>2822</v>
      </c>
      <c r="C39" s="456">
        <v>26</v>
      </c>
      <c r="D39" s="456">
        <v>26</v>
      </c>
      <c r="E39" s="456">
        <v>26</v>
      </c>
      <c r="F39" s="456">
        <v>26</v>
      </c>
      <c r="G39" s="456">
        <f>統計tmp!BE41</f>
        <v>0</v>
      </c>
      <c r="H39" s="456">
        <f>統計tmp!BD41</f>
        <v>0</v>
      </c>
      <c r="K39" s="456" t="str">
        <f>IF(J39="V",C39,"")</f>
        <v/>
      </c>
      <c r="L39" s="456">
        <f t="shared" si="5"/>
        <v>0</v>
      </c>
      <c r="P39" s="472" t="s">
        <v>2803</v>
      </c>
      <c r="Q39" s="472" t="s">
        <v>2803</v>
      </c>
      <c r="R39" s="166">
        <f t="shared" si="2"/>
        <v>0</v>
      </c>
      <c r="S39" s="166">
        <f t="shared" si="9"/>
        <v>0</v>
      </c>
    </row>
    <row r="40" spans="1:20" x14ac:dyDescent="0.3">
      <c r="B40" s="166" t="s">
        <v>2866</v>
      </c>
      <c r="C40" s="456">
        <v>4</v>
      </c>
      <c r="D40" s="456">
        <v>4</v>
      </c>
      <c r="G40" s="456">
        <f>統計tmp!BE42</f>
        <v>0</v>
      </c>
      <c r="H40" s="456">
        <f>統計tmp!BD42</f>
        <v>0</v>
      </c>
      <c r="J40" s="456">
        <v>0</v>
      </c>
      <c r="K40" s="456">
        <v>4</v>
      </c>
      <c r="L40" s="456">
        <f t="shared" si="5"/>
        <v>4</v>
      </c>
      <c r="P40" s="472" t="s">
        <v>2803</v>
      </c>
      <c r="Q40" s="472" t="s">
        <v>2803</v>
      </c>
      <c r="R40" s="166">
        <f t="shared" si="2"/>
        <v>0</v>
      </c>
      <c r="S40" s="166">
        <f t="shared" si="9"/>
        <v>0</v>
      </c>
    </row>
    <row r="41" spans="1:20" x14ac:dyDescent="0.3">
      <c r="A41" s="455" t="s">
        <v>95</v>
      </c>
      <c r="B41" s="455"/>
      <c r="C41" s="458">
        <v>88</v>
      </c>
      <c r="D41" s="458">
        <v>88</v>
      </c>
      <c r="E41" s="458">
        <v>42</v>
      </c>
      <c r="F41" s="458"/>
      <c r="G41" s="458">
        <f>統計tmp!BE43</f>
        <v>0</v>
      </c>
      <c r="H41" s="458">
        <f>統計tmp!BD43</f>
        <v>0</v>
      </c>
      <c r="I41" s="458"/>
      <c r="J41" s="458"/>
      <c r="K41" s="458" t="str">
        <f>IF(J41="V",C41,"")</f>
        <v/>
      </c>
      <c r="L41" s="458"/>
      <c r="M41" s="458"/>
      <c r="N41" s="458"/>
      <c r="O41" s="469"/>
      <c r="P41" s="473" t="s">
        <v>2803</v>
      </c>
      <c r="Q41" s="473" t="s">
        <v>2803</v>
      </c>
      <c r="R41" s="455"/>
      <c r="S41" s="455"/>
    </row>
    <row r="42" spans="1:20" x14ac:dyDescent="0.3">
      <c r="B42" s="166" t="s">
        <v>2867</v>
      </c>
      <c r="C42" s="456">
        <v>4</v>
      </c>
      <c r="D42" s="456">
        <v>4</v>
      </c>
      <c r="E42" s="468"/>
      <c r="G42" s="456">
        <f>統計tmp!BE44</f>
        <v>0</v>
      </c>
      <c r="H42" s="456">
        <f>統計tmp!BD44</f>
        <v>0</v>
      </c>
      <c r="K42" s="456" t="str">
        <f>IF(J42="V",C42,"")</f>
        <v/>
      </c>
      <c r="L42" s="456">
        <f t="shared" si="5"/>
        <v>0</v>
      </c>
      <c r="N42" s="456">
        <v>1</v>
      </c>
      <c r="P42" s="472">
        <v>2</v>
      </c>
      <c r="Q42" s="472">
        <v>1</v>
      </c>
      <c r="R42" s="166">
        <f t="shared" si="2"/>
        <v>4</v>
      </c>
      <c r="S42" s="166">
        <f>SUM(O42:Q42)</f>
        <v>3</v>
      </c>
    </row>
    <row r="43" spans="1:20" x14ac:dyDescent="0.3">
      <c r="B43" s="166" t="s">
        <v>2868</v>
      </c>
      <c r="C43" s="456">
        <v>9</v>
      </c>
      <c r="D43" s="456">
        <v>9</v>
      </c>
      <c r="E43" s="456">
        <v>7</v>
      </c>
      <c r="G43" s="456">
        <f>統計tmp!BE45</f>
        <v>0</v>
      </c>
      <c r="H43" s="456">
        <f>統計tmp!BD45</f>
        <v>0</v>
      </c>
      <c r="J43" s="456">
        <v>7</v>
      </c>
      <c r="K43" s="456">
        <v>2</v>
      </c>
      <c r="L43" s="456">
        <f t="shared" si="5"/>
        <v>9</v>
      </c>
      <c r="P43" s="472" t="s">
        <v>2803</v>
      </c>
      <c r="Q43" s="472" t="s">
        <v>2803</v>
      </c>
      <c r="R43" s="166">
        <f t="shared" si="2"/>
        <v>0</v>
      </c>
      <c r="S43" s="166">
        <f t="shared" ref="S43:S49" si="10">SUM(O43:Q43)</f>
        <v>0</v>
      </c>
      <c r="T43" s="166" t="s">
        <v>2915</v>
      </c>
    </row>
    <row r="44" spans="1:20" x14ac:dyDescent="0.3">
      <c r="B44" s="166" t="s">
        <v>2869</v>
      </c>
      <c r="C44" s="456">
        <v>6</v>
      </c>
      <c r="D44" s="456">
        <v>6</v>
      </c>
      <c r="G44" s="456">
        <f>統計tmp!BE46</f>
        <v>0</v>
      </c>
      <c r="H44" s="456">
        <f>統計tmp!BD46</f>
        <v>0</v>
      </c>
      <c r="J44" s="456">
        <v>0</v>
      </c>
      <c r="K44" s="456">
        <v>6</v>
      </c>
      <c r="L44" s="456">
        <f t="shared" si="5"/>
        <v>6</v>
      </c>
      <c r="P44" s="472" t="s">
        <v>2803</v>
      </c>
      <c r="Q44" s="472" t="s">
        <v>2803</v>
      </c>
      <c r="R44" s="166">
        <f t="shared" si="2"/>
        <v>0</v>
      </c>
      <c r="S44" s="166">
        <f t="shared" si="10"/>
        <v>0</v>
      </c>
      <c r="T44" s="166" t="s">
        <v>2915</v>
      </c>
    </row>
    <row r="45" spans="1:20" x14ac:dyDescent="0.3">
      <c r="B45" s="166" t="s">
        <v>2870</v>
      </c>
      <c r="C45" s="456">
        <v>8</v>
      </c>
      <c r="D45" s="456">
        <v>8</v>
      </c>
      <c r="E45" s="468"/>
      <c r="G45" s="456">
        <f>統計tmp!BE47</f>
        <v>0</v>
      </c>
      <c r="H45" s="456">
        <f>統計tmp!BD47</f>
        <v>0</v>
      </c>
      <c r="K45" s="456" t="str">
        <f>IF(J45="V",C45,"")</f>
        <v/>
      </c>
      <c r="L45" s="456">
        <f t="shared" si="5"/>
        <v>0</v>
      </c>
      <c r="P45" s="472">
        <v>8</v>
      </c>
      <c r="Q45" s="472" t="s">
        <v>2803</v>
      </c>
      <c r="R45" s="166">
        <f t="shared" si="2"/>
        <v>8</v>
      </c>
      <c r="S45" s="166">
        <f t="shared" si="10"/>
        <v>8</v>
      </c>
    </row>
    <row r="46" spans="1:20" x14ac:dyDescent="0.3">
      <c r="B46" s="166" t="s">
        <v>2871</v>
      </c>
      <c r="C46" s="456">
        <v>7</v>
      </c>
      <c r="D46" s="456">
        <v>7</v>
      </c>
      <c r="E46" s="468">
        <v>4</v>
      </c>
      <c r="G46" s="456">
        <f>統計tmp!BE48</f>
        <v>0</v>
      </c>
      <c r="H46" s="456">
        <f>統計tmp!BD48</f>
        <v>0</v>
      </c>
      <c r="L46" s="456">
        <f t="shared" si="5"/>
        <v>0</v>
      </c>
      <c r="M46" s="456">
        <v>4</v>
      </c>
      <c r="N46" s="456">
        <v>2</v>
      </c>
      <c r="P46" s="472" t="s">
        <v>2803</v>
      </c>
      <c r="Q46" s="472">
        <v>1</v>
      </c>
      <c r="R46" s="166">
        <f t="shared" si="2"/>
        <v>7</v>
      </c>
      <c r="S46" s="166">
        <f t="shared" si="10"/>
        <v>1</v>
      </c>
    </row>
    <row r="47" spans="1:20" x14ac:dyDescent="0.3">
      <c r="B47" s="166" t="s">
        <v>2872</v>
      </c>
      <c r="C47" s="456">
        <v>20</v>
      </c>
      <c r="D47" s="456">
        <v>20</v>
      </c>
      <c r="E47" s="468">
        <v>12</v>
      </c>
      <c r="G47" s="456">
        <f>統計tmp!BE49</f>
        <v>0</v>
      </c>
      <c r="H47" s="456">
        <f>統計tmp!BD49</f>
        <v>0</v>
      </c>
      <c r="J47" s="456">
        <v>12</v>
      </c>
      <c r="K47" s="456">
        <v>8</v>
      </c>
      <c r="L47" s="456">
        <f t="shared" si="5"/>
        <v>20</v>
      </c>
      <c r="P47" s="472" t="s">
        <v>2803</v>
      </c>
      <c r="Q47" s="472" t="s">
        <v>2803</v>
      </c>
      <c r="R47" s="166">
        <f t="shared" si="2"/>
        <v>0</v>
      </c>
      <c r="S47" s="166">
        <f t="shared" si="10"/>
        <v>0</v>
      </c>
    </row>
    <row r="48" spans="1:20" x14ac:dyDescent="0.3">
      <c r="B48" s="166" t="s">
        <v>2873</v>
      </c>
      <c r="C48" s="456">
        <v>29</v>
      </c>
      <c r="D48" s="456">
        <v>29</v>
      </c>
      <c r="E48" s="468">
        <v>15</v>
      </c>
      <c r="G48" s="456">
        <f>統計tmp!BE50</f>
        <v>0</v>
      </c>
      <c r="H48" s="456">
        <f>統計tmp!BD50</f>
        <v>0</v>
      </c>
      <c r="J48" s="456">
        <v>15</v>
      </c>
      <c r="K48" s="456">
        <v>14</v>
      </c>
      <c r="L48" s="456">
        <f t="shared" si="5"/>
        <v>29</v>
      </c>
      <c r="P48" s="472" t="s">
        <v>2803</v>
      </c>
      <c r="Q48" s="472" t="s">
        <v>2803</v>
      </c>
      <c r="R48" s="166">
        <f t="shared" si="2"/>
        <v>0</v>
      </c>
      <c r="S48" s="166">
        <f t="shared" si="10"/>
        <v>0</v>
      </c>
    </row>
    <row r="49" spans="1:19" x14ac:dyDescent="0.3">
      <c r="B49" s="166" t="s">
        <v>2874</v>
      </c>
      <c r="C49" s="456">
        <v>5</v>
      </c>
      <c r="D49" s="456">
        <v>5</v>
      </c>
      <c r="E49" s="468">
        <v>4</v>
      </c>
      <c r="G49" s="456">
        <f>統計tmp!BE51</f>
        <v>0</v>
      </c>
      <c r="H49" s="456">
        <f>統計tmp!BD51</f>
        <v>0</v>
      </c>
      <c r="K49" s="456" t="str">
        <f>IF(J49="V",C49,"")</f>
        <v/>
      </c>
      <c r="L49" s="456">
        <f t="shared" si="5"/>
        <v>0</v>
      </c>
      <c r="M49" s="456">
        <v>4</v>
      </c>
      <c r="P49" s="472">
        <v>1</v>
      </c>
      <c r="Q49" s="472" t="s">
        <v>2803</v>
      </c>
      <c r="R49" s="166">
        <f t="shared" si="2"/>
        <v>5</v>
      </c>
      <c r="S49" s="166">
        <f t="shared" si="10"/>
        <v>1</v>
      </c>
    </row>
    <row r="50" spans="1:19" x14ac:dyDescent="0.3">
      <c r="A50" s="455" t="s">
        <v>96</v>
      </c>
      <c r="B50" s="455"/>
      <c r="C50" s="458">
        <v>10</v>
      </c>
      <c r="D50" s="458">
        <v>10</v>
      </c>
      <c r="E50" s="458"/>
      <c r="F50" s="458"/>
      <c r="G50" s="458">
        <f>統計tmp!BE52</f>
        <v>0</v>
      </c>
      <c r="H50" s="458">
        <f>統計tmp!BD52</f>
        <v>0</v>
      </c>
      <c r="I50" s="458"/>
      <c r="J50" s="458"/>
      <c r="K50" s="458" t="str">
        <f>IF(J50="V",C50,"")</f>
        <v/>
      </c>
      <c r="L50" s="458"/>
      <c r="M50" s="458"/>
      <c r="N50" s="458"/>
      <c r="O50" s="469"/>
      <c r="P50" s="473" t="s">
        <v>2803</v>
      </c>
      <c r="Q50" s="473" t="s">
        <v>2803</v>
      </c>
      <c r="R50" s="455"/>
      <c r="S50" s="455"/>
    </row>
    <row r="51" spans="1:19" x14ac:dyDescent="0.3">
      <c r="B51" s="166" t="s">
        <v>2875</v>
      </c>
      <c r="C51" s="456">
        <v>1</v>
      </c>
      <c r="D51" s="456">
        <v>1</v>
      </c>
      <c r="E51" s="468"/>
      <c r="G51" s="456">
        <f>統計tmp!BE53</f>
        <v>0</v>
      </c>
      <c r="H51" s="456">
        <f>統計tmp!BD53</f>
        <v>0</v>
      </c>
      <c r="J51" s="456">
        <v>0</v>
      </c>
      <c r="K51" s="456">
        <v>1</v>
      </c>
      <c r="L51" s="456">
        <f t="shared" si="5"/>
        <v>1</v>
      </c>
      <c r="P51" s="472" t="s">
        <v>2803</v>
      </c>
      <c r="Q51" s="472" t="s">
        <v>2803</v>
      </c>
      <c r="R51" s="166">
        <f t="shared" si="2"/>
        <v>0</v>
      </c>
      <c r="S51" s="166">
        <f>SUM(O51:Q51)</f>
        <v>0</v>
      </c>
    </row>
    <row r="52" spans="1:19" x14ac:dyDescent="0.3">
      <c r="B52" s="166" t="s">
        <v>2821</v>
      </c>
      <c r="C52" s="456">
        <v>9</v>
      </c>
      <c r="D52" s="456">
        <v>9</v>
      </c>
      <c r="E52" s="468"/>
      <c r="G52" s="456">
        <f>統計tmp!BE54</f>
        <v>0</v>
      </c>
      <c r="H52" s="456">
        <f>統計tmp!BD54</f>
        <v>0</v>
      </c>
      <c r="K52" s="456" t="str">
        <f>IF(J52="V",C52,"")</f>
        <v/>
      </c>
      <c r="L52" s="456">
        <f t="shared" si="5"/>
        <v>0</v>
      </c>
      <c r="N52" s="456">
        <v>8</v>
      </c>
      <c r="P52" s="472" t="s">
        <v>2803</v>
      </c>
      <c r="Q52" s="472">
        <v>1</v>
      </c>
      <c r="R52" s="166">
        <f t="shared" si="2"/>
        <v>9</v>
      </c>
      <c r="S52" s="166">
        <f>SUM(O52:Q52)</f>
        <v>1</v>
      </c>
    </row>
    <row r="53" spans="1:19" x14ac:dyDescent="0.3">
      <c r="A53" s="455" t="s">
        <v>97</v>
      </c>
      <c r="B53" s="455"/>
      <c r="C53" s="458">
        <v>134</v>
      </c>
      <c r="D53" s="458">
        <v>134</v>
      </c>
      <c r="E53" s="458">
        <v>4</v>
      </c>
      <c r="F53" s="458"/>
      <c r="G53" s="458">
        <f>統計tmp!BE55</f>
        <v>0</v>
      </c>
      <c r="H53" s="458">
        <f>統計tmp!BD55</f>
        <v>0</v>
      </c>
      <c r="I53" s="458"/>
      <c r="J53" s="458"/>
      <c r="K53" s="458" t="str">
        <f>IF(J53="V",C53,"")</f>
        <v/>
      </c>
      <c r="L53" s="458"/>
      <c r="M53" s="458"/>
      <c r="N53" s="458"/>
      <c r="O53" s="469"/>
      <c r="P53" s="473" t="s">
        <v>2803</v>
      </c>
      <c r="Q53" s="473" t="s">
        <v>2803</v>
      </c>
      <c r="R53" s="455"/>
      <c r="S53" s="455"/>
    </row>
    <row r="54" spans="1:19" x14ac:dyDescent="0.3">
      <c r="B54" s="166" t="s">
        <v>918</v>
      </c>
      <c r="C54" s="456">
        <v>7</v>
      </c>
      <c r="D54" s="456">
        <v>7</v>
      </c>
      <c r="E54" s="468">
        <v>2</v>
      </c>
      <c r="F54" s="468"/>
      <c r="G54" s="456">
        <f>統計tmp!BE56</f>
        <v>0</v>
      </c>
      <c r="H54" s="456">
        <f>統計tmp!BD56</f>
        <v>0</v>
      </c>
      <c r="K54" s="456" t="str">
        <f>IF(J54="V",C54,"")</f>
        <v/>
      </c>
      <c r="L54" s="456">
        <f t="shared" si="5"/>
        <v>0</v>
      </c>
      <c r="M54" s="456">
        <v>2</v>
      </c>
      <c r="P54" s="472">
        <v>5</v>
      </c>
      <c r="Q54" s="472" t="s">
        <v>2803</v>
      </c>
      <c r="R54" s="166">
        <f t="shared" si="2"/>
        <v>7</v>
      </c>
      <c r="S54" s="166">
        <f>SUM(O54:Q54)</f>
        <v>5</v>
      </c>
    </row>
    <row r="55" spans="1:19" x14ac:dyDescent="0.3">
      <c r="B55" s="166" t="s">
        <v>936</v>
      </c>
      <c r="C55" s="456">
        <v>9</v>
      </c>
      <c r="D55" s="456">
        <v>9</v>
      </c>
      <c r="E55" s="468">
        <v>2</v>
      </c>
      <c r="F55" s="468"/>
      <c r="G55" s="456">
        <f>統計tmp!BE57</f>
        <v>0</v>
      </c>
      <c r="H55" s="456">
        <f>統計tmp!BD57</f>
        <v>0</v>
      </c>
      <c r="K55" s="456" t="str">
        <f>IF(J55="V",C55,"")</f>
        <v/>
      </c>
      <c r="L55" s="456">
        <f t="shared" si="5"/>
        <v>0</v>
      </c>
      <c r="M55" s="456">
        <v>2</v>
      </c>
      <c r="N55" s="456">
        <v>6</v>
      </c>
      <c r="P55" s="472" t="s">
        <v>2803</v>
      </c>
      <c r="Q55" s="472">
        <v>1</v>
      </c>
      <c r="R55" s="166">
        <f t="shared" si="2"/>
        <v>9</v>
      </c>
      <c r="S55" s="166">
        <f t="shared" ref="S55:S59" si="11">SUM(O55:Q55)</f>
        <v>1</v>
      </c>
    </row>
    <row r="56" spans="1:19" x14ac:dyDescent="0.3">
      <c r="B56" s="166" t="s">
        <v>2876</v>
      </c>
      <c r="C56" s="456">
        <v>112</v>
      </c>
      <c r="D56" s="456">
        <v>112</v>
      </c>
      <c r="E56" s="468"/>
      <c r="F56" s="468"/>
      <c r="G56" s="456">
        <f>統計tmp!BE58</f>
        <v>0</v>
      </c>
      <c r="H56" s="456">
        <f>統計tmp!BD58</f>
        <v>0</v>
      </c>
      <c r="K56" s="456" t="str">
        <f>IF(J56="V",C56,"")</f>
        <v/>
      </c>
      <c r="L56" s="456">
        <f t="shared" si="5"/>
        <v>0</v>
      </c>
      <c r="N56" s="456">
        <v>75</v>
      </c>
      <c r="P56" s="472" t="s">
        <v>2803</v>
      </c>
      <c r="Q56" s="472">
        <v>37</v>
      </c>
      <c r="R56" s="166">
        <f t="shared" si="2"/>
        <v>112</v>
      </c>
      <c r="S56" s="166">
        <f t="shared" si="11"/>
        <v>37</v>
      </c>
    </row>
    <row r="57" spans="1:19" x14ac:dyDescent="0.3">
      <c r="B57" s="166" t="s">
        <v>2877</v>
      </c>
      <c r="C57" s="456">
        <v>2</v>
      </c>
      <c r="D57" s="456">
        <v>2</v>
      </c>
      <c r="E57" s="468"/>
      <c r="F57" s="468"/>
      <c r="G57" s="456">
        <f>統計tmp!BE59</f>
        <v>0</v>
      </c>
      <c r="H57" s="456">
        <f>統計tmp!BD59</f>
        <v>0</v>
      </c>
      <c r="J57" s="456">
        <v>0</v>
      </c>
      <c r="K57" s="456">
        <v>2</v>
      </c>
      <c r="L57" s="456">
        <f t="shared" si="5"/>
        <v>2</v>
      </c>
      <c r="P57" s="472" t="s">
        <v>2803</v>
      </c>
      <c r="Q57" s="472" t="s">
        <v>2803</v>
      </c>
      <c r="R57" s="166">
        <f t="shared" si="2"/>
        <v>0</v>
      </c>
      <c r="S57" s="166">
        <f t="shared" si="11"/>
        <v>0</v>
      </c>
    </row>
    <row r="58" spans="1:19" x14ac:dyDescent="0.3">
      <c r="B58" s="166" t="s">
        <v>2878</v>
      </c>
      <c r="C58" s="456">
        <v>3</v>
      </c>
      <c r="D58" s="456">
        <v>3</v>
      </c>
      <c r="E58" s="468"/>
      <c r="F58" s="468"/>
      <c r="G58" s="456">
        <f>統計tmp!BE60</f>
        <v>0</v>
      </c>
      <c r="H58" s="456">
        <f>統計tmp!BD60</f>
        <v>0</v>
      </c>
      <c r="J58" s="456">
        <v>0</v>
      </c>
      <c r="K58" s="456">
        <v>3</v>
      </c>
      <c r="L58" s="456">
        <f t="shared" si="5"/>
        <v>3</v>
      </c>
      <c r="P58" s="472" t="s">
        <v>2803</v>
      </c>
      <c r="Q58" s="472" t="s">
        <v>2803</v>
      </c>
      <c r="R58" s="166">
        <f t="shared" si="2"/>
        <v>0</v>
      </c>
      <c r="S58" s="166">
        <f t="shared" si="11"/>
        <v>0</v>
      </c>
    </row>
    <row r="59" spans="1:19" x14ac:dyDescent="0.3">
      <c r="B59" s="166" t="s">
        <v>932</v>
      </c>
      <c r="C59" s="456">
        <v>1</v>
      </c>
      <c r="D59" s="456">
        <v>1</v>
      </c>
      <c r="E59" s="468"/>
      <c r="F59" s="468"/>
      <c r="G59" s="456">
        <f>統計tmp!BE61</f>
        <v>0</v>
      </c>
      <c r="H59" s="456">
        <f>統計tmp!BD61</f>
        <v>0</v>
      </c>
      <c r="J59" s="456">
        <v>0</v>
      </c>
      <c r="K59" s="456">
        <v>1</v>
      </c>
      <c r="L59" s="456">
        <f t="shared" si="5"/>
        <v>1</v>
      </c>
      <c r="P59" s="472" t="s">
        <v>2803</v>
      </c>
      <c r="Q59" s="472" t="s">
        <v>2803</v>
      </c>
      <c r="R59" s="166">
        <f t="shared" si="2"/>
        <v>0</v>
      </c>
      <c r="S59" s="166">
        <f t="shared" si="11"/>
        <v>0</v>
      </c>
    </row>
    <row r="60" spans="1:19" x14ac:dyDescent="0.3">
      <c r="A60" s="455" t="s">
        <v>98</v>
      </c>
      <c r="B60" s="455"/>
      <c r="C60" s="458">
        <v>1</v>
      </c>
      <c r="D60" s="458">
        <v>1</v>
      </c>
      <c r="E60" s="458"/>
      <c r="F60" s="458"/>
      <c r="G60" s="458">
        <f>統計tmp!BE62</f>
        <v>0</v>
      </c>
      <c r="H60" s="458">
        <f>統計tmp!BD62</f>
        <v>0</v>
      </c>
      <c r="I60" s="458"/>
      <c r="J60" s="458"/>
      <c r="K60" s="458" t="str">
        <f>IF(J60="V",C60,"")</f>
        <v/>
      </c>
      <c r="L60" s="458"/>
      <c r="M60" s="458"/>
      <c r="N60" s="458"/>
      <c r="O60" s="469"/>
      <c r="P60" s="473" t="s">
        <v>2803</v>
      </c>
      <c r="Q60" s="473" t="s">
        <v>2803</v>
      </c>
      <c r="R60" s="455"/>
      <c r="S60" s="455"/>
    </row>
    <row r="61" spans="1:19" x14ac:dyDescent="0.3">
      <c r="B61" s="166" t="s">
        <v>2879</v>
      </c>
      <c r="C61" s="456">
        <v>1</v>
      </c>
      <c r="D61" s="456">
        <v>1</v>
      </c>
      <c r="E61" s="468"/>
      <c r="G61" s="456">
        <f>統計tmp!BE63</f>
        <v>0</v>
      </c>
      <c r="H61" s="456">
        <f>統計tmp!BD63</f>
        <v>0</v>
      </c>
      <c r="J61" s="456">
        <v>0</v>
      </c>
      <c r="K61" s="456">
        <v>1</v>
      </c>
      <c r="L61" s="456">
        <f t="shared" si="5"/>
        <v>1</v>
      </c>
      <c r="P61" s="472" t="s">
        <v>2803</v>
      </c>
      <c r="Q61" s="472" t="s">
        <v>2803</v>
      </c>
      <c r="R61" s="166">
        <f t="shared" si="2"/>
        <v>0</v>
      </c>
      <c r="S61" s="166">
        <f>SUM(O61:Q61)</f>
        <v>0</v>
      </c>
    </row>
    <row r="62" spans="1:19" x14ac:dyDescent="0.3">
      <c r="A62" s="166" t="s">
        <v>99</v>
      </c>
      <c r="G62" s="456">
        <f>統計tmp!BE64</f>
        <v>0</v>
      </c>
      <c r="H62" s="456">
        <f>統計tmp!BD64</f>
        <v>0</v>
      </c>
      <c r="K62" s="456" t="str">
        <f>IF(J62="V",C62,"")</f>
        <v/>
      </c>
      <c r="L62" s="456">
        <f t="shared" si="5"/>
        <v>0</v>
      </c>
      <c r="P62" s="472" t="s">
        <v>2803</v>
      </c>
      <c r="Q62" s="472" t="s">
        <v>2803</v>
      </c>
      <c r="R62" s="166">
        <f t="shared" si="2"/>
        <v>0</v>
      </c>
      <c r="S62" s="166">
        <f t="shared" ref="S62:S63" si="12">SUM(O62:Q62)</f>
        <v>0</v>
      </c>
    </row>
    <row r="63" spans="1:19" x14ac:dyDescent="0.3">
      <c r="B63" s="166" t="s">
        <v>99</v>
      </c>
      <c r="G63" s="456">
        <f>統計tmp!BE65</f>
        <v>0</v>
      </c>
      <c r="H63" s="456">
        <f>統計tmp!BD65</f>
        <v>0</v>
      </c>
      <c r="K63" s="456" t="str">
        <f>IF(J63="V",C63,"")</f>
        <v/>
      </c>
      <c r="L63" s="456">
        <f t="shared" si="5"/>
        <v>0</v>
      </c>
      <c r="P63" s="472" t="s">
        <v>2803</v>
      </c>
      <c r="Q63" s="472" t="s">
        <v>2803</v>
      </c>
      <c r="R63" s="166">
        <f t="shared" si="2"/>
        <v>0</v>
      </c>
      <c r="S63" s="166">
        <f t="shared" si="12"/>
        <v>0</v>
      </c>
    </row>
    <row r="64" spans="1:19" x14ac:dyDescent="0.3">
      <c r="A64" s="455" t="s">
        <v>2880</v>
      </c>
      <c r="B64" s="455"/>
      <c r="C64" s="458">
        <v>9</v>
      </c>
      <c r="D64" s="458">
        <v>7</v>
      </c>
      <c r="E64" s="458"/>
      <c r="F64" s="458"/>
      <c r="G64" s="458">
        <f>統計tmp!BE66</f>
        <v>0</v>
      </c>
      <c r="H64" s="458">
        <f>統計tmp!BD66</f>
        <v>0</v>
      </c>
      <c r="I64" s="458"/>
      <c r="J64" s="458"/>
      <c r="K64" s="458" t="str">
        <f>IF(J64="V",C64,"")</f>
        <v/>
      </c>
      <c r="L64" s="458"/>
      <c r="M64" s="458"/>
      <c r="N64" s="458"/>
      <c r="O64" s="469"/>
      <c r="P64" s="473" t="s">
        <v>2803</v>
      </c>
      <c r="Q64" s="473" t="s">
        <v>2803</v>
      </c>
      <c r="R64" s="455"/>
      <c r="S64" s="455"/>
    </row>
    <row r="65" spans="1:21" x14ac:dyDescent="0.3">
      <c r="B65" s="166" t="s">
        <v>2880</v>
      </c>
      <c r="C65" s="456">
        <v>9</v>
      </c>
      <c r="D65" s="456">
        <v>7</v>
      </c>
      <c r="E65" s="468"/>
      <c r="G65" s="456">
        <f>統計tmp!BE67</f>
        <v>0</v>
      </c>
      <c r="H65" s="456">
        <f>統計tmp!BD67</f>
        <v>0</v>
      </c>
      <c r="K65" s="456" t="str">
        <f>IF(J65="V",C65,"")</f>
        <v/>
      </c>
      <c r="L65" s="456">
        <f t="shared" si="5"/>
        <v>0</v>
      </c>
      <c r="P65" s="472" t="s">
        <v>2803</v>
      </c>
      <c r="Q65" s="472">
        <v>9</v>
      </c>
      <c r="R65" s="166">
        <f t="shared" si="2"/>
        <v>9</v>
      </c>
      <c r="S65" s="166">
        <f>SUM(O65:Q65)</f>
        <v>9</v>
      </c>
    </row>
    <row r="66" spans="1:21" x14ac:dyDescent="0.3">
      <c r="A66" s="455"/>
      <c r="B66" s="455" t="s">
        <v>2912</v>
      </c>
      <c r="C66" s="458">
        <f>C4+C9+C18+C24+C34+C41+C50+C53+C60+C64</f>
        <v>536</v>
      </c>
      <c r="D66" s="458"/>
      <c r="E66" s="458"/>
      <c r="F66" s="486">
        <f>SUM(F5:F65)</f>
        <v>78</v>
      </c>
      <c r="G66" s="458">
        <f>G4+G9+G18+G24+G34+G41+G50+G53+G60+G64</f>
        <v>0</v>
      </c>
      <c r="H66" s="458">
        <f>H4+H9+H18+H24+H34+H41+H50+H53+H60+H64</f>
        <v>0</v>
      </c>
      <c r="I66" s="487">
        <f>SUM(I5:I65)</f>
        <v>48</v>
      </c>
      <c r="J66" s="469">
        <f>SUM(J5:J65)</f>
        <v>86</v>
      </c>
      <c r="K66" s="469">
        <f>SUM(K5:K65)</f>
        <v>67</v>
      </c>
      <c r="L66" s="488">
        <f>SUM(L5:L65)</f>
        <v>153</v>
      </c>
      <c r="M66" s="469">
        <f>SUM(M5:M65)</f>
        <v>60</v>
      </c>
      <c r="N66" s="469">
        <f t="shared" ref="N66:Q66" si="13">SUM(N5:N65)</f>
        <v>107</v>
      </c>
      <c r="O66" s="469">
        <f t="shared" si="13"/>
        <v>0</v>
      </c>
      <c r="P66" s="470">
        <f t="shared" si="13"/>
        <v>31</v>
      </c>
      <c r="Q66" s="470">
        <f t="shared" si="13"/>
        <v>59</v>
      </c>
      <c r="R66" s="489">
        <f>SUM(R5:R65)</f>
        <v>257</v>
      </c>
      <c r="S66" s="455">
        <f>SUM(S6:S65)</f>
        <v>90</v>
      </c>
      <c r="T66" s="478" t="s">
        <v>2922</v>
      </c>
      <c r="U66" s="497">
        <f>F66+I66+L66+R66</f>
        <v>536</v>
      </c>
    </row>
    <row r="67" spans="1:21" x14ac:dyDescent="0.3">
      <c r="B67" s="166" t="s">
        <v>2916</v>
      </c>
      <c r="F67" s="475">
        <f t="shared" ref="F67:L67" si="14">F66/$C$66</f>
        <v>0.1455223880597015</v>
      </c>
      <c r="G67" s="475"/>
      <c r="H67" s="475"/>
      <c r="I67" s="475">
        <f t="shared" si="14"/>
        <v>8.9552238805970144E-2</v>
      </c>
      <c r="J67" s="475"/>
      <c r="K67" s="475"/>
      <c r="L67" s="475">
        <f t="shared" si="14"/>
        <v>0.28544776119402987</v>
      </c>
      <c r="M67" s="475"/>
      <c r="N67" s="475"/>
      <c r="O67" s="475"/>
      <c r="P67" s="475"/>
      <c r="Q67" s="496"/>
      <c r="R67" s="471">
        <f>R66/C66</f>
        <v>0.47947761194029853</v>
      </c>
      <c r="S67" s="474">
        <f>S66/$C$66</f>
        <v>0.16791044776119404</v>
      </c>
      <c r="T67" s="495" t="s">
        <v>2930</v>
      </c>
    </row>
    <row r="68" spans="1:21" x14ac:dyDescent="0.3">
      <c r="R68" s="492"/>
    </row>
    <row r="69" spans="1:21" x14ac:dyDescent="0.3">
      <c r="F69" s="462"/>
    </row>
  </sheetData>
  <mergeCells count="1">
    <mergeCell ref="J1:L1"/>
  </mergeCells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F65"/>
  <sheetViews>
    <sheetView zoomScaleNormal="100" workbookViewId="0">
      <pane ySplit="2" topLeftCell="A51" activePane="bottomLeft" state="frozen"/>
      <selection pane="bottomLeft" activeCell="Y68" sqref="Y68"/>
    </sheetView>
  </sheetViews>
  <sheetFormatPr defaultColWidth="8.69921875" defaultRowHeight="14.5" outlineLevelRow="1" x14ac:dyDescent="0.35"/>
  <cols>
    <col min="1" max="1" width="8.69921875" style="4"/>
    <col min="2" max="2" width="28.69921875" style="4" customWidth="1"/>
    <col min="3" max="3" width="5.69921875" style="259" customWidth="1"/>
    <col min="4" max="5" width="8" style="259" hidden="1" customWidth="1"/>
    <col min="6" max="6" width="8.19921875" style="259" hidden="1" customWidth="1"/>
    <col min="7" max="7" width="9.09765625" style="259" hidden="1" customWidth="1"/>
    <col min="8" max="8" width="5.69921875" style="259" hidden="1" customWidth="1"/>
    <col min="9" max="9" width="10.19921875" style="259" hidden="1" customWidth="1"/>
    <col min="10" max="10" width="8.69921875" style="259" hidden="1" customWidth="1"/>
    <col min="11" max="11" width="4.69921875" style="259" hidden="1" customWidth="1"/>
    <col min="12" max="12" width="5.69921875" style="259" hidden="1" customWidth="1"/>
    <col min="13" max="14" width="4.69921875" style="259" hidden="1" customWidth="1"/>
    <col min="15" max="15" width="7" style="538" hidden="1" customWidth="1"/>
    <col min="16" max="16" width="8" style="539" hidden="1" customWidth="1"/>
    <col min="17" max="17" width="12.59765625" style="539" hidden="1" customWidth="1"/>
    <col min="18" max="18" width="5.69921875" style="4" hidden="1" customWidth="1"/>
    <col min="19" max="19" width="7.3984375" style="4" hidden="1" customWidth="1"/>
    <col min="20" max="21" width="12.59765625" style="4" hidden="1" customWidth="1"/>
    <col min="22" max="22" width="5.19921875" style="567" customWidth="1"/>
    <col min="23" max="23" width="9.19921875" style="4" bestFit="1" customWidth="1"/>
    <col min="24" max="27" width="8.19921875" style="4" bestFit="1" customWidth="1"/>
    <col min="28" max="28" width="9.19921875" style="4" bestFit="1" customWidth="1"/>
    <col min="29" max="29" width="7.3984375" style="4" bestFit="1" customWidth="1"/>
    <col min="30" max="30" width="8.19921875" style="573" bestFit="1" customWidth="1"/>
    <col min="31" max="31" width="8.19921875" style="259" bestFit="1" customWidth="1"/>
    <col min="32" max="32" width="17.5" style="4" bestFit="1" customWidth="1"/>
    <col min="33" max="16384" width="8.69921875" style="4"/>
  </cols>
  <sheetData>
    <row r="1" spans="1:32" s="514" customFormat="1" ht="52" customHeight="1" x14ac:dyDescent="0.3">
      <c r="C1" s="515"/>
      <c r="D1" s="515"/>
      <c r="E1" s="515"/>
      <c r="F1" s="516" t="s">
        <v>2921</v>
      </c>
      <c r="G1" s="515"/>
      <c r="H1" s="515"/>
      <c r="I1" s="517" t="s">
        <v>2920</v>
      </c>
      <c r="J1" s="685" t="s">
        <v>2918</v>
      </c>
      <c r="K1" s="685"/>
      <c r="L1" s="685"/>
      <c r="M1" s="518" t="s">
        <v>2919</v>
      </c>
      <c r="N1" s="518"/>
      <c r="O1" s="519"/>
      <c r="P1" s="519"/>
      <c r="Q1" s="519"/>
      <c r="R1" s="519"/>
      <c r="S1" s="519"/>
      <c r="V1" s="520"/>
      <c r="W1" s="523" t="s">
        <v>2942</v>
      </c>
      <c r="X1" s="524" t="s">
        <v>2954</v>
      </c>
      <c r="Y1" s="586" t="s">
        <v>2943</v>
      </c>
      <c r="Z1" s="594" t="s">
        <v>2944</v>
      </c>
      <c r="AA1" s="598" t="s">
        <v>2945</v>
      </c>
      <c r="AB1" s="599" t="s">
        <v>2947</v>
      </c>
      <c r="AC1" s="521" t="s">
        <v>2952</v>
      </c>
      <c r="AD1" s="568" t="s">
        <v>2953</v>
      </c>
      <c r="AE1" s="606" t="s">
        <v>2956</v>
      </c>
      <c r="AF1" s="606" t="s">
        <v>2988</v>
      </c>
    </row>
    <row r="2" spans="1:32" s="531" customFormat="1" ht="14" customHeight="1" x14ac:dyDescent="0.3">
      <c r="A2" s="522"/>
      <c r="B2" s="522"/>
      <c r="C2" s="523" t="s">
        <v>2882</v>
      </c>
      <c r="D2" s="523" t="s">
        <v>2884</v>
      </c>
      <c r="E2" s="523" t="s">
        <v>2883</v>
      </c>
      <c r="F2" s="524" t="s">
        <v>2885</v>
      </c>
      <c r="G2" s="523" t="s">
        <v>2752</v>
      </c>
      <c r="H2" s="525" t="s">
        <v>2886</v>
      </c>
      <c r="I2" s="526" t="s">
        <v>2887</v>
      </c>
      <c r="J2" s="527" t="s">
        <v>2883</v>
      </c>
      <c r="K2" s="527" t="s">
        <v>2913</v>
      </c>
      <c r="L2" s="527" t="s">
        <v>2912</v>
      </c>
      <c r="M2" s="528" t="s">
        <v>2950</v>
      </c>
      <c r="N2" s="528" t="s">
        <v>2951</v>
      </c>
      <c r="O2" s="529" t="s">
        <v>2888</v>
      </c>
      <c r="P2" s="529" t="s">
        <v>2932</v>
      </c>
      <c r="Q2" s="529" t="s">
        <v>2933</v>
      </c>
      <c r="R2" s="522" t="s">
        <v>2912</v>
      </c>
      <c r="S2" s="528" t="s">
        <v>2917</v>
      </c>
      <c r="T2" s="523" t="s">
        <v>2914</v>
      </c>
      <c r="U2" s="523"/>
      <c r="V2" s="530"/>
      <c r="W2" s="522"/>
      <c r="X2" s="590"/>
      <c r="Y2" s="587"/>
      <c r="Z2" s="595"/>
      <c r="AA2" s="592"/>
      <c r="AB2" s="585"/>
      <c r="AD2" s="569"/>
      <c r="AE2" s="607"/>
    </row>
    <row r="3" spans="1:32" s="295" customFormat="1" ht="11" x14ac:dyDescent="0.3">
      <c r="C3" s="296"/>
      <c r="D3" s="296"/>
      <c r="E3" s="296"/>
      <c r="F3" s="296">
        <v>1</v>
      </c>
      <c r="G3" s="296"/>
      <c r="H3" s="296"/>
      <c r="I3" s="296">
        <v>2</v>
      </c>
      <c r="J3" s="296">
        <v>3</v>
      </c>
      <c r="K3" s="296">
        <v>4</v>
      </c>
      <c r="L3" s="296"/>
      <c r="M3" s="296">
        <v>5</v>
      </c>
      <c r="N3" s="296">
        <v>6</v>
      </c>
      <c r="O3" s="404">
        <v>7</v>
      </c>
      <c r="P3" s="404"/>
      <c r="Q3" s="404"/>
      <c r="S3" s="296"/>
      <c r="V3" s="532"/>
      <c r="W3" s="589"/>
      <c r="X3" s="591"/>
      <c r="Y3" s="588"/>
      <c r="Z3" s="596"/>
      <c r="AA3" s="593"/>
      <c r="AB3" s="566"/>
      <c r="AD3" s="570"/>
      <c r="AE3" s="296"/>
    </row>
    <row r="4" spans="1:32" x14ac:dyDescent="0.35">
      <c r="A4" s="533" t="s">
        <v>90</v>
      </c>
      <c r="B4" s="533"/>
      <c r="C4" s="258">
        <f>SUM(C5:C8)</f>
        <v>15</v>
      </c>
      <c r="D4" s="258">
        <v>16</v>
      </c>
      <c r="E4" s="258">
        <v>16</v>
      </c>
      <c r="F4" s="258"/>
      <c r="G4" s="258">
        <v>16</v>
      </c>
      <c r="H4" s="258">
        <v>16</v>
      </c>
      <c r="I4" s="258"/>
      <c r="J4" s="258"/>
      <c r="K4" s="258" t="str">
        <f t="shared" ref="K4:K10" si="0">IF(J4="V",C4,"")</f>
        <v/>
      </c>
      <c r="L4" s="258"/>
      <c r="M4" s="258"/>
      <c r="N4" s="258"/>
      <c r="O4" s="534"/>
      <c r="P4" s="535"/>
      <c r="Q4" s="535"/>
      <c r="R4" s="533"/>
      <c r="S4" s="533"/>
      <c r="V4" s="536"/>
      <c r="W4" s="533"/>
      <c r="X4" s="45"/>
      <c r="Y4" s="544"/>
      <c r="Z4" s="597"/>
      <c r="AA4" s="551"/>
      <c r="AB4" s="562"/>
      <c r="AD4" s="571"/>
      <c r="AE4" s="259" t="str">
        <f t="shared" ref="AE4:AE10" si="1">IF(AND(Y4&gt;0,Z4=0,AA4=0,AB4=0),Y4,"")</f>
        <v/>
      </c>
    </row>
    <row r="5" spans="1:32" outlineLevel="1" x14ac:dyDescent="0.35">
      <c r="B5" s="4" t="s">
        <v>2806</v>
      </c>
      <c r="C5" s="259">
        <f>COUNTIF(URS確認!$D:$D,B5)</f>
        <v>11</v>
      </c>
      <c r="D5" s="259">
        <v>11</v>
      </c>
      <c r="E5" s="259">
        <v>11</v>
      </c>
      <c r="F5" s="259">
        <f>COUNTIF(URS確認!AQ2:AQ562,LEFT(B5,3))</f>
        <v>11</v>
      </c>
      <c r="G5" s="259">
        <v>11</v>
      </c>
      <c r="H5" s="259">
        <v>11</v>
      </c>
      <c r="I5" s="259">
        <f>COUNTIF(URS確認!AR2:AR563,LEFT(B5,3))</f>
        <v>0</v>
      </c>
      <c r="K5" s="259" t="str">
        <f t="shared" si="0"/>
        <v/>
      </c>
      <c r="L5" s="259">
        <f t="shared" ref="L5:L10" si="2">SUM(J5:K5)</f>
        <v>0</v>
      </c>
      <c r="R5" s="4">
        <f>SUM(M5:Q5)</f>
        <v>0</v>
      </c>
      <c r="S5" s="4">
        <f>SUM(O5:Q5)</f>
        <v>0</v>
      </c>
      <c r="V5" s="536"/>
      <c r="W5" s="533">
        <f>COUNTIF(URS確認!AQ$2:AQ$562,LEFT(B5,3))</f>
        <v>11</v>
      </c>
      <c r="X5" s="45">
        <f>COUNTIF(URS確認!AR$2:AR$563,LEFT(B5,3))</f>
        <v>0</v>
      </c>
      <c r="Y5" s="544">
        <f>COUNTIF(URS確認!AS$2:AS$562,LEFT(B5,3))</f>
        <v>0</v>
      </c>
      <c r="Z5" s="597">
        <f>COUNTIF(URS確認!AT$2:AT$562,LEFT(B5,3))</f>
        <v>0</v>
      </c>
      <c r="AA5" s="551">
        <f>COUNTIF(URS確認!AU$2:AU$562,LEFT(B5,3))</f>
        <v>0</v>
      </c>
      <c r="AB5" s="562">
        <f>COUNTIF(URS確認!AV$2:AV$563,LEFT(B5,3))</f>
        <v>0</v>
      </c>
      <c r="AC5" s="4">
        <f>SUM(W5:AB5)</f>
        <v>11</v>
      </c>
      <c r="AD5" s="571" t="str">
        <f>IF(AND(X5&gt;0,Y5=0,Z5=0,AA5=0,AB5=0),X5,"")</f>
        <v/>
      </c>
      <c r="AE5" s="259" t="str">
        <f t="shared" si="1"/>
        <v/>
      </c>
    </row>
    <row r="6" spans="1:32" outlineLevel="1" x14ac:dyDescent="0.35">
      <c r="B6" s="4" t="s">
        <v>2808</v>
      </c>
      <c r="C6" s="259">
        <f>COUNTIF(URS確認!$D:$D,B6)</f>
        <v>2</v>
      </c>
      <c r="D6" s="259">
        <v>2</v>
      </c>
      <c r="E6" s="259">
        <v>2</v>
      </c>
      <c r="F6" s="259">
        <f>COUNTIF(URS確認!AQ3:AQ563,LEFT(B6,3))</f>
        <v>2</v>
      </c>
      <c r="G6" s="259">
        <v>2</v>
      </c>
      <c r="H6" s="259">
        <v>2</v>
      </c>
      <c r="I6" s="259">
        <f>COUNTIF(URS確認!AR3:AR564,LEFT(B6,3))</f>
        <v>0</v>
      </c>
      <c r="K6" s="259" t="str">
        <f t="shared" si="0"/>
        <v/>
      </c>
      <c r="L6" s="259">
        <f t="shared" si="2"/>
        <v>0</v>
      </c>
      <c r="R6" s="4">
        <f t="shared" ref="R6:R60" si="3">SUM(M6:Q6)</f>
        <v>0</v>
      </c>
      <c r="S6" s="4">
        <f t="shared" ref="S6:S8" si="4">SUM(O6:Q6)</f>
        <v>0</v>
      </c>
      <c r="V6" s="536"/>
      <c r="W6" s="533">
        <f>COUNTIF(URS確認!AQ$2:AQ$562,LEFT(B6,3))</f>
        <v>2</v>
      </c>
      <c r="X6" s="45">
        <f>COUNTIF(URS確認!AR$2:AR$563,LEFT(B6,3))</f>
        <v>0</v>
      </c>
      <c r="Y6" s="544">
        <f>COUNTIF(URS確認!AS$2:AS$562,LEFT(B6,3))</f>
        <v>0</v>
      </c>
      <c r="Z6" s="597">
        <f>COUNTIF(URS確認!AT$2:AT$562,LEFT(B6,3))</f>
        <v>0</v>
      </c>
      <c r="AA6" s="551">
        <f>COUNTIF(URS確認!AU$2:AU$562,LEFT(B6,3))</f>
        <v>0</v>
      </c>
      <c r="AB6" s="562">
        <f>COUNTIF(URS確認!AV$2:AV$563,LEFT(B6,3))</f>
        <v>0</v>
      </c>
      <c r="AC6" s="4">
        <f t="shared" ref="AC6:AC60" si="5">SUM(W6:AB6)</f>
        <v>2</v>
      </c>
      <c r="AD6" s="571" t="str">
        <f t="shared" ref="AD6:AD8" si="6">IF(AND(X6&gt;0,Y6=0,Z6=0,AA6=0,AB6=0),X6,"")</f>
        <v/>
      </c>
      <c r="AE6" s="259" t="str">
        <f t="shared" si="1"/>
        <v/>
      </c>
    </row>
    <row r="7" spans="1:32" outlineLevel="1" x14ac:dyDescent="0.35">
      <c r="B7" s="4" t="s">
        <v>2807</v>
      </c>
      <c r="C7" s="259">
        <f>COUNTIF(URS確認!$D:$D,B7)</f>
        <v>2</v>
      </c>
      <c r="D7" s="259">
        <v>2</v>
      </c>
      <c r="E7" s="259">
        <v>2</v>
      </c>
      <c r="F7" s="259">
        <f>COUNTIF(URS確認!AQ4:AQ564,LEFT(B7,3))</f>
        <v>2</v>
      </c>
      <c r="G7" s="259">
        <v>2</v>
      </c>
      <c r="H7" s="259">
        <v>2</v>
      </c>
      <c r="I7" s="259">
        <f>COUNTIF(URS確認!AR4:AR565,LEFT(B7,3))</f>
        <v>0</v>
      </c>
      <c r="K7" s="259" t="str">
        <f t="shared" si="0"/>
        <v/>
      </c>
      <c r="L7" s="259">
        <f t="shared" si="2"/>
        <v>0</v>
      </c>
      <c r="R7" s="4">
        <f t="shared" si="3"/>
        <v>0</v>
      </c>
      <c r="S7" s="4">
        <f t="shared" si="4"/>
        <v>0</v>
      </c>
      <c r="V7" s="536"/>
      <c r="W7" s="533">
        <f>COUNTIF(URS確認!AQ$2:AQ$562,LEFT(B7,3))</f>
        <v>2</v>
      </c>
      <c r="X7" s="45">
        <f>COUNTIF(URS確認!AR$2:AR$563,LEFT(B7,3))</f>
        <v>0</v>
      </c>
      <c r="Y7" s="544">
        <f>COUNTIF(URS確認!AS$2:AS$562,LEFT(B7,3))</f>
        <v>0</v>
      </c>
      <c r="Z7" s="597">
        <f>COUNTIF(URS確認!AT$2:AT$562,LEFT(B7,3))</f>
        <v>0</v>
      </c>
      <c r="AA7" s="551">
        <f>COUNTIF(URS確認!AU$2:AU$562,LEFT(B7,3))</f>
        <v>0</v>
      </c>
      <c r="AB7" s="562">
        <f>COUNTIF(URS確認!AV$2:AV$563,LEFT(B7,3))</f>
        <v>0</v>
      </c>
      <c r="AC7" s="4">
        <f t="shared" si="5"/>
        <v>2</v>
      </c>
      <c r="AD7" s="571" t="str">
        <f t="shared" si="6"/>
        <v/>
      </c>
      <c r="AE7" s="259" t="str">
        <f t="shared" si="1"/>
        <v/>
      </c>
    </row>
    <row r="8" spans="1:32" outlineLevel="1" x14ac:dyDescent="0.35">
      <c r="B8" s="4" t="s">
        <v>2881</v>
      </c>
      <c r="C8" s="259">
        <f>COUNTIF(URS確認!$D:$D,B8)</f>
        <v>0</v>
      </c>
      <c r="D8" s="259">
        <v>1</v>
      </c>
      <c r="E8" s="259">
        <v>1</v>
      </c>
      <c r="F8" s="259">
        <f>COUNTIF(URS確認!AQ5:AQ565,LEFT(B8,3))</f>
        <v>0</v>
      </c>
      <c r="G8" s="259">
        <v>1</v>
      </c>
      <c r="H8" s="259">
        <v>1</v>
      </c>
      <c r="I8" s="259">
        <f>COUNTIF(URS確認!AR5:AR566,LEFT(B8,3))</f>
        <v>0</v>
      </c>
      <c r="K8" s="259" t="str">
        <f t="shared" si="0"/>
        <v/>
      </c>
      <c r="L8" s="259">
        <f t="shared" si="2"/>
        <v>0</v>
      </c>
      <c r="R8" s="4">
        <f t="shared" si="3"/>
        <v>0</v>
      </c>
      <c r="S8" s="4">
        <f t="shared" si="4"/>
        <v>0</v>
      </c>
      <c r="V8" s="536"/>
      <c r="W8" s="533">
        <f>COUNTIF(URS確認!AQ$2:AQ$562,LEFT(B8,3))</f>
        <v>0</v>
      </c>
      <c r="X8" s="45">
        <f>COUNTIF(URS確認!AR$2:AR$563,LEFT(B8,3))</f>
        <v>0</v>
      </c>
      <c r="Y8" s="544">
        <f>COUNTIF(URS確認!AS$2:AS$562,LEFT(B8,3))</f>
        <v>0</v>
      </c>
      <c r="Z8" s="597">
        <f>COUNTIF(URS確認!AT$2:AT$562,LEFT(B8,3))</f>
        <v>0</v>
      </c>
      <c r="AA8" s="551">
        <f>COUNTIF(URS確認!AU$2:AU$562,LEFT(B8,3))</f>
        <v>0</v>
      </c>
      <c r="AB8" s="562">
        <f>COUNTIF(URS確認!AV$2:AV$563,LEFT(B8,3))</f>
        <v>0</v>
      </c>
      <c r="AC8" s="4">
        <f t="shared" si="5"/>
        <v>0</v>
      </c>
      <c r="AD8" s="571" t="str">
        <f t="shared" si="6"/>
        <v/>
      </c>
      <c r="AE8" s="259" t="str">
        <f t="shared" si="1"/>
        <v/>
      </c>
    </row>
    <row r="9" spans="1:32" x14ac:dyDescent="0.35">
      <c r="A9" s="533" t="s">
        <v>91</v>
      </c>
      <c r="B9" s="533"/>
      <c r="C9" s="258">
        <f>SUM(C10:C16)</f>
        <v>79</v>
      </c>
      <c r="D9" s="258">
        <v>78</v>
      </c>
      <c r="E9" s="258">
        <v>62</v>
      </c>
      <c r="G9" s="258">
        <v>77</v>
      </c>
      <c r="H9" s="258">
        <v>78</v>
      </c>
      <c r="J9" s="258"/>
      <c r="K9" s="258" t="str">
        <f t="shared" si="0"/>
        <v/>
      </c>
      <c r="L9" s="258"/>
      <c r="M9" s="258"/>
      <c r="N9" s="258"/>
      <c r="O9" s="534"/>
      <c r="P9" s="535"/>
      <c r="Q9" s="535"/>
      <c r="R9" s="533"/>
      <c r="S9" s="533"/>
      <c r="V9" s="536"/>
      <c r="W9" s="533"/>
      <c r="X9" s="45"/>
      <c r="Y9" s="544"/>
      <c r="Z9" s="597"/>
      <c r="AA9" s="551"/>
      <c r="AB9" s="562"/>
      <c r="AD9" s="571"/>
      <c r="AE9" s="259" t="str">
        <f t="shared" si="1"/>
        <v/>
      </c>
    </row>
    <row r="10" spans="1:32" outlineLevel="1" x14ac:dyDescent="0.35">
      <c r="B10" s="4" t="s">
        <v>2804</v>
      </c>
      <c r="C10" s="259">
        <f>COUNTIF(URS確認!$D:$D,B10)</f>
        <v>2</v>
      </c>
      <c r="D10" s="259">
        <v>2</v>
      </c>
      <c r="E10" s="259">
        <v>2</v>
      </c>
      <c r="F10" s="259">
        <f>COUNTIF(URS確認!AQ7:AQ567,LEFT(B10,3))</f>
        <v>2</v>
      </c>
      <c r="G10" s="259">
        <v>2</v>
      </c>
      <c r="H10" s="259">
        <v>2</v>
      </c>
      <c r="I10" s="259">
        <f>COUNTIF(URS確認!AR7:AR568,LEFT(B10,3))</f>
        <v>0</v>
      </c>
      <c r="K10" s="259" t="str">
        <f t="shared" si="0"/>
        <v/>
      </c>
      <c r="L10" s="259">
        <f t="shared" si="2"/>
        <v>0</v>
      </c>
      <c r="P10" s="539" t="s">
        <v>2803</v>
      </c>
      <c r="Q10" s="539" t="s">
        <v>2803</v>
      </c>
      <c r="R10" s="4">
        <f t="shared" si="3"/>
        <v>0</v>
      </c>
      <c r="S10" s="4">
        <f>SUM(O10:Q10)</f>
        <v>0</v>
      </c>
      <c r="V10" s="536"/>
      <c r="W10" s="533">
        <f>COUNTIF(URS確認!AQ$2:AQ$562,LEFT(B10,3))</f>
        <v>2</v>
      </c>
      <c r="X10" s="45">
        <f>COUNTIF(URS確認!AR$2:AR$563,LEFT(B10,3))</f>
        <v>0</v>
      </c>
      <c r="Y10" s="544">
        <f>COUNTIF(URS確認!AS$2:AS$562,LEFT(B10,3))</f>
        <v>0</v>
      </c>
      <c r="Z10" s="597">
        <f>COUNTIF(URS確認!AT$2:AT$562,LEFT(B10,3))</f>
        <v>0</v>
      </c>
      <c r="AA10" s="551">
        <f>COUNTIF(URS確認!AU$2:AU$562,LEFT(B10,3))</f>
        <v>0</v>
      </c>
      <c r="AB10" s="562">
        <f>COUNTIF(URS確認!AV$2:AV$563,LEFT(B10,3))</f>
        <v>0</v>
      </c>
      <c r="AC10" s="4">
        <f t="shared" si="5"/>
        <v>2</v>
      </c>
      <c r="AD10" s="571" t="str">
        <f>IF(AND(X10&gt;0,Y10=0,Z10=0,AA10=0,AB10=0),X10,"")</f>
        <v/>
      </c>
      <c r="AE10" s="259" t="str">
        <f t="shared" si="1"/>
        <v/>
      </c>
    </row>
    <row r="11" spans="1:32" outlineLevel="1" x14ac:dyDescent="0.35">
      <c r="B11" s="4" t="s">
        <v>2805</v>
      </c>
      <c r="C11" s="259">
        <f>COUNTIF(URS確認!$D:$D,B11)</f>
        <v>20</v>
      </c>
      <c r="D11" s="259">
        <v>20</v>
      </c>
      <c r="E11" s="540">
        <v>18</v>
      </c>
      <c r="F11" s="259">
        <f>COUNTIF(URS確認!AQ8:AQ568,LEFT(B11,3))</f>
        <v>20</v>
      </c>
      <c r="G11" s="259">
        <v>20</v>
      </c>
      <c r="H11" s="259">
        <v>20</v>
      </c>
      <c r="I11" s="259">
        <f>COUNTIF(URS確認!AR8:AR569,LEFT(B11,3))</f>
        <v>0</v>
      </c>
      <c r="J11" s="259">
        <v>18</v>
      </c>
      <c r="K11" s="259">
        <v>2</v>
      </c>
      <c r="L11" s="259">
        <f>SUM(J11:K11)</f>
        <v>20</v>
      </c>
      <c r="P11" s="539" t="s">
        <v>2803</v>
      </c>
      <c r="Q11" s="539" t="s">
        <v>2803</v>
      </c>
      <c r="R11" s="4">
        <f t="shared" si="3"/>
        <v>0</v>
      </c>
      <c r="S11" s="4">
        <f t="shared" ref="S11:S16" si="7">SUM(O11:Q11)</f>
        <v>0</v>
      </c>
      <c r="V11" s="536"/>
      <c r="W11" s="533">
        <f>COUNTIF(URS確認!AQ$2:AQ$562,LEFT(B11,3))</f>
        <v>20</v>
      </c>
      <c r="X11" s="45">
        <f>COUNTIF(URS確認!AR$2:AR$563,LEFT(B11,3))</f>
        <v>0</v>
      </c>
      <c r="Y11" s="544">
        <f>COUNTIF(URS確認!AS$2:AS$562,LEFT(B11,3))</f>
        <v>0</v>
      </c>
      <c r="Z11" s="597">
        <f>COUNTIF(URS確認!AT$2:AT$562,LEFT(B11,3))</f>
        <v>0</v>
      </c>
      <c r="AA11" s="551">
        <f>COUNTIF(URS確認!AU$2:AU$562,LEFT(B11,3))</f>
        <v>0</v>
      </c>
      <c r="AB11" s="562">
        <f>COUNTIF(URS確認!AV$2:AV$563,LEFT(B11,3))</f>
        <v>0</v>
      </c>
      <c r="AC11" s="4">
        <f t="shared" si="5"/>
        <v>20</v>
      </c>
      <c r="AD11" s="571" t="str">
        <f t="shared" ref="AD11:AD16" si="8">IF(AND(X11&gt;0,Y11=0,Z11=0,AA11=0,AB11=0),X11,"")</f>
        <v/>
      </c>
      <c r="AE11" s="259" t="str">
        <f>IF(AND(Y11&gt;0,Z11=0,AA11=0,AB11=0),Y11,"")</f>
        <v/>
      </c>
      <c r="AF11" s="609"/>
    </row>
    <row r="12" spans="1:32" outlineLevel="1" x14ac:dyDescent="0.35">
      <c r="B12" s="4" t="s">
        <v>2856</v>
      </c>
      <c r="C12" s="259">
        <f>COUNTIF(URS確認!$D:$D,B12)</f>
        <v>10</v>
      </c>
      <c r="D12" s="259">
        <v>10</v>
      </c>
      <c r="E12" s="540">
        <v>10</v>
      </c>
      <c r="F12" s="259">
        <f>COUNTIF(URS確認!AQ9:AQ569,LEFT(B12,3))</f>
        <v>10</v>
      </c>
      <c r="G12" s="259">
        <v>10</v>
      </c>
      <c r="H12" s="259">
        <v>10</v>
      </c>
      <c r="I12" s="259">
        <f>COUNTIF(URS確認!AR9:AR570,LEFT(B12,3))</f>
        <v>0</v>
      </c>
      <c r="K12" s="259" t="str">
        <f>IF(J12="V",C12,"")</f>
        <v/>
      </c>
      <c r="L12" s="259">
        <f t="shared" ref="L12:L60" si="9">SUM(J12:K12)</f>
        <v>0</v>
      </c>
      <c r="P12" s="539" t="s">
        <v>2803</v>
      </c>
      <c r="Q12" s="539" t="s">
        <v>2803</v>
      </c>
      <c r="R12" s="4">
        <f t="shared" si="3"/>
        <v>0</v>
      </c>
      <c r="S12" s="4">
        <f t="shared" si="7"/>
        <v>0</v>
      </c>
      <c r="V12" s="536"/>
      <c r="W12" s="533">
        <f>COUNTIF(URS確認!AQ$2:AQ$562,LEFT(B12,3))</f>
        <v>10</v>
      </c>
      <c r="X12" s="45">
        <f>COUNTIF(URS確認!AR$2:AR$563,LEFT(B12,3))</f>
        <v>0</v>
      </c>
      <c r="Y12" s="544">
        <f>COUNTIF(URS確認!AS$2:AS$562,LEFT(B12,3))</f>
        <v>0</v>
      </c>
      <c r="Z12" s="597">
        <f>COUNTIF(URS確認!AT$2:AT$562,LEFT(B12,3))</f>
        <v>0</v>
      </c>
      <c r="AA12" s="551">
        <f>COUNTIF(URS確認!AU$2:AU$562,LEFT(B12,3))</f>
        <v>0</v>
      </c>
      <c r="AB12" s="562">
        <f>COUNTIF(URS確認!AV$2:AV$563,LEFT(B12,3))</f>
        <v>0</v>
      </c>
      <c r="AC12" s="4">
        <f t="shared" si="5"/>
        <v>10</v>
      </c>
      <c r="AD12" s="571" t="str">
        <f t="shared" si="8"/>
        <v/>
      </c>
      <c r="AE12" s="259" t="str">
        <f t="shared" ref="AE12:AE60" si="10">IF(AND(Y12&gt;0,Z12=0,AA12=0,AB12=0),Y12,"")</f>
        <v/>
      </c>
    </row>
    <row r="13" spans="1:32" outlineLevel="1" x14ac:dyDescent="0.35">
      <c r="B13" s="4" t="s">
        <v>2857</v>
      </c>
      <c r="C13" s="259">
        <f>COUNTIF(URS確認!$D:$D,B13)</f>
        <v>20</v>
      </c>
      <c r="D13" s="259">
        <v>19</v>
      </c>
      <c r="E13" s="540">
        <v>10</v>
      </c>
      <c r="F13" s="259">
        <f>COUNTIF(URS確認!AQ10:AQ570,LEFT(B13,3))</f>
        <v>20</v>
      </c>
      <c r="G13" s="259">
        <v>19</v>
      </c>
      <c r="H13" s="259">
        <v>19</v>
      </c>
      <c r="I13" s="259">
        <f>COUNTIF(URS確認!AR10:AR571,LEFT(B13,3))</f>
        <v>0</v>
      </c>
      <c r="J13" s="259">
        <v>10</v>
      </c>
      <c r="K13" s="259">
        <v>9</v>
      </c>
      <c r="L13" s="259">
        <f t="shared" si="9"/>
        <v>19</v>
      </c>
      <c r="P13" s="539" t="s">
        <v>2803</v>
      </c>
      <c r="Q13" s="539" t="s">
        <v>2803</v>
      </c>
      <c r="R13" s="4">
        <f t="shared" si="3"/>
        <v>0</v>
      </c>
      <c r="S13" s="4">
        <f t="shared" si="7"/>
        <v>0</v>
      </c>
      <c r="V13" s="536"/>
      <c r="W13" s="533">
        <f>COUNTIF(URS確認!AQ$2:AQ$562,LEFT(B13,3))</f>
        <v>20</v>
      </c>
      <c r="X13" s="45">
        <f>COUNTIF(URS確認!AR$2:AR$563,LEFT(B13,3))</f>
        <v>0</v>
      </c>
      <c r="Y13" s="544">
        <f>COUNTIF(URS確認!AS$2:AS$562,LEFT(B13,3))</f>
        <v>0</v>
      </c>
      <c r="Z13" s="597">
        <f>COUNTIF(URS確認!AT$2:AT$562,LEFT(B13,3))</f>
        <v>0</v>
      </c>
      <c r="AA13" s="551">
        <f>COUNTIF(URS確認!AU$2:AU$562,LEFT(B13,3))</f>
        <v>0</v>
      </c>
      <c r="AB13" s="562">
        <f>COUNTIF(URS確認!AV$2:AV$563,LEFT(B13,3))</f>
        <v>0</v>
      </c>
      <c r="AC13" s="4">
        <f t="shared" si="5"/>
        <v>20</v>
      </c>
      <c r="AD13" s="571" t="str">
        <f t="shared" si="8"/>
        <v/>
      </c>
      <c r="AE13" s="259" t="str">
        <f t="shared" si="10"/>
        <v/>
      </c>
      <c r="AF13" s="609"/>
    </row>
    <row r="14" spans="1:32" outlineLevel="1" x14ac:dyDescent="0.35">
      <c r="B14" s="4" t="s">
        <v>2858</v>
      </c>
      <c r="C14" s="259">
        <f>COUNTIF(URS確認!$D:$D,B14)</f>
        <v>9</v>
      </c>
      <c r="D14" s="259">
        <v>9</v>
      </c>
      <c r="E14" s="259">
        <v>9</v>
      </c>
      <c r="F14" s="259">
        <f>COUNTIF(URS確認!AQ11:AQ571,LEFT(B14,3))</f>
        <v>9</v>
      </c>
      <c r="G14" s="259">
        <v>9</v>
      </c>
      <c r="H14" s="259">
        <v>9</v>
      </c>
      <c r="I14" s="259">
        <f>COUNTIF(URS確認!AR11:AR572,LEFT(B14,3))</f>
        <v>0</v>
      </c>
      <c r="K14" s="259" t="str">
        <f>IF(J14="V",C14,"")</f>
        <v/>
      </c>
      <c r="L14" s="259">
        <f t="shared" si="9"/>
        <v>0</v>
      </c>
      <c r="P14" s="539" t="s">
        <v>2803</v>
      </c>
      <c r="Q14" s="539" t="s">
        <v>2803</v>
      </c>
      <c r="R14" s="4">
        <f t="shared" si="3"/>
        <v>0</v>
      </c>
      <c r="S14" s="4">
        <f t="shared" si="7"/>
        <v>0</v>
      </c>
      <c r="V14" s="536"/>
      <c r="W14" s="533">
        <f>COUNTIF(URS確認!AQ$2:AQ$562,LEFT(B14,3))</f>
        <v>9</v>
      </c>
      <c r="X14" s="45">
        <f>COUNTIF(URS確認!AR$2:AR$563,LEFT(B14,3))</f>
        <v>0</v>
      </c>
      <c r="Y14" s="544">
        <f>COUNTIF(URS確認!AS$2:AS$562,LEFT(B14,3))</f>
        <v>0</v>
      </c>
      <c r="Z14" s="597">
        <f>COUNTIF(URS確認!AT$2:AT$562,LEFT(B14,3))</f>
        <v>0</v>
      </c>
      <c r="AA14" s="551">
        <f>COUNTIF(URS確認!AU$2:AU$562,LEFT(B14,3))</f>
        <v>0</v>
      </c>
      <c r="AB14" s="562">
        <f>COUNTIF(URS確認!AV$2:AV$563,LEFT(B14,3))</f>
        <v>0</v>
      </c>
      <c r="AC14" s="4">
        <f t="shared" si="5"/>
        <v>9</v>
      </c>
      <c r="AD14" s="571" t="str">
        <f t="shared" si="8"/>
        <v/>
      </c>
      <c r="AE14" s="259" t="str">
        <f t="shared" si="10"/>
        <v/>
      </c>
    </row>
    <row r="15" spans="1:32" outlineLevel="1" x14ac:dyDescent="0.35">
      <c r="B15" s="4" t="s">
        <v>2859</v>
      </c>
      <c r="C15" s="259">
        <f>COUNTIF(URS確認!$D:$D,B15)</f>
        <v>6</v>
      </c>
      <c r="D15" s="259">
        <v>6</v>
      </c>
      <c r="E15" s="259">
        <v>3</v>
      </c>
      <c r="F15" s="259">
        <f>COUNTIF(URS確認!AQ11:AQ572,LEFT(B15,3))</f>
        <v>6</v>
      </c>
      <c r="G15" s="259">
        <v>5</v>
      </c>
      <c r="H15" s="259">
        <v>6</v>
      </c>
      <c r="I15" s="259">
        <f>COUNTIF(URS確認!AR11:AR573,LEFT(B15,3))</f>
        <v>0</v>
      </c>
      <c r="K15" s="259" t="str">
        <f>IF(J15="V",C15,"")</f>
        <v/>
      </c>
      <c r="L15" s="259">
        <f t="shared" si="9"/>
        <v>0</v>
      </c>
      <c r="M15" s="259">
        <v>2</v>
      </c>
      <c r="N15" s="259">
        <v>1</v>
      </c>
      <c r="P15" s="539">
        <v>3</v>
      </c>
      <c r="Q15" s="539" t="s">
        <v>2803</v>
      </c>
      <c r="R15" s="4">
        <f t="shared" si="3"/>
        <v>6</v>
      </c>
      <c r="S15" s="4">
        <f t="shared" si="7"/>
        <v>3</v>
      </c>
      <c r="T15" s="4" t="s">
        <v>2915</v>
      </c>
      <c r="V15" s="536"/>
      <c r="W15" s="533">
        <f>COUNTIF(URS確認!AQ$2:AQ$562,LEFT(B15,3))</f>
        <v>6</v>
      </c>
      <c r="X15" s="45">
        <f>COUNTIF(URS確認!AR$2:AR$563,LEFT(B15,3))</f>
        <v>0</v>
      </c>
      <c r="Y15" s="544">
        <f>COUNTIF(URS確認!AS$2:AS$562,LEFT(B15,3))</f>
        <v>0</v>
      </c>
      <c r="Z15" s="597">
        <f>COUNTIF(URS確認!AT$2:AT$562,LEFT(B15,3))</f>
        <v>0</v>
      </c>
      <c r="AA15" s="551">
        <f>COUNTIF(URS確認!AU$2:AU$562,LEFT(B15,3))</f>
        <v>0</v>
      </c>
      <c r="AB15" s="562">
        <f>COUNTIF(URS確認!AV$2:AV$563,LEFT(B15,3))</f>
        <v>0</v>
      </c>
      <c r="AC15" s="4">
        <f t="shared" si="5"/>
        <v>6</v>
      </c>
      <c r="AD15" s="571" t="str">
        <f t="shared" si="8"/>
        <v/>
      </c>
      <c r="AE15" s="259" t="str">
        <f t="shared" si="10"/>
        <v/>
      </c>
      <c r="AF15" s="609"/>
    </row>
    <row r="16" spans="1:32" outlineLevel="1" x14ac:dyDescent="0.35">
      <c r="B16" s="633" t="s">
        <v>2860</v>
      </c>
      <c r="C16" s="259">
        <f>COUNTIF(URS確認!$D:$D,B16)</f>
        <v>12</v>
      </c>
      <c r="D16" s="259">
        <v>11</v>
      </c>
      <c r="E16" s="540">
        <v>9</v>
      </c>
      <c r="F16" s="259">
        <f>COUNTIF(URS確認!AQ12:AQ573,LEFT(B16,3))</f>
        <v>12</v>
      </c>
      <c r="G16" s="259">
        <v>11</v>
      </c>
      <c r="H16" s="259">
        <v>11</v>
      </c>
      <c r="I16" s="259">
        <f>COUNTIF(URS確認!AR12:AR574,LEFT(B16,3))</f>
        <v>0</v>
      </c>
      <c r="J16" s="259">
        <v>9</v>
      </c>
      <c r="K16" s="259">
        <v>2</v>
      </c>
      <c r="L16" s="259">
        <f t="shared" si="9"/>
        <v>11</v>
      </c>
      <c r="P16" s="539" t="s">
        <v>2803</v>
      </c>
      <c r="Q16" s="539" t="s">
        <v>2803</v>
      </c>
      <c r="R16" s="4">
        <f t="shared" si="3"/>
        <v>0</v>
      </c>
      <c r="S16" s="4">
        <f t="shared" si="7"/>
        <v>0</v>
      </c>
      <c r="V16" s="536"/>
      <c r="W16" s="533">
        <f>COUNTIF(URS確認!AQ$2:AQ$562,LEFT(B16,3))</f>
        <v>12</v>
      </c>
      <c r="X16" s="45">
        <f>COUNTIF(URS確認!AR$2:AR$563,LEFT(B16,3))</f>
        <v>0</v>
      </c>
      <c r="Y16" s="544">
        <f>COUNTIF(URS確認!AS$2:AS$562,LEFT(B16,3))</f>
        <v>0</v>
      </c>
      <c r="Z16" s="597">
        <f>COUNTIF(URS確認!AT$2:AT$562,LEFT(B16,3))</f>
        <v>0</v>
      </c>
      <c r="AA16" s="551">
        <f>COUNTIF(URS確認!AU$2:AU$562,LEFT(B16,3))</f>
        <v>0</v>
      </c>
      <c r="AB16" s="562">
        <f>COUNTIF(URS確認!AV$2:AV$563,LEFT(B16,3))</f>
        <v>0</v>
      </c>
      <c r="AC16" s="4">
        <f t="shared" si="5"/>
        <v>12</v>
      </c>
      <c r="AD16" s="571" t="str">
        <f t="shared" si="8"/>
        <v/>
      </c>
      <c r="AE16" s="259" t="str">
        <f t="shared" si="10"/>
        <v/>
      </c>
      <c r="AF16" s="609"/>
    </row>
    <row r="17" spans="1:32" x14ac:dyDescent="0.35">
      <c r="A17" s="533" t="s">
        <v>92</v>
      </c>
      <c r="B17" s="533"/>
      <c r="C17" s="258">
        <f>SUM(C18:C22)</f>
        <v>38</v>
      </c>
      <c r="D17" s="258">
        <v>38</v>
      </c>
      <c r="E17" s="258">
        <v>36</v>
      </c>
      <c r="G17" s="258">
        <v>38</v>
      </c>
      <c r="H17" s="258">
        <v>38</v>
      </c>
      <c r="J17" s="258"/>
      <c r="K17" s="258" t="str">
        <f t="shared" ref="K17:K31" si="11">IF(J17="V",C17,"")</f>
        <v/>
      </c>
      <c r="L17" s="258"/>
      <c r="M17" s="258"/>
      <c r="N17" s="258"/>
      <c r="O17" s="534"/>
      <c r="P17" s="535" t="s">
        <v>2803</v>
      </c>
      <c r="Q17" s="535" t="s">
        <v>2803</v>
      </c>
      <c r="R17" s="533"/>
      <c r="S17" s="533"/>
      <c r="V17" s="536"/>
      <c r="W17" s="533"/>
      <c r="X17" s="45"/>
      <c r="Y17" s="544"/>
      <c r="Z17" s="597"/>
      <c r="AA17" s="551"/>
      <c r="AB17" s="562"/>
      <c r="AD17" s="571"/>
      <c r="AE17" s="259" t="str">
        <f t="shared" si="10"/>
        <v/>
      </c>
    </row>
    <row r="18" spans="1:32" outlineLevel="1" x14ac:dyDescent="0.35">
      <c r="B18" s="4" t="s">
        <v>2861</v>
      </c>
      <c r="C18" s="259">
        <f>COUNTIF(URS確認!$D:$D,B18)</f>
        <v>7</v>
      </c>
      <c r="D18" s="259">
        <v>7</v>
      </c>
      <c r="E18" s="259">
        <v>7</v>
      </c>
      <c r="F18" s="259">
        <f>COUNTIF(URS確認!AQ15:AQ576,LEFT(B18,3))</f>
        <v>7</v>
      </c>
      <c r="G18" s="259">
        <v>7</v>
      </c>
      <c r="H18" s="259">
        <v>7</v>
      </c>
      <c r="I18" s="259">
        <f>COUNTIF(URS確認!AR15:AR577,LEFT(B18,3))</f>
        <v>0</v>
      </c>
      <c r="K18" s="259" t="str">
        <f t="shared" si="11"/>
        <v/>
      </c>
      <c r="L18" s="259">
        <f t="shared" si="9"/>
        <v>0</v>
      </c>
      <c r="P18" s="539" t="s">
        <v>2803</v>
      </c>
      <c r="Q18" s="539" t="s">
        <v>2803</v>
      </c>
      <c r="R18" s="4">
        <f t="shared" si="3"/>
        <v>0</v>
      </c>
      <c r="S18" s="4">
        <f>SUM(O18:Q18)</f>
        <v>0</v>
      </c>
      <c r="V18" s="536"/>
      <c r="W18" s="533">
        <f>COUNTIF(URS確認!AQ$2:AQ$562,LEFT(B18,3))</f>
        <v>7</v>
      </c>
      <c r="X18" s="45">
        <f>COUNTIF(URS確認!AR$2:AR$563,LEFT(B18,3))</f>
        <v>0</v>
      </c>
      <c r="Y18" s="544">
        <f>COUNTIF(URS確認!AS$2:AS$562,LEFT(B18,3))</f>
        <v>0</v>
      </c>
      <c r="Z18" s="597">
        <f>COUNTIF(URS確認!AT$2:AT$562,LEFT(B18,3))</f>
        <v>0</v>
      </c>
      <c r="AA18" s="551">
        <f>COUNTIF(URS確認!AU$2:AU$562,LEFT(B18,3))</f>
        <v>0</v>
      </c>
      <c r="AB18" s="562">
        <f>COUNTIF(URS確認!AV$2:AV$563,LEFT(B18,3))</f>
        <v>0</v>
      </c>
      <c r="AC18" s="4">
        <f t="shared" si="5"/>
        <v>7</v>
      </c>
      <c r="AD18" s="571" t="str">
        <f>IF(AND(X18&gt;0,Y18=0,Z18=0,AA18=0,AB18=0),X18,"")</f>
        <v/>
      </c>
      <c r="AE18" s="259" t="str">
        <f t="shared" si="10"/>
        <v/>
      </c>
    </row>
    <row r="19" spans="1:32" outlineLevel="1" x14ac:dyDescent="0.35">
      <c r="B19" s="4" t="s">
        <v>2862</v>
      </c>
      <c r="C19" s="259">
        <f>COUNTIF(URS確認!$D:$D,B19)</f>
        <v>9</v>
      </c>
      <c r="D19" s="259">
        <v>9</v>
      </c>
      <c r="E19" s="259">
        <v>9</v>
      </c>
      <c r="F19" s="259">
        <f>COUNTIF(URS確認!AQ16:AQ577,LEFT(B19,3))</f>
        <v>9</v>
      </c>
      <c r="G19" s="259">
        <v>9</v>
      </c>
      <c r="H19" s="259">
        <v>9</v>
      </c>
      <c r="I19" s="259">
        <f>COUNTIF(URS確認!AR16:AR578,LEFT(B19,3))</f>
        <v>0</v>
      </c>
      <c r="K19" s="259" t="str">
        <f t="shared" si="11"/>
        <v/>
      </c>
      <c r="L19" s="259">
        <f t="shared" si="9"/>
        <v>0</v>
      </c>
      <c r="P19" s="539" t="s">
        <v>2803</v>
      </c>
      <c r="Q19" s="539" t="s">
        <v>2803</v>
      </c>
      <c r="R19" s="4">
        <f t="shared" si="3"/>
        <v>0</v>
      </c>
      <c r="S19" s="4">
        <f t="shared" ref="S19:S22" si="12">SUM(O19:Q19)</f>
        <v>0</v>
      </c>
      <c r="V19" s="536"/>
      <c r="W19" s="533">
        <f>COUNTIF(URS確認!AQ$2:AQ$562,LEFT(B19,3))</f>
        <v>9</v>
      </c>
      <c r="X19" s="45">
        <f>COUNTIF(URS確認!AR$2:AR$563,LEFT(B19,3))</f>
        <v>0</v>
      </c>
      <c r="Y19" s="544">
        <f>COUNTIF(URS確認!AS$2:AS$562,LEFT(B19,3))</f>
        <v>0</v>
      </c>
      <c r="Z19" s="597">
        <f>COUNTIF(URS確認!AT$2:AT$562,LEFT(B19,3))</f>
        <v>0</v>
      </c>
      <c r="AA19" s="551">
        <f>COUNTIF(URS確認!AU$2:AU$562,LEFT(B19,3))</f>
        <v>0</v>
      </c>
      <c r="AB19" s="562">
        <f>COUNTIF(URS確認!AV$2:AV$563,LEFT(B19,3))</f>
        <v>0</v>
      </c>
      <c r="AC19" s="4">
        <f t="shared" si="5"/>
        <v>9</v>
      </c>
      <c r="AD19" s="571" t="str">
        <f t="shared" ref="AD19:AD22" si="13">IF(AND(X19&gt;0,Y19=0,Z19=0,AA19=0,AB19=0),X19,"")</f>
        <v/>
      </c>
      <c r="AE19" s="259" t="str">
        <f t="shared" si="10"/>
        <v/>
      </c>
    </row>
    <row r="20" spans="1:32" outlineLevel="1" x14ac:dyDescent="0.35">
      <c r="B20" s="4" t="s">
        <v>1425</v>
      </c>
      <c r="C20" s="259">
        <f>COUNTIF(URS確認!$D:$D,B20)</f>
        <v>16</v>
      </c>
      <c r="D20" s="259">
        <v>16</v>
      </c>
      <c r="E20" s="259">
        <v>14</v>
      </c>
      <c r="F20" s="259">
        <f>COUNTIF(URS確認!AQ17:AQ578,LEFT(B20,3))</f>
        <v>16</v>
      </c>
      <c r="G20" s="259">
        <v>16</v>
      </c>
      <c r="H20" s="259">
        <v>16</v>
      </c>
      <c r="I20" s="259">
        <f>COUNTIF(URS確認!AR17:AR579,LEFT(B20,3))</f>
        <v>0</v>
      </c>
      <c r="K20" s="259" t="str">
        <f t="shared" si="11"/>
        <v/>
      </c>
      <c r="L20" s="259">
        <f t="shared" si="9"/>
        <v>0</v>
      </c>
      <c r="P20" s="539" t="s">
        <v>2803</v>
      </c>
      <c r="Q20" s="539" t="s">
        <v>2803</v>
      </c>
      <c r="R20" s="4">
        <f t="shared" si="3"/>
        <v>0</v>
      </c>
      <c r="S20" s="4">
        <f t="shared" si="12"/>
        <v>0</v>
      </c>
      <c r="T20" s="4" t="s">
        <v>2791</v>
      </c>
      <c r="V20" s="536"/>
      <c r="W20" s="533">
        <f>COUNTIF(URS確認!AQ$2:AQ$562,LEFT(B20,3))</f>
        <v>16</v>
      </c>
      <c r="X20" s="45">
        <f>COUNTIF(URS確認!AR$2:AR$563,LEFT(B20,3))</f>
        <v>0</v>
      </c>
      <c r="Y20" s="544">
        <f>COUNTIF(URS確認!AS$2:AS$562,LEFT(B20,3))</f>
        <v>0</v>
      </c>
      <c r="Z20" s="597">
        <f>COUNTIF(URS確認!AT$2:AT$562,LEFT(B20,3))</f>
        <v>0</v>
      </c>
      <c r="AA20" s="551">
        <f>COUNTIF(URS確認!AU$2:AU$562,LEFT(B20,3))</f>
        <v>0</v>
      </c>
      <c r="AB20" s="562">
        <f>COUNTIF(URS確認!AV$2:AV$563,LEFT(B20,3))</f>
        <v>0</v>
      </c>
      <c r="AC20" s="4">
        <f t="shared" si="5"/>
        <v>16</v>
      </c>
      <c r="AD20" s="571" t="str">
        <f t="shared" si="13"/>
        <v/>
      </c>
      <c r="AE20" s="259" t="str">
        <f t="shared" si="10"/>
        <v/>
      </c>
    </row>
    <row r="21" spans="1:32" outlineLevel="1" x14ac:dyDescent="0.35">
      <c r="B21" s="4" t="s">
        <v>2863</v>
      </c>
      <c r="C21" s="259">
        <f>COUNTIF(URS確認!$D:$D,B21)</f>
        <v>3</v>
      </c>
      <c r="D21" s="259">
        <v>3</v>
      </c>
      <c r="E21" s="259">
        <v>3</v>
      </c>
      <c r="F21" s="259">
        <f>COUNTIF(URS確認!AQ18:AQ579,LEFT(B21,3))</f>
        <v>3</v>
      </c>
      <c r="G21" s="259">
        <v>3</v>
      </c>
      <c r="H21" s="259">
        <v>3</v>
      </c>
      <c r="I21" s="259">
        <f>COUNTIF(URS確認!AR18:AR580,LEFT(B21,3))</f>
        <v>0</v>
      </c>
      <c r="K21" s="259" t="str">
        <f t="shared" si="11"/>
        <v/>
      </c>
      <c r="L21" s="259">
        <f t="shared" si="9"/>
        <v>0</v>
      </c>
      <c r="P21" s="539" t="s">
        <v>2803</v>
      </c>
      <c r="Q21" s="539" t="s">
        <v>2803</v>
      </c>
      <c r="R21" s="4">
        <f t="shared" si="3"/>
        <v>0</v>
      </c>
      <c r="S21" s="4">
        <f t="shared" si="12"/>
        <v>0</v>
      </c>
      <c r="V21" s="536"/>
      <c r="W21" s="533">
        <f>COUNTIF(URS確認!AQ$2:AQ$562,LEFT(B21,3))</f>
        <v>3</v>
      </c>
      <c r="X21" s="45">
        <f>COUNTIF(URS確認!AR$2:AR$563,LEFT(B21,3))</f>
        <v>0</v>
      </c>
      <c r="Y21" s="544">
        <f>COUNTIF(URS確認!AS$2:AS$562,LEFT(B21,3))</f>
        <v>0</v>
      </c>
      <c r="Z21" s="597">
        <f>COUNTIF(URS確認!AT$2:AT$562,LEFT(B21,3))</f>
        <v>0</v>
      </c>
      <c r="AA21" s="551">
        <f>COUNTIF(URS確認!AU$2:AU$562,LEFT(B21,3))</f>
        <v>0</v>
      </c>
      <c r="AB21" s="562">
        <f>COUNTIF(URS確認!AV$2:AV$563,LEFT(B21,3))</f>
        <v>0</v>
      </c>
      <c r="AC21" s="4">
        <f t="shared" si="5"/>
        <v>3</v>
      </c>
      <c r="AD21" s="571" t="str">
        <f t="shared" si="13"/>
        <v/>
      </c>
      <c r="AE21" s="259" t="str">
        <f t="shared" si="10"/>
        <v/>
      </c>
    </row>
    <row r="22" spans="1:32" outlineLevel="1" x14ac:dyDescent="0.35">
      <c r="B22" s="4" t="s">
        <v>2864</v>
      </c>
      <c r="C22" s="259">
        <f>COUNTIF(URS確認!$D:$D,B22)</f>
        <v>3</v>
      </c>
      <c r="D22" s="259">
        <v>3</v>
      </c>
      <c r="E22" s="259">
        <v>3</v>
      </c>
      <c r="F22" s="259">
        <f>COUNTIF(URS確認!AQ19:AQ580,LEFT(B22,3))</f>
        <v>3</v>
      </c>
      <c r="G22" s="259">
        <v>3</v>
      </c>
      <c r="H22" s="259">
        <v>3</v>
      </c>
      <c r="I22" s="259">
        <f>COUNTIF(URS確認!AR19:AR581,LEFT(B22,3))</f>
        <v>0</v>
      </c>
      <c r="K22" s="259" t="str">
        <f t="shared" si="11"/>
        <v/>
      </c>
      <c r="L22" s="259">
        <f t="shared" si="9"/>
        <v>0</v>
      </c>
      <c r="P22" s="539" t="s">
        <v>2803</v>
      </c>
      <c r="Q22" s="539" t="s">
        <v>2803</v>
      </c>
      <c r="R22" s="4">
        <f t="shared" si="3"/>
        <v>0</v>
      </c>
      <c r="S22" s="4">
        <f t="shared" si="12"/>
        <v>0</v>
      </c>
      <c r="V22" s="536"/>
      <c r="W22" s="533">
        <f>COUNTIF(URS確認!AQ$2:AQ$562,LEFT(B22,3))</f>
        <v>3</v>
      </c>
      <c r="X22" s="45">
        <f>COUNTIF(URS確認!AR$2:AR$563,LEFT(B22,3))</f>
        <v>0</v>
      </c>
      <c r="Y22" s="544">
        <f>COUNTIF(URS確認!AS$2:AS$562,LEFT(B22,3))</f>
        <v>0</v>
      </c>
      <c r="Z22" s="597">
        <f>COUNTIF(URS確認!AT$2:AT$562,LEFT(B22,3))</f>
        <v>0</v>
      </c>
      <c r="AA22" s="551">
        <f>COUNTIF(URS確認!AU$2:AU$562,LEFT(B22,3))</f>
        <v>0</v>
      </c>
      <c r="AB22" s="562">
        <f>COUNTIF(URS確認!AV$2:AV$563,LEFT(B22,3))</f>
        <v>0</v>
      </c>
      <c r="AC22" s="4">
        <f t="shared" si="5"/>
        <v>3</v>
      </c>
      <c r="AD22" s="571" t="str">
        <f t="shared" si="13"/>
        <v/>
      </c>
      <c r="AE22" s="259" t="str">
        <f t="shared" si="10"/>
        <v/>
      </c>
    </row>
    <row r="23" spans="1:32" x14ac:dyDescent="0.35">
      <c r="A23" s="533" t="s">
        <v>93</v>
      </c>
      <c r="B23" s="533"/>
      <c r="C23" s="258">
        <f>SUM(C24:C30)</f>
        <v>75</v>
      </c>
      <c r="D23" s="258">
        <v>75</v>
      </c>
      <c r="E23" s="258">
        <v>75</v>
      </c>
      <c r="G23" s="258">
        <v>71</v>
      </c>
      <c r="H23" s="258">
        <v>70</v>
      </c>
      <c r="J23" s="258"/>
      <c r="K23" s="258" t="str">
        <f t="shared" si="11"/>
        <v/>
      </c>
      <c r="L23" s="258"/>
      <c r="M23" s="258"/>
      <c r="N23" s="258"/>
      <c r="O23" s="534"/>
      <c r="P23" s="535" t="s">
        <v>2803</v>
      </c>
      <c r="Q23" s="535" t="s">
        <v>2803</v>
      </c>
      <c r="R23" s="533"/>
      <c r="S23" s="533"/>
      <c r="V23" s="536"/>
      <c r="W23" s="533"/>
      <c r="X23" s="45"/>
      <c r="Y23" s="544"/>
      <c r="Z23" s="597"/>
      <c r="AA23" s="551"/>
      <c r="AB23" s="562"/>
      <c r="AD23" s="571"/>
      <c r="AE23" s="259" t="str">
        <f t="shared" si="10"/>
        <v/>
      </c>
    </row>
    <row r="24" spans="1:32" outlineLevel="1" x14ac:dyDescent="0.35">
      <c r="B24" s="4" t="s">
        <v>368</v>
      </c>
      <c r="C24" s="259">
        <f>COUNTIF(URS確認!$D:$D,B24)</f>
        <v>5</v>
      </c>
      <c r="D24" s="259">
        <v>5</v>
      </c>
      <c r="E24" s="259">
        <v>5</v>
      </c>
      <c r="F24" s="259">
        <f>COUNTIF(URS確認!AQ21:AQ582,LEFT(B24,3))</f>
        <v>5</v>
      </c>
      <c r="G24" s="259">
        <v>5</v>
      </c>
      <c r="H24" s="259">
        <v>5</v>
      </c>
      <c r="I24" s="259">
        <f>COUNTIF(URS確認!AR21:AR583,LEFT(B24,3))</f>
        <v>0</v>
      </c>
      <c r="K24" s="259" t="str">
        <f t="shared" si="11"/>
        <v/>
      </c>
      <c r="L24" s="259">
        <f t="shared" si="9"/>
        <v>0</v>
      </c>
      <c r="P24" s="539" t="s">
        <v>2803</v>
      </c>
      <c r="Q24" s="539" t="s">
        <v>2803</v>
      </c>
      <c r="R24" s="4">
        <f t="shared" si="3"/>
        <v>0</v>
      </c>
      <c r="S24" s="4">
        <f>SUM(O24:Q24)</f>
        <v>0</v>
      </c>
      <c r="V24" s="536"/>
      <c r="W24" s="533">
        <f>COUNTIF(URS確認!AQ$2:AQ$562,LEFT(B24,3))</f>
        <v>5</v>
      </c>
      <c r="X24" s="45">
        <f>COUNTIF(URS確認!AR$2:AR$563,LEFT(B24,3))</f>
        <v>0</v>
      </c>
      <c r="Y24" s="544">
        <f>COUNTIF(URS確認!AS$2:AS$562,LEFT(B24,3))</f>
        <v>0</v>
      </c>
      <c r="Z24" s="597">
        <f>COUNTIF(URS確認!AT$2:AT$562,LEFT(B24,3))</f>
        <v>0</v>
      </c>
      <c r="AA24" s="551">
        <f>COUNTIF(URS確認!AU$2:AU$562,LEFT(B24,3))</f>
        <v>0</v>
      </c>
      <c r="AB24" s="562">
        <f>COUNTIF(URS確認!AV$2:AV$563,LEFT(B24,3))</f>
        <v>0</v>
      </c>
      <c r="AC24" s="4">
        <f t="shared" si="5"/>
        <v>5</v>
      </c>
      <c r="AD24" s="571" t="str">
        <f>IF(AND(X24&gt;0,Y24=0,Z24=0,AA24=0,AB24=0),X24,"")</f>
        <v/>
      </c>
      <c r="AE24" s="259" t="str">
        <f t="shared" si="10"/>
        <v/>
      </c>
    </row>
    <row r="25" spans="1:32" outlineLevel="1" x14ac:dyDescent="0.35">
      <c r="B25" s="633" t="s">
        <v>410</v>
      </c>
      <c r="C25" s="259">
        <f>COUNTIF(URS確認!$D:$D,B25)</f>
        <v>17</v>
      </c>
      <c r="D25" s="259">
        <v>17</v>
      </c>
      <c r="E25" s="259">
        <v>17</v>
      </c>
      <c r="F25" s="259">
        <f>COUNTIF(URS確認!AQ22:AQ583,LEFT(B25,3))</f>
        <v>17</v>
      </c>
      <c r="G25" s="259">
        <v>16</v>
      </c>
      <c r="H25" s="259">
        <v>16</v>
      </c>
      <c r="I25" s="259">
        <f>COUNTIF(URS確認!AR22:AR584,LEFT(B25,3))</f>
        <v>0</v>
      </c>
      <c r="K25" s="259" t="str">
        <f t="shared" si="11"/>
        <v/>
      </c>
      <c r="L25" s="259">
        <f t="shared" si="9"/>
        <v>0</v>
      </c>
      <c r="M25" s="259">
        <v>16</v>
      </c>
      <c r="P25" s="539" t="s">
        <v>2803</v>
      </c>
      <c r="Q25" s="539">
        <v>1</v>
      </c>
      <c r="R25" s="4">
        <f t="shared" si="3"/>
        <v>17</v>
      </c>
      <c r="S25" s="4">
        <f t="shared" ref="S25:S30" si="14">SUM(O25:Q25)</f>
        <v>1</v>
      </c>
      <c r="V25" s="536"/>
      <c r="W25" s="533">
        <f>COUNTIF(URS確認!AQ$2:AQ$562,LEFT(B25,3))</f>
        <v>17</v>
      </c>
      <c r="X25" s="45">
        <f>COUNTIF(URS確認!AR$2:AR$563,LEFT(B25,3))</f>
        <v>0</v>
      </c>
      <c r="Y25" s="544">
        <f>COUNTIF(URS確認!AS$2:AS$562,LEFT(B25,3))</f>
        <v>0</v>
      </c>
      <c r="Z25" s="597">
        <f>COUNTIF(URS確認!AT$2:AT$562,LEFT(B25,3))</f>
        <v>0</v>
      </c>
      <c r="AA25" s="551">
        <f>COUNTIF(URS確認!AU$2:AU$562,LEFT(B25,3))</f>
        <v>0</v>
      </c>
      <c r="AB25" s="562">
        <f>COUNTIF(URS確認!AV$2:AV$563,LEFT(B25,3))</f>
        <v>0</v>
      </c>
      <c r="AC25" s="4">
        <f t="shared" si="5"/>
        <v>17</v>
      </c>
      <c r="AD25" s="571" t="str">
        <f t="shared" ref="AD25:AD30" si="15">IF(AND(X25&gt;0,Y25=0,Z25=0,AA25=0,AB25=0),X25,"")</f>
        <v/>
      </c>
      <c r="AE25" s="259" t="str">
        <f t="shared" si="10"/>
        <v/>
      </c>
    </row>
    <row r="26" spans="1:32" outlineLevel="1" x14ac:dyDescent="0.35">
      <c r="B26" s="633" t="s">
        <v>824</v>
      </c>
      <c r="C26" s="259">
        <f>COUNTIF(URS確認!$D:$D,B26)</f>
        <v>8</v>
      </c>
      <c r="D26" s="259">
        <v>8</v>
      </c>
      <c r="E26" s="259">
        <v>8</v>
      </c>
      <c r="F26" s="259">
        <f>COUNTIF(URS確認!AQ23:AQ584,LEFT(B26,3))</f>
        <v>8</v>
      </c>
      <c r="G26" s="259">
        <v>8</v>
      </c>
      <c r="H26" s="259">
        <v>8</v>
      </c>
      <c r="I26" s="259">
        <f>COUNTIF(URS確認!AR23:AR585,LEFT(B26,3))</f>
        <v>0</v>
      </c>
      <c r="K26" s="259" t="str">
        <f t="shared" si="11"/>
        <v/>
      </c>
      <c r="L26" s="259">
        <f t="shared" si="9"/>
        <v>0</v>
      </c>
      <c r="P26" s="539" t="s">
        <v>2803</v>
      </c>
      <c r="Q26" s="539" t="s">
        <v>2803</v>
      </c>
      <c r="R26" s="4">
        <f t="shared" si="3"/>
        <v>0</v>
      </c>
      <c r="S26" s="4">
        <f t="shared" si="14"/>
        <v>0</v>
      </c>
      <c r="V26" s="536"/>
      <c r="W26" s="533">
        <f>COUNTIF(URS確認!AQ$2:AQ$562,LEFT(B26,3))</f>
        <v>8</v>
      </c>
      <c r="X26" s="45">
        <f>COUNTIF(URS確認!AR$2:AR$563,LEFT(B26,3))</f>
        <v>0</v>
      </c>
      <c r="Y26" s="544">
        <f>COUNTIF(URS確認!AS$2:AS$562,LEFT(B26,3))</f>
        <v>0</v>
      </c>
      <c r="Z26" s="597">
        <f>COUNTIF(URS確認!AT$2:AT$562,LEFT(B26,3))</f>
        <v>0</v>
      </c>
      <c r="AA26" s="551">
        <f>COUNTIF(URS確認!AU$2:AU$562,LEFT(B26,3))</f>
        <v>0</v>
      </c>
      <c r="AB26" s="562">
        <f>COUNTIF(URS確認!AV$2:AV$563,LEFT(B26,3))</f>
        <v>0</v>
      </c>
      <c r="AC26" s="4">
        <f t="shared" si="5"/>
        <v>8</v>
      </c>
      <c r="AD26" s="571" t="str">
        <f t="shared" si="15"/>
        <v/>
      </c>
      <c r="AE26" s="259" t="str">
        <f t="shared" si="10"/>
        <v/>
      </c>
    </row>
    <row r="27" spans="1:32" outlineLevel="1" x14ac:dyDescent="0.35">
      <c r="B27" s="633" t="s">
        <v>378</v>
      </c>
      <c r="C27" s="654">
        <f>COUNTIF(URS確認!$D:$D,B27)+7</f>
        <v>17</v>
      </c>
      <c r="D27" s="259">
        <v>17</v>
      </c>
      <c r="E27" s="259">
        <v>17</v>
      </c>
      <c r="F27" s="259">
        <f>COUNTIF(URS確認!AQ25:AQ586,LEFT(B27,3))</f>
        <v>17</v>
      </c>
      <c r="G27" s="259">
        <v>10</v>
      </c>
      <c r="H27" s="259">
        <v>10</v>
      </c>
      <c r="I27" s="259">
        <f>COUNTIF(URS確認!AR25:AR587,LEFT(B27,3))</f>
        <v>0</v>
      </c>
      <c r="K27" s="259" t="str">
        <f t="shared" si="11"/>
        <v/>
      </c>
      <c r="L27" s="259">
        <f t="shared" si="9"/>
        <v>0</v>
      </c>
      <c r="P27" s="539" t="s">
        <v>2803</v>
      </c>
      <c r="Q27" s="539" t="s">
        <v>2803</v>
      </c>
      <c r="R27" s="4">
        <f t="shared" si="3"/>
        <v>0</v>
      </c>
      <c r="S27" s="4">
        <f t="shared" si="14"/>
        <v>0</v>
      </c>
      <c r="V27" s="536"/>
      <c r="W27" s="533">
        <f>COUNTIF(URS確認!AQ$2:AQ$562,LEFT(B27,3))</f>
        <v>17</v>
      </c>
      <c r="X27" s="45">
        <f>COUNTIF(URS確認!AR$2:AR$563,LEFT(B27,3))</f>
        <v>0</v>
      </c>
      <c r="Y27" s="544">
        <f>COUNTIF(URS確認!AS$2:AS$562,LEFT(B27,3))</f>
        <v>0</v>
      </c>
      <c r="Z27" s="597">
        <f>COUNTIF(URS確認!AT$2:AT$562,LEFT(B27,3))</f>
        <v>0</v>
      </c>
      <c r="AA27" s="551">
        <f>COUNTIF(URS確認!AU$2:AU$562,LEFT(B27,3))</f>
        <v>0</v>
      </c>
      <c r="AB27" s="562">
        <f>COUNTIF(URS確認!AV$2:AV$563,LEFT(B27,3))</f>
        <v>0</v>
      </c>
      <c r="AC27" s="4">
        <f t="shared" si="5"/>
        <v>17</v>
      </c>
      <c r="AD27" s="571" t="str">
        <f t="shared" si="15"/>
        <v/>
      </c>
      <c r="AE27" s="259" t="str">
        <f t="shared" si="10"/>
        <v/>
      </c>
    </row>
    <row r="28" spans="1:32" outlineLevel="1" x14ac:dyDescent="0.35">
      <c r="B28" s="633" t="s">
        <v>2948</v>
      </c>
      <c r="C28" s="654">
        <f>COUNTIF(URS確認!$D:$D,B28)+8</f>
        <v>8</v>
      </c>
      <c r="D28" s="259">
        <v>8</v>
      </c>
      <c r="E28" s="259">
        <v>8</v>
      </c>
      <c r="F28" s="259">
        <f>COUNTIF(URS確認!AQ26:AQ587,LEFT(B28,3))</f>
        <v>8</v>
      </c>
      <c r="G28" s="259">
        <v>7</v>
      </c>
      <c r="H28" s="259">
        <v>6</v>
      </c>
      <c r="I28" s="259">
        <f>COUNTIF(URS確認!AR26:AR588,LEFT(B28,3))</f>
        <v>0</v>
      </c>
      <c r="K28" s="259" t="str">
        <f t="shared" si="11"/>
        <v/>
      </c>
      <c r="L28" s="259">
        <f t="shared" si="9"/>
        <v>0</v>
      </c>
      <c r="M28" s="259">
        <v>6</v>
      </c>
      <c r="P28" s="539" t="s">
        <v>2803</v>
      </c>
      <c r="Q28" s="539">
        <v>1</v>
      </c>
      <c r="R28" s="4">
        <f t="shared" si="3"/>
        <v>7</v>
      </c>
      <c r="S28" s="4">
        <f t="shared" si="14"/>
        <v>1</v>
      </c>
      <c r="V28" s="536"/>
      <c r="W28" s="533">
        <f>COUNTIF(URS確認!AQ$2:AQ$562,LEFT(B28,3))</f>
        <v>8</v>
      </c>
      <c r="X28" s="45">
        <f>COUNTIF(URS確認!AR$2:AR$563,LEFT(B28,3))</f>
        <v>0</v>
      </c>
      <c r="Y28" s="544">
        <f>COUNTIF(URS確認!AS$2:AS$562,LEFT(B28,3))</f>
        <v>0</v>
      </c>
      <c r="Z28" s="597">
        <f>COUNTIF(URS確認!AT$2:AT$562,LEFT(B28,3))</f>
        <v>0</v>
      </c>
      <c r="AA28" s="551">
        <f>COUNTIF(URS確認!AU$2:AU$562,LEFT(B28,3))</f>
        <v>0</v>
      </c>
      <c r="AB28" s="562">
        <f>COUNTIF(URS確認!AV$2:AV$563,LEFT(B28,3))</f>
        <v>0</v>
      </c>
      <c r="AC28" s="4">
        <f t="shared" si="5"/>
        <v>8</v>
      </c>
      <c r="AD28" s="571" t="str">
        <f t="shared" si="15"/>
        <v/>
      </c>
      <c r="AE28" s="259" t="str">
        <f t="shared" si="10"/>
        <v/>
      </c>
    </row>
    <row r="29" spans="1:32" outlineLevel="1" x14ac:dyDescent="0.35">
      <c r="B29" s="633" t="s">
        <v>439</v>
      </c>
      <c r="C29" s="259">
        <f>COUNTIF(URS確認!$D:$D,B29)</f>
        <v>17</v>
      </c>
      <c r="D29" s="259">
        <v>17</v>
      </c>
      <c r="E29" s="259">
        <v>17</v>
      </c>
      <c r="F29" s="259">
        <f>COUNTIF(URS確認!AQ28:AQ589,LEFT(B29,3))</f>
        <v>17</v>
      </c>
      <c r="G29" s="259">
        <v>16</v>
      </c>
      <c r="H29" s="259">
        <v>16</v>
      </c>
      <c r="I29" s="259">
        <f>COUNTIF(URS確認!AR28:AR590,LEFT(B29,3))</f>
        <v>0</v>
      </c>
      <c r="K29" s="259" t="str">
        <f t="shared" si="11"/>
        <v/>
      </c>
      <c r="L29" s="259">
        <f t="shared" si="9"/>
        <v>0</v>
      </c>
      <c r="M29" s="259">
        <v>16</v>
      </c>
      <c r="P29" s="539" t="s">
        <v>2803</v>
      </c>
      <c r="Q29" s="539">
        <v>1</v>
      </c>
      <c r="R29" s="4">
        <f t="shared" si="3"/>
        <v>17</v>
      </c>
      <c r="S29" s="4">
        <f t="shared" si="14"/>
        <v>1</v>
      </c>
      <c r="V29" s="536"/>
      <c r="W29" s="533">
        <f>COUNTIF(URS確認!AQ$2:AQ$562,LEFT(B29,3))</f>
        <v>17</v>
      </c>
      <c r="X29" s="45">
        <f>COUNTIF(URS確認!AR$2:AR$563,LEFT(B29,3))</f>
        <v>0</v>
      </c>
      <c r="Y29" s="544">
        <f>COUNTIF(URS確認!AS$2:AS$562,LEFT(B29,3))</f>
        <v>0</v>
      </c>
      <c r="Z29" s="597">
        <f>COUNTIF(URS確認!AT$2:AT$562,LEFT(B29,3))</f>
        <v>0</v>
      </c>
      <c r="AA29" s="551">
        <f>COUNTIF(URS確認!AU$2:AU$562,LEFT(B29,3))</f>
        <v>0</v>
      </c>
      <c r="AB29" s="562">
        <f>COUNTIF(URS確認!AV$2:AV$563,LEFT(B29,3))</f>
        <v>0</v>
      </c>
      <c r="AC29" s="4">
        <f t="shared" si="5"/>
        <v>17</v>
      </c>
      <c r="AD29" s="571" t="str">
        <f t="shared" si="15"/>
        <v/>
      </c>
      <c r="AE29" s="259" t="str">
        <f t="shared" si="10"/>
        <v/>
      </c>
    </row>
    <row r="30" spans="1:32" outlineLevel="1" x14ac:dyDescent="0.35">
      <c r="B30" s="633" t="s">
        <v>419</v>
      </c>
      <c r="C30" s="259">
        <f>COUNTIF(URS確認!$D:$D,B30)</f>
        <v>3</v>
      </c>
      <c r="D30" s="259">
        <v>3</v>
      </c>
      <c r="E30" s="259">
        <v>3</v>
      </c>
      <c r="F30" s="259">
        <f>COUNTIF(URS確認!AQ29:AQ590,LEFT(B30,3))</f>
        <v>3</v>
      </c>
      <c r="G30" s="259">
        <v>2</v>
      </c>
      <c r="H30" s="259">
        <v>2</v>
      </c>
      <c r="I30" s="259">
        <f>COUNTIF(URS確認!AR29:AR591,LEFT(B30,3))</f>
        <v>0</v>
      </c>
      <c r="K30" s="259" t="str">
        <f t="shared" si="11"/>
        <v/>
      </c>
      <c r="L30" s="259">
        <f t="shared" si="9"/>
        <v>0</v>
      </c>
      <c r="M30" s="259">
        <v>2</v>
      </c>
      <c r="P30" s="539" t="s">
        <v>2803</v>
      </c>
      <c r="Q30" s="539">
        <v>1</v>
      </c>
      <c r="R30" s="4">
        <f t="shared" si="3"/>
        <v>3</v>
      </c>
      <c r="S30" s="4">
        <f t="shared" si="14"/>
        <v>1</v>
      </c>
      <c r="V30" s="536"/>
      <c r="W30" s="533">
        <f>COUNTIF(URS確認!AQ$2:AQ$562,LEFT(B30,3))</f>
        <v>3</v>
      </c>
      <c r="X30" s="45">
        <f>COUNTIF(URS確認!AR$2:AR$563,LEFT(B30,3))</f>
        <v>0</v>
      </c>
      <c r="Y30" s="544">
        <f>COUNTIF(URS確認!AS$2:AS$562,LEFT(B30,3))</f>
        <v>0</v>
      </c>
      <c r="Z30" s="597">
        <f>COUNTIF(URS確認!AT$2:AT$562,LEFT(B30,3))</f>
        <v>0</v>
      </c>
      <c r="AA30" s="551">
        <f>COUNTIF(URS確認!AU$2:AU$562,LEFT(B30,3))</f>
        <v>0</v>
      </c>
      <c r="AB30" s="562">
        <f>COUNTIF(URS確認!AV$2:AV$563,LEFT(B30,3))</f>
        <v>0</v>
      </c>
      <c r="AC30" s="4">
        <f t="shared" si="5"/>
        <v>3</v>
      </c>
      <c r="AD30" s="571" t="str">
        <f t="shared" si="15"/>
        <v/>
      </c>
      <c r="AE30" s="259" t="str">
        <f t="shared" si="10"/>
        <v/>
      </c>
    </row>
    <row r="31" spans="1:32" x14ac:dyDescent="0.35">
      <c r="A31" s="533" t="s">
        <v>94</v>
      </c>
      <c r="B31" s="533"/>
      <c r="C31" s="258">
        <f>SUM(C32:C37)</f>
        <v>87</v>
      </c>
      <c r="D31" s="258">
        <v>87</v>
      </c>
      <c r="E31" s="258">
        <v>50</v>
      </c>
      <c r="G31" s="258">
        <v>86</v>
      </c>
      <c r="H31" s="258">
        <v>82</v>
      </c>
      <c r="J31" s="258"/>
      <c r="K31" s="258" t="str">
        <f t="shared" si="11"/>
        <v/>
      </c>
      <c r="L31" s="258"/>
      <c r="M31" s="258"/>
      <c r="N31" s="258"/>
      <c r="O31" s="534"/>
      <c r="P31" s="535" t="s">
        <v>2803</v>
      </c>
      <c r="Q31" s="535" t="s">
        <v>2803</v>
      </c>
      <c r="R31" s="533"/>
      <c r="S31" s="533"/>
      <c r="V31" s="536"/>
      <c r="W31" s="533"/>
      <c r="X31" s="45"/>
      <c r="Y31" s="544"/>
      <c r="Z31" s="597"/>
      <c r="AA31" s="551"/>
      <c r="AB31" s="562"/>
      <c r="AD31" s="571"/>
      <c r="AE31" s="259" t="str">
        <f t="shared" si="10"/>
        <v/>
      </c>
    </row>
    <row r="32" spans="1:32" outlineLevel="1" x14ac:dyDescent="0.35">
      <c r="B32" s="4" t="s">
        <v>1002</v>
      </c>
      <c r="C32" s="259">
        <f>COUNTIF(URS確認!$D:$D,B32)</f>
        <v>15</v>
      </c>
      <c r="D32" s="259">
        <v>15</v>
      </c>
      <c r="E32" s="540">
        <v>11</v>
      </c>
      <c r="F32" s="259">
        <f>COUNTIF(URS確認!AQ31:AQ592,LEFT(B32,3))</f>
        <v>15</v>
      </c>
      <c r="G32" s="259">
        <v>15</v>
      </c>
      <c r="H32" s="259">
        <v>15</v>
      </c>
      <c r="I32" s="259">
        <f>COUNTIF(URS確認!AR31:AR593,LEFT(B32,3))</f>
        <v>0</v>
      </c>
      <c r="J32" s="259">
        <v>11</v>
      </c>
      <c r="K32" s="259">
        <v>4</v>
      </c>
      <c r="L32" s="259">
        <f t="shared" si="9"/>
        <v>15</v>
      </c>
      <c r="P32" s="539" t="s">
        <v>2803</v>
      </c>
      <c r="Q32" s="539" t="s">
        <v>2803</v>
      </c>
      <c r="R32" s="4">
        <f t="shared" si="3"/>
        <v>0</v>
      </c>
      <c r="S32" s="4">
        <f>SUM(O32:Q32)</f>
        <v>0</v>
      </c>
      <c r="V32" s="536"/>
      <c r="W32" s="533">
        <f>COUNTIF(URS確認!AQ$2:AQ$562,LEFT(B32,3))</f>
        <v>15</v>
      </c>
      <c r="X32" s="45">
        <f>COUNTIF(URS確認!AR$2:AR$563,LEFT(B32,3))</f>
        <v>0</v>
      </c>
      <c r="Y32" s="544">
        <f>COUNTIF(URS確認!AS$2:AS$562,LEFT(B32,3))</f>
        <v>0</v>
      </c>
      <c r="Z32" s="597">
        <f>COUNTIF(URS確認!AT$2:AT$562,LEFT(B32,3))</f>
        <v>0</v>
      </c>
      <c r="AA32" s="551">
        <f>COUNTIF(URS確認!AU$2:AU$562,LEFT(B32,3))</f>
        <v>0</v>
      </c>
      <c r="AB32" s="562">
        <f>COUNTIF(URS確認!AV$2:AV$563,LEFT(B32,3))</f>
        <v>0</v>
      </c>
      <c r="AC32" s="4">
        <f t="shared" si="5"/>
        <v>15</v>
      </c>
      <c r="AD32" s="571" t="str">
        <f>IF(AND(X32&gt;0,Y32=0,Z32=0,AA32=0,AB32=0),X32,"")</f>
        <v/>
      </c>
      <c r="AE32" s="259" t="str">
        <f t="shared" si="10"/>
        <v/>
      </c>
      <c r="AF32" s="609"/>
    </row>
    <row r="33" spans="1:32" outlineLevel="1" x14ac:dyDescent="0.35">
      <c r="B33" s="633" t="s">
        <v>1461</v>
      </c>
      <c r="C33" s="259">
        <f>COUNTIF(URS確認!$D:$D,B33)</f>
        <v>12</v>
      </c>
      <c r="D33" s="259">
        <v>12</v>
      </c>
      <c r="E33" s="540">
        <v>4</v>
      </c>
      <c r="F33" s="259">
        <f>COUNTIF(URS確認!AQ32:AQ593,LEFT(B33,3))</f>
        <v>12</v>
      </c>
      <c r="G33" s="259">
        <v>11</v>
      </c>
      <c r="H33" s="259">
        <v>11</v>
      </c>
      <c r="I33" s="259">
        <f>COUNTIF(URS確認!AR32:AR594,LEFT(B33,3))</f>
        <v>0</v>
      </c>
      <c r="J33" s="259">
        <v>4</v>
      </c>
      <c r="K33" s="259">
        <v>8</v>
      </c>
      <c r="L33" s="259">
        <f t="shared" si="9"/>
        <v>12</v>
      </c>
      <c r="P33" s="539" t="s">
        <v>2803</v>
      </c>
      <c r="Q33" s="539" t="s">
        <v>2803</v>
      </c>
      <c r="R33" s="4">
        <f t="shared" si="3"/>
        <v>0</v>
      </c>
      <c r="S33" s="4">
        <f t="shared" ref="S33:S37" si="16">SUM(O33:Q33)</f>
        <v>0</v>
      </c>
      <c r="V33" s="536"/>
      <c r="W33" s="533">
        <f>COUNTIF(URS確認!AQ$2:AQ$562,LEFT(B33,3))</f>
        <v>12</v>
      </c>
      <c r="X33" s="45">
        <f>COUNTIF(URS確認!AR$2:AR$563,LEFT(B33,3))</f>
        <v>0</v>
      </c>
      <c r="Y33" s="544">
        <f>COUNTIF(URS確認!AS$2:AS$562,LEFT(B33,3))</f>
        <v>0</v>
      </c>
      <c r="Z33" s="597">
        <f>COUNTIF(URS確認!AT$2:AT$562,LEFT(B33,3))</f>
        <v>0</v>
      </c>
      <c r="AA33" s="551">
        <f>COUNTIF(URS確認!AU$2:AU$562,LEFT(B33,3))</f>
        <v>0</v>
      </c>
      <c r="AB33" s="562">
        <f>COUNTIF(URS確認!AV$2:AV$563,LEFT(B33,3))</f>
        <v>0</v>
      </c>
      <c r="AC33" s="4">
        <f t="shared" si="5"/>
        <v>12</v>
      </c>
      <c r="AD33" s="571" t="str">
        <f t="shared" ref="AD33:AD37" si="17">IF(AND(X33&gt;0,Y33=0,Z33=0,AA33=0,AB33=0),X33,"")</f>
        <v/>
      </c>
      <c r="AE33" s="259" t="str">
        <f t="shared" si="10"/>
        <v/>
      </c>
      <c r="AF33" s="612" t="s">
        <v>3167</v>
      </c>
    </row>
    <row r="34" spans="1:32" outlineLevel="1" x14ac:dyDescent="0.35">
      <c r="B34" s="633" t="s">
        <v>2802</v>
      </c>
      <c r="C34" s="259">
        <f>COUNTIF(URS確認!$D:$D,B34)</f>
        <v>15</v>
      </c>
      <c r="D34" s="259">
        <v>15</v>
      </c>
      <c r="E34" s="540">
        <v>9</v>
      </c>
      <c r="F34" s="259">
        <f>COUNTIF(URS確認!AQ33:AQ594,LEFT(B34,3))</f>
        <v>15</v>
      </c>
      <c r="G34" s="259">
        <v>15</v>
      </c>
      <c r="H34" s="259">
        <v>12</v>
      </c>
      <c r="I34" s="259">
        <f>COUNTIF(URS確認!AR33:AR595,LEFT(B34,3))</f>
        <v>0</v>
      </c>
      <c r="K34" s="259" t="str">
        <f>IF(J34="V",C34,"")</f>
        <v/>
      </c>
      <c r="L34" s="259">
        <f t="shared" si="9"/>
        <v>0</v>
      </c>
      <c r="P34" s="539">
        <v>12</v>
      </c>
      <c r="Q34" s="539">
        <v>3</v>
      </c>
      <c r="R34" s="4">
        <f t="shared" si="3"/>
        <v>15</v>
      </c>
      <c r="S34" s="4">
        <f t="shared" si="16"/>
        <v>15</v>
      </c>
      <c r="V34" s="536"/>
      <c r="W34" s="533">
        <f>COUNTIF(URS確認!AQ$2:AQ$562,LEFT(B34,3))</f>
        <v>15</v>
      </c>
      <c r="X34" s="45">
        <f>COUNTIF(URS確認!AR$2:AR$563,LEFT(B34,3))</f>
        <v>0</v>
      </c>
      <c r="Y34" s="544">
        <f>COUNTIF(URS確認!AS$2:AS$562,LEFT(B34,3))</f>
        <v>0</v>
      </c>
      <c r="Z34" s="597">
        <f>COUNTIF(URS確認!AT$2:AT$562,LEFT(B34,3))</f>
        <v>0</v>
      </c>
      <c r="AA34" s="551">
        <f>COUNTIF(URS確認!AU$2:AU$562,LEFT(B34,3))</f>
        <v>0</v>
      </c>
      <c r="AB34" s="562">
        <f>COUNTIF(URS確認!AV$2:AV$563,LEFT(B34,3))</f>
        <v>0</v>
      </c>
      <c r="AC34" s="4">
        <f t="shared" si="5"/>
        <v>15</v>
      </c>
      <c r="AD34" s="571" t="str">
        <f t="shared" si="17"/>
        <v/>
      </c>
      <c r="AE34" s="259" t="str">
        <f t="shared" si="10"/>
        <v/>
      </c>
      <c r="AF34" s="612" t="s">
        <v>3167</v>
      </c>
    </row>
    <row r="35" spans="1:32" outlineLevel="1" x14ac:dyDescent="0.35">
      <c r="B35" s="4" t="s">
        <v>2865</v>
      </c>
      <c r="C35" s="259">
        <f>COUNTIF(URS確認!$D:$D,B35)</f>
        <v>15</v>
      </c>
      <c r="D35" s="259">
        <v>15</v>
      </c>
      <c r="E35" s="540"/>
      <c r="F35" s="259">
        <f>COUNTIF(URS確認!AQ34:AQ595,LEFT(B35,3))</f>
        <v>15</v>
      </c>
      <c r="G35" s="259">
        <v>15</v>
      </c>
      <c r="H35" s="259">
        <v>14</v>
      </c>
      <c r="I35" s="259">
        <f>COUNTIF(URS確認!AR34:AR596,LEFT(B35,3))</f>
        <v>0</v>
      </c>
      <c r="K35" s="259" t="str">
        <f>IF(J35="V",C35,"")</f>
        <v/>
      </c>
      <c r="L35" s="259">
        <f t="shared" si="9"/>
        <v>0</v>
      </c>
      <c r="N35" s="259">
        <v>14</v>
      </c>
      <c r="P35" s="539" t="s">
        <v>2803</v>
      </c>
      <c r="Q35" s="539">
        <v>1</v>
      </c>
      <c r="R35" s="4">
        <f t="shared" si="3"/>
        <v>15</v>
      </c>
      <c r="S35" s="4">
        <f t="shared" si="16"/>
        <v>1</v>
      </c>
      <c r="V35" s="536"/>
      <c r="W35" s="533">
        <f>COUNTIF(URS確認!AQ$2:AQ$562,LEFT(B35,3))</f>
        <v>15</v>
      </c>
      <c r="X35" s="45">
        <f>COUNTIF(URS確認!AR$2:AR$563,LEFT(B35,3))</f>
        <v>0</v>
      </c>
      <c r="Y35" s="544">
        <f>COUNTIF(URS確認!AS$2:AS$562,LEFT(B35,3))</f>
        <v>0</v>
      </c>
      <c r="Z35" s="597">
        <f>COUNTIF(URS確認!AT$2:AT$562,LEFT(B35,3))</f>
        <v>0</v>
      </c>
      <c r="AA35" s="551">
        <f>COUNTIF(URS確認!AU$2:AU$562,LEFT(B35,3))</f>
        <v>0</v>
      </c>
      <c r="AB35" s="562">
        <f>COUNTIF(URS確認!AV$2:AV$563,LEFT(B35,3))</f>
        <v>0</v>
      </c>
      <c r="AC35" s="4">
        <f t="shared" si="5"/>
        <v>15</v>
      </c>
      <c r="AD35" s="571" t="str">
        <f t="shared" si="17"/>
        <v/>
      </c>
      <c r="AE35" s="259" t="str">
        <f t="shared" si="10"/>
        <v/>
      </c>
      <c r="AF35" s="609"/>
    </row>
    <row r="36" spans="1:32" outlineLevel="1" x14ac:dyDescent="0.35">
      <c r="B36" s="4" t="s">
        <v>2822</v>
      </c>
      <c r="C36" s="259">
        <f>COUNTIF(URS確認!$D:$D,B36)</f>
        <v>26</v>
      </c>
      <c r="D36" s="259">
        <v>26</v>
      </c>
      <c r="E36" s="259">
        <v>26</v>
      </c>
      <c r="F36" s="259">
        <f>COUNTIF(URS確認!AQ35:AQ596,LEFT(B36,3))</f>
        <v>26</v>
      </c>
      <c r="G36" s="259">
        <v>26</v>
      </c>
      <c r="H36" s="259">
        <v>26</v>
      </c>
      <c r="I36" s="259">
        <f>COUNTIF(URS確認!AR35:AR597,LEFT(B36,3))</f>
        <v>0</v>
      </c>
      <c r="K36" s="259" t="str">
        <f>IF(J36="V",C36,"")</f>
        <v/>
      </c>
      <c r="L36" s="259">
        <f t="shared" si="9"/>
        <v>0</v>
      </c>
      <c r="P36" s="539" t="s">
        <v>2803</v>
      </c>
      <c r="Q36" s="539" t="s">
        <v>2803</v>
      </c>
      <c r="R36" s="4">
        <f t="shared" si="3"/>
        <v>0</v>
      </c>
      <c r="S36" s="4">
        <f t="shared" si="16"/>
        <v>0</v>
      </c>
      <c r="V36" s="536"/>
      <c r="W36" s="533">
        <f>COUNTIF(URS確認!AQ$2:AQ$562,LEFT(B36,3))</f>
        <v>26</v>
      </c>
      <c r="X36" s="45">
        <f>COUNTIF(URS確認!AR$2:AR$563,LEFT(B36,3))</f>
        <v>0</v>
      </c>
      <c r="Y36" s="544">
        <f>COUNTIF(URS確認!AS$2:AS$562,LEFT(B36,3))</f>
        <v>0</v>
      </c>
      <c r="Z36" s="597">
        <f>COUNTIF(URS確認!AT$2:AT$562,LEFT(B36,3))</f>
        <v>0</v>
      </c>
      <c r="AA36" s="551">
        <f>COUNTIF(URS確認!AU$2:AU$562,LEFT(B36,3))</f>
        <v>0</v>
      </c>
      <c r="AB36" s="562">
        <f>COUNTIF(URS確認!AV$2:AV$563,LEFT(B36,3))</f>
        <v>0</v>
      </c>
      <c r="AC36" s="4">
        <f t="shared" si="5"/>
        <v>26</v>
      </c>
      <c r="AD36" s="571" t="str">
        <f t="shared" si="17"/>
        <v/>
      </c>
      <c r="AE36" s="259" t="str">
        <f t="shared" si="10"/>
        <v/>
      </c>
    </row>
    <row r="37" spans="1:32" outlineLevel="1" x14ac:dyDescent="0.35">
      <c r="B37" s="4" t="s">
        <v>2866</v>
      </c>
      <c r="C37" s="259">
        <f>COUNTIF(URS確認!$D:$D,B37)</f>
        <v>4</v>
      </c>
      <c r="D37" s="259">
        <v>4</v>
      </c>
      <c r="F37" s="259">
        <f>COUNTIF(URS確認!AQ36:AQ597,LEFT(B37,3))</f>
        <v>4</v>
      </c>
      <c r="G37" s="259">
        <v>4</v>
      </c>
      <c r="H37" s="259">
        <v>4</v>
      </c>
      <c r="I37" s="259">
        <f>COUNTIF(URS確認!AR36:AR598,LEFT(B37,3))</f>
        <v>0</v>
      </c>
      <c r="J37" s="259">
        <v>0</v>
      </c>
      <c r="K37" s="259">
        <v>4</v>
      </c>
      <c r="L37" s="259">
        <f t="shared" si="9"/>
        <v>4</v>
      </c>
      <c r="P37" s="539" t="s">
        <v>2803</v>
      </c>
      <c r="Q37" s="539" t="s">
        <v>2803</v>
      </c>
      <c r="R37" s="4">
        <f t="shared" si="3"/>
        <v>0</v>
      </c>
      <c r="S37" s="4">
        <f t="shared" si="16"/>
        <v>0</v>
      </c>
      <c r="V37" s="536"/>
      <c r="W37" s="533">
        <f>COUNTIF(URS確認!AQ$2:AQ$562,LEFT(B37,3))</f>
        <v>4</v>
      </c>
      <c r="X37" s="45">
        <f>COUNTIF(URS確認!AR$2:AR$563,LEFT(B37,3))</f>
        <v>0</v>
      </c>
      <c r="Y37" s="544">
        <f>COUNTIF(URS確認!AS$2:AS$562,LEFT(B37,3))</f>
        <v>0</v>
      </c>
      <c r="Z37" s="597">
        <f>COUNTIF(URS確認!AT$2:AT$562,LEFT(B37,3))</f>
        <v>0</v>
      </c>
      <c r="AA37" s="551">
        <f>COUNTIF(URS確認!AU$2:AU$562,LEFT(B37,3))</f>
        <v>0</v>
      </c>
      <c r="AB37" s="562">
        <f>COUNTIF(URS確認!AV$2:AV$563,LEFT(B37,3))</f>
        <v>0</v>
      </c>
      <c r="AC37" s="4">
        <f t="shared" si="5"/>
        <v>4</v>
      </c>
      <c r="AD37" s="571" t="str">
        <f t="shared" si="17"/>
        <v/>
      </c>
      <c r="AE37" s="259" t="str">
        <f t="shared" si="10"/>
        <v/>
      </c>
      <c r="AF37" s="609"/>
    </row>
    <row r="38" spans="1:32" x14ac:dyDescent="0.35">
      <c r="A38" s="533" t="s">
        <v>95</v>
      </c>
      <c r="B38" s="533"/>
      <c r="C38" s="258">
        <f>SUM(C39:C46)</f>
        <v>95</v>
      </c>
      <c r="D38" s="258">
        <v>88</v>
      </c>
      <c r="E38" s="258">
        <v>42</v>
      </c>
      <c r="G38" s="258">
        <v>85</v>
      </c>
      <c r="H38" s="258">
        <v>86</v>
      </c>
      <c r="J38" s="258"/>
      <c r="K38" s="258" t="str">
        <f>IF(J38="V",C38,"")</f>
        <v/>
      </c>
      <c r="L38" s="258"/>
      <c r="M38" s="258"/>
      <c r="N38" s="258"/>
      <c r="O38" s="534"/>
      <c r="P38" s="535" t="s">
        <v>2803</v>
      </c>
      <c r="Q38" s="535" t="s">
        <v>2803</v>
      </c>
      <c r="R38" s="533"/>
      <c r="S38" s="533"/>
      <c r="V38" s="536"/>
      <c r="W38" s="533"/>
      <c r="X38" s="45"/>
      <c r="Y38" s="544"/>
      <c r="Z38" s="597"/>
      <c r="AA38" s="551"/>
      <c r="AB38" s="562"/>
      <c r="AD38" s="571"/>
      <c r="AE38" s="259" t="str">
        <f t="shared" si="10"/>
        <v/>
      </c>
    </row>
    <row r="39" spans="1:32" outlineLevel="1" x14ac:dyDescent="0.35">
      <c r="B39" s="633" t="s">
        <v>2867</v>
      </c>
      <c r="C39" s="259">
        <f>COUNTIF(URS確認!$D:$D,B39)</f>
        <v>4</v>
      </c>
      <c r="D39" s="259">
        <v>4</v>
      </c>
      <c r="E39" s="540"/>
      <c r="F39" s="259">
        <f>COUNTIF(URS確認!AQ38:AQ599,LEFT(B39,3))</f>
        <v>4</v>
      </c>
      <c r="G39" s="259">
        <v>3</v>
      </c>
      <c r="H39" s="259">
        <v>3</v>
      </c>
      <c r="I39" s="259">
        <f>COUNTIF(URS確認!AR38:AR600,LEFT(B39,3))</f>
        <v>0</v>
      </c>
      <c r="K39" s="259" t="str">
        <f>IF(J39="V",C39,"")</f>
        <v/>
      </c>
      <c r="L39" s="259">
        <f t="shared" si="9"/>
        <v>0</v>
      </c>
      <c r="N39" s="259">
        <v>1</v>
      </c>
      <c r="P39" s="539">
        <v>2</v>
      </c>
      <c r="Q39" s="539">
        <v>1</v>
      </c>
      <c r="R39" s="4">
        <f t="shared" si="3"/>
        <v>4</v>
      </c>
      <c r="S39" s="4">
        <f>SUM(O39:Q39)</f>
        <v>3</v>
      </c>
      <c r="V39" s="536"/>
      <c r="W39" s="533">
        <f>COUNTIF(URS確認!AQ$2:AQ$562,LEFT(B39,3))</f>
        <v>4</v>
      </c>
      <c r="X39" s="45">
        <f>COUNTIF(URS確認!AR$2:AR$563,LEFT(B39,3))</f>
        <v>0</v>
      </c>
      <c r="Y39" s="544">
        <f>COUNTIF(URS確認!AS$2:AS$562,LEFT(B39,3))</f>
        <v>0</v>
      </c>
      <c r="Z39" s="597">
        <f>COUNTIF(URS確認!AT$2:AT$562,LEFT(B39,3))</f>
        <v>0</v>
      </c>
      <c r="AA39" s="551">
        <f>COUNTIF(URS確認!AU$2:AU$562,LEFT(B39,3))</f>
        <v>0</v>
      </c>
      <c r="AB39" s="562">
        <f>COUNTIF(URS確認!AV$2:AV$563,LEFT(B39,3))</f>
        <v>0</v>
      </c>
      <c r="AC39" s="4">
        <f t="shared" si="5"/>
        <v>4</v>
      </c>
      <c r="AD39" s="571" t="str">
        <f>IF(AND(X39&gt;0,Y39=0,Z39=0,AA39=0,AB39=0),X39,"")</f>
        <v/>
      </c>
      <c r="AE39" s="259" t="str">
        <f t="shared" si="10"/>
        <v/>
      </c>
    </row>
    <row r="40" spans="1:32" outlineLevel="1" x14ac:dyDescent="0.35">
      <c r="B40" s="4" t="s">
        <v>2868</v>
      </c>
      <c r="C40" s="259">
        <f>COUNTIF(URS確認!$D:$D,B40)</f>
        <v>9</v>
      </c>
      <c r="D40" s="259">
        <v>9</v>
      </c>
      <c r="E40" s="259">
        <v>7</v>
      </c>
      <c r="F40" s="259">
        <f>COUNTIF(URS確認!AQ39:AQ600,LEFT(B40,3))</f>
        <v>9</v>
      </c>
      <c r="G40" s="259">
        <v>9</v>
      </c>
      <c r="H40" s="259">
        <v>9</v>
      </c>
      <c r="I40" s="259">
        <f>COUNTIF(URS確認!AR39:AR601,LEFT(B40,3))</f>
        <v>0</v>
      </c>
      <c r="J40" s="259">
        <v>7</v>
      </c>
      <c r="K40" s="259">
        <v>2</v>
      </c>
      <c r="L40" s="259">
        <f t="shared" si="9"/>
        <v>9</v>
      </c>
      <c r="P40" s="539" t="s">
        <v>2803</v>
      </c>
      <c r="Q40" s="539" t="s">
        <v>2803</v>
      </c>
      <c r="R40" s="4">
        <f t="shared" si="3"/>
        <v>0</v>
      </c>
      <c r="S40" s="4">
        <f t="shared" ref="S40:S46" si="18">SUM(O40:Q40)</f>
        <v>0</v>
      </c>
      <c r="T40" s="4" t="s">
        <v>2915</v>
      </c>
      <c r="V40" s="536"/>
      <c r="W40" s="533">
        <f>COUNTIF(URS確認!AQ$2:AQ$562,LEFT(B40,3))</f>
        <v>9</v>
      </c>
      <c r="X40" s="45">
        <f>COUNTIF(URS確認!AR$2:AR$563,LEFT(B40,3))</f>
        <v>0</v>
      </c>
      <c r="Y40" s="544">
        <f>COUNTIF(URS確認!AS$2:AS$562,LEFT(B40,3))</f>
        <v>0</v>
      </c>
      <c r="Z40" s="597">
        <f>COUNTIF(URS確認!AT$2:AT$562,LEFT(B40,3))</f>
        <v>0</v>
      </c>
      <c r="AA40" s="551">
        <f>COUNTIF(URS確認!AU$2:AU$562,LEFT(B40,3))</f>
        <v>0</v>
      </c>
      <c r="AB40" s="562">
        <f>COUNTIF(URS確認!AV$2:AV$563,LEFT(B40,3))</f>
        <v>0</v>
      </c>
      <c r="AC40" s="4">
        <f t="shared" si="5"/>
        <v>9</v>
      </c>
      <c r="AD40" s="571" t="str">
        <f t="shared" ref="AD40:AD46" si="19">IF(AND(X40&gt;0,Y40=0,Z40=0,AA40=0,AB40=0),X40,"")</f>
        <v/>
      </c>
      <c r="AE40" s="259" t="str">
        <f t="shared" si="10"/>
        <v/>
      </c>
      <c r="AF40" s="609"/>
    </row>
    <row r="41" spans="1:32" outlineLevel="1" x14ac:dyDescent="0.35">
      <c r="B41" s="4" t="s">
        <v>2869</v>
      </c>
      <c r="C41" s="259">
        <f>COUNTIF(URS確認!$D:$D,B41)</f>
        <v>6</v>
      </c>
      <c r="D41" s="259">
        <v>6</v>
      </c>
      <c r="F41" s="259">
        <f>COUNTIF(URS確認!AQ40:AQ601,LEFT(B41,3))</f>
        <v>6</v>
      </c>
      <c r="G41" s="259">
        <v>6</v>
      </c>
      <c r="H41" s="259">
        <v>6</v>
      </c>
      <c r="I41" s="259">
        <f>COUNTIF(URS確認!AR40:AR602,LEFT(B41,3))</f>
        <v>0</v>
      </c>
      <c r="J41" s="259">
        <v>0</v>
      </c>
      <c r="K41" s="259">
        <v>6</v>
      </c>
      <c r="L41" s="259">
        <f t="shared" si="9"/>
        <v>6</v>
      </c>
      <c r="P41" s="539" t="s">
        <v>2803</v>
      </c>
      <c r="Q41" s="539" t="s">
        <v>2803</v>
      </c>
      <c r="R41" s="4">
        <f t="shared" si="3"/>
        <v>0</v>
      </c>
      <c r="S41" s="4">
        <f t="shared" si="18"/>
        <v>0</v>
      </c>
      <c r="T41" s="4" t="s">
        <v>2915</v>
      </c>
      <c r="V41" s="536"/>
      <c r="W41" s="533">
        <f>COUNTIF(URS確認!AQ$2:AQ$562,LEFT(B41,3))</f>
        <v>6</v>
      </c>
      <c r="X41" s="45">
        <f>COUNTIF(URS確認!AR$2:AR$563,LEFT(B41,3))</f>
        <v>0</v>
      </c>
      <c r="Y41" s="544">
        <f>COUNTIF(URS確認!AS$2:AS$562,LEFT(B41,3))</f>
        <v>0</v>
      </c>
      <c r="Z41" s="597">
        <f>COUNTIF(URS確認!AT$2:AT$562,LEFT(B41,3))</f>
        <v>0</v>
      </c>
      <c r="AA41" s="551">
        <f>COUNTIF(URS確認!AU$2:AU$562,LEFT(B41,3))</f>
        <v>0</v>
      </c>
      <c r="AB41" s="562">
        <f>COUNTIF(URS確認!AV$2:AV$563,LEFT(B41,3))</f>
        <v>0</v>
      </c>
      <c r="AC41" s="4">
        <f t="shared" si="5"/>
        <v>6</v>
      </c>
      <c r="AD41" s="571" t="str">
        <f t="shared" si="19"/>
        <v/>
      </c>
      <c r="AE41" s="259" t="str">
        <f t="shared" si="10"/>
        <v/>
      </c>
      <c r="AF41" s="609"/>
    </row>
    <row r="42" spans="1:32" outlineLevel="1" x14ac:dyDescent="0.35">
      <c r="B42" s="4" t="s">
        <v>2870</v>
      </c>
      <c r="C42" s="259">
        <f>COUNTIF(URS確認!$D:$D,B42)</f>
        <v>11</v>
      </c>
      <c r="D42" s="259">
        <v>8</v>
      </c>
      <c r="E42" s="540"/>
      <c r="F42" s="259">
        <f>COUNTIF(URS確認!AQ41:AQ602,LEFT(B42,3))</f>
        <v>11</v>
      </c>
      <c r="G42" s="259">
        <v>7</v>
      </c>
      <c r="H42" s="259">
        <v>8</v>
      </c>
      <c r="I42" s="259">
        <f>COUNTIF(URS確認!AR41:AR603,LEFT(B42,3))</f>
        <v>0</v>
      </c>
      <c r="K42" s="259" t="str">
        <f>IF(J42="V",C42,"")</f>
        <v/>
      </c>
      <c r="L42" s="259">
        <f t="shared" si="9"/>
        <v>0</v>
      </c>
      <c r="P42" s="539">
        <v>8</v>
      </c>
      <c r="Q42" s="539" t="s">
        <v>2803</v>
      </c>
      <c r="R42" s="4">
        <f t="shared" si="3"/>
        <v>8</v>
      </c>
      <c r="S42" s="4">
        <f t="shared" si="18"/>
        <v>8</v>
      </c>
      <c r="V42" s="536"/>
      <c r="W42" s="533">
        <f>COUNTIF(URS確認!AQ$2:AQ$562,LEFT(B42,3))</f>
        <v>11</v>
      </c>
      <c r="X42" s="45">
        <f>COUNTIF(URS確認!AR$2:AR$563,LEFT(B42,3))</f>
        <v>0</v>
      </c>
      <c r="Y42" s="544">
        <f>COUNTIF(URS確認!AS$2:AS$562,LEFT(B42,3))</f>
        <v>0</v>
      </c>
      <c r="Z42" s="597">
        <f>COUNTIF(URS確認!AT$2:AT$562,LEFT(B42,3))</f>
        <v>0</v>
      </c>
      <c r="AA42" s="551">
        <f>COUNTIF(URS確認!AU$2:AU$562,LEFT(B42,3))</f>
        <v>0</v>
      </c>
      <c r="AB42" s="562">
        <f>COUNTIF(URS確認!AV$2:AV$563,LEFT(B42,3))</f>
        <v>0</v>
      </c>
      <c r="AC42" s="4">
        <f t="shared" si="5"/>
        <v>11</v>
      </c>
      <c r="AD42" s="571" t="str">
        <f t="shared" si="19"/>
        <v/>
      </c>
      <c r="AE42" s="259" t="str">
        <f t="shared" si="10"/>
        <v/>
      </c>
      <c r="AF42" s="609"/>
    </row>
    <row r="43" spans="1:32" outlineLevel="1" x14ac:dyDescent="0.35">
      <c r="B43" s="4" t="s">
        <v>2871</v>
      </c>
      <c r="C43" s="259">
        <f>COUNTIF(URS確認!$D:$D,B43)</f>
        <v>7</v>
      </c>
      <c r="D43" s="259">
        <v>7</v>
      </c>
      <c r="E43" s="540">
        <v>4</v>
      </c>
      <c r="F43" s="259">
        <f>COUNTIF(URS確認!AQ42:AQ603,LEFT(B43,3))</f>
        <v>7</v>
      </c>
      <c r="G43" s="259">
        <v>6</v>
      </c>
      <c r="H43" s="259">
        <v>6</v>
      </c>
      <c r="I43" s="259">
        <f>COUNTIF(URS確認!AR42:AR604,LEFT(B43,3))</f>
        <v>0</v>
      </c>
      <c r="L43" s="259">
        <f t="shared" si="9"/>
        <v>0</v>
      </c>
      <c r="M43" s="259">
        <v>4</v>
      </c>
      <c r="N43" s="259">
        <v>2</v>
      </c>
      <c r="P43" s="539" t="s">
        <v>2803</v>
      </c>
      <c r="Q43" s="539">
        <v>1</v>
      </c>
      <c r="R43" s="4">
        <f t="shared" si="3"/>
        <v>7</v>
      </c>
      <c r="S43" s="4">
        <f t="shared" si="18"/>
        <v>1</v>
      </c>
      <c r="V43" s="536"/>
      <c r="W43" s="533">
        <f>COUNTIF(URS確認!AQ$2:AQ$562,LEFT(B43,3))</f>
        <v>7</v>
      </c>
      <c r="X43" s="45">
        <f>COUNTIF(URS確認!AR$2:AR$563,LEFT(B43,3))</f>
        <v>0</v>
      </c>
      <c r="Y43" s="544">
        <f>COUNTIF(URS確認!AS$2:AS$562,LEFT(B43,3))</f>
        <v>0</v>
      </c>
      <c r="Z43" s="597">
        <f>COUNTIF(URS確認!AT$2:AT$562,LEFT(B43,3))</f>
        <v>0</v>
      </c>
      <c r="AA43" s="551">
        <f>COUNTIF(URS確認!AU$2:AU$562,LEFT(B43,3))</f>
        <v>0</v>
      </c>
      <c r="AB43" s="562">
        <f>COUNTIF(URS確認!AV$2:AV$563,LEFT(B43,3))</f>
        <v>0</v>
      </c>
      <c r="AC43" s="4">
        <f t="shared" si="5"/>
        <v>7</v>
      </c>
      <c r="AD43" s="571" t="str">
        <f t="shared" si="19"/>
        <v/>
      </c>
      <c r="AE43" s="259" t="str">
        <f t="shared" si="10"/>
        <v/>
      </c>
      <c r="AF43" s="609"/>
    </row>
    <row r="44" spans="1:32" outlineLevel="1" x14ac:dyDescent="0.35">
      <c r="B44" s="633" t="s">
        <v>2872</v>
      </c>
      <c r="C44" s="259">
        <f>COUNTIF(URS確認!$D:$D,B44)</f>
        <v>22</v>
      </c>
      <c r="D44" s="259">
        <v>20</v>
      </c>
      <c r="E44" s="540">
        <v>12</v>
      </c>
      <c r="F44" s="259">
        <f>COUNTIF(URS確認!AQ43:AQ604,LEFT(B44,3))</f>
        <v>20</v>
      </c>
      <c r="G44" s="259">
        <v>20</v>
      </c>
      <c r="H44" s="259">
        <v>20</v>
      </c>
      <c r="I44" s="259">
        <f>COUNTIF(URS確認!AR43:AR605,LEFT(B44,3))</f>
        <v>0</v>
      </c>
      <c r="J44" s="259">
        <v>12</v>
      </c>
      <c r="K44" s="259">
        <v>8</v>
      </c>
      <c r="L44" s="259">
        <f t="shared" si="9"/>
        <v>20</v>
      </c>
      <c r="P44" s="539" t="s">
        <v>2803</v>
      </c>
      <c r="Q44" s="539" t="s">
        <v>2803</v>
      </c>
      <c r="R44" s="4">
        <f t="shared" si="3"/>
        <v>0</v>
      </c>
      <c r="S44" s="4">
        <f t="shared" si="18"/>
        <v>0</v>
      </c>
      <c r="V44" s="536"/>
      <c r="W44" s="533">
        <f>COUNTIF(URS確認!AQ$2:AQ$562,LEFT(B44,3))</f>
        <v>22</v>
      </c>
      <c r="X44" s="45">
        <f>COUNTIF(URS確認!AR$2:AR$563,LEFT(B44,3))</f>
        <v>0</v>
      </c>
      <c r="Y44" s="544">
        <f>COUNTIF(URS確認!AS$2:AS$562,LEFT(B44,3))</f>
        <v>0</v>
      </c>
      <c r="Z44" s="597">
        <f>COUNTIF(URS確認!AT$2:AT$562,LEFT(B44,3))</f>
        <v>0</v>
      </c>
      <c r="AA44" s="551">
        <f>COUNTIF(URS確認!AU$2:AU$562,LEFT(B44,3))</f>
        <v>0</v>
      </c>
      <c r="AB44" s="562">
        <f>COUNTIF(URS確認!AV$2:AV$563,LEFT(B44,3))</f>
        <v>0</v>
      </c>
      <c r="AC44" s="4">
        <f t="shared" si="5"/>
        <v>22</v>
      </c>
      <c r="AD44" s="571" t="str">
        <f t="shared" si="19"/>
        <v/>
      </c>
      <c r="AE44" s="259" t="str">
        <f t="shared" si="10"/>
        <v/>
      </c>
      <c r="AF44" s="609"/>
    </row>
    <row r="45" spans="1:32" outlineLevel="1" x14ac:dyDescent="0.35">
      <c r="B45" s="633" t="s">
        <v>2873</v>
      </c>
      <c r="C45" s="259">
        <f>COUNTIF(URS確認!$D:$D,B45)</f>
        <v>30</v>
      </c>
      <c r="D45" s="259">
        <v>29</v>
      </c>
      <c r="E45" s="540">
        <v>15</v>
      </c>
      <c r="F45" s="259">
        <f>COUNTIF(URS確認!AQ44:AQ605,LEFT(B45,3))</f>
        <v>30</v>
      </c>
      <c r="G45" s="259">
        <v>29</v>
      </c>
      <c r="H45" s="259">
        <v>29</v>
      </c>
      <c r="I45" s="259">
        <f>COUNTIF(URS確認!AR44:AR606,LEFT(B45,3))</f>
        <v>0</v>
      </c>
      <c r="J45" s="259">
        <v>15</v>
      </c>
      <c r="K45" s="259">
        <v>14</v>
      </c>
      <c r="L45" s="259">
        <f t="shared" si="9"/>
        <v>29</v>
      </c>
      <c r="P45" s="539" t="s">
        <v>2803</v>
      </c>
      <c r="Q45" s="539" t="s">
        <v>2803</v>
      </c>
      <c r="R45" s="4">
        <f t="shared" si="3"/>
        <v>0</v>
      </c>
      <c r="S45" s="4">
        <f t="shared" si="18"/>
        <v>0</v>
      </c>
      <c r="V45" s="536"/>
      <c r="W45" s="533">
        <f>COUNTIF(URS確認!AQ$2:AQ$562,LEFT(B45,3))</f>
        <v>30</v>
      </c>
      <c r="X45" s="45">
        <f>COUNTIF(URS確認!AR$2:AR$563,LEFT(B45,3))</f>
        <v>0</v>
      </c>
      <c r="Y45" s="544">
        <f>COUNTIF(URS確認!AS$2:AS$562,LEFT(B45,3))</f>
        <v>0</v>
      </c>
      <c r="Z45" s="597">
        <f>COUNTIF(URS確認!AT$2:AT$562,LEFT(B45,3))</f>
        <v>0</v>
      </c>
      <c r="AA45" s="551">
        <f>COUNTIF(URS確認!AU$2:AU$562,LEFT(B45,3))</f>
        <v>0</v>
      </c>
      <c r="AB45" s="562">
        <f>COUNTIF(URS確認!AV$2:AV$563,LEFT(B45,3))</f>
        <v>0</v>
      </c>
      <c r="AC45" s="4">
        <f t="shared" si="5"/>
        <v>30</v>
      </c>
      <c r="AD45" s="571" t="str">
        <f t="shared" si="19"/>
        <v/>
      </c>
      <c r="AE45" s="259" t="str">
        <f t="shared" si="10"/>
        <v/>
      </c>
      <c r="AF45" s="612" t="s">
        <v>3167</v>
      </c>
    </row>
    <row r="46" spans="1:32" outlineLevel="1" x14ac:dyDescent="0.35">
      <c r="B46" s="633" t="s">
        <v>2874</v>
      </c>
      <c r="C46" s="259">
        <f>COUNTIF(URS確認!$D:$D,B46)</f>
        <v>6</v>
      </c>
      <c r="D46" s="259">
        <v>5</v>
      </c>
      <c r="E46" s="540">
        <v>4</v>
      </c>
      <c r="F46" s="259">
        <f>COUNTIF(URS確認!AQ45:AQ606,LEFT(B46,3))</f>
        <v>6</v>
      </c>
      <c r="G46" s="259">
        <v>5</v>
      </c>
      <c r="H46" s="259">
        <v>5</v>
      </c>
      <c r="I46" s="259">
        <f>COUNTIF(URS確認!AR45:AR607,LEFT(B46,3))</f>
        <v>0</v>
      </c>
      <c r="K46" s="259" t="str">
        <f>IF(J46="V",C46,"")</f>
        <v/>
      </c>
      <c r="L46" s="259">
        <f t="shared" si="9"/>
        <v>0</v>
      </c>
      <c r="M46" s="259">
        <v>4</v>
      </c>
      <c r="P46" s="539">
        <v>1</v>
      </c>
      <c r="Q46" s="539" t="s">
        <v>2803</v>
      </c>
      <c r="R46" s="4">
        <f t="shared" si="3"/>
        <v>5</v>
      </c>
      <c r="S46" s="4">
        <f t="shared" si="18"/>
        <v>1</v>
      </c>
      <c r="V46" s="536"/>
      <c r="W46" s="533">
        <f>COUNTIF(URS確認!AQ$2:AQ$562,LEFT(B46,3))</f>
        <v>6</v>
      </c>
      <c r="X46" s="45">
        <f>COUNTIF(URS確認!AR$2:AR$563,LEFT(B46,3))</f>
        <v>0</v>
      </c>
      <c r="Y46" s="544">
        <f>COUNTIF(URS確認!AS$2:AS$562,LEFT(B46,3))</f>
        <v>0</v>
      </c>
      <c r="Z46" s="597">
        <f>COUNTIF(URS確認!AT$2:AT$562,LEFT(B46,3))</f>
        <v>0</v>
      </c>
      <c r="AA46" s="551">
        <f>COUNTIF(URS確認!AU$2:AU$562,LEFT(B46,3))</f>
        <v>0</v>
      </c>
      <c r="AB46" s="562">
        <f>COUNTIF(URS確認!AV$2:AV$563,LEFT(B46,3))</f>
        <v>0</v>
      </c>
      <c r="AC46" s="4">
        <f t="shared" si="5"/>
        <v>6</v>
      </c>
      <c r="AD46" s="571" t="str">
        <f t="shared" si="19"/>
        <v/>
      </c>
      <c r="AE46" s="259" t="str">
        <f t="shared" si="10"/>
        <v/>
      </c>
    </row>
    <row r="47" spans="1:32" x14ac:dyDescent="0.35">
      <c r="A47" s="533" t="s">
        <v>96</v>
      </c>
      <c r="B47" s="533"/>
      <c r="C47" s="258">
        <f>SUM(C48:C49)</f>
        <v>10</v>
      </c>
      <c r="D47" s="258">
        <v>10</v>
      </c>
      <c r="E47" s="258"/>
      <c r="G47" s="258">
        <v>10</v>
      </c>
      <c r="H47" s="258">
        <v>9</v>
      </c>
      <c r="J47" s="258"/>
      <c r="K47" s="258" t="str">
        <f>IF(J47="V",C47,"")</f>
        <v/>
      </c>
      <c r="L47" s="258"/>
      <c r="M47" s="258"/>
      <c r="N47" s="258"/>
      <c r="O47" s="534"/>
      <c r="P47" s="535" t="s">
        <v>2803</v>
      </c>
      <c r="Q47" s="535" t="s">
        <v>2803</v>
      </c>
      <c r="R47" s="533"/>
      <c r="S47" s="533"/>
      <c r="V47" s="536"/>
      <c r="W47" s="533"/>
      <c r="X47" s="45"/>
      <c r="Y47" s="544"/>
      <c r="Z47" s="597"/>
      <c r="AA47" s="551"/>
      <c r="AB47" s="562"/>
      <c r="AD47" s="571"/>
      <c r="AE47" s="259" t="str">
        <f t="shared" si="10"/>
        <v/>
      </c>
    </row>
    <row r="48" spans="1:32" outlineLevel="1" x14ac:dyDescent="0.35">
      <c r="B48" s="4" t="s">
        <v>2875</v>
      </c>
      <c r="C48" s="259">
        <f>COUNTIF(URS確認!$D:$D,B48)</f>
        <v>1</v>
      </c>
      <c r="D48" s="259">
        <v>1</v>
      </c>
      <c r="E48" s="540"/>
      <c r="F48" s="259">
        <f>COUNTIF(URS確認!AQ47:AQ608,LEFT(B48,3))</f>
        <v>1</v>
      </c>
      <c r="G48" s="259">
        <v>1</v>
      </c>
      <c r="H48" s="259">
        <v>1</v>
      </c>
      <c r="I48" s="259">
        <f>COUNTIF(URS確認!AR47:AR609,LEFT(B48,3))</f>
        <v>0</v>
      </c>
      <c r="J48" s="259">
        <v>0</v>
      </c>
      <c r="K48" s="259">
        <v>1</v>
      </c>
      <c r="L48" s="259">
        <f t="shared" si="9"/>
        <v>1</v>
      </c>
      <c r="P48" s="539" t="s">
        <v>2803</v>
      </c>
      <c r="Q48" s="539" t="s">
        <v>2803</v>
      </c>
      <c r="R48" s="4">
        <f t="shared" si="3"/>
        <v>0</v>
      </c>
      <c r="S48" s="4">
        <f>SUM(O48:Q48)</f>
        <v>0</v>
      </c>
      <c r="V48" s="536"/>
      <c r="W48" s="533">
        <f>COUNTIF(URS確認!AQ$2:AQ$562,LEFT(B48,3))</f>
        <v>1</v>
      </c>
      <c r="X48" s="45">
        <f>COUNTIF(URS確認!AR$2:AR$563,LEFT(B48,3))</f>
        <v>0</v>
      </c>
      <c r="Y48" s="544">
        <f>COUNTIF(URS確認!AS$2:AS$562,LEFT(B48,3))</f>
        <v>0</v>
      </c>
      <c r="Z48" s="597">
        <f>COUNTIF(URS確認!AT$2:AT$562,LEFT(B48,3))</f>
        <v>0</v>
      </c>
      <c r="AA48" s="551">
        <f>COUNTIF(URS確認!AU$2:AU$562,LEFT(B48,3))</f>
        <v>0</v>
      </c>
      <c r="AB48" s="562">
        <f>COUNTIF(URS確認!AV$2:AV$563,LEFT(B48,3))</f>
        <v>0</v>
      </c>
      <c r="AC48" s="4">
        <f t="shared" si="5"/>
        <v>1</v>
      </c>
      <c r="AD48" s="571" t="str">
        <f>IF(AND(X48&gt;0,Y48=0,Z48=0,AA48=0,AB48=0),X48,"")</f>
        <v/>
      </c>
      <c r="AE48" s="259" t="str">
        <f t="shared" si="10"/>
        <v/>
      </c>
      <c r="AF48" s="609"/>
    </row>
    <row r="49" spans="1:32" outlineLevel="1" x14ac:dyDescent="0.35">
      <c r="B49" s="567" t="s">
        <v>2821</v>
      </c>
      <c r="C49" s="259">
        <f>COUNTIF(URS確認!$D:$D,B49)</f>
        <v>9</v>
      </c>
      <c r="D49" s="259">
        <v>9</v>
      </c>
      <c r="E49" s="540"/>
      <c r="F49" s="259">
        <f>COUNTIF(URS確認!AQ48:AQ609,LEFT(B49,3))</f>
        <v>9</v>
      </c>
      <c r="G49" s="259">
        <v>9</v>
      </c>
      <c r="H49" s="259">
        <v>8</v>
      </c>
      <c r="I49" s="259">
        <f>COUNTIF(URS確認!AR48:AR610,LEFT(B49,3))</f>
        <v>0</v>
      </c>
      <c r="K49" s="259" t="str">
        <f>IF(J49="V",C49,"")</f>
        <v/>
      </c>
      <c r="L49" s="259">
        <f t="shared" si="9"/>
        <v>0</v>
      </c>
      <c r="N49" s="259">
        <v>8</v>
      </c>
      <c r="P49" s="539" t="s">
        <v>2803</v>
      </c>
      <c r="Q49" s="539">
        <v>1</v>
      </c>
      <c r="R49" s="4">
        <f t="shared" si="3"/>
        <v>9</v>
      </c>
      <c r="S49" s="4">
        <f>SUM(O49:Q49)</f>
        <v>1</v>
      </c>
      <c r="V49" s="536"/>
      <c r="W49" s="533">
        <f>COUNTIF(URS確認!AQ$2:AQ$562,LEFT(B49,3))</f>
        <v>9</v>
      </c>
      <c r="X49" s="45">
        <f>COUNTIF(URS確認!AR$2:AR$563,LEFT(B49,3))</f>
        <v>0</v>
      </c>
      <c r="Y49" s="544">
        <f>COUNTIF(URS確認!AS$2:AS$562,LEFT(B49,3))</f>
        <v>0</v>
      </c>
      <c r="Z49" s="597">
        <f>COUNTIF(URS確認!AT$2:AT$562,LEFT(B49,3))</f>
        <v>0</v>
      </c>
      <c r="AA49" s="551">
        <f>COUNTIF(URS確認!AU$2:AU$562,LEFT(B49,3))</f>
        <v>0</v>
      </c>
      <c r="AB49" s="562">
        <f>COUNTIF(URS確認!AV$2:AV$563,LEFT(B49,3))</f>
        <v>0</v>
      </c>
      <c r="AC49" s="4">
        <f t="shared" si="5"/>
        <v>9</v>
      </c>
      <c r="AD49" s="571" t="str">
        <f>IF(AND(X49&gt;0,Y49=0,Z49=0,AA49=0,AB49=0),X49,"")</f>
        <v/>
      </c>
      <c r="AE49" s="259" t="str">
        <f t="shared" si="10"/>
        <v/>
      </c>
      <c r="AF49" s="609">
        <v>44546</v>
      </c>
    </row>
    <row r="50" spans="1:32" x14ac:dyDescent="0.35">
      <c r="A50" s="533" t="s">
        <v>97</v>
      </c>
      <c r="B50" s="533"/>
      <c r="C50" s="258">
        <f>SUM(C51:C56)</f>
        <v>136</v>
      </c>
      <c r="D50" s="258">
        <v>134</v>
      </c>
      <c r="E50" s="258">
        <v>4</v>
      </c>
      <c r="G50" s="258">
        <v>133</v>
      </c>
      <c r="H50" s="258">
        <v>91</v>
      </c>
      <c r="J50" s="258"/>
      <c r="K50" s="258" t="str">
        <f>IF(J50="V",C50,"")</f>
        <v/>
      </c>
      <c r="L50" s="258"/>
      <c r="M50" s="258"/>
      <c r="N50" s="258"/>
      <c r="O50" s="534"/>
      <c r="P50" s="535" t="s">
        <v>2803</v>
      </c>
      <c r="Q50" s="535" t="s">
        <v>2803</v>
      </c>
      <c r="R50" s="533"/>
      <c r="S50" s="533"/>
      <c r="V50" s="536"/>
      <c r="W50" s="533"/>
      <c r="X50" s="45"/>
      <c r="Y50" s="544"/>
      <c r="Z50" s="597"/>
      <c r="AA50" s="551"/>
      <c r="AB50" s="562"/>
      <c r="AD50" s="571"/>
      <c r="AE50" s="259" t="str">
        <f t="shared" si="10"/>
        <v/>
      </c>
    </row>
    <row r="51" spans="1:32" outlineLevel="1" x14ac:dyDescent="0.35">
      <c r="B51" s="567" t="s">
        <v>918</v>
      </c>
      <c r="C51" s="259">
        <f>COUNTIF(URS確認!$D:$D,B51)</f>
        <v>8</v>
      </c>
      <c r="D51" s="259">
        <v>7</v>
      </c>
      <c r="E51" s="540">
        <v>2</v>
      </c>
      <c r="F51" s="259">
        <f>COUNTIF(URS確認!AQ50:AQ611,LEFT(B51,3))</f>
        <v>8</v>
      </c>
      <c r="G51" s="259">
        <v>7</v>
      </c>
      <c r="H51" s="259">
        <v>2</v>
      </c>
      <c r="I51" s="259">
        <f>COUNTIF(URS確認!AR50:AR612,LEFT(B51,3))</f>
        <v>0</v>
      </c>
      <c r="K51" s="259" t="str">
        <f>IF(J51="V",C51,"")</f>
        <v/>
      </c>
      <c r="L51" s="259">
        <f t="shared" si="9"/>
        <v>0</v>
      </c>
      <c r="M51" s="259">
        <v>2</v>
      </c>
      <c r="P51" s="539">
        <v>5</v>
      </c>
      <c r="Q51" s="539" t="s">
        <v>2803</v>
      </c>
      <c r="R51" s="4">
        <f t="shared" si="3"/>
        <v>7</v>
      </c>
      <c r="S51" s="4">
        <f>SUM(O51:Q51)</f>
        <v>5</v>
      </c>
      <c r="V51" s="536"/>
      <c r="W51" s="533">
        <f>COUNTIF(URS確認!AQ$2:AQ$562,LEFT(B51,3))</f>
        <v>8</v>
      </c>
      <c r="X51" s="45">
        <f>COUNTIF(URS確認!AR$2:AR$563,LEFT(B51,3))</f>
        <v>0</v>
      </c>
      <c r="Y51" s="544">
        <f>COUNTIF(URS確認!AS$2:AS$562,LEFT(B51,3))</f>
        <v>0</v>
      </c>
      <c r="Z51" s="597">
        <f>COUNTIF(URS確認!AT$2:AT$562,LEFT(B51,3))</f>
        <v>0</v>
      </c>
      <c r="AA51" s="551">
        <f>COUNTIF(URS確認!AU$2:AU$562,LEFT(B51,3))</f>
        <v>0</v>
      </c>
      <c r="AB51" s="562">
        <f>COUNTIF(URS確認!AV$2:AV$563,LEFT(B51,3))</f>
        <v>0</v>
      </c>
      <c r="AC51" s="4">
        <f t="shared" si="5"/>
        <v>8</v>
      </c>
      <c r="AD51" s="571" t="str">
        <f>IF(AND(X51&gt;0,Y51=0,Z51=0,AA51=0,AB51=0),X51,"")</f>
        <v/>
      </c>
      <c r="AE51" s="259" t="str">
        <f t="shared" si="10"/>
        <v/>
      </c>
    </row>
    <row r="52" spans="1:32" outlineLevel="1" x14ac:dyDescent="0.35">
      <c r="B52" s="4" t="s">
        <v>936</v>
      </c>
      <c r="C52" s="259">
        <f>COUNTIF(URS確認!$D:$D,B52)</f>
        <v>10</v>
      </c>
      <c r="D52" s="259">
        <v>9</v>
      </c>
      <c r="E52" s="540">
        <v>2</v>
      </c>
      <c r="F52" s="259">
        <f>COUNTIF(URS確認!AQ51:AQ612,LEFT(B52,3))</f>
        <v>10</v>
      </c>
      <c r="G52" s="259">
        <v>8</v>
      </c>
      <c r="H52" s="259">
        <v>8</v>
      </c>
      <c r="I52" s="259">
        <f>COUNTIF(URS確認!AR51:AR613,LEFT(B52,3))</f>
        <v>0</v>
      </c>
      <c r="K52" s="259" t="str">
        <f>IF(J52="V",C52,"")</f>
        <v/>
      </c>
      <c r="L52" s="259">
        <f t="shared" si="9"/>
        <v>0</v>
      </c>
      <c r="M52" s="259">
        <v>2</v>
      </c>
      <c r="N52" s="259">
        <v>6</v>
      </c>
      <c r="P52" s="539" t="s">
        <v>2803</v>
      </c>
      <c r="Q52" s="539">
        <v>1</v>
      </c>
      <c r="R52" s="4">
        <f t="shared" si="3"/>
        <v>9</v>
      </c>
      <c r="S52" s="4">
        <f t="shared" ref="S52:S56" si="20">SUM(O52:Q52)</f>
        <v>1</v>
      </c>
      <c r="V52" s="536"/>
      <c r="W52" s="533">
        <f>COUNTIF(URS確認!AQ$2:AQ$562,LEFT(B52,3))</f>
        <v>10</v>
      </c>
      <c r="X52" s="45">
        <f>COUNTIF(URS確認!AR$2:AR$563,LEFT(B52,3))</f>
        <v>0</v>
      </c>
      <c r="Y52" s="544">
        <f>COUNTIF(URS確認!AS$2:AS$562,LEFT(B52,3))</f>
        <v>0</v>
      </c>
      <c r="Z52" s="597">
        <f>COUNTIF(URS確認!AT$2:AT$562,LEFT(B52,3))</f>
        <v>0</v>
      </c>
      <c r="AA52" s="551">
        <f>COUNTIF(URS確認!AU$2:AU$562,LEFT(B52,3))</f>
        <v>0</v>
      </c>
      <c r="AB52" s="562">
        <f>COUNTIF(URS確認!AV$2:AV$563,LEFT(B52,3))</f>
        <v>0</v>
      </c>
      <c r="AC52" s="4">
        <f t="shared" si="5"/>
        <v>10</v>
      </c>
      <c r="AD52" s="571" t="str">
        <f t="shared" ref="AD52:AD56" si="21">IF(AND(X52&gt;0,Y52=0,Z52=0,AA52=0,AB52=0),X52,"")</f>
        <v/>
      </c>
      <c r="AE52" s="259" t="str">
        <f t="shared" si="10"/>
        <v/>
      </c>
      <c r="AF52" s="609"/>
    </row>
    <row r="53" spans="1:32" outlineLevel="1" x14ac:dyDescent="0.35">
      <c r="B53" s="567" t="s">
        <v>2876</v>
      </c>
      <c r="C53" s="259">
        <f>COUNTIF(URS確認!$D:$D,B53)</f>
        <v>112</v>
      </c>
      <c r="D53" s="259">
        <v>112</v>
      </c>
      <c r="E53" s="540"/>
      <c r="F53" s="259">
        <f>COUNTIF(URS確認!AQ52:AQ613,LEFT(B53,3))</f>
        <v>112</v>
      </c>
      <c r="G53" s="259">
        <v>112</v>
      </c>
      <c r="H53" s="259">
        <v>75</v>
      </c>
      <c r="I53" s="259">
        <f>COUNTIF(URS確認!AR52:AR614,LEFT(B53,3))</f>
        <v>0</v>
      </c>
      <c r="K53" s="259" t="str">
        <f>IF(J53="V",C53,"")</f>
        <v/>
      </c>
      <c r="L53" s="259">
        <f t="shared" si="9"/>
        <v>0</v>
      </c>
      <c r="N53" s="259">
        <v>75</v>
      </c>
      <c r="P53" s="539" t="s">
        <v>2803</v>
      </c>
      <c r="Q53" s="539">
        <v>37</v>
      </c>
      <c r="R53" s="4">
        <f t="shared" si="3"/>
        <v>112</v>
      </c>
      <c r="S53" s="4">
        <f t="shared" si="20"/>
        <v>37</v>
      </c>
      <c r="V53" s="536"/>
      <c r="W53" s="533">
        <f>COUNTIF(URS確認!AQ$2:AQ$562,LEFT(B53,3))</f>
        <v>112</v>
      </c>
      <c r="X53" s="45">
        <f>COUNTIF(URS確認!AR$2:AR$563,LEFT(B53,3))</f>
        <v>0</v>
      </c>
      <c r="Y53" s="544">
        <f>COUNTIF(URS確認!AS$2:AS$562,LEFT(B53,3))</f>
        <v>0</v>
      </c>
      <c r="Z53" s="597">
        <f>COUNTIF(URS確認!AT$2:AT$562,LEFT(B53,3))</f>
        <v>0</v>
      </c>
      <c r="AA53" s="551">
        <f>COUNTIF(URS確認!AU$2:AU$562,LEFT(B53,3))</f>
        <v>0</v>
      </c>
      <c r="AB53" s="562">
        <f>COUNTIF(URS確認!AV$2:AV$563,LEFT(B53,3))</f>
        <v>0</v>
      </c>
      <c r="AC53" s="4">
        <f t="shared" si="5"/>
        <v>112</v>
      </c>
      <c r="AD53" s="571" t="str">
        <f t="shared" si="21"/>
        <v/>
      </c>
      <c r="AE53" s="259" t="str">
        <f t="shared" si="10"/>
        <v/>
      </c>
      <c r="AF53" s="610"/>
    </row>
    <row r="54" spans="1:32" outlineLevel="1" x14ac:dyDescent="0.35">
      <c r="B54" s="4" t="s">
        <v>2877</v>
      </c>
      <c r="C54" s="259">
        <f>COUNTIF(URS確認!$D:$D,B54)</f>
        <v>2</v>
      </c>
      <c r="D54" s="259">
        <v>2</v>
      </c>
      <c r="E54" s="540"/>
      <c r="F54" s="259">
        <f>COUNTIF(URS確認!AQ55:AQ614,LEFT(B54,3))</f>
        <v>2</v>
      </c>
      <c r="G54" s="259">
        <v>2</v>
      </c>
      <c r="H54" s="259">
        <v>2</v>
      </c>
      <c r="I54" s="259">
        <f>COUNTIF(URS確認!AR55:AR615,LEFT(B54,3))</f>
        <v>0</v>
      </c>
      <c r="J54" s="259">
        <v>0</v>
      </c>
      <c r="K54" s="259">
        <v>2</v>
      </c>
      <c r="L54" s="259">
        <f t="shared" si="9"/>
        <v>2</v>
      </c>
      <c r="P54" s="539" t="s">
        <v>2803</v>
      </c>
      <c r="Q54" s="539" t="s">
        <v>2803</v>
      </c>
      <c r="R54" s="4">
        <f t="shared" si="3"/>
        <v>0</v>
      </c>
      <c r="S54" s="4">
        <f t="shared" si="20"/>
        <v>0</v>
      </c>
      <c r="V54" s="536"/>
      <c r="W54" s="533">
        <f>COUNTIF(URS確認!AQ$2:AQ$562,LEFT(B54,3))</f>
        <v>2</v>
      </c>
      <c r="X54" s="45">
        <f>COUNTIF(URS確認!AR$2:AR$563,LEFT(B54,3))</f>
        <v>0</v>
      </c>
      <c r="Y54" s="544">
        <f>COUNTIF(URS確認!AS$2:AS$562,LEFT(B54,3))</f>
        <v>0</v>
      </c>
      <c r="Z54" s="597">
        <f>COUNTIF(URS確認!AT$2:AT$562,LEFT(B54,3))</f>
        <v>0</v>
      </c>
      <c r="AA54" s="551">
        <f>COUNTIF(URS確認!AU$2:AU$562,LEFT(B54,3))</f>
        <v>0</v>
      </c>
      <c r="AB54" s="562">
        <f>COUNTIF(URS確認!AV$2:AV$563,LEFT(B54,3))</f>
        <v>0</v>
      </c>
      <c r="AC54" s="4">
        <f t="shared" si="5"/>
        <v>2</v>
      </c>
      <c r="AD54" s="571" t="str">
        <f t="shared" si="21"/>
        <v/>
      </c>
      <c r="AE54" s="259" t="str">
        <f t="shared" si="10"/>
        <v/>
      </c>
      <c r="AF54" s="609"/>
    </row>
    <row r="55" spans="1:32" outlineLevel="1" x14ac:dyDescent="0.35">
      <c r="B55" s="4" t="s">
        <v>2878</v>
      </c>
      <c r="C55" s="259">
        <f>COUNTIF(URS確認!$D:$D,B55)</f>
        <v>3</v>
      </c>
      <c r="D55" s="259">
        <v>3</v>
      </c>
      <c r="E55" s="540"/>
      <c r="F55" s="259">
        <f>COUNTIF(URS確認!AQ56:AQ615,LEFT(B55,3))</f>
        <v>3</v>
      </c>
      <c r="G55" s="259">
        <v>3</v>
      </c>
      <c r="H55" s="259">
        <v>3</v>
      </c>
      <c r="I55" s="259">
        <f>COUNTIF(URS確認!AR56:AR616,LEFT(B55,3))</f>
        <v>0</v>
      </c>
      <c r="J55" s="259">
        <v>0</v>
      </c>
      <c r="K55" s="259">
        <v>3</v>
      </c>
      <c r="L55" s="259">
        <f t="shared" si="9"/>
        <v>3</v>
      </c>
      <c r="P55" s="539" t="s">
        <v>2803</v>
      </c>
      <c r="Q55" s="539" t="s">
        <v>2803</v>
      </c>
      <c r="R55" s="4">
        <f t="shared" si="3"/>
        <v>0</v>
      </c>
      <c r="S55" s="4">
        <f t="shared" si="20"/>
        <v>0</v>
      </c>
      <c r="V55" s="536"/>
      <c r="W55" s="533">
        <f>COUNTIF(URS確認!AQ$2:AQ$562,LEFT(B55,3))</f>
        <v>3</v>
      </c>
      <c r="X55" s="45">
        <f>COUNTIF(URS確認!AR$2:AR$563,LEFT(B55,3))</f>
        <v>0</v>
      </c>
      <c r="Y55" s="544">
        <f>COUNTIF(URS確認!AS$2:AS$562,LEFT(B55,3))</f>
        <v>0</v>
      </c>
      <c r="Z55" s="597">
        <f>COUNTIF(URS確認!AT$2:AT$562,LEFT(B55,3))</f>
        <v>0</v>
      </c>
      <c r="AA55" s="551">
        <f>COUNTIF(URS確認!AU$2:AU$562,LEFT(B55,3))</f>
        <v>0</v>
      </c>
      <c r="AB55" s="562">
        <f>COUNTIF(URS確認!AV$2:AV$563,LEFT(B55,3))</f>
        <v>0</v>
      </c>
      <c r="AC55" s="4">
        <f t="shared" si="5"/>
        <v>3</v>
      </c>
      <c r="AD55" s="571" t="str">
        <f t="shared" si="21"/>
        <v/>
      </c>
      <c r="AE55" s="259" t="str">
        <f t="shared" si="10"/>
        <v/>
      </c>
      <c r="AF55" s="609"/>
    </row>
    <row r="56" spans="1:32" outlineLevel="1" x14ac:dyDescent="0.35">
      <c r="B56" s="4" t="s">
        <v>932</v>
      </c>
      <c r="C56" s="259">
        <f>COUNTIF(URS確認!$D:$D,B56)</f>
        <v>1</v>
      </c>
      <c r="D56" s="259">
        <v>1</v>
      </c>
      <c r="E56" s="540"/>
      <c r="F56" s="259">
        <f>COUNTIF(URS確認!AQ57:AQ616,LEFT(B56,3))</f>
        <v>1</v>
      </c>
      <c r="G56" s="259">
        <v>1</v>
      </c>
      <c r="H56" s="259">
        <v>1</v>
      </c>
      <c r="I56" s="259">
        <f>COUNTIF(URS確認!AR57:AR617,LEFT(B56,3))</f>
        <v>0</v>
      </c>
      <c r="J56" s="259">
        <v>0</v>
      </c>
      <c r="K56" s="259">
        <v>1</v>
      </c>
      <c r="L56" s="259">
        <f t="shared" si="9"/>
        <v>1</v>
      </c>
      <c r="P56" s="539" t="s">
        <v>2803</v>
      </c>
      <c r="Q56" s="539" t="s">
        <v>2803</v>
      </c>
      <c r="R56" s="4">
        <f t="shared" si="3"/>
        <v>0</v>
      </c>
      <c r="S56" s="4">
        <f t="shared" si="20"/>
        <v>0</v>
      </c>
      <c r="V56" s="536"/>
      <c r="W56" s="533">
        <f>COUNTIF(URS確認!AQ$2:AQ$562,LEFT(B56,3))</f>
        <v>1</v>
      </c>
      <c r="X56" s="45">
        <f>COUNTIF(URS確認!AR$2:AR$563,LEFT(B56,3))</f>
        <v>0</v>
      </c>
      <c r="Y56" s="544">
        <f>COUNTIF(URS確認!AS$2:AS$562,LEFT(B56,3))</f>
        <v>0</v>
      </c>
      <c r="Z56" s="597">
        <f>COUNTIF(URS確認!AT$2:AT$562,LEFT(B56,3))</f>
        <v>0</v>
      </c>
      <c r="AA56" s="551">
        <f>COUNTIF(URS確認!AU$2:AU$562,LEFT(B56,3))</f>
        <v>0</v>
      </c>
      <c r="AB56" s="562">
        <f>COUNTIF(URS確認!AV$2:AV$563,LEFT(B56,3))</f>
        <v>0</v>
      </c>
      <c r="AC56" s="4">
        <f t="shared" si="5"/>
        <v>1</v>
      </c>
      <c r="AD56" s="571" t="str">
        <f t="shared" si="21"/>
        <v/>
      </c>
      <c r="AE56" s="259" t="str">
        <f t="shared" si="10"/>
        <v/>
      </c>
      <c r="AF56" s="609"/>
    </row>
    <row r="57" spans="1:32" x14ac:dyDescent="0.35">
      <c r="A57" s="533" t="s">
        <v>98</v>
      </c>
      <c r="B57" s="533"/>
      <c r="C57" s="258">
        <f>SUM(C58)</f>
        <v>1</v>
      </c>
      <c r="D57" s="258">
        <v>1</v>
      </c>
      <c r="E57" s="258"/>
      <c r="G57" s="258">
        <v>1</v>
      </c>
      <c r="H57" s="258">
        <v>1</v>
      </c>
      <c r="J57" s="258"/>
      <c r="K57" s="258" t="str">
        <f>IF(J57="V",C57,"")</f>
        <v/>
      </c>
      <c r="L57" s="258"/>
      <c r="M57" s="258"/>
      <c r="N57" s="258"/>
      <c r="O57" s="534"/>
      <c r="P57" s="535" t="s">
        <v>2803</v>
      </c>
      <c r="Q57" s="535" t="s">
        <v>2803</v>
      </c>
      <c r="R57" s="533"/>
      <c r="S57" s="533"/>
      <c r="V57" s="536"/>
      <c r="W57" s="533"/>
      <c r="X57" s="45"/>
      <c r="Y57" s="544"/>
      <c r="Z57" s="597"/>
      <c r="AA57" s="551"/>
      <c r="AB57" s="562"/>
      <c r="AD57" s="571"/>
      <c r="AE57" s="259" t="str">
        <f t="shared" si="10"/>
        <v/>
      </c>
    </row>
    <row r="58" spans="1:32" outlineLevel="1" x14ac:dyDescent="0.35">
      <c r="B58" s="4" t="s">
        <v>2879</v>
      </c>
      <c r="C58" s="259">
        <f>COUNTIF(URS確認!$D:$D,B58)</f>
        <v>1</v>
      </c>
      <c r="D58" s="259">
        <v>1</v>
      </c>
      <c r="E58" s="540"/>
      <c r="F58" s="259">
        <f>COUNTIF(URS確認!AQ59:AQ618,LEFT(B58,3))</f>
        <v>1</v>
      </c>
      <c r="G58" s="259">
        <v>1</v>
      </c>
      <c r="H58" s="259">
        <v>1</v>
      </c>
      <c r="I58" s="259">
        <f>COUNTIF(URS確認!AR59:AR619,LEFT(B58,3))</f>
        <v>0</v>
      </c>
      <c r="J58" s="259">
        <v>0</v>
      </c>
      <c r="K58" s="259">
        <v>1</v>
      </c>
      <c r="L58" s="259">
        <f t="shared" si="9"/>
        <v>1</v>
      </c>
      <c r="P58" s="539" t="s">
        <v>2803</v>
      </c>
      <c r="Q58" s="539" t="s">
        <v>2803</v>
      </c>
      <c r="R58" s="4">
        <f t="shared" si="3"/>
        <v>0</v>
      </c>
      <c r="S58" s="4">
        <f>SUM(O58:Q58)</f>
        <v>0</v>
      </c>
      <c r="V58" s="536"/>
      <c r="W58" s="533">
        <f>COUNTIF(URS確認!AQ$2:AQ$562,LEFT(B58,3))</f>
        <v>1</v>
      </c>
      <c r="X58" s="45">
        <f>COUNTIF(URS確認!AR$2:AR$563,LEFT(B58,3))</f>
        <v>0</v>
      </c>
      <c r="Y58" s="544">
        <f>COUNTIF(URS確認!AS$2:AS$562,LEFT(B58,3))</f>
        <v>0</v>
      </c>
      <c r="Z58" s="597">
        <f>COUNTIF(URS確認!AT$2:AT$562,LEFT(B58,3))</f>
        <v>0</v>
      </c>
      <c r="AA58" s="551">
        <f>COUNTIF(URS確認!AU$2:AU$562,LEFT(B58,3))</f>
        <v>0</v>
      </c>
      <c r="AB58" s="562">
        <f>COUNTIF(URS確認!AV$2:AV$563,LEFT(B58,3))</f>
        <v>0</v>
      </c>
      <c r="AC58" s="4">
        <f t="shared" si="5"/>
        <v>1</v>
      </c>
      <c r="AD58" s="571" t="str">
        <f>IF(AND(X58&gt;0,Y58=0,Z58=0,AA58=0,AB58=0),X58,"")</f>
        <v/>
      </c>
      <c r="AE58" s="259" t="str">
        <f t="shared" si="10"/>
        <v/>
      </c>
      <c r="AF58" s="609">
        <v>44544</v>
      </c>
    </row>
    <row r="59" spans="1:32" x14ac:dyDescent="0.35">
      <c r="A59" s="533" t="s">
        <v>2880</v>
      </c>
      <c r="B59" s="533"/>
      <c r="C59" s="258">
        <f>SUM(C60)</f>
        <v>12</v>
      </c>
      <c r="D59" s="258">
        <v>7</v>
      </c>
      <c r="E59" s="258"/>
      <c r="G59" s="258">
        <v>9</v>
      </c>
      <c r="H59" s="258"/>
      <c r="J59" s="258"/>
      <c r="K59" s="258" t="str">
        <f>IF(J59="V",C59,"")</f>
        <v/>
      </c>
      <c r="L59" s="258"/>
      <c r="M59" s="258"/>
      <c r="N59" s="258"/>
      <c r="O59" s="534"/>
      <c r="P59" s="535" t="s">
        <v>2803</v>
      </c>
      <c r="Q59" s="535" t="s">
        <v>2803</v>
      </c>
      <c r="R59" s="533"/>
      <c r="S59" s="533"/>
      <c r="V59" s="536"/>
      <c r="W59" s="533"/>
      <c r="X59" s="45"/>
      <c r="Y59" s="544"/>
      <c r="Z59" s="597"/>
      <c r="AA59" s="551"/>
      <c r="AB59" s="562"/>
      <c r="AD59" s="571"/>
      <c r="AE59" s="259" t="str">
        <f t="shared" si="10"/>
        <v/>
      </c>
    </row>
    <row r="60" spans="1:32" outlineLevel="1" x14ac:dyDescent="0.35">
      <c r="B60" s="567" t="s">
        <v>2941</v>
      </c>
      <c r="C60" s="259">
        <f>COUNTIF(URS確認!$D:$D,B60)</f>
        <v>12</v>
      </c>
      <c r="D60" s="259">
        <v>7</v>
      </c>
      <c r="E60" s="540"/>
      <c r="F60" s="259">
        <f>COUNTIF(URS確認!AQ63:AQ622,LEFT(B60,3))</f>
        <v>12</v>
      </c>
      <c r="G60" s="259">
        <v>9</v>
      </c>
      <c r="I60" s="259">
        <f>COUNTIF(URS確認!AR61:AR621,LEFT(B60,3))</f>
        <v>0</v>
      </c>
      <c r="K60" s="259" t="str">
        <f>IF(J60="V",C60,"")</f>
        <v/>
      </c>
      <c r="L60" s="259">
        <f t="shared" si="9"/>
        <v>0</v>
      </c>
      <c r="P60" s="539" t="s">
        <v>2803</v>
      </c>
      <c r="Q60" s="539">
        <v>9</v>
      </c>
      <c r="R60" s="4">
        <f t="shared" si="3"/>
        <v>9</v>
      </c>
      <c r="S60" s="4">
        <f>SUM(O60:Q60)</f>
        <v>9</v>
      </c>
      <c r="V60" s="536"/>
      <c r="W60" s="533">
        <f>COUNTIF(URS確認!AQ$2:AQ$562,LEFT(B60,3))</f>
        <v>12</v>
      </c>
      <c r="X60" s="45">
        <f>COUNTIF(URS確認!AR$2:AR$563,LEFT(B60,3))</f>
        <v>0</v>
      </c>
      <c r="Y60" s="544">
        <f>COUNTIF(URS確認!AS$2:AS$562,LEFT(B60,3))</f>
        <v>0</v>
      </c>
      <c r="Z60" s="597">
        <f>COUNTIF(URS確認!AT$2:AT$562,LEFT(B60,3))</f>
        <v>0</v>
      </c>
      <c r="AA60" s="551">
        <f>COUNTIF(URS確認!AU$2:AU$562,LEFT(B60,3))</f>
        <v>0</v>
      </c>
      <c r="AB60" s="562">
        <f>COUNTIF(URS確認!AV$2:AV$563,LEFT(B60,3))</f>
        <v>0</v>
      </c>
      <c r="AC60" s="4">
        <f t="shared" si="5"/>
        <v>12</v>
      </c>
      <c r="AD60" s="571" t="str">
        <f>IF(AND(X60&gt;0,Y60=0,Z60=0,AA60=0,AB60=0),X60,"")</f>
        <v/>
      </c>
      <c r="AE60" s="259" t="str">
        <f t="shared" si="10"/>
        <v/>
      </c>
    </row>
    <row r="61" spans="1:32" x14ac:dyDescent="0.35">
      <c r="A61" s="536"/>
      <c r="B61" s="536"/>
      <c r="C61" s="541"/>
      <c r="D61" s="541"/>
      <c r="E61" s="541"/>
      <c r="F61" s="541"/>
      <c r="G61" s="541"/>
      <c r="H61" s="541"/>
      <c r="I61" s="541"/>
      <c r="J61" s="541"/>
      <c r="K61" s="541"/>
      <c r="L61" s="541"/>
      <c r="M61" s="541"/>
      <c r="N61" s="541"/>
      <c r="O61" s="542"/>
      <c r="P61" s="543"/>
      <c r="Q61" s="543"/>
      <c r="R61" s="536"/>
      <c r="S61" s="536"/>
      <c r="T61" s="536"/>
      <c r="U61" s="536"/>
      <c r="V61" s="536"/>
      <c r="W61" s="536"/>
      <c r="X61" s="536"/>
      <c r="Y61" s="536"/>
      <c r="Z61" s="536"/>
      <c r="AA61" s="536"/>
      <c r="AB61" s="536"/>
      <c r="AC61" s="530"/>
      <c r="AD61" s="572"/>
    </row>
    <row r="62" spans="1:32" x14ac:dyDescent="0.35">
      <c r="A62" s="544"/>
      <c r="B62" s="637" t="s">
        <v>2912</v>
      </c>
      <c r="C62" s="560">
        <f>C4+C9+C17+C23+C31+C38+C47+C50+C57+C59</f>
        <v>548</v>
      </c>
      <c r="D62" s="258"/>
      <c r="E62" s="258"/>
      <c r="F62" s="545">
        <f>SUM(F5:F60)</f>
        <v>546</v>
      </c>
      <c r="G62" s="258"/>
      <c r="H62" s="258"/>
      <c r="I62" s="546">
        <f t="shared" ref="I62:R62" si="22">SUM(I5:I60)</f>
        <v>0</v>
      </c>
      <c r="J62" s="534">
        <f t="shared" si="22"/>
        <v>86</v>
      </c>
      <c r="K62" s="534">
        <f t="shared" si="22"/>
        <v>67</v>
      </c>
      <c r="L62" s="547">
        <f t="shared" si="22"/>
        <v>153</v>
      </c>
      <c r="M62" s="534">
        <f t="shared" si="22"/>
        <v>54</v>
      </c>
      <c r="N62" s="534">
        <f t="shared" si="22"/>
        <v>107</v>
      </c>
      <c r="O62" s="534">
        <f t="shared" si="22"/>
        <v>0</v>
      </c>
      <c r="P62" s="548">
        <f t="shared" si="22"/>
        <v>31</v>
      </c>
      <c r="Q62" s="548">
        <f t="shared" si="22"/>
        <v>58</v>
      </c>
      <c r="R62" s="537">
        <f t="shared" si="22"/>
        <v>250</v>
      </c>
      <c r="S62" s="533">
        <f>SUM(S6:S60)</f>
        <v>89</v>
      </c>
      <c r="T62" s="549" t="s">
        <v>2922</v>
      </c>
      <c r="U62" s="549">
        <f>F62+I62+L62+R62</f>
        <v>949</v>
      </c>
      <c r="V62" s="550"/>
      <c r="W62" s="544">
        <f>SUM(W5:W60)</f>
        <v>548</v>
      </c>
      <c r="X62" s="544">
        <f t="shared" ref="X62:AD62" si="23">SUM(X5:X60)</f>
        <v>0</v>
      </c>
      <c r="Y62" s="544">
        <f t="shared" si="23"/>
        <v>0</v>
      </c>
      <c r="Z62" s="544">
        <f t="shared" si="23"/>
        <v>0</v>
      </c>
      <c r="AA62" s="544">
        <f t="shared" si="23"/>
        <v>0</v>
      </c>
      <c r="AB62" s="544">
        <f t="shared" si="23"/>
        <v>0</v>
      </c>
      <c r="AC62" s="561">
        <f>SUM(W62:AB62)</f>
        <v>548</v>
      </c>
      <c r="AD62" s="571">
        <f t="shared" si="23"/>
        <v>0</v>
      </c>
    </row>
    <row r="63" spans="1:32" x14ac:dyDescent="0.35">
      <c r="A63" s="563"/>
      <c r="B63" s="638" t="s">
        <v>2916</v>
      </c>
      <c r="C63" s="564"/>
      <c r="F63" s="552">
        <f t="shared" ref="F63:L63" si="24">F62/$C$62</f>
        <v>0.9963503649635036</v>
      </c>
      <c r="G63" s="552">
        <f t="shared" si="24"/>
        <v>0</v>
      </c>
      <c r="H63" s="552">
        <f t="shared" si="24"/>
        <v>0</v>
      </c>
      <c r="I63" s="552">
        <f t="shared" si="24"/>
        <v>0</v>
      </c>
      <c r="J63" s="552"/>
      <c r="K63" s="552"/>
      <c r="L63" s="552">
        <f t="shared" si="24"/>
        <v>0.27919708029197082</v>
      </c>
      <c r="M63" s="552"/>
      <c r="N63" s="552"/>
      <c r="O63" s="552"/>
      <c r="P63" s="552"/>
      <c r="Q63" s="553"/>
      <c r="R63" s="554">
        <f>R62/C62</f>
        <v>0.45620437956204379</v>
      </c>
      <c r="S63" s="555">
        <f>S62/$C$62</f>
        <v>0.16240875912408759</v>
      </c>
      <c r="T63" s="556" t="s">
        <v>2930</v>
      </c>
      <c r="U63" s="556"/>
      <c r="V63" s="557"/>
      <c r="W63" s="600">
        <f>W62/$AC$62</f>
        <v>1</v>
      </c>
      <c r="X63" s="600">
        <f t="shared" ref="X63:AB63" si="25">X62/$AC$62</f>
        <v>0</v>
      </c>
      <c r="Y63" s="600">
        <f t="shared" si="25"/>
        <v>0</v>
      </c>
      <c r="Z63" s="600">
        <f t="shared" si="25"/>
        <v>0</v>
      </c>
      <c r="AA63" s="600">
        <f t="shared" si="25"/>
        <v>0</v>
      </c>
      <c r="AB63" s="600">
        <f t="shared" si="25"/>
        <v>0</v>
      </c>
      <c r="AC63" s="565">
        <f>SUM(W63:AB63)</f>
        <v>1</v>
      </c>
      <c r="AD63" s="601">
        <f>AD62/AC62</f>
        <v>0</v>
      </c>
    </row>
    <row r="64" spans="1:32" x14ac:dyDescent="0.35">
      <c r="R64" s="558"/>
      <c r="AB64" s="602">
        <f>SUM(Z62:AB62)/AC62</f>
        <v>0</v>
      </c>
    </row>
    <row r="65" spans="6:6" x14ac:dyDescent="0.35">
      <c r="F65" s="559"/>
    </row>
  </sheetData>
  <mergeCells count="1">
    <mergeCell ref="J1:L1"/>
  </mergeCells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W552"/>
  <sheetViews>
    <sheetView tabSelected="1" zoomScaleNormal="100" workbookViewId="0">
      <pane xSplit="6" ySplit="1" topLeftCell="AQ2" activePane="bottomRight" state="frozen"/>
      <selection pane="topRight" activeCell="H1" sqref="H1"/>
      <selection pane="bottomLeft" activeCell="A2" sqref="A2"/>
      <selection pane="bottomRight" activeCell="AW5" sqref="AW5"/>
    </sheetView>
  </sheetViews>
  <sheetFormatPr defaultColWidth="8.69921875" defaultRowHeight="14.5" x14ac:dyDescent="0.3"/>
  <cols>
    <col min="1" max="1" width="11.5" style="604" customWidth="1"/>
    <col min="2" max="2" width="2.3984375" style="292" hidden="1" customWidth="1"/>
    <col min="3" max="3" width="10.19921875" style="291" customWidth="1"/>
    <col min="4" max="4" width="22.19921875" style="221" customWidth="1"/>
    <col min="5" max="5" width="9.19921875" style="292" customWidth="1"/>
    <col min="6" max="6" width="47" style="305" customWidth="1"/>
    <col min="7" max="7" width="19.8984375" style="305" customWidth="1"/>
    <col min="8" max="8" width="9" style="292" customWidth="1"/>
    <col min="9" max="9" width="11.3984375" style="305" customWidth="1"/>
    <col min="10" max="10" width="10.8984375" style="306" customWidth="1"/>
    <col min="11" max="11" width="14.5" style="291" customWidth="1"/>
    <col min="12" max="12" width="14.5" style="307" customWidth="1"/>
    <col min="13" max="13" width="12.09765625" style="291" customWidth="1"/>
    <col min="14" max="14" width="14.09765625" style="292" customWidth="1"/>
    <col min="15" max="15" width="11.3984375" style="292" customWidth="1"/>
    <col min="16" max="16" width="15.59765625" style="270" customWidth="1"/>
    <col min="17" max="17" width="9.3984375" style="291" hidden="1" customWidth="1"/>
    <col min="18" max="18" width="5.3984375" style="291" hidden="1" customWidth="1"/>
    <col min="19" max="19" width="9.3984375" style="291" hidden="1" customWidth="1"/>
    <col min="20" max="20" width="5.3984375" style="307" hidden="1" customWidth="1"/>
    <col min="21" max="21" width="5.3984375" style="291" hidden="1" customWidth="1"/>
    <col min="22" max="22" width="5.3984375" style="292" hidden="1" customWidth="1"/>
    <col min="23" max="23" width="9.09765625" style="292" hidden="1" customWidth="1"/>
    <col min="24" max="24" width="16.09765625" style="292" hidden="1" customWidth="1"/>
    <col min="25" max="25" width="12.8984375" style="291" customWidth="1"/>
    <col min="26" max="26" width="18.5" style="291" bestFit="1" customWidth="1"/>
    <col min="27" max="27" width="16.19921875" style="292" customWidth="1"/>
    <col min="28" max="28" width="12.3984375" style="292" customWidth="1"/>
    <col min="29" max="29" width="14.3984375" style="292" bestFit="1" customWidth="1"/>
    <col min="30" max="30" width="15.8984375" style="292" hidden="1" customWidth="1"/>
    <col min="31" max="31" width="18.09765625" style="355" hidden="1" customWidth="1"/>
    <col min="32" max="32" width="11.69921875" style="222" hidden="1" customWidth="1"/>
    <col min="33" max="33" width="9.3984375" style="292" hidden="1" customWidth="1"/>
    <col min="34" max="35" width="11.3984375" style="305" hidden="1" customWidth="1"/>
    <col min="36" max="36" width="8.69921875" style="305" hidden="1" customWidth="1"/>
    <col min="37" max="37" width="49.69921875" style="224" hidden="1" customWidth="1"/>
    <col min="38" max="38" width="14.19921875" style="291" customWidth="1"/>
    <col min="39" max="39" width="33.3984375" style="292" customWidth="1"/>
    <col min="40" max="40" width="10.5" style="292" customWidth="1"/>
    <col min="41" max="41" width="16.69921875" style="356" customWidth="1"/>
    <col min="42" max="42" width="4" style="503" customWidth="1"/>
    <col min="43" max="43" width="8.69921875" style="498"/>
    <col min="44" max="48" width="8.69921875" style="292"/>
    <col min="49" max="49" width="12.59765625" style="292" bestFit="1" customWidth="1"/>
    <col min="50" max="16384" width="8.69921875" style="292"/>
  </cols>
  <sheetData>
    <row r="1" spans="1:49" ht="27.5" thickBot="1" x14ac:dyDescent="0.35">
      <c r="A1" s="603" t="s">
        <v>2923</v>
      </c>
      <c r="B1" s="218" t="s">
        <v>2931</v>
      </c>
      <c r="C1" s="218" t="s">
        <v>30</v>
      </c>
      <c r="D1" s="285" t="s">
        <v>101</v>
      </c>
      <c r="E1" s="264" t="s">
        <v>102</v>
      </c>
      <c r="F1" s="264" t="s">
        <v>103</v>
      </c>
      <c r="G1" s="264" t="s">
        <v>104</v>
      </c>
      <c r="H1" s="264" t="s">
        <v>105</v>
      </c>
      <c r="I1" s="265" t="s">
        <v>106</v>
      </c>
      <c r="J1" s="261" t="s">
        <v>107</v>
      </c>
      <c r="K1" s="299" t="s">
        <v>108</v>
      </c>
      <c r="L1" s="464" t="s">
        <v>109</v>
      </c>
      <c r="M1" s="464" t="s">
        <v>2752</v>
      </c>
      <c r="N1" s="266" t="s">
        <v>47</v>
      </c>
      <c r="O1" s="266" t="s">
        <v>48</v>
      </c>
      <c r="P1" s="269" t="s">
        <v>111</v>
      </c>
      <c r="Q1" s="291" t="s">
        <v>112</v>
      </c>
      <c r="R1" s="291" t="s">
        <v>113</v>
      </c>
      <c r="S1" s="291" t="s">
        <v>114</v>
      </c>
      <c r="T1" s="291" t="s">
        <v>115</v>
      </c>
      <c r="U1" s="291" t="s">
        <v>116</v>
      </c>
      <c r="V1" s="291" t="s">
        <v>117</v>
      </c>
      <c r="W1" s="291" t="s">
        <v>118</v>
      </c>
      <c r="X1" s="292" t="s">
        <v>119</v>
      </c>
      <c r="Y1" s="465" t="s">
        <v>2787</v>
      </c>
      <c r="Z1" s="308" t="s">
        <v>120</v>
      </c>
      <c r="AA1" s="300" t="s">
        <v>121</v>
      </c>
      <c r="AB1" s="465" t="s">
        <v>3230</v>
      </c>
      <c r="AC1" s="220" t="s">
        <v>122</v>
      </c>
      <c r="AD1" s="299" t="s">
        <v>123</v>
      </c>
      <c r="AE1" s="357" t="s">
        <v>124</v>
      </c>
      <c r="AF1" s="220" t="s">
        <v>125</v>
      </c>
      <c r="AG1" s="220" t="s">
        <v>126</v>
      </c>
      <c r="AH1" s="220" t="s">
        <v>127</v>
      </c>
      <c r="AI1" s="220" t="s">
        <v>128</v>
      </c>
      <c r="AJ1" s="219" t="s">
        <v>129</v>
      </c>
      <c r="AK1" s="299" t="s">
        <v>130</v>
      </c>
      <c r="AL1" s="266" t="s">
        <v>131</v>
      </c>
      <c r="AM1" s="263" t="s">
        <v>132</v>
      </c>
      <c r="AN1" s="284" t="s">
        <v>133</v>
      </c>
      <c r="AO1" s="358" t="s">
        <v>2850</v>
      </c>
      <c r="AP1" s="503" t="s">
        <v>2946</v>
      </c>
      <c r="AQ1" s="574" t="s">
        <v>2934</v>
      </c>
      <c r="AR1" s="575" t="s">
        <v>2949</v>
      </c>
      <c r="AS1" s="577" t="s">
        <v>2940</v>
      </c>
      <c r="AT1" s="579" t="s">
        <v>2937</v>
      </c>
      <c r="AU1" s="581" t="s">
        <v>2938</v>
      </c>
      <c r="AV1" s="583" t="s">
        <v>2939</v>
      </c>
      <c r="AW1" s="284" t="s">
        <v>3244</v>
      </c>
    </row>
    <row r="2" spans="1:49" x14ac:dyDescent="0.3">
      <c r="B2" s="292">
        <v>1</v>
      </c>
      <c r="C2" s="292" t="s">
        <v>90</v>
      </c>
      <c r="D2" s="292" t="s">
        <v>2806</v>
      </c>
      <c r="E2" s="291" t="s">
        <v>134</v>
      </c>
      <c r="F2" s="292" t="s">
        <v>135</v>
      </c>
      <c r="G2" s="292"/>
      <c r="H2" s="291" t="s">
        <v>136</v>
      </c>
      <c r="I2" s="291" t="s">
        <v>137</v>
      </c>
      <c r="J2" s="225" t="s">
        <v>3305</v>
      </c>
      <c r="K2" s="299">
        <v>44399</v>
      </c>
      <c r="L2" s="299">
        <v>44399</v>
      </c>
      <c r="M2" s="299">
        <f>IFERROR(IF(VLOOKUP(功能_33[[#This Row],[功能代號]],討論項目!A:H,8,FALSE)=0,"",VLOOKUP(功能_33[[#This Row],[功能代號]],討論項目!A:H,8,FALSE)),"")</f>
        <v>44399</v>
      </c>
      <c r="N2" s="291" t="s">
        <v>10</v>
      </c>
      <c r="O2" s="291" t="s">
        <v>13</v>
      </c>
      <c r="T2" s="291"/>
      <c r="V2" s="291"/>
      <c r="W2" s="291"/>
      <c r="X2" s="292" t="str">
        <f>VLOOKUP(功能_33[[#This Row],[User]],SKL放款!A:G,7,FALSE)</f>
        <v>放款推展課</v>
      </c>
      <c r="Y2" s="299">
        <v>44470</v>
      </c>
      <c r="Z2" s="299">
        <v>44463</v>
      </c>
      <c r="AA2" s="299">
        <v>44461</v>
      </c>
      <c r="AB2" s="299">
        <v>44461</v>
      </c>
      <c r="AC2" s="683" t="s">
        <v>3307</v>
      </c>
      <c r="AD2" s="253" t="s">
        <v>8</v>
      </c>
      <c r="AE2" s="355">
        <v>44483.717361111107</v>
      </c>
      <c r="AF2" s="222">
        <v>44487.745833333327</v>
      </c>
      <c r="AG2" s="299" t="str">
        <f>IFERROR(IF(VLOOKUP(功能_33[[#This Row],[功能代號]],E:Q,11,FALSE)=0,"",VLOOKUP(功能_33[[#This Row],[功能代號]],E:Q,11,FALSE)),"")</f>
        <v>李珮君</v>
      </c>
      <c r="AH2" s="299"/>
      <c r="AI2" s="299"/>
      <c r="AJ2" s="292"/>
      <c r="AK2" s="299">
        <v>44403</v>
      </c>
      <c r="AL2" s="291">
        <v>1</v>
      </c>
      <c r="AM2" s="292" t="s">
        <v>139</v>
      </c>
      <c r="AN2" s="292" t="str">
        <f>VLOOKUP(功能_33[[#This Row],[功能代號]],需二審tmp!A:A,1,FALSE)</f>
        <v>L1001</v>
      </c>
      <c r="AO2" s="356">
        <v>44470</v>
      </c>
      <c r="AQ2" s="574" t="str">
        <f t="shared" ref="AQ2:AQ66" si="0">IF(COUNTA(AC2)=1,LEFT(D2,3),"")</f>
        <v>1-1</v>
      </c>
      <c r="AR2" s="576" t="str">
        <f t="shared" ref="AR2:AR66" si="1">IF(AND(COUNTA(L2)=1,COUNTA(M2)=1,COUNTA(Y2)=1,COUNTA(AB2)=1,COUNTA(AC2)=0),LEFT(D2,3),"")</f>
        <v/>
      </c>
      <c r="AS2" s="578" t="str">
        <f t="shared" ref="AS2:AS66" si="2">IF(AND(COUNTA(L2)=1,COUNTA(M2)=1,COUNTA(Y2)=1,COUNTA(AB2)=0,COUNTA(AC2)=0),LEFT(D2,3),"")</f>
        <v/>
      </c>
      <c r="AT2" s="580" t="str">
        <f t="shared" ref="AT2:AT32" si="3">IF(AND(COUNTA(M2)=0,COUNTA(Y2)=1),LEFT(D2,3),"")</f>
        <v/>
      </c>
      <c r="AU2" s="582" t="str">
        <f t="shared" ref="AU2:AU32" si="4">IF(AND(COUNTA(M2)=1,COUNTA(Y2)=0),LEFT(D2,3),"")</f>
        <v/>
      </c>
      <c r="AV2" s="584" t="str">
        <f t="shared" ref="AV2:AV32" si="5">IF(AND(COUNTA(M2)=0,COUNTA(Y2)=0),LEFT(D2,3),"")</f>
        <v/>
      </c>
      <c r="AW2" s="662" t="str">
        <f>IFERROR(VLOOKUP(功能_33[[#This Row],[功能代號]],工作表3!C:C,1,FALSE),"未計SIT測試")</f>
        <v>L1001</v>
      </c>
    </row>
    <row r="3" spans="1:49" x14ac:dyDescent="0.3">
      <c r="B3" s="292">
        <v>1</v>
      </c>
      <c r="C3" s="292" t="s">
        <v>90</v>
      </c>
      <c r="D3" s="292" t="s">
        <v>2806</v>
      </c>
      <c r="E3" s="291" t="s">
        <v>140</v>
      </c>
      <c r="F3" s="292" t="s">
        <v>141</v>
      </c>
      <c r="G3" s="292"/>
      <c r="H3" s="291" t="s">
        <v>136</v>
      </c>
      <c r="I3" s="291" t="s">
        <v>137</v>
      </c>
      <c r="J3" s="225" t="s">
        <v>3305</v>
      </c>
      <c r="K3" s="299">
        <v>44399</v>
      </c>
      <c r="L3" s="299">
        <v>44399</v>
      </c>
      <c r="M3" s="299">
        <f>IFERROR(IF(VLOOKUP(功能_33[[#This Row],[功能代號]],討論項目!A:H,8,FALSE)=0,"",VLOOKUP(功能_33[[#This Row],[功能代號]],討論項目!A:H,8,FALSE)),"")</f>
        <v>44456</v>
      </c>
      <c r="N3" s="291" t="s">
        <v>10</v>
      </c>
      <c r="O3" s="291" t="s">
        <v>13</v>
      </c>
      <c r="T3" s="291"/>
      <c r="V3" s="291"/>
      <c r="W3" s="291"/>
      <c r="X3" s="292" t="str">
        <f>VLOOKUP(功能_33[[#This Row],[User]],SKL放款!A:G,7,FALSE)</f>
        <v>放款推展課</v>
      </c>
      <c r="Y3" s="299">
        <v>44470</v>
      </c>
      <c r="Z3" s="299">
        <v>44463</v>
      </c>
      <c r="AA3" s="299">
        <v>44461</v>
      </c>
      <c r="AB3" s="299">
        <v>44461</v>
      </c>
      <c r="AC3" s="683" t="s">
        <v>3309</v>
      </c>
      <c r="AD3" s="253" t="s">
        <v>12</v>
      </c>
      <c r="AE3" s="355">
        <v>44482.39166666667</v>
      </c>
      <c r="AF3" s="222">
        <v>44487.745833333327</v>
      </c>
      <c r="AG3" s="299" t="str">
        <f>IFERROR(IF(VLOOKUP(功能_33[[#This Row],[功能代號]],E:Q,11,FALSE)=0,"",VLOOKUP(功能_33[[#This Row],[功能代號]],E:Q,11,FALSE)),"")</f>
        <v>李珮君</v>
      </c>
      <c r="AH3" s="299"/>
      <c r="AI3" s="299"/>
      <c r="AJ3" s="292"/>
      <c r="AK3" s="299">
        <v>44403</v>
      </c>
      <c r="AL3" s="291" t="s">
        <v>142</v>
      </c>
      <c r="AM3" s="292" t="s">
        <v>143</v>
      </c>
      <c r="AN3" s="292" t="str">
        <f>VLOOKUP(功能_33[[#This Row],[功能代號]],需二審tmp!A:A,1,FALSE)</f>
        <v>L1101</v>
      </c>
      <c r="AO3" s="356">
        <v>44470</v>
      </c>
      <c r="AQ3" s="574" t="str">
        <f t="shared" si="0"/>
        <v>1-1</v>
      </c>
      <c r="AR3" s="576" t="str">
        <f t="shared" si="1"/>
        <v/>
      </c>
      <c r="AS3" s="578" t="str">
        <f t="shared" si="2"/>
        <v/>
      </c>
      <c r="AT3" s="580" t="str">
        <f t="shared" si="3"/>
        <v/>
      </c>
      <c r="AU3" s="582" t="str">
        <f t="shared" si="4"/>
        <v/>
      </c>
      <c r="AV3" s="584" t="str">
        <f t="shared" si="5"/>
        <v/>
      </c>
      <c r="AW3" s="662" t="str">
        <f>IFERROR(VLOOKUP(功能_33[[#This Row],[功能代號]],工作表3!C:C,1,FALSE),"未計SIT測試")</f>
        <v>L1101</v>
      </c>
    </row>
    <row r="4" spans="1:49" x14ac:dyDescent="0.3">
      <c r="B4" s="292">
        <v>1</v>
      </c>
      <c r="C4" s="292" t="s">
        <v>90</v>
      </c>
      <c r="D4" s="292" t="s">
        <v>2806</v>
      </c>
      <c r="E4" s="291" t="s">
        <v>144</v>
      </c>
      <c r="F4" s="292" t="s">
        <v>145</v>
      </c>
      <c r="G4" s="292"/>
      <c r="H4" s="291" t="s">
        <v>136</v>
      </c>
      <c r="I4" s="291" t="s">
        <v>137</v>
      </c>
      <c r="J4" s="225" t="s">
        <v>3305</v>
      </c>
      <c r="K4" s="299">
        <v>44403</v>
      </c>
      <c r="L4" s="299">
        <v>44403</v>
      </c>
      <c r="M4" s="299">
        <f>IFERROR(IF(VLOOKUP(功能_33[[#This Row],[功能代號]],討論項目!A:H,8,FALSE)=0,"",VLOOKUP(功能_33[[#This Row],[功能代號]],討論項目!A:H,8,FALSE)),"")</f>
        <v>44460</v>
      </c>
      <c r="N4" s="291" t="s">
        <v>10</v>
      </c>
      <c r="O4" s="291" t="s">
        <v>15</v>
      </c>
      <c r="T4" s="291"/>
      <c r="V4" s="291"/>
      <c r="W4" s="291"/>
      <c r="X4" s="292" t="str">
        <f>VLOOKUP(功能_33[[#This Row],[User]],SKL放款!A:G,7,FALSE)</f>
        <v>放款推展課</v>
      </c>
      <c r="Y4" s="299">
        <v>44470</v>
      </c>
      <c r="Z4" s="299">
        <v>44463</v>
      </c>
      <c r="AA4" s="299">
        <v>44461</v>
      </c>
      <c r="AB4" s="299">
        <v>44461</v>
      </c>
      <c r="AC4" s="683" t="s">
        <v>3311</v>
      </c>
      <c r="AD4" s="253" t="s">
        <v>7</v>
      </c>
      <c r="AE4" s="355" t="s">
        <v>146</v>
      </c>
      <c r="AF4" s="222">
        <v>44487.745833333327</v>
      </c>
      <c r="AG4" s="299" t="str">
        <f>IFERROR(IF(VLOOKUP(功能_33[[#This Row],[功能代號]],E:Q,11,FALSE)=0,"",VLOOKUP(功能_33[[#This Row],[功能代號]],E:Q,11,FALSE)),"")</f>
        <v>陳俞辛</v>
      </c>
      <c r="AH4" s="299"/>
      <c r="AI4" s="299"/>
      <c r="AJ4" s="292"/>
      <c r="AK4" s="292"/>
      <c r="AL4" s="291" t="s">
        <v>142</v>
      </c>
      <c r="AM4" s="292" t="s">
        <v>143</v>
      </c>
      <c r="AN4" s="292" t="str">
        <f>VLOOKUP(功能_33[[#This Row],[功能代號]],需二審tmp!A:A,1,FALSE)</f>
        <v>L1102</v>
      </c>
      <c r="AO4" s="356">
        <v>44470</v>
      </c>
      <c r="AQ4" s="574" t="str">
        <f t="shared" si="0"/>
        <v>1-1</v>
      </c>
      <c r="AR4" s="576" t="str">
        <f t="shared" si="1"/>
        <v/>
      </c>
      <c r="AS4" s="578" t="str">
        <f t="shared" si="2"/>
        <v/>
      </c>
      <c r="AT4" s="580" t="str">
        <f t="shared" si="3"/>
        <v/>
      </c>
      <c r="AU4" s="582" t="str">
        <f t="shared" si="4"/>
        <v/>
      </c>
      <c r="AV4" s="584" t="str">
        <f t="shared" si="5"/>
        <v/>
      </c>
      <c r="AW4" s="662" t="str">
        <f>IFERROR(VLOOKUP(功能_33[[#This Row],[功能代號]],工作表3!C:C,1,FALSE),"未計SIT測試")</f>
        <v>L1102</v>
      </c>
    </row>
    <row r="5" spans="1:49" x14ac:dyDescent="0.3">
      <c r="B5" s="292">
        <v>1</v>
      </c>
      <c r="C5" s="292" t="s">
        <v>90</v>
      </c>
      <c r="D5" s="292" t="s">
        <v>2806</v>
      </c>
      <c r="E5" s="291" t="s">
        <v>147</v>
      </c>
      <c r="F5" s="292" t="s">
        <v>148</v>
      </c>
      <c r="G5" s="292"/>
      <c r="H5" s="291" t="s">
        <v>136</v>
      </c>
      <c r="I5" s="291" t="s">
        <v>137</v>
      </c>
      <c r="J5" s="225" t="s">
        <v>3305</v>
      </c>
      <c r="K5" s="299">
        <v>44399</v>
      </c>
      <c r="L5" s="299">
        <v>44399</v>
      </c>
      <c r="M5" s="299">
        <f>IFERROR(IF(VLOOKUP(功能_33[[#This Row],[功能代號]],討論項目!A:H,8,FALSE)=0,"",VLOOKUP(功能_33[[#This Row],[功能代號]],討論項目!A:H,8,FALSE)),"")</f>
        <v>44469</v>
      </c>
      <c r="N5" s="291" t="s">
        <v>10</v>
      </c>
      <c r="O5" s="291" t="s">
        <v>13</v>
      </c>
      <c r="T5" s="291"/>
      <c r="V5" s="291"/>
      <c r="W5" s="291"/>
      <c r="X5" s="292" t="str">
        <f>VLOOKUP(功能_33[[#This Row],[User]],SKL放款!A:G,7,FALSE)</f>
        <v>放款推展課</v>
      </c>
      <c r="Y5" s="299">
        <v>44470</v>
      </c>
      <c r="Z5" s="299">
        <v>44463</v>
      </c>
      <c r="AA5" s="299">
        <v>44461</v>
      </c>
      <c r="AB5" s="299">
        <v>44461</v>
      </c>
      <c r="AC5" s="683" t="s">
        <v>3311</v>
      </c>
      <c r="AD5" s="253" t="s">
        <v>12</v>
      </c>
      <c r="AE5" s="355">
        <v>44482.39166666667</v>
      </c>
      <c r="AF5" s="222">
        <v>44487.745833333327</v>
      </c>
      <c r="AG5" s="299" t="str">
        <f>IFERROR(IF(VLOOKUP(功能_33[[#This Row],[功能代號]],E:Q,11,FALSE)=0,"",VLOOKUP(功能_33[[#This Row],[功能代號]],E:Q,11,FALSE)),"")</f>
        <v>李珮君</v>
      </c>
      <c r="AH5" s="299"/>
      <c r="AI5" s="299"/>
      <c r="AJ5" s="292"/>
      <c r="AK5" s="292"/>
      <c r="AL5" s="291" t="s">
        <v>149</v>
      </c>
      <c r="AM5" s="292" t="s">
        <v>150</v>
      </c>
      <c r="AN5" s="292" t="str">
        <f>VLOOKUP(功能_33[[#This Row],[功能代號]],需二審tmp!A:A,1,FALSE)</f>
        <v>L1103</v>
      </c>
      <c r="AO5" s="356">
        <v>44470</v>
      </c>
      <c r="AQ5" s="574" t="str">
        <f t="shared" si="0"/>
        <v>1-1</v>
      </c>
      <c r="AR5" s="576" t="str">
        <f t="shared" si="1"/>
        <v/>
      </c>
      <c r="AS5" s="578" t="str">
        <f t="shared" si="2"/>
        <v/>
      </c>
      <c r="AT5" s="580" t="str">
        <f t="shared" si="3"/>
        <v/>
      </c>
      <c r="AU5" s="582" t="str">
        <f t="shared" si="4"/>
        <v/>
      </c>
      <c r="AV5" s="584" t="str">
        <f t="shared" si="5"/>
        <v/>
      </c>
      <c r="AW5" s="662" t="str">
        <f>IFERROR(VLOOKUP(功能_33[[#This Row],[功能代號]],工作表3!C:C,1,FALSE),"未計SIT測試")</f>
        <v>L1103</v>
      </c>
    </row>
    <row r="6" spans="1:49" x14ac:dyDescent="0.3">
      <c r="B6" s="292">
        <v>1</v>
      </c>
      <c r="C6" s="292" t="s">
        <v>90</v>
      </c>
      <c r="D6" s="292" t="s">
        <v>2806</v>
      </c>
      <c r="E6" s="291" t="s">
        <v>151</v>
      </c>
      <c r="F6" s="292" t="s">
        <v>152</v>
      </c>
      <c r="G6" s="292"/>
      <c r="H6" s="291" t="s">
        <v>136</v>
      </c>
      <c r="I6" s="291" t="s">
        <v>137</v>
      </c>
      <c r="J6" s="225" t="s">
        <v>3305</v>
      </c>
      <c r="K6" s="299">
        <v>44403</v>
      </c>
      <c r="L6" s="299">
        <v>44403</v>
      </c>
      <c r="M6" s="299">
        <f>IFERROR(IF(VLOOKUP(功能_33[[#This Row],[功能代號]],討論項目!A:H,8,FALSE)=0,"",VLOOKUP(功能_33[[#This Row],[功能代號]],討論項目!A:H,8,FALSE)),"")</f>
        <v>44456</v>
      </c>
      <c r="N6" s="291" t="s">
        <v>10</v>
      </c>
      <c r="O6" s="291" t="s">
        <v>15</v>
      </c>
      <c r="T6" s="291"/>
      <c r="V6" s="291"/>
      <c r="W6" s="291"/>
      <c r="X6" s="292" t="str">
        <f>VLOOKUP(功能_33[[#This Row],[User]],SKL放款!A:G,7,FALSE)</f>
        <v>放款推展課</v>
      </c>
      <c r="Y6" s="299">
        <v>44470</v>
      </c>
      <c r="Z6" s="299">
        <v>44463</v>
      </c>
      <c r="AA6" s="299">
        <v>44461</v>
      </c>
      <c r="AB6" s="299">
        <v>44461</v>
      </c>
      <c r="AC6" s="682" t="s">
        <v>3308</v>
      </c>
      <c r="AD6" s="253" t="s">
        <v>12</v>
      </c>
      <c r="AE6" s="355">
        <v>44482.39166666667</v>
      </c>
      <c r="AF6" s="222">
        <v>44487.745833333327</v>
      </c>
      <c r="AG6" s="299" t="str">
        <f>IFERROR(IF(VLOOKUP(功能_33[[#This Row],[功能代號]],E:Q,11,FALSE)=0,"",VLOOKUP(功能_33[[#This Row],[功能代號]],E:Q,11,FALSE)),"")</f>
        <v>陳俞辛</v>
      </c>
      <c r="AH6" s="299"/>
      <c r="AI6" s="299"/>
      <c r="AJ6" s="292"/>
      <c r="AK6" s="292"/>
      <c r="AL6" s="291" t="s">
        <v>149</v>
      </c>
      <c r="AM6" s="292" t="s">
        <v>150</v>
      </c>
      <c r="AN6" s="292" t="str">
        <f>VLOOKUP(功能_33[[#This Row],[功能代號]],需二審tmp!A:A,1,FALSE)</f>
        <v>L1104</v>
      </c>
      <c r="AO6" s="356">
        <v>44470</v>
      </c>
      <c r="AQ6" s="574" t="str">
        <f t="shared" si="0"/>
        <v>1-1</v>
      </c>
      <c r="AR6" s="576" t="str">
        <f t="shared" si="1"/>
        <v/>
      </c>
      <c r="AS6" s="578" t="str">
        <f t="shared" si="2"/>
        <v/>
      </c>
      <c r="AT6" s="580" t="str">
        <f t="shared" si="3"/>
        <v/>
      </c>
      <c r="AU6" s="582" t="str">
        <f t="shared" si="4"/>
        <v/>
      </c>
      <c r="AV6" s="584" t="str">
        <f t="shared" si="5"/>
        <v/>
      </c>
      <c r="AW6" s="662" t="str">
        <f>IFERROR(VLOOKUP(功能_33[[#This Row],[功能代號]],工作表3!C:C,1,FALSE),"未計SIT測試")</f>
        <v>L1104</v>
      </c>
    </row>
    <row r="7" spans="1:49" x14ac:dyDescent="0.3">
      <c r="B7" s="292">
        <v>1</v>
      </c>
      <c r="C7" s="292" t="s">
        <v>90</v>
      </c>
      <c r="D7" s="292" t="s">
        <v>2806</v>
      </c>
      <c r="E7" s="291" t="s">
        <v>153</v>
      </c>
      <c r="F7" s="292" t="s">
        <v>154</v>
      </c>
      <c r="G7" s="292"/>
      <c r="H7" s="291" t="s">
        <v>136</v>
      </c>
      <c r="I7" s="291" t="s">
        <v>137</v>
      </c>
      <c r="J7" s="225" t="s">
        <v>138</v>
      </c>
      <c r="K7" s="299">
        <v>44461</v>
      </c>
      <c r="L7" s="299">
        <v>44461</v>
      </c>
      <c r="M7" s="299">
        <v>44515</v>
      </c>
      <c r="N7" s="291" t="s">
        <v>10</v>
      </c>
      <c r="O7" s="291" t="s">
        <v>11</v>
      </c>
      <c r="T7" s="291"/>
      <c r="V7" s="291"/>
      <c r="W7" s="291"/>
      <c r="X7" s="292" t="str">
        <f>VLOOKUP(功能_33[[#This Row],[User]],SKL放款!A:G,7,FALSE)</f>
        <v>放款服務課</v>
      </c>
      <c r="Y7" s="299">
        <v>44515</v>
      </c>
      <c r="Z7" s="299">
        <v>44463</v>
      </c>
      <c r="AA7" s="299">
        <v>44461</v>
      </c>
      <c r="AB7" s="299">
        <v>44461</v>
      </c>
      <c r="AC7" s="683">
        <v>44515</v>
      </c>
      <c r="AD7" s="253" t="s">
        <v>10</v>
      </c>
      <c r="AE7" s="355">
        <v>44483.717361111107</v>
      </c>
      <c r="AF7" s="222">
        <v>44487.745833333327</v>
      </c>
      <c r="AG7" s="299" t="str">
        <f>IFERROR(IF(VLOOKUP(功能_33[[#This Row],[功能代號]],E:Q,11,FALSE)=0,"",VLOOKUP(功能_33[[#This Row],[功能代號]],E:Q,11,FALSE)),"")</f>
        <v>蔡珮瑜</v>
      </c>
      <c r="AH7" s="299"/>
      <c r="AI7" s="299"/>
      <c r="AJ7" s="292"/>
      <c r="AK7" s="292"/>
      <c r="AL7" s="291" t="s">
        <v>155</v>
      </c>
      <c r="AM7" s="292" t="s">
        <v>156</v>
      </c>
      <c r="AN7" s="292" t="e">
        <f>VLOOKUP(功能_33[[#This Row],[功能代號]],需二審tmp!A:A,1,FALSE)</f>
        <v>#N/A</v>
      </c>
      <c r="AO7" s="356">
        <v>44515</v>
      </c>
      <c r="AQ7" s="574" t="str">
        <f t="shared" si="0"/>
        <v>1-1</v>
      </c>
      <c r="AR7" s="576" t="str">
        <f t="shared" si="1"/>
        <v/>
      </c>
      <c r="AS7" s="578" t="str">
        <f t="shared" si="2"/>
        <v/>
      </c>
      <c r="AT7" s="580" t="str">
        <f t="shared" si="3"/>
        <v/>
      </c>
      <c r="AU7" s="582" t="str">
        <f t="shared" si="4"/>
        <v/>
      </c>
      <c r="AV7" s="584" t="str">
        <f t="shared" si="5"/>
        <v/>
      </c>
      <c r="AW7" s="662" t="str">
        <f>IFERROR(VLOOKUP(功能_33[[#This Row],[功能代號]],工作表3!C:C,1,FALSE),"未計SIT測試")</f>
        <v>L1110</v>
      </c>
    </row>
    <row r="8" spans="1:49" x14ac:dyDescent="0.3">
      <c r="B8" s="292">
        <v>1</v>
      </c>
      <c r="C8" s="292" t="s">
        <v>90</v>
      </c>
      <c r="D8" s="292" t="s">
        <v>2806</v>
      </c>
      <c r="E8" s="291" t="s">
        <v>157</v>
      </c>
      <c r="F8" s="292" t="s">
        <v>158</v>
      </c>
      <c r="G8" s="292"/>
      <c r="H8" s="291" t="s">
        <v>136</v>
      </c>
      <c r="I8" s="291" t="s">
        <v>137</v>
      </c>
      <c r="J8" s="225" t="s">
        <v>138</v>
      </c>
      <c r="K8" s="299">
        <v>44461</v>
      </c>
      <c r="L8" s="299">
        <v>44461</v>
      </c>
      <c r="M8" s="299">
        <v>44489</v>
      </c>
      <c r="N8" s="291" t="s">
        <v>10</v>
      </c>
      <c r="O8" s="291" t="s">
        <v>13</v>
      </c>
      <c r="P8" s="270" t="s">
        <v>15</v>
      </c>
      <c r="T8" s="291"/>
      <c r="V8" s="291"/>
      <c r="W8" s="291"/>
      <c r="X8" s="292" t="str">
        <f>VLOOKUP(功能_33[[#This Row],[User]],SKL放款!A:G,7,FALSE)</f>
        <v>放款推展課</v>
      </c>
      <c r="Y8" s="299">
        <v>44470</v>
      </c>
      <c r="Z8" s="299">
        <v>44463</v>
      </c>
      <c r="AA8" s="299">
        <v>44461</v>
      </c>
      <c r="AB8" s="299">
        <v>44461</v>
      </c>
      <c r="AC8" s="683" t="s">
        <v>3310</v>
      </c>
      <c r="AD8" s="253" t="s">
        <v>8</v>
      </c>
      <c r="AE8" s="355">
        <v>44483.717361111107</v>
      </c>
      <c r="AF8" s="222">
        <v>44487.745833333327</v>
      </c>
      <c r="AG8" s="299" t="str">
        <f>IFERROR(IF(VLOOKUP(功能_33[[#This Row],[功能代號]],E:Q,11,FALSE)=0,"",VLOOKUP(功能_33[[#This Row],[功能代號]],E:Q,11,FALSE)),"")</f>
        <v>李珮君</v>
      </c>
      <c r="AH8" s="299"/>
      <c r="AI8" s="299"/>
      <c r="AJ8" s="292"/>
      <c r="AK8" s="292"/>
      <c r="AL8" s="291" t="s">
        <v>159</v>
      </c>
      <c r="AM8" s="292" t="s">
        <v>160</v>
      </c>
      <c r="AN8" s="292" t="e">
        <f>VLOOKUP(功能_33[[#This Row],[功能代號]],需二審tmp!A:A,1,FALSE)</f>
        <v>#N/A</v>
      </c>
      <c r="AO8" s="356">
        <v>44487</v>
      </c>
      <c r="AQ8" s="574" t="str">
        <f t="shared" si="0"/>
        <v>1-1</v>
      </c>
      <c r="AR8" s="576" t="str">
        <f t="shared" si="1"/>
        <v/>
      </c>
      <c r="AS8" s="578" t="str">
        <f t="shared" si="2"/>
        <v/>
      </c>
      <c r="AT8" s="580" t="str">
        <f t="shared" si="3"/>
        <v/>
      </c>
      <c r="AU8" s="582" t="str">
        <f t="shared" si="4"/>
        <v/>
      </c>
      <c r="AV8" s="584" t="str">
        <f t="shared" si="5"/>
        <v/>
      </c>
      <c r="AW8" s="662" t="str">
        <f>IFERROR(VLOOKUP(功能_33[[#This Row],[功能代號]],工作表3!C:C,1,FALSE),"未計SIT測試")</f>
        <v>L1111</v>
      </c>
    </row>
    <row r="9" spans="1:49" x14ac:dyDescent="0.3">
      <c r="B9" s="292">
        <v>1</v>
      </c>
      <c r="C9" s="292" t="s">
        <v>90</v>
      </c>
      <c r="D9" s="292" t="s">
        <v>2806</v>
      </c>
      <c r="E9" s="291" t="s">
        <v>161</v>
      </c>
      <c r="F9" s="292" t="s">
        <v>162</v>
      </c>
      <c r="G9" s="292"/>
      <c r="H9" s="291" t="s">
        <v>136</v>
      </c>
      <c r="I9" s="291" t="s">
        <v>137</v>
      </c>
      <c r="J9" s="225" t="s">
        <v>138</v>
      </c>
      <c r="K9" s="299">
        <v>44399</v>
      </c>
      <c r="L9" s="299">
        <v>44399</v>
      </c>
      <c r="M9" s="299">
        <v>44399</v>
      </c>
      <c r="N9" s="291" t="s">
        <v>10</v>
      </c>
      <c r="O9" s="291" t="s">
        <v>15</v>
      </c>
      <c r="T9" s="291"/>
      <c r="V9" s="291"/>
      <c r="W9" s="291"/>
      <c r="X9" s="292" t="str">
        <f>VLOOKUP(功能_33[[#This Row],[User]],SKL放款!A:G,7,FALSE)</f>
        <v>放款推展課</v>
      </c>
      <c r="Y9" s="299">
        <v>44470</v>
      </c>
      <c r="Z9" s="299">
        <v>44463</v>
      </c>
      <c r="AA9" s="299">
        <v>44468</v>
      </c>
      <c r="AB9" s="299">
        <v>44468</v>
      </c>
      <c r="AC9" s="683" t="s">
        <v>3312</v>
      </c>
      <c r="AD9" s="253" t="s">
        <v>12</v>
      </c>
      <c r="AE9" s="355">
        <v>44482.39166666667</v>
      </c>
      <c r="AF9" s="222">
        <v>44487.745833333327</v>
      </c>
      <c r="AG9" s="299" t="str">
        <f>IFERROR(IF(VLOOKUP(功能_33[[#This Row],[功能代號]],E:Q,11,FALSE)=0,"",VLOOKUP(功能_33[[#This Row],[功能代號]],E:Q,11,FALSE)),"")</f>
        <v>陳俞辛</v>
      </c>
      <c r="AH9" s="299"/>
      <c r="AI9" s="299"/>
      <c r="AJ9" s="292"/>
      <c r="AK9" s="359">
        <v>44491</v>
      </c>
      <c r="AM9" s="292" t="s">
        <v>163</v>
      </c>
      <c r="AN9" s="292" t="str">
        <f>VLOOKUP(功能_33[[#This Row],[功能代號]],需二審tmp!A:A,1,FALSE)</f>
        <v>L1905</v>
      </c>
      <c r="AO9" s="356">
        <v>44470</v>
      </c>
      <c r="AQ9" s="574" t="str">
        <f t="shared" si="0"/>
        <v>1-1</v>
      </c>
      <c r="AR9" s="576" t="str">
        <f t="shared" si="1"/>
        <v/>
      </c>
      <c r="AS9" s="578" t="str">
        <f t="shared" si="2"/>
        <v/>
      </c>
      <c r="AT9" s="580" t="str">
        <f t="shared" si="3"/>
        <v/>
      </c>
      <c r="AU9" s="582" t="str">
        <f t="shared" si="4"/>
        <v/>
      </c>
      <c r="AV9" s="584" t="str">
        <f t="shared" si="5"/>
        <v/>
      </c>
      <c r="AW9" s="662" t="str">
        <f>IFERROR(VLOOKUP(功能_33[[#This Row],[功能代號]],工作表3!C:C,1,FALSE),"未計SIT測試")</f>
        <v>L1905</v>
      </c>
    </row>
    <row r="10" spans="1:49" x14ac:dyDescent="0.3">
      <c r="B10" s="292">
        <v>1</v>
      </c>
      <c r="C10" s="292" t="s">
        <v>90</v>
      </c>
      <c r="D10" s="292" t="s">
        <v>2806</v>
      </c>
      <c r="E10" s="291" t="s">
        <v>164</v>
      </c>
      <c r="F10" s="292" t="s">
        <v>165</v>
      </c>
      <c r="G10" s="292"/>
      <c r="H10" s="291" t="s">
        <v>136</v>
      </c>
      <c r="I10" s="291" t="s">
        <v>137</v>
      </c>
      <c r="J10" s="225" t="s">
        <v>138</v>
      </c>
      <c r="K10" s="299">
        <v>44399</v>
      </c>
      <c r="L10" s="299">
        <v>44399</v>
      </c>
      <c r="M10" s="299">
        <f>IFERROR(IF(VLOOKUP(功能_33[[#This Row],[功能代號]],討論項目!A:H,8,FALSE)=0,"",VLOOKUP(功能_33[[#This Row],[功能代號]],討論項目!A:H,8,FALSE)),"")</f>
        <v>44431</v>
      </c>
      <c r="N10" s="291" t="s">
        <v>10</v>
      </c>
      <c r="O10" s="291" t="s">
        <v>15</v>
      </c>
      <c r="T10" s="291"/>
      <c r="V10" s="291"/>
      <c r="W10" s="291"/>
      <c r="X10" s="292" t="str">
        <f>VLOOKUP(功能_33[[#This Row],[User]],SKL放款!A:G,7,FALSE)</f>
        <v>放款推展課</v>
      </c>
      <c r="Y10" s="299">
        <v>44470</v>
      </c>
      <c r="Z10" s="299">
        <v>44463</v>
      </c>
      <c r="AA10" s="299">
        <v>44468</v>
      </c>
      <c r="AB10" s="299">
        <v>44468</v>
      </c>
      <c r="AC10" s="683" t="s">
        <v>3310</v>
      </c>
      <c r="AD10" s="253" t="s">
        <v>12</v>
      </c>
      <c r="AE10" s="355">
        <v>44482.39166666667</v>
      </c>
      <c r="AF10" s="222">
        <v>44487.745833333327</v>
      </c>
      <c r="AG10" s="299" t="str">
        <f>IFERROR(IF(VLOOKUP(功能_33[[#This Row],[功能代號]],E:Q,11,FALSE)=0,"",VLOOKUP(功能_33[[#This Row],[功能代號]],E:Q,11,FALSE)),"")</f>
        <v>陳俞辛</v>
      </c>
      <c r="AH10" s="299"/>
      <c r="AI10" s="299"/>
      <c r="AJ10" s="292"/>
      <c r="AK10" s="292"/>
      <c r="AM10" s="292" t="s">
        <v>163</v>
      </c>
      <c r="AN10" s="292" t="str">
        <f>VLOOKUP(功能_33[[#This Row],[功能代號]],需二審tmp!A:A,1,FALSE)</f>
        <v>L1105</v>
      </c>
      <c r="AO10" s="356">
        <v>44470</v>
      </c>
      <c r="AQ10" s="574" t="str">
        <f t="shared" si="0"/>
        <v>1-1</v>
      </c>
      <c r="AR10" s="576" t="str">
        <f t="shared" si="1"/>
        <v/>
      </c>
      <c r="AS10" s="578" t="str">
        <f t="shared" si="2"/>
        <v/>
      </c>
      <c r="AT10" s="580" t="str">
        <f t="shared" si="3"/>
        <v/>
      </c>
      <c r="AU10" s="582" t="str">
        <f t="shared" si="4"/>
        <v/>
      </c>
      <c r="AV10" s="584" t="str">
        <f t="shared" si="5"/>
        <v/>
      </c>
      <c r="AW10" s="662" t="str">
        <f>IFERROR(VLOOKUP(功能_33[[#This Row],[功能代號]],工作表3!C:C,1,FALSE),"未計SIT測試")</f>
        <v>L1105</v>
      </c>
    </row>
    <row r="11" spans="1:49" x14ac:dyDescent="0.3">
      <c r="B11" s="292">
        <v>1</v>
      </c>
      <c r="C11" s="292" t="s">
        <v>90</v>
      </c>
      <c r="D11" s="292" t="s">
        <v>2807</v>
      </c>
      <c r="E11" s="291" t="s">
        <v>170</v>
      </c>
      <c r="F11" s="292" t="s">
        <v>171</v>
      </c>
      <c r="G11" s="292"/>
      <c r="H11" s="291" t="s">
        <v>136</v>
      </c>
      <c r="I11" s="291" t="s">
        <v>137</v>
      </c>
      <c r="J11" s="225" t="s">
        <v>138</v>
      </c>
      <c r="K11" s="299">
        <v>44399</v>
      </c>
      <c r="L11" s="299">
        <v>44400</v>
      </c>
      <c r="M11" s="299">
        <f>IFERROR(IF(VLOOKUP(功能_33[[#This Row],[功能代號]],討論項目!A:H,8,FALSE)=0,"",VLOOKUP(功能_33[[#This Row],[功能代號]],討論項目!A:H,8,FALSE)),"")</f>
        <v>44431</v>
      </c>
      <c r="N11" s="291" t="s">
        <v>12</v>
      </c>
      <c r="O11" s="291" t="s">
        <v>172</v>
      </c>
      <c r="T11" s="291"/>
      <c r="V11" s="291"/>
      <c r="W11" s="291"/>
      <c r="X11" s="292" t="str">
        <f>VLOOKUP(功能_33[[#This Row],[User]],SKL放款!A:G,7,FALSE)</f>
        <v>放款服務課</v>
      </c>
      <c r="Y11" s="299">
        <v>44470</v>
      </c>
      <c r="Z11" s="299">
        <v>44463</v>
      </c>
      <c r="AA11" s="299">
        <v>44468</v>
      </c>
      <c r="AB11" s="299">
        <v>44468</v>
      </c>
      <c r="AC11" s="683" t="s">
        <v>3310</v>
      </c>
      <c r="AD11" s="253" t="s">
        <v>8</v>
      </c>
      <c r="AE11" s="355">
        <v>44483.717361111107</v>
      </c>
      <c r="AF11" s="222">
        <v>44487.745833333327</v>
      </c>
      <c r="AG11" s="299" t="str">
        <f>IFERROR(IF(VLOOKUP(功能_33[[#This Row],[功能代號]],E:Q,11,FALSE)=0,"",VLOOKUP(功能_33[[#This Row],[功能代號]],E:Q,11,FALSE)),"")</f>
        <v>陳政皓</v>
      </c>
      <c r="AH11" s="299"/>
      <c r="AI11" s="299"/>
      <c r="AJ11" s="292"/>
      <c r="AK11" s="292"/>
      <c r="AL11" s="291" t="s">
        <v>173</v>
      </c>
      <c r="AM11" s="292" t="s">
        <v>174</v>
      </c>
      <c r="AN11" s="292" t="str">
        <f>VLOOKUP(功能_33[[#This Row],[功能代號]],需二審tmp!A:A,1,FALSE)</f>
        <v>L1908</v>
      </c>
      <c r="AO11" s="356">
        <v>44470</v>
      </c>
      <c r="AQ11" s="574" t="str">
        <f t="shared" si="0"/>
        <v>1-3</v>
      </c>
      <c r="AR11" s="576" t="str">
        <f t="shared" si="1"/>
        <v/>
      </c>
      <c r="AS11" s="578" t="str">
        <f t="shared" si="2"/>
        <v/>
      </c>
      <c r="AT11" s="580" t="str">
        <f t="shared" si="3"/>
        <v/>
      </c>
      <c r="AU11" s="582" t="str">
        <f t="shared" si="4"/>
        <v/>
      </c>
      <c r="AV11" s="584" t="str">
        <f t="shared" si="5"/>
        <v/>
      </c>
      <c r="AW11" s="662" t="str">
        <f>IFERROR(VLOOKUP(功能_33[[#This Row],[功能代號]],工作表3!C:C,1,FALSE),"未計SIT測試")</f>
        <v>L1908</v>
      </c>
    </row>
    <row r="12" spans="1:49" x14ac:dyDescent="0.3">
      <c r="B12" s="292">
        <v>1</v>
      </c>
      <c r="C12" s="292" t="s">
        <v>90</v>
      </c>
      <c r="D12" s="292" t="s">
        <v>2807</v>
      </c>
      <c r="E12" s="291" t="s">
        <v>175</v>
      </c>
      <c r="F12" s="292" t="s">
        <v>176</v>
      </c>
      <c r="G12" s="292"/>
      <c r="H12" s="291" t="s">
        <v>136</v>
      </c>
      <c r="I12" s="291" t="s">
        <v>137</v>
      </c>
      <c r="J12" s="225" t="s">
        <v>138</v>
      </c>
      <c r="K12" s="299">
        <v>44399</v>
      </c>
      <c r="L12" s="299">
        <v>44400</v>
      </c>
      <c r="M12" s="299">
        <f>IFERROR(IF(VLOOKUP(功能_33[[#This Row],[功能代號]],討論項目!A:H,8,FALSE)=0,"",VLOOKUP(功能_33[[#This Row],[功能代號]],討論項目!A:H,8,FALSE)),"")</f>
        <v>44424</v>
      </c>
      <c r="N12" s="291" t="s">
        <v>12</v>
      </c>
      <c r="O12" s="291" t="s">
        <v>172</v>
      </c>
      <c r="T12" s="291"/>
      <c r="V12" s="291"/>
      <c r="W12" s="291"/>
      <c r="X12" s="292" t="str">
        <f>VLOOKUP(功能_33[[#This Row],[User]],SKL放款!A:G,7,FALSE)</f>
        <v>放款服務課</v>
      </c>
      <c r="Y12" s="299">
        <v>44470</v>
      </c>
      <c r="Z12" s="299">
        <v>44463</v>
      </c>
      <c r="AA12" s="299">
        <v>44468</v>
      </c>
      <c r="AB12" s="299">
        <v>44468</v>
      </c>
      <c r="AC12" s="683" t="s">
        <v>3310</v>
      </c>
      <c r="AD12" s="253" t="s">
        <v>8</v>
      </c>
      <c r="AE12" s="355">
        <v>44483.717361111107</v>
      </c>
      <c r="AF12" s="222">
        <v>44487.745833333327</v>
      </c>
      <c r="AG12" s="299" t="str">
        <f>IFERROR(IF(VLOOKUP(功能_33[[#This Row],[功能代號]],E:Q,11,FALSE)=0,"",VLOOKUP(功能_33[[#This Row],[功能代號]],E:Q,11,FALSE)),"")</f>
        <v>陳政皓</v>
      </c>
      <c r="AH12" s="299"/>
      <c r="AI12" s="299"/>
      <c r="AJ12" s="292"/>
      <c r="AK12" s="292"/>
      <c r="AL12" s="291" t="s">
        <v>173</v>
      </c>
      <c r="AM12" s="292" t="s">
        <v>174</v>
      </c>
      <c r="AN12" s="292" t="str">
        <f>VLOOKUP(功能_33[[#This Row],[功能代號]],需二審tmp!A:A,1,FALSE)</f>
        <v>L1108</v>
      </c>
      <c r="AO12" s="356">
        <v>44470</v>
      </c>
      <c r="AQ12" s="574" t="str">
        <f t="shared" si="0"/>
        <v>1-3</v>
      </c>
      <c r="AR12" s="576" t="str">
        <f t="shared" si="1"/>
        <v/>
      </c>
      <c r="AS12" s="578" t="str">
        <f t="shared" si="2"/>
        <v/>
      </c>
      <c r="AT12" s="580" t="str">
        <f t="shared" si="3"/>
        <v/>
      </c>
      <c r="AU12" s="582" t="str">
        <f t="shared" si="4"/>
        <v/>
      </c>
      <c r="AV12" s="584" t="str">
        <f t="shared" si="5"/>
        <v/>
      </c>
      <c r="AW12" s="662" t="str">
        <f>IFERROR(VLOOKUP(功能_33[[#This Row],[功能代號]],工作表3!C:C,1,FALSE),"未計SIT測試")</f>
        <v>L1108</v>
      </c>
    </row>
    <row r="13" spans="1:49" x14ac:dyDescent="0.3">
      <c r="B13" s="292">
        <v>1</v>
      </c>
      <c r="C13" s="292" t="s">
        <v>90</v>
      </c>
      <c r="D13" s="292" t="s">
        <v>2806</v>
      </c>
      <c r="E13" s="291" t="s">
        <v>177</v>
      </c>
      <c r="F13" s="292" t="s">
        <v>178</v>
      </c>
      <c r="G13" s="292"/>
      <c r="H13" s="291" t="s">
        <v>136</v>
      </c>
      <c r="I13" s="291" t="s">
        <v>137</v>
      </c>
      <c r="J13" s="225" t="s">
        <v>138</v>
      </c>
      <c r="K13" s="299">
        <v>44399</v>
      </c>
      <c r="L13" s="299">
        <v>44400</v>
      </c>
      <c r="M13" s="299">
        <v>44469</v>
      </c>
      <c r="N13" s="291" t="s">
        <v>10</v>
      </c>
      <c r="O13" s="291" t="s">
        <v>13</v>
      </c>
      <c r="T13" s="291"/>
      <c r="V13" s="291"/>
      <c r="W13" s="291"/>
      <c r="X13" s="292" t="str">
        <f>VLOOKUP(功能_33[[#This Row],[User]],SKL放款!A:G,7,FALSE)</f>
        <v>放款推展課</v>
      </c>
      <c r="Y13" s="299">
        <v>44470</v>
      </c>
      <c r="Z13" s="299">
        <v>44463</v>
      </c>
      <c r="AA13" s="299">
        <v>44468</v>
      </c>
      <c r="AB13" s="299">
        <v>44468</v>
      </c>
      <c r="AC13" s="604">
        <v>44470</v>
      </c>
      <c r="AD13" s="253" t="s">
        <v>10</v>
      </c>
      <c r="AE13" s="355">
        <v>44483.565972222219</v>
      </c>
      <c r="AF13" s="222">
        <v>44487.745833333327</v>
      </c>
      <c r="AG13" s="299" t="str">
        <f>IFERROR(IF(VLOOKUP(功能_33[[#This Row],[功能代號]],E:Q,11,FALSE)=0,"",VLOOKUP(功能_33[[#This Row],[功能代號]],E:Q,11,FALSE)),"")</f>
        <v>李珮君</v>
      </c>
      <c r="AH13" s="299"/>
      <c r="AI13" s="299"/>
      <c r="AJ13" s="292"/>
      <c r="AK13" s="299"/>
      <c r="AM13" s="292" t="s">
        <v>163</v>
      </c>
      <c r="AN13" s="292" t="str">
        <f>VLOOKUP(功能_33[[#This Row],[功能代號]],需二審tmp!A:A,1,FALSE)</f>
        <v>L1109</v>
      </c>
      <c r="AO13" s="356">
        <v>44470</v>
      </c>
      <c r="AQ13" s="574" t="str">
        <f t="shared" si="0"/>
        <v>1-1</v>
      </c>
      <c r="AR13" s="576" t="str">
        <f t="shared" si="1"/>
        <v/>
      </c>
      <c r="AS13" s="578" t="str">
        <f t="shared" si="2"/>
        <v/>
      </c>
      <c r="AT13" s="580" t="str">
        <f t="shared" si="3"/>
        <v/>
      </c>
      <c r="AU13" s="582" t="str">
        <f t="shared" si="4"/>
        <v/>
      </c>
      <c r="AV13" s="584" t="str">
        <f t="shared" si="5"/>
        <v/>
      </c>
      <c r="AW13" s="662" t="str">
        <f>IFERROR(VLOOKUP(功能_33[[#This Row],[功能代號]],工作表3!C:C,1,FALSE),"未計SIT測試")</f>
        <v>L1109</v>
      </c>
    </row>
    <row r="14" spans="1:49" x14ac:dyDescent="0.3">
      <c r="B14" s="292">
        <v>1</v>
      </c>
      <c r="C14" s="292" t="s">
        <v>90</v>
      </c>
      <c r="D14" s="292" t="s">
        <v>2808</v>
      </c>
      <c r="E14" s="291" t="s">
        <v>179</v>
      </c>
      <c r="F14" s="292" t="s">
        <v>180</v>
      </c>
      <c r="G14" s="292"/>
      <c r="H14" s="291" t="s">
        <v>136</v>
      </c>
      <c r="I14" s="291" t="s">
        <v>136</v>
      </c>
      <c r="J14" s="225" t="s">
        <v>138</v>
      </c>
      <c r="K14" s="299">
        <v>44403</v>
      </c>
      <c r="L14" s="299">
        <v>44400</v>
      </c>
      <c r="M14" s="299">
        <v>44400</v>
      </c>
      <c r="N14" s="291" t="s">
        <v>10</v>
      </c>
      <c r="O14" s="291" t="s">
        <v>28</v>
      </c>
      <c r="P14" s="270" t="s">
        <v>21</v>
      </c>
      <c r="T14" s="291"/>
      <c r="V14" s="291"/>
      <c r="W14" s="291"/>
      <c r="X14" s="292" t="str">
        <f>VLOOKUP(功能_33[[#This Row],[User]],SKL放款!A:G,7,FALSE)</f>
        <v>放款審查課</v>
      </c>
      <c r="Y14" s="299">
        <v>44470</v>
      </c>
      <c r="Z14" s="299">
        <v>44463</v>
      </c>
      <c r="AA14" s="299">
        <v>44468</v>
      </c>
      <c r="AB14" s="299">
        <v>44468</v>
      </c>
      <c r="AC14" s="604">
        <v>44470</v>
      </c>
      <c r="AD14" s="253" t="s">
        <v>10</v>
      </c>
      <c r="AE14" s="355">
        <v>44483.565972222219</v>
      </c>
      <c r="AF14" s="222">
        <v>44487.745833333327</v>
      </c>
      <c r="AG14" s="299" t="str">
        <f>IFERROR(IF(VLOOKUP(功能_33[[#This Row],[功能代號]],E:Q,11,FALSE)=0,"",VLOOKUP(功能_33[[#This Row],[功能代號]],E:Q,11,FALSE)),"")</f>
        <v>施美娟</v>
      </c>
      <c r="AH14" s="299">
        <v>44481</v>
      </c>
      <c r="AI14" s="301" t="s">
        <v>181</v>
      </c>
      <c r="AJ14" s="292"/>
      <c r="AK14" s="299"/>
      <c r="AL14" s="291" t="s">
        <v>182</v>
      </c>
      <c r="AM14" s="292" t="s">
        <v>183</v>
      </c>
      <c r="AN14" s="292" t="e">
        <f>VLOOKUP(功能_33[[#This Row],[功能代號]],需二審tmp!A:A,1,FALSE)</f>
        <v>#N/A</v>
      </c>
      <c r="AO14" s="356">
        <v>44470</v>
      </c>
      <c r="AQ14" s="574" t="str">
        <f t="shared" si="0"/>
        <v>1-2</v>
      </c>
      <c r="AR14" s="576" t="str">
        <f t="shared" si="1"/>
        <v/>
      </c>
      <c r="AS14" s="578" t="str">
        <f t="shared" si="2"/>
        <v/>
      </c>
      <c r="AT14" s="580" t="str">
        <f t="shared" si="3"/>
        <v/>
      </c>
      <c r="AU14" s="582" t="str">
        <f t="shared" si="4"/>
        <v/>
      </c>
      <c r="AV14" s="584" t="str">
        <f t="shared" si="5"/>
        <v/>
      </c>
      <c r="AW14" s="662" t="str">
        <f>IFERROR(VLOOKUP(功能_33[[#This Row],[功能代號]],工作表3!C:C,1,FALSE),"未計SIT測試")</f>
        <v>L1907</v>
      </c>
    </row>
    <row r="15" spans="1:49" x14ac:dyDescent="0.3">
      <c r="B15" s="292">
        <v>1</v>
      </c>
      <c r="C15" s="292" t="s">
        <v>90</v>
      </c>
      <c r="D15" s="292" t="s">
        <v>2808</v>
      </c>
      <c r="E15" s="291" t="s">
        <v>184</v>
      </c>
      <c r="F15" s="292" t="s">
        <v>185</v>
      </c>
      <c r="G15" s="292"/>
      <c r="H15" s="291" t="s">
        <v>136</v>
      </c>
      <c r="I15" s="291" t="s">
        <v>136</v>
      </c>
      <c r="J15" s="225" t="s">
        <v>138</v>
      </c>
      <c r="K15" s="299">
        <v>44403</v>
      </c>
      <c r="L15" s="299">
        <v>44400</v>
      </c>
      <c r="M15" s="299">
        <v>44469</v>
      </c>
      <c r="N15" s="291" t="s">
        <v>10</v>
      </c>
      <c r="O15" s="291" t="s">
        <v>28</v>
      </c>
      <c r="P15" s="270" t="s">
        <v>21</v>
      </c>
      <c r="T15" s="291"/>
      <c r="V15" s="291"/>
      <c r="W15" s="291"/>
      <c r="X15" s="292" t="str">
        <f>VLOOKUP(功能_33[[#This Row],[User]],SKL放款!A:G,7,FALSE)</f>
        <v>放款審查課</v>
      </c>
      <c r="Y15" s="299">
        <v>44470</v>
      </c>
      <c r="Z15" s="299">
        <v>44463</v>
      </c>
      <c r="AA15" s="299">
        <v>44468</v>
      </c>
      <c r="AB15" s="299">
        <v>44468</v>
      </c>
      <c r="AC15" s="683" t="s">
        <v>3310</v>
      </c>
      <c r="AD15" s="253" t="s">
        <v>10</v>
      </c>
      <c r="AE15" s="355">
        <v>44483.565972222219</v>
      </c>
      <c r="AF15" s="222">
        <v>44487.745833333327</v>
      </c>
      <c r="AG15" s="299" t="str">
        <f>IFERROR(IF(VLOOKUP(功能_33[[#This Row],[功能代號]],E:Q,11,FALSE)=0,"",VLOOKUP(功能_33[[#This Row],[功能代號]],E:Q,11,FALSE)),"")</f>
        <v>施美娟</v>
      </c>
      <c r="AH15" s="299">
        <v>44481</v>
      </c>
      <c r="AI15" s="301" t="s">
        <v>181</v>
      </c>
      <c r="AJ15" s="292"/>
      <c r="AK15" s="299"/>
      <c r="AL15" s="291" t="s">
        <v>182</v>
      </c>
      <c r="AM15" s="292" t="s">
        <v>186</v>
      </c>
      <c r="AN15" s="292" t="e">
        <f>VLOOKUP(功能_33[[#This Row],[功能代號]],需二審tmp!A:A,1,FALSE)</f>
        <v>#N/A</v>
      </c>
      <c r="AO15" s="356">
        <v>44470</v>
      </c>
      <c r="AQ15" s="574" t="str">
        <f t="shared" si="0"/>
        <v>1-2</v>
      </c>
      <c r="AR15" s="576" t="str">
        <f t="shared" si="1"/>
        <v/>
      </c>
      <c r="AS15" s="578" t="str">
        <f t="shared" si="2"/>
        <v/>
      </c>
      <c r="AT15" s="580" t="str">
        <f t="shared" si="3"/>
        <v/>
      </c>
      <c r="AU15" s="582" t="str">
        <f t="shared" si="4"/>
        <v/>
      </c>
      <c r="AV15" s="584" t="str">
        <f t="shared" si="5"/>
        <v/>
      </c>
      <c r="AW15" s="662" t="str">
        <f>IFERROR(VLOOKUP(功能_33[[#This Row],[功能代號]],工作表3!C:C,1,FALSE),"未計SIT測試")</f>
        <v>L1107</v>
      </c>
    </row>
    <row r="16" spans="1:49" x14ac:dyDescent="0.3">
      <c r="B16" s="292">
        <v>1</v>
      </c>
      <c r="C16" s="292" t="s">
        <v>90</v>
      </c>
      <c r="D16" s="292" t="s">
        <v>2806</v>
      </c>
      <c r="E16" s="291" t="s">
        <v>187</v>
      </c>
      <c r="F16" s="292" t="s">
        <v>188</v>
      </c>
      <c r="G16" s="257" t="s">
        <v>189</v>
      </c>
      <c r="H16" s="291" t="s">
        <v>136</v>
      </c>
      <c r="I16" s="291" t="s">
        <v>136</v>
      </c>
      <c r="J16" s="225" t="s">
        <v>138</v>
      </c>
      <c r="K16" s="299">
        <v>44461</v>
      </c>
      <c r="L16" s="299">
        <v>44461</v>
      </c>
      <c r="M16" s="299">
        <v>44515</v>
      </c>
      <c r="N16" s="291" t="s">
        <v>10</v>
      </c>
      <c r="O16" s="291" t="s">
        <v>28</v>
      </c>
      <c r="T16" s="291"/>
      <c r="V16" s="291"/>
      <c r="W16" s="291"/>
      <c r="X16" s="292" t="str">
        <f>VLOOKUP(功能_33[[#This Row],[User]],SKL放款!A:G,7,FALSE)</f>
        <v>放款審查課</v>
      </c>
      <c r="Y16" s="299">
        <v>44515</v>
      </c>
      <c r="Z16" s="299">
        <v>44463</v>
      </c>
      <c r="AA16" s="299">
        <v>44468</v>
      </c>
      <c r="AB16" s="299">
        <v>44468</v>
      </c>
      <c r="AC16" s="683">
        <v>44515</v>
      </c>
      <c r="AD16" s="253" t="s">
        <v>10</v>
      </c>
      <c r="AE16" s="299"/>
      <c r="AF16" s="299"/>
      <c r="AG16" s="299" t="str">
        <f>IFERROR(IF(VLOOKUP(功能_33[[#This Row],[功能代號]],E:Q,11,FALSE)=0,"",VLOOKUP(功能_33[[#This Row],[功能代號]],E:Q,11,FALSE)),"")</f>
        <v>施美娟</v>
      </c>
      <c r="AH16" s="299"/>
      <c r="AI16" s="299"/>
      <c r="AJ16" s="292"/>
      <c r="AM16" s="292" t="s">
        <v>190</v>
      </c>
      <c r="AN16" s="292" t="e">
        <f>VLOOKUP(功能_33[[#This Row],[功能代號]],需二審tmp!A:A,1,FALSE)</f>
        <v>#N/A</v>
      </c>
      <c r="AO16" s="356">
        <v>44515</v>
      </c>
      <c r="AQ16" s="574" t="str">
        <f t="shared" si="0"/>
        <v>1-1</v>
      </c>
      <c r="AR16" s="576" t="str">
        <f t="shared" si="1"/>
        <v/>
      </c>
      <c r="AS16" s="578" t="str">
        <f t="shared" si="2"/>
        <v/>
      </c>
      <c r="AT16" s="580" t="str">
        <f t="shared" si="3"/>
        <v/>
      </c>
      <c r="AU16" s="582" t="str">
        <f t="shared" si="4"/>
        <v/>
      </c>
      <c r="AV16" s="584" t="str">
        <f t="shared" si="5"/>
        <v/>
      </c>
      <c r="AW16" s="662" t="str">
        <f>IFERROR(VLOOKUP(功能_33[[#This Row],[功能代號]],工作表3!C:C,1,FALSE),"未計SIT測試")</f>
        <v>L1909</v>
      </c>
    </row>
    <row r="17" spans="3:49" ht="13.5" x14ac:dyDescent="0.3">
      <c r="C17" s="292" t="s">
        <v>91</v>
      </c>
      <c r="D17" s="292" t="s">
        <v>2804</v>
      </c>
      <c r="E17" s="291" t="s">
        <v>191</v>
      </c>
      <c r="F17" s="292" t="s">
        <v>192</v>
      </c>
      <c r="G17" s="292"/>
      <c r="H17" s="291" t="s">
        <v>193</v>
      </c>
      <c r="I17" s="291" t="s">
        <v>194</v>
      </c>
      <c r="J17" s="225" t="s">
        <v>2955</v>
      </c>
      <c r="K17" s="299">
        <v>44403</v>
      </c>
      <c r="L17" s="299">
        <v>44403</v>
      </c>
      <c r="M17" s="299">
        <v>44533</v>
      </c>
      <c r="N17" s="291" t="s">
        <v>10</v>
      </c>
      <c r="O17" s="291" t="s">
        <v>11</v>
      </c>
      <c r="T17" s="291"/>
      <c r="V17" s="291"/>
      <c r="W17" s="291"/>
      <c r="X17" s="292" t="str">
        <f>VLOOKUP(功能_33[[#This Row],[User]],SKL放款!A:G,7,FALSE)</f>
        <v>放款服務課</v>
      </c>
      <c r="Y17" s="299">
        <v>44533</v>
      </c>
      <c r="Z17" s="299" t="s">
        <v>195</v>
      </c>
      <c r="AA17" s="299">
        <v>44477</v>
      </c>
      <c r="AB17" s="299">
        <v>44477</v>
      </c>
      <c r="AC17" s="299">
        <v>44539</v>
      </c>
      <c r="AD17" s="299" t="s">
        <v>196</v>
      </c>
      <c r="AE17" s="299"/>
      <c r="AF17" s="355"/>
      <c r="AG17" s="299" t="str">
        <f>IFERROR(IF(VLOOKUP(功能_33[[#This Row],[功能代號]],E:Q,11,FALSE)=0,"",VLOOKUP(功能_33[[#This Row],[功能代號]],E:Q,11,FALSE)),"")</f>
        <v>蔡珮瑜</v>
      </c>
      <c r="AH17" s="299"/>
      <c r="AI17" s="299"/>
      <c r="AJ17" s="292"/>
      <c r="AL17" s="291" t="s">
        <v>197</v>
      </c>
      <c r="AM17" s="292" t="s">
        <v>198</v>
      </c>
      <c r="AN17" s="292" t="e">
        <f>VLOOKUP(功能_33[[#This Row],[功能代號]],需二審tmp!A:A,1,FALSE)</f>
        <v>#N/A</v>
      </c>
      <c r="AO17" s="356">
        <v>44523</v>
      </c>
      <c r="AQ17" s="574" t="str">
        <f t="shared" si="0"/>
        <v>2-1</v>
      </c>
      <c r="AR17" s="576" t="str">
        <f t="shared" si="1"/>
        <v/>
      </c>
      <c r="AS17" s="578" t="str">
        <f>IF(AND(COUNTA(L17)=1,COUNTA(M17)=1,COUNTA(Y17)=1,COUNTA(AB17)=0,COUNTA(AC17)=0),LEFT(D17,3),"")</f>
        <v/>
      </c>
      <c r="AT17" s="580" t="str">
        <f t="shared" si="3"/>
        <v/>
      </c>
      <c r="AU17" s="582" t="str">
        <f t="shared" si="4"/>
        <v/>
      </c>
      <c r="AV17" s="584" t="str">
        <f t="shared" si="5"/>
        <v/>
      </c>
      <c r="AW17" s="662" t="str">
        <f>IFERROR(VLOOKUP(功能_33[[#This Row],[功能代號]],工作表3!C:C,1,FALSE),"未計SIT測試")</f>
        <v>L2001</v>
      </c>
    </row>
    <row r="18" spans="3:49" ht="13.5" x14ac:dyDescent="0.3">
      <c r="C18" s="292" t="s">
        <v>91</v>
      </c>
      <c r="D18" s="292" t="s">
        <v>2804</v>
      </c>
      <c r="E18" s="291" t="s">
        <v>199</v>
      </c>
      <c r="F18" s="292" t="s">
        <v>200</v>
      </c>
      <c r="G18" s="292"/>
      <c r="H18" s="291" t="s">
        <v>193</v>
      </c>
      <c r="I18" s="291" t="s">
        <v>194</v>
      </c>
      <c r="J18" s="225" t="s">
        <v>2955</v>
      </c>
      <c r="K18" s="299">
        <v>44403</v>
      </c>
      <c r="L18" s="299">
        <v>44403</v>
      </c>
      <c r="M18" s="299">
        <f>IFERROR(IF(VLOOKUP(功能_33[[#This Row],[功能代號]],討論項目!A:H,8,FALSE)=0,"",VLOOKUP(功能_33[[#This Row],[功能代號]],討論項目!A:H,8,FALSE)),"")</f>
        <v>44432</v>
      </c>
      <c r="N18" s="291" t="s">
        <v>10</v>
      </c>
      <c r="O18" s="291" t="s">
        <v>11</v>
      </c>
      <c r="T18" s="291"/>
      <c r="V18" s="291"/>
      <c r="W18" s="291"/>
      <c r="X18" s="292" t="str">
        <f>VLOOKUP(功能_33[[#This Row],[User]],SKL放款!A:G,7,FALSE)</f>
        <v>放款服務課</v>
      </c>
      <c r="Y18" s="299">
        <v>44533</v>
      </c>
      <c r="Z18" s="299">
        <v>44470</v>
      </c>
      <c r="AA18" s="299">
        <f>IF(功能_33[[#This Row],[URS交二審]]=0,"",功能_33[[#This Row],[URS交二審]]+7)</f>
        <v>44477</v>
      </c>
      <c r="AB18" s="299">
        <f>IF(功能_33[[#This Row],[URS交二審]]=0,"",功能_33[[#This Row],[URS交二審]]+7)</f>
        <v>44477</v>
      </c>
      <c r="AC18" s="299">
        <v>44539</v>
      </c>
      <c r="AD18" s="299" t="s">
        <v>196</v>
      </c>
      <c r="AE18" s="299"/>
      <c r="AF18" s="355"/>
      <c r="AG18" s="299" t="str">
        <f>IFERROR(IF(VLOOKUP(功能_33[[#This Row],[功能代號]],E:Q,11,FALSE)=0,"",VLOOKUP(功能_33[[#This Row],[功能代號]],E:Q,11,FALSE)),"")</f>
        <v>蔡珮瑜</v>
      </c>
      <c r="AH18" s="299"/>
      <c r="AI18" s="299"/>
      <c r="AJ18" s="292"/>
      <c r="AL18" s="291" t="s">
        <v>197</v>
      </c>
      <c r="AM18" s="292" t="s">
        <v>200</v>
      </c>
      <c r="AN18" s="292" t="str">
        <f>VLOOKUP(功能_33[[#This Row],[功能代號]],需二審tmp!A:A,1,FALSE)</f>
        <v>L2101</v>
      </c>
      <c r="AO18" s="356">
        <v>44523</v>
      </c>
      <c r="AQ18" s="574" t="str">
        <f t="shared" si="0"/>
        <v>2-1</v>
      </c>
      <c r="AR18" s="576" t="str">
        <f t="shared" si="1"/>
        <v/>
      </c>
      <c r="AS18" s="578" t="str">
        <f t="shared" si="2"/>
        <v/>
      </c>
      <c r="AT18" s="580" t="str">
        <f t="shared" si="3"/>
        <v/>
      </c>
      <c r="AU18" s="582" t="str">
        <f t="shared" si="4"/>
        <v/>
      </c>
      <c r="AV18" s="584" t="str">
        <f t="shared" si="5"/>
        <v/>
      </c>
      <c r="AW18" s="662" t="str">
        <f>IFERROR(VLOOKUP(功能_33[[#This Row],[功能代號]],工作表3!C:C,1,FALSE),"未計SIT測試")</f>
        <v>L2101</v>
      </c>
    </row>
    <row r="19" spans="3:49" ht="13.5" x14ac:dyDescent="0.3">
      <c r="C19" s="292" t="s">
        <v>91</v>
      </c>
      <c r="D19" s="292" t="s">
        <v>2843</v>
      </c>
      <c r="E19" s="291" t="s">
        <v>201</v>
      </c>
      <c r="F19" s="292" t="s">
        <v>202</v>
      </c>
      <c r="G19" s="292"/>
      <c r="H19" s="291" t="s">
        <v>193</v>
      </c>
      <c r="I19" s="291" t="s">
        <v>203</v>
      </c>
      <c r="J19" s="225" t="s">
        <v>3132</v>
      </c>
      <c r="K19" s="299">
        <v>44403</v>
      </c>
      <c r="L19" s="299">
        <v>44403</v>
      </c>
      <c r="M19" s="299">
        <f>IFERROR(IF(VLOOKUP(功能_33[[#This Row],[功能代號]],討論項目!A:H,8,FALSE)=0,"",VLOOKUP(功能_33[[#This Row],[功能代號]],討論項目!A:H,8,FALSE)),"")</f>
        <v>44431</v>
      </c>
      <c r="N19" s="291" t="s">
        <v>10</v>
      </c>
      <c r="O19" s="291" t="s">
        <v>13</v>
      </c>
      <c r="T19" s="291"/>
      <c r="V19" s="291"/>
      <c r="W19" s="291"/>
      <c r="X19" s="292" t="str">
        <f>VLOOKUP(功能_33[[#This Row],[User]],SKL放款!A:G,7,FALSE)</f>
        <v>放款推展課</v>
      </c>
      <c r="Y19" s="299">
        <v>44533</v>
      </c>
      <c r="Z19" s="299">
        <v>44533</v>
      </c>
      <c r="AA19" s="299">
        <v>44533</v>
      </c>
      <c r="AB19" s="299">
        <v>44533</v>
      </c>
      <c r="AC19" s="299">
        <v>44544</v>
      </c>
      <c r="AD19" s="299"/>
      <c r="AE19" s="299"/>
      <c r="AF19" s="355"/>
      <c r="AG19" s="299" t="str">
        <f>IFERROR(IF(VLOOKUP(功能_33[[#This Row],[功能代號]],E:Q,11,FALSE)=0,"",VLOOKUP(功能_33[[#This Row],[功能代號]],E:Q,11,FALSE)),"")</f>
        <v>李珮君</v>
      </c>
      <c r="AH19" s="299"/>
      <c r="AI19" s="299"/>
      <c r="AJ19" s="292"/>
      <c r="AL19" s="291">
        <v>201</v>
      </c>
      <c r="AM19" s="292" t="s">
        <v>204</v>
      </c>
      <c r="AN19" s="292" t="str">
        <f>VLOOKUP(功能_33[[#This Row],[功能代號]],需二審tmp!A:A,1,FALSE)</f>
        <v>L2010</v>
      </c>
      <c r="AO19" s="356">
        <v>44523</v>
      </c>
      <c r="AQ19" s="574" t="str">
        <f t="shared" si="0"/>
        <v>2-2</v>
      </c>
      <c r="AR19" s="576" t="str">
        <f t="shared" si="1"/>
        <v/>
      </c>
      <c r="AS19" s="578" t="str">
        <f t="shared" si="2"/>
        <v/>
      </c>
      <c r="AT19" s="580" t="str">
        <f t="shared" si="3"/>
        <v/>
      </c>
      <c r="AU19" s="582" t="str">
        <f t="shared" si="4"/>
        <v/>
      </c>
      <c r="AV19" s="584" t="str">
        <f t="shared" si="5"/>
        <v/>
      </c>
      <c r="AW19" s="662" t="str">
        <f>IFERROR(VLOOKUP(功能_33[[#This Row],[功能代號]],工作表3!C:C,1,FALSE),"未計SIT測試")</f>
        <v>L2010</v>
      </c>
    </row>
    <row r="20" spans="3:49" ht="13.5" x14ac:dyDescent="0.3">
      <c r="C20" s="292" t="s">
        <v>91</v>
      </c>
      <c r="D20" s="226" t="s">
        <v>2805</v>
      </c>
      <c r="E20" s="291" t="s">
        <v>205</v>
      </c>
      <c r="F20" s="292" t="s">
        <v>206</v>
      </c>
      <c r="G20" s="292"/>
      <c r="H20" s="291" t="s">
        <v>193</v>
      </c>
      <c r="I20" s="291" t="s">
        <v>194</v>
      </c>
      <c r="J20" s="225" t="s">
        <v>3132</v>
      </c>
      <c r="K20" s="299">
        <v>44403</v>
      </c>
      <c r="L20" s="299">
        <v>44403</v>
      </c>
      <c r="M20" s="299">
        <f>IFERROR(IF(VLOOKUP(功能_33[[#This Row],[功能代號]],討論項目!A:H,8,FALSE)=0,"",VLOOKUP(功能_33[[#This Row],[功能代號]],討論項目!A:H,8,FALSE)),"")</f>
        <v>44468</v>
      </c>
      <c r="N20" s="291" t="s">
        <v>10</v>
      </c>
      <c r="O20" s="291" t="s">
        <v>13</v>
      </c>
      <c r="T20" s="291"/>
      <c r="V20" s="291"/>
      <c r="W20" s="291"/>
      <c r="X20" s="292" t="str">
        <f>VLOOKUP(功能_33[[#This Row],[User]],SKL放款!A:G,7,FALSE)</f>
        <v>放款推展課</v>
      </c>
      <c r="Y20" s="299">
        <v>44533</v>
      </c>
      <c r="Z20" s="299">
        <v>44470</v>
      </c>
      <c r="AA20" s="299">
        <f>IF(功能_33[[#This Row],[URS交二審]]=0,"",功能_33[[#This Row],[URS交二審]]+7)</f>
        <v>44477</v>
      </c>
      <c r="AB20" s="299">
        <f>IF(功能_33[[#This Row],[URS交二審]]=0,"",功能_33[[#This Row],[URS交二審]]+7)</f>
        <v>44477</v>
      </c>
      <c r="AC20" s="299">
        <v>44544</v>
      </c>
      <c r="AD20" s="299" t="s">
        <v>196</v>
      </c>
      <c r="AE20" s="299"/>
      <c r="AF20" s="355"/>
      <c r="AG20" s="299" t="str">
        <f>IFERROR(IF(VLOOKUP(功能_33[[#This Row],[功能代號]],E:Q,11,FALSE)=0,"",VLOOKUP(功能_33[[#This Row],[功能代號]],E:Q,11,FALSE)),"")</f>
        <v>李珮君</v>
      </c>
      <c r="AH20" s="299"/>
      <c r="AI20" s="299"/>
      <c r="AJ20" s="292"/>
      <c r="AL20" s="291">
        <v>201</v>
      </c>
      <c r="AM20" s="292" t="s">
        <v>206</v>
      </c>
      <c r="AN20" s="292" t="str">
        <f>VLOOKUP(功能_33[[#This Row],[功能代號]],需二審tmp!A:A,1,FALSE)</f>
        <v>L2111</v>
      </c>
      <c r="AO20" s="356">
        <v>44523</v>
      </c>
      <c r="AQ20" s="574" t="str">
        <f t="shared" si="0"/>
        <v>2-2</v>
      </c>
      <c r="AR20" s="576" t="str">
        <f t="shared" si="1"/>
        <v/>
      </c>
      <c r="AS20" s="578" t="str">
        <f t="shared" si="2"/>
        <v/>
      </c>
      <c r="AT20" s="580" t="str">
        <f t="shared" si="3"/>
        <v/>
      </c>
      <c r="AU20" s="582" t="str">
        <f t="shared" si="4"/>
        <v/>
      </c>
      <c r="AV20" s="584" t="str">
        <f t="shared" si="5"/>
        <v/>
      </c>
      <c r="AW20" s="662" t="str">
        <f>IFERROR(VLOOKUP(功能_33[[#This Row],[功能代號]],工作表3!C:C,1,FALSE),"未計SIT測試")</f>
        <v>L2111</v>
      </c>
    </row>
    <row r="21" spans="3:49" ht="13.5" x14ac:dyDescent="0.3">
      <c r="C21" s="292" t="s">
        <v>91</v>
      </c>
      <c r="D21" s="226" t="s">
        <v>2805</v>
      </c>
      <c r="E21" s="291" t="s">
        <v>207</v>
      </c>
      <c r="F21" s="292" t="s">
        <v>208</v>
      </c>
      <c r="G21" s="292"/>
      <c r="H21" s="291" t="s">
        <v>193</v>
      </c>
      <c r="I21" s="291" t="s">
        <v>194</v>
      </c>
      <c r="J21" s="225" t="s">
        <v>3132</v>
      </c>
      <c r="K21" s="299">
        <v>44404</v>
      </c>
      <c r="L21" s="299">
        <v>44403</v>
      </c>
      <c r="M21" s="299">
        <f>IFERROR(IF(VLOOKUP(功能_33[[#This Row],[功能代號]],討論項目!A:H,8,FALSE)=0,"",VLOOKUP(功能_33[[#This Row],[功能代號]],討論項目!A:H,8,FALSE)),"")</f>
        <v>44468</v>
      </c>
      <c r="N21" s="291" t="s">
        <v>10</v>
      </c>
      <c r="O21" s="291" t="s">
        <v>13</v>
      </c>
      <c r="T21" s="291"/>
      <c r="V21" s="291"/>
      <c r="W21" s="291"/>
      <c r="X21" s="292" t="str">
        <f>VLOOKUP(功能_33[[#This Row],[User]],SKL放款!A:G,7,FALSE)</f>
        <v>放款推展課</v>
      </c>
      <c r="Y21" s="299">
        <v>44533</v>
      </c>
      <c r="Z21" s="299">
        <v>44470</v>
      </c>
      <c r="AA21" s="299">
        <f>IF(功能_33[[#This Row],[URS交二審]]=0,"",功能_33[[#This Row],[URS交二審]]+7)</f>
        <v>44477</v>
      </c>
      <c r="AB21" s="299">
        <f>IF(功能_33[[#This Row],[URS交二審]]=0,"",功能_33[[#This Row],[URS交二審]]+7)</f>
        <v>44477</v>
      </c>
      <c r="AC21" s="299">
        <v>44544</v>
      </c>
      <c r="AD21" s="299" t="s">
        <v>196</v>
      </c>
      <c r="AE21" s="299"/>
      <c r="AF21" s="355"/>
      <c r="AG21" s="299" t="str">
        <f>IFERROR(IF(VLOOKUP(功能_33[[#This Row],[功能代號]],E:Q,11,FALSE)=0,"",VLOOKUP(功能_33[[#This Row],[功能代號]],E:Q,11,FALSE)),"")</f>
        <v>李珮君</v>
      </c>
      <c r="AH21" s="299"/>
      <c r="AI21" s="299"/>
      <c r="AJ21" s="292"/>
      <c r="AL21" s="291">
        <v>203</v>
      </c>
      <c r="AM21" s="292" t="s">
        <v>208</v>
      </c>
      <c r="AN21" s="292" t="str">
        <f>VLOOKUP(功能_33[[#This Row],[功能代號]],需二審tmp!A:A,1,FALSE)</f>
        <v>L2153</v>
      </c>
      <c r="AO21" s="356">
        <v>44523</v>
      </c>
      <c r="AQ21" s="574" t="str">
        <f t="shared" si="0"/>
        <v>2-2</v>
      </c>
      <c r="AR21" s="576" t="str">
        <f t="shared" si="1"/>
        <v/>
      </c>
      <c r="AS21" s="578" t="str">
        <f t="shared" si="2"/>
        <v/>
      </c>
      <c r="AT21" s="580" t="str">
        <f t="shared" si="3"/>
        <v/>
      </c>
      <c r="AU21" s="582" t="str">
        <f t="shared" si="4"/>
        <v/>
      </c>
      <c r="AV21" s="584" t="str">
        <f t="shared" si="5"/>
        <v/>
      </c>
      <c r="AW21" s="662" t="str">
        <f>IFERROR(VLOOKUP(功能_33[[#This Row],[功能代號]],工作表3!C:C,1,FALSE),"未計SIT測試")</f>
        <v>L2153</v>
      </c>
    </row>
    <row r="22" spans="3:49" ht="13.5" x14ac:dyDescent="0.3">
      <c r="C22" s="292" t="s">
        <v>91</v>
      </c>
      <c r="D22" s="226" t="s">
        <v>2805</v>
      </c>
      <c r="E22" s="291" t="s">
        <v>209</v>
      </c>
      <c r="F22" s="292" t="s">
        <v>210</v>
      </c>
      <c r="G22" s="292"/>
      <c r="H22" s="291" t="s">
        <v>193</v>
      </c>
      <c r="I22" s="291" t="s">
        <v>203</v>
      </c>
      <c r="J22" s="225" t="s">
        <v>3132</v>
      </c>
      <c r="K22" s="299">
        <v>44404</v>
      </c>
      <c r="L22" s="299">
        <v>44403</v>
      </c>
      <c r="M22" s="299">
        <v>44536</v>
      </c>
      <c r="N22" s="291" t="s">
        <v>10</v>
      </c>
      <c r="O22" s="291" t="s">
        <v>13</v>
      </c>
      <c r="T22" s="291"/>
      <c r="V22" s="291"/>
      <c r="W22" s="291"/>
      <c r="X22" s="292" t="str">
        <f>VLOOKUP(功能_33[[#This Row],[User]],SKL放款!A:G,7,FALSE)</f>
        <v>放款推展課</v>
      </c>
      <c r="Y22" s="299">
        <v>44533</v>
      </c>
      <c r="Z22" s="299">
        <v>44477</v>
      </c>
      <c r="AA22" s="299">
        <v>44477</v>
      </c>
      <c r="AB22" s="299">
        <v>44477</v>
      </c>
      <c r="AC22" s="299">
        <v>44544</v>
      </c>
      <c r="AD22" s="299" t="s">
        <v>196</v>
      </c>
      <c r="AE22" s="299"/>
      <c r="AF22" s="355"/>
      <c r="AG22" s="299" t="str">
        <f>IFERROR(IF(VLOOKUP(功能_33[[#This Row],[功能代號]],E:Q,11,FALSE)=0,"",VLOOKUP(功能_33[[#This Row],[功能代號]],E:Q,11,FALSE)),"")</f>
        <v>李珮君</v>
      </c>
      <c r="AH22" s="299"/>
      <c r="AI22" s="299"/>
      <c r="AJ22" s="292"/>
      <c r="AL22" s="291">
        <v>203</v>
      </c>
      <c r="AM22" s="292" t="s">
        <v>211</v>
      </c>
      <c r="AN22" s="292" t="e">
        <f>VLOOKUP(功能_33[[#This Row],[功能代號]],需二審tmp!A:A,1,FALSE)</f>
        <v>#N/A</v>
      </c>
      <c r="AO22" s="356">
        <v>44523</v>
      </c>
      <c r="AQ22" s="574" t="str">
        <f t="shared" si="0"/>
        <v>2-2</v>
      </c>
      <c r="AR22" s="576" t="str">
        <f t="shared" si="1"/>
        <v/>
      </c>
      <c r="AS22" s="578" t="str">
        <f t="shared" si="2"/>
        <v/>
      </c>
      <c r="AT22" s="580" t="str">
        <f t="shared" si="3"/>
        <v/>
      </c>
      <c r="AU22" s="582" t="str">
        <f t="shared" si="4"/>
        <v/>
      </c>
      <c r="AV22" s="584" t="str">
        <f t="shared" si="5"/>
        <v/>
      </c>
      <c r="AW22" s="662" t="str">
        <f>IFERROR(VLOOKUP(功能_33[[#This Row],[功能代號]],工作表3!C:C,1,FALSE),"未計SIT測試")</f>
        <v>L2151</v>
      </c>
    </row>
    <row r="23" spans="3:49" ht="13.5" x14ac:dyDescent="0.3">
      <c r="C23" s="292" t="s">
        <v>91</v>
      </c>
      <c r="D23" s="226" t="s">
        <v>2805</v>
      </c>
      <c r="E23" s="291" t="s">
        <v>212</v>
      </c>
      <c r="F23" s="292" t="s">
        <v>213</v>
      </c>
      <c r="G23" s="292"/>
      <c r="H23" s="291" t="s">
        <v>193</v>
      </c>
      <c r="I23" s="291" t="s">
        <v>203</v>
      </c>
      <c r="J23" s="225" t="s">
        <v>3132</v>
      </c>
      <c r="K23" s="299">
        <v>44403</v>
      </c>
      <c r="L23" s="299">
        <v>44403</v>
      </c>
      <c r="M23" s="299">
        <f>IFERROR(IF(VLOOKUP(功能_33[[#This Row],[功能代號]],討論項目!A:H,8,FALSE)=0,"",VLOOKUP(功能_33[[#This Row],[功能代號]],討論項目!A:H,8,FALSE)),"")</f>
        <v>44431</v>
      </c>
      <c r="N23" s="291" t="s">
        <v>10</v>
      </c>
      <c r="O23" s="291" t="s">
        <v>13</v>
      </c>
      <c r="T23" s="291"/>
      <c r="V23" s="291"/>
      <c r="W23" s="291"/>
      <c r="X23" s="292" t="str">
        <f>VLOOKUP(功能_33[[#This Row],[User]],SKL放款!A:G,7,FALSE)</f>
        <v>放款推展課</v>
      </c>
      <c r="Y23" s="299">
        <v>44533</v>
      </c>
      <c r="Z23" s="299">
        <v>44533</v>
      </c>
      <c r="AA23" s="299">
        <v>44533</v>
      </c>
      <c r="AB23" s="299">
        <v>44533</v>
      </c>
      <c r="AC23" s="299">
        <v>44544</v>
      </c>
      <c r="AD23" s="299"/>
      <c r="AE23" s="299"/>
      <c r="AF23" s="355"/>
      <c r="AG23" s="299" t="str">
        <f>IFERROR(IF(VLOOKUP(功能_33[[#This Row],[功能代號]],E:Q,11,FALSE)=0,"",VLOOKUP(功能_33[[#This Row],[功能代號]],E:Q,11,FALSE)),"")</f>
        <v>李珮君</v>
      </c>
      <c r="AH23" s="299"/>
      <c r="AI23" s="299"/>
      <c r="AJ23" s="292"/>
      <c r="AL23" s="291">
        <v>202</v>
      </c>
      <c r="AM23" s="292" t="s">
        <v>214</v>
      </c>
      <c r="AN23" s="292" t="str">
        <f>VLOOKUP(功能_33[[#This Row],[功能代號]],需二審tmp!A:A,1,FALSE)</f>
        <v>L2112</v>
      </c>
      <c r="AO23" s="356">
        <v>44523</v>
      </c>
      <c r="AQ23" s="574" t="str">
        <f t="shared" si="0"/>
        <v>2-2</v>
      </c>
      <c r="AR23" s="576" t="str">
        <f t="shared" si="1"/>
        <v/>
      </c>
      <c r="AS23" s="578" t="str">
        <f t="shared" si="2"/>
        <v/>
      </c>
      <c r="AT23" s="580" t="str">
        <f t="shared" si="3"/>
        <v/>
      </c>
      <c r="AU23" s="582" t="str">
        <f t="shared" si="4"/>
        <v/>
      </c>
      <c r="AV23" s="584" t="str">
        <f t="shared" si="5"/>
        <v/>
      </c>
      <c r="AW23" s="662" t="str">
        <f>IFERROR(VLOOKUP(功能_33[[#This Row],[功能代號]],工作表3!C:C,1,FALSE),"未計SIT測試")</f>
        <v>L2112</v>
      </c>
    </row>
    <row r="24" spans="3:49" ht="13.5" x14ac:dyDescent="0.3">
      <c r="C24" s="292" t="s">
        <v>91</v>
      </c>
      <c r="D24" s="226" t="s">
        <v>2805</v>
      </c>
      <c r="E24" s="291" t="s">
        <v>215</v>
      </c>
      <c r="F24" s="292" t="s">
        <v>216</v>
      </c>
      <c r="G24" s="292"/>
      <c r="H24" s="291" t="s">
        <v>193</v>
      </c>
      <c r="I24" s="291" t="s">
        <v>203</v>
      </c>
      <c r="J24" s="225" t="s">
        <v>3132</v>
      </c>
      <c r="K24" s="299">
        <v>44404</v>
      </c>
      <c r="L24" s="299">
        <v>44404</v>
      </c>
      <c r="M24" s="299">
        <f>IFERROR(IF(VLOOKUP(功能_33[[#This Row],[功能代號]],討論項目!A:H,8,FALSE)=0,"",VLOOKUP(功能_33[[#This Row],[功能代號]],討論項目!A:H,8,FALSE)),"")</f>
        <v>44431</v>
      </c>
      <c r="N24" s="291" t="s">
        <v>10</v>
      </c>
      <c r="O24" s="291" t="s">
        <v>13</v>
      </c>
      <c r="T24" s="291"/>
      <c r="V24" s="291"/>
      <c r="W24" s="291"/>
      <c r="X24" s="292" t="str">
        <f>VLOOKUP(功能_33[[#This Row],[User]],SKL放款!A:G,7,FALSE)</f>
        <v>放款推展課</v>
      </c>
      <c r="Y24" s="299">
        <v>44533</v>
      </c>
      <c r="Z24" s="299">
        <v>44533</v>
      </c>
      <c r="AA24" s="299">
        <v>44533</v>
      </c>
      <c r="AB24" s="299">
        <v>44533</v>
      </c>
      <c r="AC24" s="299">
        <v>44544</v>
      </c>
      <c r="AD24" s="299"/>
      <c r="AE24" s="299"/>
      <c r="AF24" s="355"/>
      <c r="AG24" s="299" t="str">
        <f>IFERROR(IF(VLOOKUP(功能_33[[#This Row],[功能代號]],E:Q,11,FALSE)=0,"",VLOOKUP(功能_33[[#This Row],[功能代號]],E:Q,11,FALSE)),"")</f>
        <v>李珮君</v>
      </c>
      <c r="AH24" s="299"/>
      <c r="AI24" s="299"/>
      <c r="AJ24" s="292"/>
      <c r="AL24" s="291">
        <v>204</v>
      </c>
      <c r="AM24" s="292" t="s">
        <v>217</v>
      </c>
      <c r="AN24" s="292" t="str">
        <f>VLOOKUP(功能_33[[#This Row],[功能代號]],需二審tmp!A:A,1,FALSE)</f>
        <v>L2015</v>
      </c>
      <c r="AO24" s="356">
        <v>44523</v>
      </c>
      <c r="AQ24" s="574" t="str">
        <f t="shared" si="0"/>
        <v>2-2</v>
      </c>
      <c r="AR24" s="576" t="str">
        <f t="shared" si="1"/>
        <v/>
      </c>
      <c r="AS24" s="578" t="str">
        <f t="shared" si="2"/>
        <v/>
      </c>
      <c r="AT24" s="580" t="str">
        <f t="shared" si="3"/>
        <v/>
      </c>
      <c r="AU24" s="582" t="str">
        <f t="shared" si="4"/>
        <v/>
      </c>
      <c r="AV24" s="584" t="str">
        <f t="shared" si="5"/>
        <v/>
      </c>
      <c r="AW24" s="662" t="str">
        <f>IFERROR(VLOOKUP(功能_33[[#This Row],[功能代號]],工作表3!C:C,1,FALSE),"未計SIT測試")</f>
        <v>L2015</v>
      </c>
    </row>
    <row r="25" spans="3:49" ht="13.5" x14ac:dyDescent="0.3">
      <c r="C25" s="292" t="s">
        <v>91</v>
      </c>
      <c r="D25" s="226" t="s">
        <v>2805</v>
      </c>
      <c r="E25" s="291" t="s">
        <v>218</v>
      </c>
      <c r="F25" s="292" t="s">
        <v>219</v>
      </c>
      <c r="G25" s="292"/>
      <c r="H25" s="291" t="s">
        <v>193</v>
      </c>
      <c r="I25" s="291" t="s">
        <v>194</v>
      </c>
      <c r="J25" s="225" t="s">
        <v>3132</v>
      </c>
      <c r="K25" s="299">
        <v>44404</v>
      </c>
      <c r="L25" s="299">
        <v>44404</v>
      </c>
      <c r="M25" s="299">
        <f>IFERROR(IF(VLOOKUP(功能_33[[#This Row],[功能代號]],討論項目!A:H,8,FALSE)=0,"",VLOOKUP(功能_33[[#This Row],[功能代號]],討論項目!A:H,8,FALSE)),"")</f>
        <v>44469</v>
      </c>
      <c r="N25" s="291" t="s">
        <v>10</v>
      </c>
      <c r="O25" s="291" t="s">
        <v>13</v>
      </c>
      <c r="T25" s="291"/>
      <c r="V25" s="291"/>
      <c r="W25" s="291"/>
      <c r="X25" s="292" t="str">
        <f>VLOOKUP(功能_33[[#This Row],[User]],SKL放款!A:G,7,FALSE)</f>
        <v>放款推展課</v>
      </c>
      <c r="Y25" s="299">
        <v>44533</v>
      </c>
      <c r="Z25" s="299">
        <v>44470</v>
      </c>
      <c r="AA25" s="299">
        <f>IF(功能_33[[#This Row],[URS交二審]]=0,"",功能_33[[#This Row],[URS交二審]]+7)</f>
        <v>44477</v>
      </c>
      <c r="AB25" s="299">
        <f>IF(功能_33[[#This Row],[URS交二審]]=0,"",功能_33[[#This Row],[URS交二審]]+7)</f>
        <v>44477</v>
      </c>
      <c r="AC25" s="299">
        <v>44544</v>
      </c>
      <c r="AD25" s="299" t="s">
        <v>196</v>
      </c>
      <c r="AE25" s="299"/>
      <c r="AF25" s="355"/>
      <c r="AG25" s="299" t="str">
        <f>IFERROR(IF(VLOOKUP(功能_33[[#This Row],[功能代號]],E:Q,11,FALSE)=0,"",VLOOKUP(功能_33[[#This Row],[功能代號]],E:Q,11,FALSE)),"")</f>
        <v>李珮君</v>
      </c>
      <c r="AH25" s="299"/>
      <c r="AI25" s="299"/>
      <c r="AJ25" s="292"/>
      <c r="AL25" s="291">
        <v>204</v>
      </c>
      <c r="AM25" s="292" t="s">
        <v>220</v>
      </c>
      <c r="AN25" s="292" t="str">
        <f>VLOOKUP(功能_33[[#This Row],[功能代號]],需二審tmp!A:A,1,FALSE)</f>
        <v>L2154</v>
      </c>
      <c r="AO25" s="356">
        <v>44523</v>
      </c>
      <c r="AQ25" s="574" t="str">
        <f t="shared" si="0"/>
        <v>2-2</v>
      </c>
      <c r="AR25" s="576" t="str">
        <f t="shared" si="1"/>
        <v/>
      </c>
      <c r="AS25" s="578" t="str">
        <f t="shared" si="2"/>
        <v/>
      </c>
      <c r="AT25" s="580" t="str">
        <f t="shared" si="3"/>
        <v/>
      </c>
      <c r="AU25" s="582" t="str">
        <f t="shared" si="4"/>
        <v/>
      </c>
      <c r="AV25" s="584" t="str">
        <f t="shared" si="5"/>
        <v/>
      </c>
      <c r="AW25" s="662" t="str">
        <f>IFERROR(VLOOKUP(功能_33[[#This Row],[功能代號]],工作表3!C:C,1,FALSE),"未計SIT測試")</f>
        <v>L2154</v>
      </c>
    </row>
    <row r="26" spans="3:49" ht="13.5" x14ac:dyDescent="0.3">
      <c r="C26" s="292" t="s">
        <v>91</v>
      </c>
      <c r="D26" s="226" t="s">
        <v>2805</v>
      </c>
      <c r="E26" s="291" t="s">
        <v>221</v>
      </c>
      <c r="F26" s="292" t="s">
        <v>222</v>
      </c>
      <c r="G26" s="292"/>
      <c r="H26" s="291" t="s">
        <v>193</v>
      </c>
      <c r="I26" s="291" t="s">
        <v>194</v>
      </c>
      <c r="J26" s="225" t="s">
        <v>3132</v>
      </c>
      <c r="K26" s="299">
        <v>44404</v>
      </c>
      <c r="L26" s="299">
        <v>44404</v>
      </c>
      <c r="M26" s="299">
        <v>44404</v>
      </c>
      <c r="N26" s="291" t="s">
        <v>10</v>
      </c>
      <c r="O26" s="291" t="s">
        <v>13</v>
      </c>
      <c r="T26" s="291"/>
      <c r="V26" s="291"/>
      <c r="W26" s="291"/>
      <c r="X26" s="292" t="str">
        <f>VLOOKUP(功能_33[[#This Row],[User]],SKL放款!A:G,7,FALSE)</f>
        <v>放款推展課</v>
      </c>
      <c r="Y26" s="299">
        <v>44404</v>
      </c>
      <c r="Z26" s="299">
        <v>44533</v>
      </c>
      <c r="AA26" s="299">
        <v>44533</v>
      </c>
      <c r="AB26" s="299">
        <v>44404</v>
      </c>
      <c r="AC26" s="299">
        <v>44544</v>
      </c>
      <c r="AD26" s="299"/>
      <c r="AE26" s="299"/>
      <c r="AF26" s="355"/>
      <c r="AG26" s="299" t="str">
        <f>IFERROR(IF(VLOOKUP(功能_33[[#This Row],[功能代號]],E:Q,11,FALSE)=0,"",VLOOKUP(功能_33[[#This Row],[功能代號]],E:Q,11,FALSE)),"")</f>
        <v>李珮君</v>
      </c>
      <c r="AH26" s="299"/>
      <c r="AI26" s="299"/>
      <c r="AJ26" s="292"/>
      <c r="AL26" s="291">
        <v>204</v>
      </c>
      <c r="AM26" s="292" t="s">
        <v>223</v>
      </c>
      <c r="AN26" s="292" t="str">
        <f>VLOOKUP(功能_33[[#This Row],[功能代號]],需二審tmp!A:A,1,FALSE)</f>
        <v>L2016</v>
      </c>
      <c r="AO26" s="356">
        <v>44523</v>
      </c>
      <c r="AQ26" s="574" t="str">
        <f t="shared" si="0"/>
        <v>2-2</v>
      </c>
      <c r="AR26" s="576" t="str">
        <f t="shared" si="1"/>
        <v/>
      </c>
      <c r="AS26" s="578" t="str">
        <f t="shared" si="2"/>
        <v/>
      </c>
      <c r="AT26" s="580" t="str">
        <f t="shared" si="3"/>
        <v/>
      </c>
      <c r="AU26" s="582" t="str">
        <f t="shared" si="4"/>
        <v/>
      </c>
      <c r="AV26" s="584" t="str">
        <f t="shared" si="5"/>
        <v/>
      </c>
      <c r="AW26" s="662" t="str">
        <f>IFERROR(VLOOKUP(功能_33[[#This Row],[功能代號]],工作表3!C:C,1,FALSE),"未計SIT測試")</f>
        <v>L2016</v>
      </c>
    </row>
    <row r="27" spans="3:49" ht="13.5" x14ac:dyDescent="0.3">
      <c r="C27" s="292" t="s">
        <v>91</v>
      </c>
      <c r="D27" s="292" t="s">
        <v>2839</v>
      </c>
      <c r="E27" s="291" t="s">
        <v>224</v>
      </c>
      <c r="F27" s="292" t="s">
        <v>225</v>
      </c>
      <c r="G27" s="292"/>
      <c r="H27" s="291" t="s">
        <v>193</v>
      </c>
      <c r="I27" s="291" t="s">
        <v>203</v>
      </c>
      <c r="J27" s="225" t="s">
        <v>2955</v>
      </c>
      <c r="K27" s="299">
        <v>44404</v>
      </c>
      <c r="L27" s="299">
        <v>44405</v>
      </c>
      <c r="M27" s="299">
        <f>IFERROR(IF(VLOOKUP(功能_33[[#This Row],[功能代號]],討論項目!A:H,8,FALSE)=0,"",VLOOKUP(功能_33[[#This Row],[功能代號]],討論項目!A:H,8,FALSE)),"")</f>
        <v>44428</v>
      </c>
      <c r="N27" s="291" t="s">
        <v>10</v>
      </c>
      <c r="O27" s="291" t="s">
        <v>13</v>
      </c>
      <c r="P27" s="270" t="s">
        <v>226</v>
      </c>
      <c r="T27" s="291"/>
      <c r="V27" s="291"/>
      <c r="W27" s="291"/>
      <c r="X27" s="292" t="str">
        <f>VLOOKUP(功能_33[[#This Row],[User]],SKL放款!A:G,7,FALSE)</f>
        <v>放款推展課</v>
      </c>
      <c r="Y27" s="299">
        <v>44533</v>
      </c>
      <c r="Z27" s="299">
        <v>44470</v>
      </c>
      <c r="AA27" s="299">
        <f>IF(功能_33[[#This Row],[URS交二審]]=0,"",功能_33[[#This Row],[URS交二審]]+7)</f>
        <v>44477</v>
      </c>
      <c r="AB27" s="299">
        <f>IF(功能_33[[#This Row],[URS交二審]]=0,"",功能_33[[#This Row],[URS交二審]]+7)</f>
        <v>44477</v>
      </c>
      <c r="AC27" s="299">
        <v>44539</v>
      </c>
      <c r="AD27" s="299" t="s">
        <v>196</v>
      </c>
      <c r="AE27" s="299"/>
      <c r="AF27" s="355"/>
      <c r="AG27" s="299" t="str">
        <f>IFERROR(IF(VLOOKUP(功能_33[[#This Row],[功能代號]],E:Q,11,FALSE)=0,"",VLOOKUP(功能_33[[#This Row],[功能代號]],E:Q,11,FALSE)),"")</f>
        <v>李珮君</v>
      </c>
      <c r="AH27" s="299"/>
      <c r="AI27" s="299"/>
      <c r="AJ27" s="292"/>
      <c r="AL27" s="291">
        <v>206</v>
      </c>
      <c r="AM27" s="292" t="s">
        <v>227</v>
      </c>
      <c r="AN27" s="292" t="str">
        <f>VLOOKUP(功能_33[[#This Row],[功能代號]],需二審tmp!A:A,1,FALSE)</f>
        <v>L2020</v>
      </c>
      <c r="AO27" s="356">
        <v>44523</v>
      </c>
      <c r="AQ27" s="574" t="str">
        <f t="shared" si="0"/>
        <v>2-3</v>
      </c>
      <c r="AR27" s="576" t="str">
        <f t="shared" si="1"/>
        <v/>
      </c>
      <c r="AS27" s="578" t="str">
        <f t="shared" si="2"/>
        <v/>
      </c>
      <c r="AT27" s="580" t="str">
        <f t="shared" si="3"/>
        <v/>
      </c>
      <c r="AU27" s="582" t="str">
        <f t="shared" si="4"/>
        <v/>
      </c>
      <c r="AV27" s="584" t="str">
        <f t="shared" si="5"/>
        <v/>
      </c>
      <c r="AW27" s="662" t="str">
        <f>IFERROR(VLOOKUP(功能_33[[#This Row],[功能代號]],工作表3!C:C,1,FALSE),"未計SIT測試")</f>
        <v>L2020</v>
      </c>
    </row>
    <row r="28" spans="3:49" ht="13.5" x14ac:dyDescent="0.3">
      <c r="C28" s="292" t="s">
        <v>91</v>
      </c>
      <c r="D28" s="292" t="s">
        <v>2839</v>
      </c>
      <c r="E28" s="291" t="s">
        <v>228</v>
      </c>
      <c r="F28" s="292" t="s">
        <v>229</v>
      </c>
      <c r="G28" s="292"/>
      <c r="H28" s="291" t="s">
        <v>193</v>
      </c>
      <c r="I28" s="291" t="s">
        <v>203</v>
      </c>
      <c r="J28" s="225" t="s">
        <v>2955</v>
      </c>
      <c r="K28" s="299">
        <v>44404</v>
      </c>
      <c r="L28" s="299">
        <v>44405</v>
      </c>
      <c r="M28" s="299">
        <f>IFERROR(IF(VLOOKUP(功能_33[[#This Row],[功能代號]],討論項目!A:H,8,FALSE)=0,"",VLOOKUP(功能_33[[#This Row],[功能代號]],討論項目!A:H,8,FALSE)),"")</f>
        <v>44428</v>
      </c>
      <c r="N28" s="291" t="s">
        <v>10</v>
      </c>
      <c r="O28" s="291" t="s">
        <v>13</v>
      </c>
      <c r="P28" s="270" t="s">
        <v>226</v>
      </c>
      <c r="T28" s="291"/>
      <c r="V28" s="291"/>
      <c r="W28" s="291"/>
      <c r="X28" s="292" t="str">
        <f>VLOOKUP(功能_33[[#This Row],[User]],SKL放款!A:G,7,FALSE)</f>
        <v>放款推展課</v>
      </c>
      <c r="Y28" s="299">
        <v>44533</v>
      </c>
      <c r="Z28" s="299">
        <v>44470</v>
      </c>
      <c r="AA28" s="299">
        <f>IF(功能_33[[#This Row],[URS交二審]]=0,"",功能_33[[#This Row],[URS交二審]]+7)</f>
        <v>44477</v>
      </c>
      <c r="AB28" s="299">
        <f>IF(功能_33[[#This Row],[URS交二審]]=0,"",功能_33[[#This Row],[URS交二審]]+7)</f>
        <v>44477</v>
      </c>
      <c r="AC28" s="299">
        <v>44539</v>
      </c>
      <c r="AD28" s="299" t="s">
        <v>196</v>
      </c>
      <c r="AE28" s="299"/>
      <c r="AF28" s="355"/>
      <c r="AG28" s="299" t="str">
        <f>IFERROR(IF(VLOOKUP(功能_33[[#This Row],[功能代號]],E:Q,11,FALSE)=0,"",VLOOKUP(功能_33[[#This Row],[功能代號]],E:Q,11,FALSE)),"")</f>
        <v>李珮君</v>
      </c>
      <c r="AH28" s="299"/>
      <c r="AI28" s="299"/>
      <c r="AJ28" s="292"/>
      <c r="AL28" s="291">
        <v>206</v>
      </c>
      <c r="AM28" s="292" t="s">
        <v>229</v>
      </c>
      <c r="AN28" s="292" t="str">
        <f>VLOOKUP(功能_33[[#This Row],[功能代號]],需二審tmp!A:A,1,FALSE)</f>
        <v>L2250</v>
      </c>
      <c r="AO28" s="356">
        <v>44523</v>
      </c>
      <c r="AQ28" s="574" t="str">
        <f t="shared" si="0"/>
        <v>2-3</v>
      </c>
      <c r="AR28" s="576" t="str">
        <f t="shared" si="1"/>
        <v/>
      </c>
      <c r="AS28" s="578" t="str">
        <f t="shared" si="2"/>
        <v/>
      </c>
      <c r="AT28" s="580" t="str">
        <f t="shared" si="3"/>
        <v/>
      </c>
      <c r="AU28" s="582" t="str">
        <f t="shared" si="4"/>
        <v/>
      </c>
      <c r="AV28" s="584" t="str">
        <f t="shared" si="5"/>
        <v/>
      </c>
      <c r="AW28" s="662" t="str">
        <f>IFERROR(VLOOKUP(功能_33[[#This Row],[功能代號]],工作表3!C:C,1,FALSE),"未計SIT測試")</f>
        <v>L2250</v>
      </c>
    </row>
    <row r="29" spans="3:49" ht="13.5" x14ac:dyDescent="0.3">
      <c r="C29" s="292" t="s">
        <v>91</v>
      </c>
      <c r="D29" s="292" t="s">
        <v>2839</v>
      </c>
      <c r="E29" s="291" t="s">
        <v>230</v>
      </c>
      <c r="F29" s="292" t="s">
        <v>231</v>
      </c>
      <c r="G29" s="292"/>
      <c r="H29" s="291" t="s">
        <v>193</v>
      </c>
      <c r="I29" s="291" t="s">
        <v>203</v>
      </c>
      <c r="J29" s="225" t="s">
        <v>2955</v>
      </c>
      <c r="K29" s="299">
        <v>44404</v>
      </c>
      <c r="L29" s="299">
        <v>44405</v>
      </c>
      <c r="M29" s="299">
        <f>IFERROR(IF(VLOOKUP(功能_33[[#This Row],[功能代號]],討論項目!A:H,8,FALSE)=0,"",VLOOKUP(功能_33[[#This Row],[功能代號]],討論項目!A:H,8,FALSE)),"")</f>
        <v>44428</v>
      </c>
      <c r="N29" s="291" t="s">
        <v>10</v>
      </c>
      <c r="O29" s="291" t="s">
        <v>172</v>
      </c>
      <c r="T29" s="291"/>
      <c r="V29" s="291"/>
      <c r="W29" s="291"/>
      <c r="X29" s="292" t="str">
        <f>VLOOKUP(功能_33[[#This Row],[User]],SKL放款!A:G,7,FALSE)</f>
        <v>放款服務課</v>
      </c>
      <c r="Y29" s="299">
        <v>44533</v>
      </c>
      <c r="Z29" s="299">
        <v>44470</v>
      </c>
      <c r="AA29" s="299">
        <f>IF(功能_33[[#This Row],[URS交二審]]=0,"",功能_33[[#This Row],[URS交二審]]+7)</f>
        <v>44477</v>
      </c>
      <c r="AB29" s="299">
        <f>IF(功能_33[[#This Row],[URS交二審]]=0,"",功能_33[[#This Row],[URS交二審]]+7)</f>
        <v>44477</v>
      </c>
      <c r="AC29" s="299">
        <v>44539</v>
      </c>
      <c r="AD29" s="299" t="s">
        <v>196</v>
      </c>
      <c r="AE29" s="299"/>
      <c r="AF29" s="355"/>
      <c r="AG29" s="299" t="str">
        <f>IFERROR(IF(VLOOKUP(功能_33[[#This Row],[功能代號]],E:Q,11,FALSE)=0,"",VLOOKUP(功能_33[[#This Row],[功能代號]],E:Q,11,FALSE)),"")</f>
        <v>陳政皓</v>
      </c>
      <c r="AH29" s="299"/>
      <c r="AI29" s="299"/>
      <c r="AJ29" s="292"/>
      <c r="AL29" s="291">
        <v>214</v>
      </c>
      <c r="AM29" s="292" t="s">
        <v>232</v>
      </c>
      <c r="AN29" s="292" t="str">
        <f>VLOOKUP(功能_33[[#This Row],[功能代號]],需二審tmp!A:A,1,FALSE)</f>
        <v>L2902</v>
      </c>
      <c r="AO29" s="356">
        <v>44523</v>
      </c>
      <c r="AQ29" s="574" t="str">
        <f t="shared" si="0"/>
        <v>2-3</v>
      </c>
      <c r="AR29" s="576" t="str">
        <f t="shared" si="1"/>
        <v/>
      </c>
      <c r="AS29" s="578" t="str">
        <f t="shared" si="2"/>
        <v/>
      </c>
      <c r="AT29" s="580" t="str">
        <f t="shared" si="3"/>
        <v/>
      </c>
      <c r="AU29" s="582" t="str">
        <f t="shared" si="4"/>
        <v/>
      </c>
      <c r="AV29" s="584" t="str">
        <f t="shared" si="5"/>
        <v/>
      </c>
      <c r="AW29" s="662" t="str">
        <f>IFERROR(VLOOKUP(功能_33[[#This Row],[功能代號]],工作表3!C:C,1,FALSE),"未計SIT測試")</f>
        <v>L2902</v>
      </c>
    </row>
    <row r="30" spans="3:49" ht="13.5" x14ac:dyDescent="0.3">
      <c r="C30" s="292" t="s">
        <v>95</v>
      </c>
      <c r="D30" s="292" t="s">
        <v>2840</v>
      </c>
      <c r="E30" s="291" t="s">
        <v>233</v>
      </c>
      <c r="F30" s="292" t="s">
        <v>234</v>
      </c>
      <c r="G30" s="292"/>
      <c r="H30" s="291" t="s">
        <v>193</v>
      </c>
      <c r="I30" s="291" t="s">
        <v>203</v>
      </c>
      <c r="J30" s="225" t="s">
        <v>3234</v>
      </c>
      <c r="K30" s="299">
        <v>44404</v>
      </c>
      <c r="L30" s="299">
        <v>44404</v>
      </c>
      <c r="M30" s="299">
        <v>44428</v>
      </c>
      <c r="N30" s="291" t="s">
        <v>12</v>
      </c>
      <c r="O30" s="291" t="s">
        <v>235</v>
      </c>
      <c r="P30" s="270" t="s">
        <v>26</v>
      </c>
      <c r="T30" s="291"/>
      <c r="V30" s="291"/>
      <c r="W30" s="291"/>
      <c r="X30" s="292" t="str">
        <f>VLOOKUP(功能_33[[#This Row],[User]],SKL放款!A:G,7,FALSE)</f>
        <v>放款審查課</v>
      </c>
      <c r="Y30" s="299">
        <v>44533</v>
      </c>
      <c r="Z30" s="299" t="s">
        <v>195</v>
      </c>
      <c r="AA30" s="299">
        <v>44544</v>
      </c>
      <c r="AB30" s="299">
        <v>44544</v>
      </c>
      <c r="AC30" s="299">
        <v>44550</v>
      </c>
      <c r="AD30" s="299"/>
      <c r="AE30" s="299"/>
      <c r="AF30" s="355"/>
      <c r="AG30" s="299" t="str">
        <f>IFERROR(IF(VLOOKUP(功能_33[[#This Row],[功能代號]],E:Q,11,FALSE)=0,"",VLOOKUP(功能_33[[#This Row],[功能代號]],E:Q,11,FALSE)),"")</f>
        <v>徐名弘</v>
      </c>
      <c r="AH30" s="299"/>
      <c r="AI30" s="299"/>
      <c r="AJ30" s="292"/>
      <c r="AK30" s="292"/>
      <c r="AL30" s="291" t="s">
        <v>190</v>
      </c>
      <c r="AN30" s="292" t="e">
        <f>VLOOKUP(功能_33[[#This Row],[功能代號]],需二審tmp!A:A,1,FALSE)</f>
        <v>#N/A</v>
      </c>
      <c r="AO30" s="356">
        <v>44526</v>
      </c>
      <c r="AQ30" s="574" t="str">
        <f t="shared" si="0"/>
        <v>6-6</v>
      </c>
      <c r="AR30" s="576" t="str">
        <f t="shared" si="1"/>
        <v/>
      </c>
      <c r="AS30" s="578" t="str">
        <f t="shared" si="2"/>
        <v/>
      </c>
      <c r="AT30" s="580" t="str">
        <f t="shared" si="3"/>
        <v/>
      </c>
      <c r="AU30" s="582" t="str">
        <f t="shared" si="4"/>
        <v/>
      </c>
      <c r="AV30" s="584" t="str">
        <f t="shared" si="5"/>
        <v/>
      </c>
      <c r="AW30" s="662" t="str">
        <f>IFERROR(VLOOKUP(功能_33[[#This Row],[功能代號]],工作表3!C:C,1,FALSE),"未計SIT測試")</f>
        <v>L6070</v>
      </c>
    </row>
    <row r="31" spans="3:49" ht="13.5" x14ac:dyDescent="0.3">
      <c r="C31" s="292" t="s">
        <v>95</v>
      </c>
      <c r="D31" s="292" t="s">
        <v>2840</v>
      </c>
      <c r="E31" s="291" t="s">
        <v>236</v>
      </c>
      <c r="F31" s="292" t="s">
        <v>237</v>
      </c>
      <c r="G31" s="292"/>
      <c r="H31" s="291" t="s">
        <v>193</v>
      </c>
      <c r="I31" s="291" t="s">
        <v>203</v>
      </c>
      <c r="J31" s="225" t="s">
        <v>3234</v>
      </c>
      <c r="K31" s="299">
        <v>44404</v>
      </c>
      <c r="L31" s="299">
        <v>44404</v>
      </c>
      <c r="M31" s="299">
        <f>IFERROR(IF(VLOOKUP(功能_33[[#This Row],[功能代號]],討論項目!A:H,8,FALSE)=0,"",VLOOKUP(功能_33[[#This Row],[功能代號]],討論項目!A:H,8,FALSE)),"")</f>
        <v>44428</v>
      </c>
      <c r="N31" s="291" t="s">
        <v>12</v>
      </c>
      <c r="O31" s="291" t="s">
        <v>235</v>
      </c>
      <c r="P31" s="270" t="s">
        <v>26</v>
      </c>
      <c r="T31" s="291"/>
      <c r="V31" s="291"/>
      <c r="W31" s="291"/>
      <c r="X31" s="292" t="str">
        <f>VLOOKUP(功能_33[[#This Row],[User]],SKL放款!A:G,7,FALSE)</f>
        <v>放款審查課</v>
      </c>
      <c r="Y31" s="299">
        <v>44533</v>
      </c>
      <c r="Z31" s="299" t="s">
        <v>133</v>
      </c>
      <c r="AA31" s="299">
        <v>44544</v>
      </c>
      <c r="AB31" s="299">
        <v>44544</v>
      </c>
      <c r="AC31" s="299">
        <v>44550</v>
      </c>
      <c r="AD31" s="299"/>
      <c r="AE31" s="299"/>
      <c r="AF31" s="355"/>
      <c r="AG31" s="299" t="str">
        <f>IFERROR(IF(VLOOKUP(功能_33[[#This Row],[功能代號]],E:Q,11,FALSE)=0,"",VLOOKUP(功能_33[[#This Row],[功能代號]],E:Q,11,FALSE)),"")</f>
        <v>徐名弘</v>
      </c>
      <c r="AH31" s="299"/>
      <c r="AI31" s="299"/>
      <c r="AJ31" s="292"/>
      <c r="AK31" s="292"/>
      <c r="AL31" s="291" t="s">
        <v>190</v>
      </c>
      <c r="AN31" s="292" t="str">
        <f>VLOOKUP(功能_33[[#This Row],[功能代號]],需二審tmp!A:A,1,FALSE)</f>
        <v>L6700</v>
      </c>
      <c r="AO31" s="356">
        <v>44526</v>
      </c>
      <c r="AQ31" s="574" t="str">
        <f t="shared" si="0"/>
        <v>6-6</v>
      </c>
      <c r="AR31" s="576" t="str">
        <f t="shared" si="1"/>
        <v/>
      </c>
      <c r="AS31" s="578" t="str">
        <f t="shared" si="2"/>
        <v/>
      </c>
      <c r="AT31" s="580" t="str">
        <f t="shared" si="3"/>
        <v/>
      </c>
      <c r="AU31" s="582" t="str">
        <f t="shared" si="4"/>
        <v/>
      </c>
      <c r="AV31" s="584" t="str">
        <f t="shared" si="5"/>
        <v/>
      </c>
      <c r="AW31" s="662" t="str">
        <f>IFERROR(VLOOKUP(功能_33[[#This Row],[功能代號]],工作表3!C:C,1,FALSE),"未計SIT測試")</f>
        <v>L6700</v>
      </c>
    </row>
    <row r="32" spans="3:49" ht="13.5" x14ac:dyDescent="0.3">
      <c r="C32" s="292" t="s">
        <v>91</v>
      </c>
      <c r="D32" s="226" t="s">
        <v>2805</v>
      </c>
      <c r="E32" s="291" t="s">
        <v>238</v>
      </c>
      <c r="F32" s="292" t="s">
        <v>239</v>
      </c>
      <c r="G32" s="292"/>
      <c r="H32" s="291" t="s">
        <v>193</v>
      </c>
      <c r="I32" s="291" t="s">
        <v>203</v>
      </c>
      <c r="J32" s="225" t="s">
        <v>3132</v>
      </c>
      <c r="K32" s="299">
        <v>44404</v>
      </c>
      <c r="L32" s="299">
        <v>44405</v>
      </c>
      <c r="M32" s="299">
        <f>IFERROR(IF(VLOOKUP(功能_33[[#This Row],[功能代號]],討論項目!A:H,8,FALSE)=0,"",VLOOKUP(功能_33[[#This Row],[功能代號]],討論項目!A:H,8,FALSE)),"")</f>
        <v>44428</v>
      </c>
      <c r="N32" s="291" t="s">
        <v>12</v>
      </c>
      <c r="O32" s="291" t="s">
        <v>235</v>
      </c>
      <c r="P32" s="270" t="s">
        <v>26</v>
      </c>
      <c r="T32" s="291"/>
      <c r="V32" s="291"/>
      <c r="W32" s="291"/>
      <c r="X32" s="292" t="str">
        <f>VLOOKUP(功能_33[[#This Row],[User]],SKL放款!A:G,7,FALSE)</f>
        <v>放款審查課</v>
      </c>
      <c r="Y32" s="299">
        <v>44533</v>
      </c>
      <c r="Z32" s="299">
        <v>44470</v>
      </c>
      <c r="AA32" s="299">
        <f>IF(功能_33[[#This Row],[URS交二審]]=0,"",功能_33[[#This Row],[URS交二審]]+7)</f>
        <v>44477</v>
      </c>
      <c r="AB32" s="299">
        <f>IF(功能_33[[#This Row],[URS交二審]]=0,"",功能_33[[#This Row],[URS交二審]]+7)</f>
        <v>44477</v>
      </c>
      <c r="AC32" s="299">
        <v>44544</v>
      </c>
      <c r="AD32" s="299" t="s">
        <v>196</v>
      </c>
      <c r="AE32" s="299"/>
      <c r="AF32" s="355"/>
      <c r="AG32" s="299" t="str">
        <f>IFERROR(IF(VLOOKUP(功能_33[[#This Row],[功能代號]],E:Q,11,FALSE)=0,"",VLOOKUP(功能_33[[#This Row],[功能代號]],E:Q,11,FALSE)),"")</f>
        <v>徐名弘</v>
      </c>
      <c r="AH32" s="299"/>
      <c r="AI32" s="299"/>
      <c r="AJ32" s="292"/>
      <c r="AL32" s="291">
        <v>213</v>
      </c>
      <c r="AM32" s="292" t="s">
        <v>240</v>
      </c>
      <c r="AN32" s="292" t="str">
        <f>VLOOKUP(功能_33[[#This Row],[功能代號]],需二審tmp!A:A,1,FALSE)</f>
        <v>L2921</v>
      </c>
      <c r="AO32" s="356">
        <v>44523</v>
      </c>
      <c r="AQ32" s="574" t="str">
        <f t="shared" si="0"/>
        <v>2-2</v>
      </c>
      <c r="AR32" s="576" t="str">
        <f t="shared" si="1"/>
        <v/>
      </c>
      <c r="AS32" s="578" t="str">
        <f t="shared" si="2"/>
        <v/>
      </c>
      <c r="AT32" s="580" t="str">
        <f t="shared" si="3"/>
        <v/>
      </c>
      <c r="AU32" s="582" t="str">
        <f t="shared" si="4"/>
        <v/>
      </c>
      <c r="AV32" s="584" t="str">
        <f t="shared" si="5"/>
        <v/>
      </c>
      <c r="AW32" s="662" t="str">
        <f>IFERROR(VLOOKUP(功能_33[[#This Row],[功能代號]],工作表3!C:C,1,FALSE),"未計SIT測試")</f>
        <v>L2921</v>
      </c>
    </row>
    <row r="33" spans="3:49" ht="13.5" x14ac:dyDescent="0.3">
      <c r="C33" s="292" t="s">
        <v>91</v>
      </c>
      <c r="D33" s="226" t="s">
        <v>2805</v>
      </c>
      <c r="E33" s="291" t="s">
        <v>241</v>
      </c>
      <c r="F33" s="292" t="s">
        <v>242</v>
      </c>
      <c r="G33" s="292"/>
      <c r="H33" s="291" t="s">
        <v>193</v>
      </c>
      <c r="I33" s="291" t="s">
        <v>203</v>
      </c>
      <c r="J33" s="225" t="s">
        <v>3132</v>
      </c>
      <c r="K33" s="299">
        <v>44404</v>
      </c>
      <c r="L33" s="299">
        <v>44405</v>
      </c>
      <c r="M33" s="299">
        <f>IFERROR(IF(VLOOKUP(功能_33[[#This Row],[功能代號]],討論項目!A:H,8,FALSE)=0,"",VLOOKUP(功能_33[[#This Row],[功能代號]],討論項目!A:H,8,FALSE)),"")</f>
        <v>44428</v>
      </c>
      <c r="N33" s="291" t="s">
        <v>12</v>
      </c>
      <c r="O33" s="291" t="s">
        <v>235</v>
      </c>
      <c r="P33" s="270" t="s">
        <v>26</v>
      </c>
      <c r="T33" s="291"/>
      <c r="V33" s="291"/>
      <c r="W33" s="291"/>
      <c r="X33" s="292" t="str">
        <f>VLOOKUP(功能_33[[#This Row],[User]],SKL放款!A:G,7,FALSE)</f>
        <v>放款審查課</v>
      </c>
      <c r="Y33" s="299">
        <v>44533</v>
      </c>
      <c r="Z33" s="299">
        <v>44470</v>
      </c>
      <c r="AA33" s="299">
        <f>IF(功能_33[[#This Row],[URS交二審]]=0,"",功能_33[[#This Row],[URS交二審]]+7)</f>
        <v>44477</v>
      </c>
      <c r="AB33" s="299">
        <f>IF(功能_33[[#This Row],[URS交二審]]=0,"",功能_33[[#This Row],[URS交二審]]+7)</f>
        <v>44477</v>
      </c>
      <c r="AC33" s="299">
        <v>44544</v>
      </c>
      <c r="AD33" s="299" t="s">
        <v>196</v>
      </c>
      <c r="AE33" s="299"/>
      <c r="AF33" s="355"/>
      <c r="AG33" s="299" t="str">
        <f>IFERROR(IF(VLOOKUP(功能_33[[#This Row],[功能代號]],E:Q,11,FALSE)=0,"",VLOOKUP(功能_33[[#This Row],[功能代號]],E:Q,11,FALSE)),"")</f>
        <v>徐名弘</v>
      </c>
      <c r="AH33" s="299"/>
      <c r="AI33" s="299"/>
      <c r="AJ33" s="292"/>
      <c r="AL33" s="291">
        <v>355</v>
      </c>
      <c r="AM33" s="292" t="s">
        <v>243</v>
      </c>
      <c r="AN33" s="292" t="str">
        <f>VLOOKUP(功能_33[[#This Row],[功能代號]],需二審tmp!A:A,1,FALSE)</f>
        <v>L2801</v>
      </c>
      <c r="AO33" s="356">
        <v>44523</v>
      </c>
      <c r="AQ33" s="574" t="str">
        <f t="shared" si="0"/>
        <v>2-2</v>
      </c>
      <c r="AR33" s="576" t="str">
        <f t="shared" si="1"/>
        <v/>
      </c>
      <c r="AS33" s="578" t="str">
        <f t="shared" si="2"/>
        <v/>
      </c>
      <c r="AT33" s="580" t="str">
        <f t="shared" ref="AT33:AT66" si="6">IF(AND(COUNTA(M33)=0,COUNTA(Y33)=1),LEFT(D33,3),"")</f>
        <v/>
      </c>
      <c r="AU33" s="582" t="str">
        <f t="shared" ref="AU33:AU66" si="7">IF(AND(COUNTA(M33)=1,COUNTA(Y33)=0),LEFT(D33,3),"")</f>
        <v/>
      </c>
      <c r="AV33" s="584" t="str">
        <f t="shared" ref="AV33:AV66" si="8">IF(AND(COUNTA(M33)=0,COUNTA(Y33)=0),LEFT(D33,3),"")</f>
        <v/>
      </c>
      <c r="AW33" s="662" t="str">
        <f>IFERROR(VLOOKUP(功能_33[[#This Row],[功能代號]],工作表3!C:C,1,FALSE),"未計SIT測試")</f>
        <v>L2801</v>
      </c>
    </row>
    <row r="34" spans="3:49" ht="13.5" x14ac:dyDescent="0.3">
      <c r="C34" s="292" t="s">
        <v>91</v>
      </c>
      <c r="D34" s="226" t="s">
        <v>2805</v>
      </c>
      <c r="E34" s="291" t="s">
        <v>244</v>
      </c>
      <c r="F34" s="292" t="s">
        <v>245</v>
      </c>
      <c r="G34" s="292"/>
      <c r="H34" s="291" t="s">
        <v>193</v>
      </c>
      <c r="I34" s="291" t="s">
        <v>194</v>
      </c>
      <c r="J34" s="225" t="s">
        <v>3132</v>
      </c>
      <c r="K34" s="299">
        <v>44431</v>
      </c>
      <c r="L34" s="299">
        <v>44431</v>
      </c>
      <c r="M34" s="299">
        <v>44533</v>
      </c>
      <c r="N34" s="291" t="s">
        <v>7</v>
      </c>
      <c r="O34" s="291" t="s">
        <v>13</v>
      </c>
      <c r="P34" s="270" t="s">
        <v>226</v>
      </c>
      <c r="T34" s="291"/>
      <c r="V34" s="291"/>
      <c r="W34" s="291"/>
      <c r="X34" s="292" t="str">
        <f>VLOOKUP(功能_33[[#This Row],[User]],SKL放款!A:G,7,FALSE)</f>
        <v>放款推展課</v>
      </c>
      <c r="Y34" s="299">
        <v>44533</v>
      </c>
      <c r="Z34" s="299">
        <v>44477</v>
      </c>
      <c r="AA34" s="299">
        <v>44477</v>
      </c>
      <c r="AB34" s="299">
        <v>44477</v>
      </c>
      <c r="AC34" s="299">
        <v>44544</v>
      </c>
      <c r="AD34" s="299" t="s">
        <v>196</v>
      </c>
      <c r="AE34" s="299"/>
      <c r="AF34" s="355"/>
      <c r="AG34" s="299" t="str">
        <f>IFERROR(IF(VLOOKUP(功能_33[[#This Row],[功能代號]],E:Q,11,FALSE)=0,"",VLOOKUP(功能_33[[#This Row],[功能代號]],E:Q,11,FALSE)),"")</f>
        <v>李珮君</v>
      </c>
      <c r="AH34" s="299"/>
      <c r="AI34" s="299"/>
      <c r="AJ34" s="292"/>
      <c r="AL34" s="291" t="s">
        <v>190</v>
      </c>
      <c r="AM34" s="291" t="s">
        <v>190</v>
      </c>
      <c r="AN34" s="292" t="e">
        <f>VLOOKUP(功能_33[[#This Row],[功能代號]],需二審tmp!A:A,1,FALSE)</f>
        <v>#N/A</v>
      </c>
      <c r="AO34" s="356">
        <v>44523</v>
      </c>
      <c r="AQ34" s="574" t="str">
        <f t="shared" si="0"/>
        <v>2-2</v>
      </c>
      <c r="AR34" s="576" t="str">
        <f t="shared" si="1"/>
        <v/>
      </c>
      <c r="AS34" s="578" t="str">
        <f t="shared" si="2"/>
        <v/>
      </c>
      <c r="AT34" s="580" t="str">
        <f t="shared" si="6"/>
        <v/>
      </c>
      <c r="AU34" s="582" t="str">
        <f t="shared" si="7"/>
        <v/>
      </c>
      <c r="AV34" s="584" t="str">
        <f t="shared" si="8"/>
        <v/>
      </c>
      <c r="AW34" s="662" t="str">
        <f>IFERROR(VLOOKUP(功能_33[[#This Row],[功能代號]],工作表3!C:C,1,FALSE),"未計SIT測試")</f>
        <v>L2018</v>
      </c>
    </row>
    <row r="35" spans="3:49" ht="13.5" x14ac:dyDescent="0.3">
      <c r="C35" s="292" t="s">
        <v>91</v>
      </c>
      <c r="D35" s="226" t="s">
        <v>2805</v>
      </c>
      <c r="E35" s="291" t="s">
        <v>246</v>
      </c>
      <c r="F35" s="292" t="s">
        <v>247</v>
      </c>
      <c r="G35" s="292"/>
      <c r="H35" s="291" t="s">
        <v>193</v>
      </c>
      <c r="I35" s="291" t="s">
        <v>194</v>
      </c>
      <c r="J35" s="225" t="s">
        <v>3132</v>
      </c>
      <c r="K35" s="299">
        <v>44431</v>
      </c>
      <c r="L35" s="299">
        <v>44431</v>
      </c>
      <c r="M35" s="299">
        <v>44533</v>
      </c>
      <c r="N35" s="291" t="s">
        <v>7</v>
      </c>
      <c r="O35" s="291" t="s">
        <v>13</v>
      </c>
      <c r="P35" s="270" t="s">
        <v>226</v>
      </c>
      <c r="T35" s="291"/>
      <c r="V35" s="291"/>
      <c r="W35" s="291"/>
      <c r="X35" s="292" t="str">
        <f>VLOOKUP(功能_33[[#This Row],[User]],SKL放款!A:G,7,FALSE)</f>
        <v>放款推展課</v>
      </c>
      <c r="Y35" s="299">
        <v>44533</v>
      </c>
      <c r="Z35" s="299">
        <v>44477</v>
      </c>
      <c r="AA35" s="299">
        <v>44477</v>
      </c>
      <c r="AB35" s="299">
        <v>44477</v>
      </c>
      <c r="AC35" s="299">
        <v>44544</v>
      </c>
      <c r="AD35" s="299" t="s">
        <v>196</v>
      </c>
      <c r="AE35" s="299"/>
      <c r="AF35" s="355"/>
      <c r="AG35" s="299" t="str">
        <f>IFERROR(IF(VLOOKUP(功能_33[[#This Row],[功能代號]],E:Q,11,FALSE)=0,"",VLOOKUP(功能_33[[#This Row],[功能代號]],E:Q,11,FALSE)),"")</f>
        <v>李珮君</v>
      </c>
      <c r="AH35" s="299"/>
      <c r="AI35" s="299"/>
      <c r="AJ35" s="292"/>
      <c r="AL35" s="291" t="s">
        <v>190</v>
      </c>
      <c r="AM35" s="291" t="s">
        <v>190</v>
      </c>
      <c r="AN35" s="292" t="e">
        <f>VLOOKUP(功能_33[[#This Row],[功能代號]],需二審tmp!A:A,1,FALSE)</f>
        <v>#N/A</v>
      </c>
      <c r="AO35" s="356">
        <v>44523</v>
      </c>
      <c r="AQ35" s="574" t="str">
        <f t="shared" si="0"/>
        <v>2-2</v>
      </c>
      <c r="AR35" s="576" t="str">
        <f t="shared" si="1"/>
        <v/>
      </c>
      <c r="AS35" s="578" t="str">
        <f t="shared" si="2"/>
        <v/>
      </c>
      <c r="AT35" s="580" t="str">
        <f t="shared" si="6"/>
        <v/>
      </c>
      <c r="AU35" s="582" t="str">
        <f t="shared" si="7"/>
        <v/>
      </c>
      <c r="AV35" s="584" t="str">
        <f t="shared" si="8"/>
        <v/>
      </c>
      <c r="AW35" s="662" t="str">
        <f>IFERROR(VLOOKUP(功能_33[[#This Row],[功能代號]],工作表3!C:C,1,FALSE),"未計SIT測試")</f>
        <v>L2118</v>
      </c>
    </row>
    <row r="36" spans="3:49" ht="13.5" x14ac:dyDescent="0.3">
      <c r="C36" s="292" t="s">
        <v>91</v>
      </c>
      <c r="D36" s="226" t="s">
        <v>2805</v>
      </c>
      <c r="E36" s="291" t="s">
        <v>248</v>
      </c>
      <c r="F36" s="292" t="s">
        <v>249</v>
      </c>
      <c r="G36" s="292"/>
      <c r="H36" s="291" t="s">
        <v>193</v>
      </c>
      <c r="I36" s="291" t="s">
        <v>194</v>
      </c>
      <c r="J36" s="225" t="s">
        <v>3132</v>
      </c>
      <c r="K36" s="299">
        <v>44431</v>
      </c>
      <c r="L36" s="299">
        <v>44431</v>
      </c>
      <c r="M36" s="299">
        <v>44533</v>
      </c>
      <c r="N36" s="291" t="s">
        <v>7</v>
      </c>
      <c r="O36" s="291" t="s">
        <v>13</v>
      </c>
      <c r="P36" s="270" t="s">
        <v>226</v>
      </c>
      <c r="T36" s="291"/>
      <c r="V36" s="291"/>
      <c r="W36" s="291"/>
      <c r="X36" s="292" t="str">
        <f>VLOOKUP(功能_33[[#This Row],[User]],SKL放款!A:G,7,FALSE)</f>
        <v>放款推展課</v>
      </c>
      <c r="Y36" s="299">
        <v>44533</v>
      </c>
      <c r="Z36" s="299">
        <v>44477</v>
      </c>
      <c r="AA36" s="299">
        <v>44477</v>
      </c>
      <c r="AB36" s="299">
        <v>44477</v>
      </c>
      <c r="AC36" s="299">
        <v>44544</v>
      </c>
      <c r="AD36" s="299" t="s">
        <v>196</v>
      </c>
      <c r="AE36" s="299"/>
      <c r="AF36" s="355"/>
      <c r="AG36" s="299" t="str">
        <f>IFERROR(IF(VLOOKUP(功能_33[[#This Row],[功能代號]],E:Q,11,FALSE)=0,"",VLOOKUP(功能_33[[#This Row],[功能代號]],E:Q,11,FALSE)),"")</f>
        <v>李珮君</v>
      </c>
      <c r="AH36" s="299"/>
      <c r="AI36" s="299"/>
      <c r="AJ36" s="292"/>
      <c r="AL36" s="291" t="s">
        <v>190</v>
      </c>
      <c r="AM36" s="291" t="s">
        <v>190</v>
      </c>
      <c r="AN36" s="292" t="e">
        <f>VLOOKUP(功能_33[[#This Row],[功能代號]],需二審tmp!A:A,1,FALSE)</f>
        <v>#N/A</v>
      </c>
      <c r="AO36" s="356">
        <v>44523</v>
      </c>
      <c r="AQ36" s="574" t="str">
        <f t="shared" si="0"/>
        <v>2-2</v>
      </c>
      <c r="AR36" s="576" t="str">
        <f t="shared" si="1"/>
        <v/>
      </c>
      <c r="AS36" s="578" t="str">
        <f t="shared" si="2"/>
        <v/>
      </c>
      <c r="AT36" s="580" t="str">
        <f t="shared" si="6"/>
        <v/>
      </c>
      <c r="AU36" s="582" t="str">
        <f t="shared" si="7"/>
        <v/>
      </c>
      <c r="AV36" s="584" t="str">
        <f t="shared" si="8"/>
        <v/>
      </c>
      <c r="AW36" s="662" t="str">
        <f>IFERROR(VLOOKUP(功能_33[[#This Row],[功能代號]],工作表3!C:C,1,FALSE),"未計SIT測試")</f>
        <v>L291A</v>
      </c>
    </row>
    <row r="37" spans="3:49" ht="13.5" x14ac:dyDescent="0.3">
      <c r="C37" s="292" t="s">
        <v>91</v>
      </c>
      <c r="D37" s="226" t="s">
        <v>2805</v>
      </c>
      <c r="E37" s="291" t="s">
        <v>250</v>
      </c>
      <c r="F37" s="292" t="s">
        <v>251</v>
      </c>
      <c r="G37" s="292"/>
      <c r="H37" s="291" t="s">
        <v>193</v>
      </c>
      <c r="I37" s="291" t="s">
        <v>194</v>
      </c>
      <c r="J37" s="225" t="s">
        <v>3132</v>
      </c>
      <c r="K37" s="299">
        <v>44431</v>
      </c>
      <c r="L37" s="299">
        <v>44431</v>
      </c>
      <c r="M37" s="299">
        <v>44533</v>
      </c>
      <c r="N37" s="291" t="s">
        <v>7</v>
      </c>
      <c r="O37" s="291" t="s">
        <v>13</v>
      </c>
      <c r="P37" s="270" t="s">
        <v>226</v>
      </c>
      <c r="T37" s="291"/>
      <c r="V37" s="291"/>
      <c r="W37" s="291"/>
      <c r="X37" s="292" t="str">
        <f>VLOOKUP(功能_33[[#This Row],[User]],SKL放款!A:G,7,FALSE)</f>
        <v>放款推展課</v>
      </c>
      <c r="Y37" s="299">
        <v>44533</v>
      </c>
      <c r="Z37" s="299">
        <v>44477</v>
      </c>
      <c r="AA37" s="299">
        <v>44477</v>
      </c>
      <c r="AB37" s="299">
        <v>44477</v>
      </c>
      <c r="AC37" s="299">
        <v>44544</v>
      </c>
      <c r="AD37" s="299" t="s">
        <v>196</v>
      </c>
      <c r="AE37" s="299"/>
      <c r="AF37" s="355"/>
      <c r="AG37" s="299" t="str">
        <f>IFERROR(IF(VLOOKUP(功能_33[[#This Row],[功能代號]],E:Q,11,FALSE)=0,"",VLOOKUP(功能_33[[#This Row],[功能代號]],E:Q,11,FALSE)),"")</f>
        <v>李珮君</v>
      </c>
      <c r="AH37" s="299"/>
      <c r="AI37" s="299"/>
      <c r="AJ37" s="292"/>
      <c r="AL37" s="291" t="s">
        <v>190</v>
      </c>
      <c r="AM37" s="291" t="s">
        <v>190</v>
      </c>
      <c r="AN37" s="292" t="e">
        <f>VLOOKUP(功能_33[[#This Row],[功能代號]],需二審tmp!A:A,1,FALSE)</f>
        <v>#N/A</v>
      </c>
      <c r="AO37" s="356">
        <v>44523</v>
      </c>
      <c r="AQ37" s="574" t="str">
        <f t="shared" si="0"/>
        <v>2-2</v>
      </c>
      <c r="AR37" s="576" t="str">
        <f t="shared" si="1"/>
        <v/>
      </c>
      <c r="AS37" s="578" t="str">
        <f t="shared" si="2"/>
        <v/>
      </c>
      <c r="AT37" s="580" t="str">
        <f t="shared" si="6"/>
        <v/>
      </c>
      <c r="AU37" s="582" t="str">
        <f t="shared" si="7"/>
        <v/>
      </c>
      <c r="AV37" s="584" t="str">
        <f t="shared" si="8"/>
        <v/>
      </c>
      <c r="AW37" s="662" t="str">
        <f>IFERROR(VLOOKUP(功能_33[[#This Row],[功能代號]],工作表3!C:C,1,FALSE),"未計SIT測試")</f>
        <v>未計SIT測試</v>
      </c>
    </row>
    <row r="38" spans="3:49" ht="13.5" x14ac:dyDescent="0.3">
      <c r="C38" s="292" t="s">
        <v>91</v>
      </c>
      <c r="D38" s="226" t="s">
        <v>2805</v>
      </c>
      <c r="E38" s="291" t="s">
        <v>252</v>
      </c>
      <c r="F38" s="292" t="s">
        <v>253</v>
      </c>
      <c r="G38" s="292"/>
      <c r="H38" s="291" t="s">
        <v>193</v>
      </c>
      <c r="I38" s="291" t="s">
        <v>194</v>
      </c>
      <c r="J38" s="225" t="s">
        <v>3132</v>
      </c>
      <c r="K38" s="299">
        <v>44431</v>
      </c>
      <c r="L38" s="299">
        <v>44431</v>
      </c>
      <c r="M38" s="299">
        <v>44533</v>
      </c>
      <c r="N38" s="291" t="s">
        <v>7</v>
      </c>
      <c r="O38" s="291" t="s">
        <v>13</v>
      </c>
      <c r="P38" s="270" t="s">
        <v>226</v>
      </c>
      <c r="T38" s="291"/>
      <c r="V38" s="291"/>
      <c r="W38" s="291"/>
      <c r="X38" s="292" t="str">
        <f>VLOOKUP(功能_33[[#This Row],[User]],SKL放款!A:G,7,FALSE)</f>
        <v>放款推展課</v>
      </c>
      <c r="Y38" s="299">
        <v>44533</v>
      </c>
      <c r="Z38" s="299">
        <v>44477</v>
      </c>
      <c r="AA38" s="299">
        <v>44477</v>
      </c>
      <c r="AB38" s="299">
        <v>44477</v>
      </c>
      <c r="AC38" s="299">
        <v>44544</v>
      </c>
      <c r="AD38" s="299" t="s">
        <v>196</v>
      </c>
      <c r="AE38" s="299"/>
      <c r="AF38" s="355"/>
      <c r="AG38" s="299" t="str">
        <f>IFERROR(IF(VLOOKUP(功能_33[[#This Row],[功能代號]],E:Q,11,FALSE)=0,"",VLOOKUP(功能_33[[#This Row],[功能代號]],E:Q,11,FALSE)),"")</f>
        <v>李珮君</v>
      </c>
      <c r="AH38" s="299"/>
      <c r="AI38" s="299"/>
      <c r="AJ38" s="292"/>
      <c r="AL38" s="291" t="s">
        <v>190</v>
      </c>
      <c r="AM38" s="291" t="s">
        <v>190</v>
      </c>
      <c r="AN38" s="292" t="e">
        <f>VLOOKUP(功能_33[[#This Row],[功能代號]],需二審tmp!A:A,1,FALSE)</f>
        <v>#N/A</v>
      </c>
      <c r="AO38" s="356">
        <v>44523</v>
      </c>
      <c r="AQ38" s="574" t="str">
        <f t="shared" si="0"/>
        <v>2-2</v>
      </c>
      <c r="AR38" s="576" t="str">
        <f t="shared" si="1"/>
        <v/>
      </c>
      <c r="AS38" s="578" t="str">
        <f t="shared" si="2"/>
        <v/>
      </c>
      <c r="AT38" s="580" t="str">
        <f t="shared" si="6"/>
        <v/>
      </c>
      <c r="AU38" s="582" t="str">
        <f t="shared" si="7"/>
        <v/>
      </c>
      <c r="AV38" s="584" t="str">
        <f t="shared" si="8"/>
        <v/>
      </c>
      <c r="AW38" s="662" t="str">
        <f>IFERROR(VLOOKUP(功能_33[[#This Row],[功能代號]],工作表3!C:C,1,FALSE),"未計SIT測試")</f>
        <v>未計SIT測試</v>
      </c>
    </row>
    <row r="39" spans="3:49" ht="13.5" x14ac:dyDescent="0.3">
      <c r="C39" s="292" t="s">
        <v>91</v>
      </c>
      <c r="D39" s="226" t="s">
        <v>2805</v>
      </c>
      <c r="E39" s="291" t="s">
        <v>254</v>
      </c>
      <c r="F39" s="292" t="s">
        <v>255</v>
      </c>
      <c r="G39" s="292"/>
      <c r="H39" s="291" t="s">
        <v>193</v>
      </c>
      <c r="I39" s="291" t="s">
        <v>194</v>
      </c>
      <c r="J39" s="225" t="s">
        <v>3132</v>
      </c>
      <c r="K39" s="299">
        <v>44431</v>
      </c>
      <c r="L39" s="299">
        <v>44431</v>
      </c>
      <c r="M39" s="299">
        <v>44533</v>
      </c>
      <c r="N39" s="291" t="s">
        <v>7</v>
      </c>
      <c r="O39" s="291" t="s">
        <v>13</v>
      </c>
      <c r="P39" s="270" t="s">
        <v>226</v>
      </c>
      <c r="T39" s="291"/>
      <c r="V39" s="291"/>
      <c r="W39" s="291"/>
      <c r="X39" s="292" t="str">
        <f>VLOOKUP(功能_33[[#This Row],[User]],SKL放款!A:G,7,FALSE)</f>
        <v>放款推展課</v>
      </c>
      <c r="Y39" s="299">
        <v>44533</v>
      </c>
      <c r="Z39" s="299">
        <v>44477</v>
      </c>
      <c r="AA39" s="299">
        <v>44477</v>
      </c>
      <c r="AB39" s="299">
        <v>44477</v>
      </c>
      <c r="AC39" s="299">
        <v>44544</v>
      </c>
      <c r="AD39" s="299" t="s">
        <v>196</v>
      </c>
      <c r="AE39" s="299"/>
      <c r="AF39" s="355"/>
      <c r="AG39" s="299" t="str">
        <f>IFERROR(IF(VLOOKUP(功能_33[[#This Row],[功能代號]],E:Q,11,FALSE)=0,"",VLOOKUP(功能_33[[#This Row],[功能代號]],E:Q,11,FALSE)),"")</f>
        <v>李珮君</v>
      </c>
      <c r="AH39" s="299"/>
      <c r="AI39" s="299"/>
      <c r="AJ39" s="292"/>
      <c r="AL39" s="291" t="s">
        <v>190</v>
      </c>
      <c r="AM39" s="291" t="s">
        <v>190</v>
      </c>
      <c r="AN39" s="292" t="e">
        <f>VLOOKUP(功能_33[[#This Row],[功能代號]],需二審tmp!A:A,1,FALSE)</f>
        <v>#N/A</v>
      </c>
      <c r="AO39" s="356">
        <v>44523</v>
      </c>
      <c r="AQ39" s="574" t="str">
        <f t="shared" si="0"/>
        <v>2-2</v>
      </c>
      <c r="AR39" s="576" t="str">
        <f t="shared" si="1"/>
        <v/>
      </c>
      <c r="AS39" s="578" t="str">
        <f t="shared" si="2"/>
        <v/>
      </c>
      <c r="AT39" s="580" t="str">
        <f t="shared" si="6"/>
        <v/>
      </c>
      <c r="AU39" s="582" t="str">
        <f t="shared" si="7"/>
        <v/>
      </c>
      <c r="AV39" s="584" t="str">
        <f t="shared" si="8"/>
        <v/>
      </c>
      <c r="AW39" s="662" t="str">
        <f>IFERROR(VLOOKUP(功能_33[[#This Row],[功能代號]],工作表3!C:C,1,FALSE),"未計SIT測試")</f>
        <v>未計SIT測試</v>
      </c>
    </row>
    <row r="40" spans="3:49" ht="13.5" x14ac:dyDescent="0.3">
      <c r="C40" s="292" t="s">
        <v>91</v>
      </c>
      <c r="D40" s="292" t="s">
        <v>2839</v>
      </c>
      <c r="E40" s="291" t="s">
        <v>256</v>
      </c>
      <c r="F40" s="292" t="s">
        <v>257</v>
      </c>
      <c r="G40" s="292"/>
      <c r="H40" s="291" t="s">
        <v>193</v>
      </c>
      <c r="I40" s="291" t="s">
        <v>203</v>
      </c>
      <c r="J40" s="225" t="s">
        <v>2955</v>
      </c>
      <c r="K40" s="299">
        <v>44431</v>
      </c>
      <c r="L40" s="299">
        <v>44431</v>
      </c>
      <c r="M40" s="299">
        <v>44536</v>
      </c>
      <c r="N40" s="291" t="s">
        <v>10</v>
      </c>
      <c r="O40" s="291" t="s">
        <v>13</v>
      </c>
      <c r="P40" s="270" t="s">
        <v>226</v>
      </c>
      <c r="T40" s="291"/>
      <c r="V40" s="291"/>
      <c r="W40" s="291"/>
      <c r="X40" s="292" t="str">
        <f>VLOOKUP(功能_33[[#This Row],[User]],SKL放款!A:G,7,FALSE)</f>
        <v>放款推展課</v>
      </c>
      <c r="Y40" s="299">
        <v>44533</v>
      </c>
      <c r="Z40" s="299">
        <v>44470</v>
      </c>
      <c r="AA40" s="299">
        <f>IF(功能_33[[#This Row],[URS交二審]]=0,"",功能_33[[#This Row],[URS交二審]]+7)</f>
        <v>44477</v>
      </c>
      <c r="AB40" s="299">
        <f>IF(功能_33[[#This Row],[URS交二審]]=0,"",功能_33[[#This Row],[URS交二審]]+7)</f>
        <v>44477</v>
      </c>
      <c r="AC40" s="299">
        <v>44539</v>
      </c>
      <c r="AD40" s="299" t="s">
        <v>196</v>
      </c>
      <c r="AE40" s="299"/>
      <c r="AF40" s="355"/>
      <c r="AG40" s="299" t="str">
        <f>IFERROR(IF(VLOOKUP(功能_33[[#This Row],[功能代號]],E:Q,11,FALSE)=0,"",VLOOKUP(功能_33[[#This Row],[功能代號]],E:Q,11,FALSE)),"")</f>
        <v>李珮君</v>
      </c>
      <c r="AH40" s="299"/>
      <c r="AI40" s="299"/>
      <c r="AJ40" s="292"/>
      <c r="AL40" s="291" t="s">
        <v>190</v>
      </c>
      <c r="AN40" s="292" t="e">
        <f>VLOOKUP(功能_33[[#This Row],[功能代號]],需二審tmp!A:A,1,FALSE)</f>
        <v>#N/A</v>
      </c>
      <c r="AO40" s="356">
        <v>44523</v>
      </c>
      <c r="AQ40" s="574" t="str">
        <f t="shared" si="0"/>
        <v>2-3</v>
      </c>
      <c r="AR40" s="576" t="str">
        <f t="shared" si="1"/>
        <v/>
      </c>
      <c r="AS40" s="578" t="str">
        <f t="shared" si="2"/>
        <v/>
      </c>
      <c r="AT40" s="580" t="str">
        <f t="shared" si="6"/>
        <v/>
      </c>
      <c r="AU40" s="582" t="str">
        <f t="shared" si="7"/>
        <v/>
      </c>
      <c r="AV40" s="584" t="str">
        <f t="shared" si="8"/>
        <v/>
      </c>
      <c r="AW40" s="662" t="str">
        <f>IFERROR(VLOOKUP(功能_33[[#This Row],[功能代號]],工作表3!C:C,1,FALSE),"未計SIT測試")</f>
        <v>L2021</v>
      </c>
    </row>
    <row r="41" spans="3:49" ht="13.5" x14ac:dyDescent="0.3">
      <c r="C41" s="292" t="s">
        <v>91</v>
      </c>
      <c r="D41" s="292" t="s">
        <v>2839</v>
      </c>
      <c r="E41" s="291" t="s">
        <v>258</v>
      </c>
      <c r="F41" s="292" t="s">
        <v>259</v>
      </c>
      <c r="G41" s="292"/>
      <c r="H41" s="291" t="s">
        <v>193</v>
      </c>
      <c r="I41" s="291" t="s">
        <v>203</v>
      </c>
      <c r="J41" s="225" t="s">
        <v>2955</v>
      </c>
      <c r="K41" s="299">
        <v>44431</v>
      </c>
      <c r="L41" s="299">
        <v>44431</v>
      </c>
      <c r="M41" s="299">
        <f>IFERROR(IF(VLOOKUP(功能_33[[#This Row],[功能代號]],討論項目!A:H,8,FALSE)=0,"",VLOOKUP(功能_33[[#This Row],[功能代號]],討論項目!A:H,8,FALSE)),"")</f>
        <v>44456</v>
      </c>
      <c r="N41" s="291" t="s">
        <v>10</v>
      </c>
      <c r="O41" s="291" t="s">
        <v>13</v>
      </c>
      <c r="P41" s="270" t="s">
        <v>226</v>
      </c>
      <c r="T41" s="291"/>
      <c r="V41" s="291"/>
      <c r="W41" s="291"/>
      <c r="X41" s="292" t="str">
        <f>VLOOKUP(功能_33[[#This Row],[User]],SKL放款!A:G,7,FALSE)</f>
        <v>放款推展課</v>
      </c>
      <c r="Y41" s="299">
        <v>44533</v>
      </c>
      <c r="Z41" s="299">
        <v>44470</v>
      </c>
      <c r="AA41" s="299">
        <f>IF(功能_33[[#This Row],[URS交二審]]=0,"",功能_33[[#This Row],[URS交二審]]+7)</f>
        <v>44477</v>
      </c>
      <c r="AB41" s="299">
        <f>IF(功能_33[[#This Row],[URS交二審]]=0,"",功能_33[[#This Row],[URS交二審]]+7)</f>
        <v>44477</v>
      </c>
      <c r="AC41" s="299">
        <v>44539</v>
      </c>
      <c r="AD41" s="299" t="s">
        <v>196</v>
      </c>
      <c r="AE41" s="299"/>
      <c r="AF41" s="355"/>
      <c r="AG41" s="299" t="str">
        <f>IFERROR(IF(VLOOKUP(功能_33[[#This Row],[功能代號]],E:Q,11,FALSE)=0,"",VLOOKUP(功能_33[[#This Row],[功能代號]],E:Q,11,FALSE)),"")</f>
        <v>李珮君</v>
      </c>
      <c r="AH41" s="299"/>
      <c r="AI41" s="299"/>
      <c r="AJ41" s="292"/>
      <c r="AL41" s="291" t="s">
        <v>190</v>
      </c>
      <c r="AN41" s="292" t="str">
        <f>VLOOKUP(功能_33[[#This Row],[功能代號]],需二審tmp!A:A,1,FALSE)</f>
        <v>L2221</v>
      </c>
      <c r="AO41" s="356">
        <v>44523</v>
      </c>
      <c r="AQ41" s="574" t="str">
        <f t="shared" si="0"/>
        <v>2-3</v>
      </c>
      <c r="AR41" s="576" t="str">
        <f t="shared" si="1"/>
        <v/>
      </c>
      <c r="AS41" s="578" t="str">
        <f t="shared" si="2"/>
        <v/>
      </c>
      <c r="AT41" s="580" t="str">
        <f t="shared" si="6"/>
        <v/>
      </c>
      <c r="AU41" s="582" t="str">
        <f t="shared" si="7"/>
        <v/>
      </c>
      <c r="AV41" s="584" t="str">
        <f t="shared" si="8"/>
        <v/>
      </c>
      <c r="AW41" s="662" t="str">
        <f>IFERROR(VLOOKUP(功能_33[[#This Row],[功能代號]],工作表3!C:C,1,FALSE),"未計SIT測試")</f>
        <v>L2221</v>
      </c>
    </row>
    <row r="42" spans="3:49" ht="13.5" x14ac:dyDescent="0.3">
      <c r="C42" s="292" t="s">
        <v>91</v>
      </c>
      <c r="D42" s="292" t="s">
        <v>2829</v>
      </c>
      <c r="E42" s="291" t="s">
        <v>261</v>
      </c>
      <c r="F42" s="292" t="s">
        <v>262</v>
      </c>
      <c r="G42" s="292"/>
      <c r="H42" s="291" t="s">
        <v>193</v>
      </c>
      <c r="I42" s="291" t="s">
        <v>203</v>
      </c>
      <c r="J42" s="225" t="s">
        <v>3132</v>
      </c>
      <c r="K42" s="299">
        <v>44431</v>
      </c>
      <c r="L42" s="299">
        <v>44432</v>
      </c>
      <c r="M42" s="299">
        <f>IFERROR(IF(VLOOKUP(功能_33[[#This Row],[功能代號]],討論項目!A:H,8,FALSE)=0,"",VLOOKUP(功能_33[[#This Row],[功能代號]],討論項目!A:H,8,FALSE)),"")</f>
        <v>44434</v>
      </c>
      <c r="N42" s="291" t="s">
        <v>10</v>
      </c>
      <c r="O42" s="291" t="s">
        <v>13</v>
      </c>
      <c r="P42" s="270" t="s">
        <v>226</v>
      </c>
      <c r="T42" s="291"/>
      <c r="V42" s="291"/>
      <c r="W42" s="291"/>
      <c r="X42" s="292" t="str">
        <f>VLOOKUP(功能_33[[#This Row],[User]],SKL放款!A:G,7,FALSE)</f>
        <v>放款推展課</v>
      </c>
      <c r="Y42" s="299">
        <v>44533</v>
      </c>
      <c r="Z42" s="299">
        <v>44533</v>
      </c>
      <c r="AA42" s="299">
        <v>44543</v>
      </c>
      <c r="AB42" s="299">
        <v>44543</v>
      </c>
      <c r="AC42" s="299">
        <v>44544</v>
      </c>
      <c r="AD42" s="299"/>
      <c r="AE42" s="299"/>
      <c r="AF42" s="355"/>
      <c r="AG42" s="299" t="str">
        <f>IFERROR(IF(VLOOKUP(功能_33[[#This Row],[功能代號]],E:Q,11,FALSE)=0,"",VLOOKUP(功能_33[[#This Row],[功能代號]],E:Q,11,FALSE)),"")</f>
        <v>李珮君</v>
      </c>
      <c r="AH42" s="299"/>
      <c r="AI42" s="299"/>
      <c r="AJ42" s="292"/>
      <c r="AL42" s="291" t="s">
        <v>190</v>
      </c>
      <c r="AN42" s="292" t="str">
        <f>VLOOKUP(功能_33[[#This Row],[功能代號]],需二審tmp!A:A,1,FALSE)</f>
        <v>L2038</v>
      </c>
      <c r="AO42" s="356">
        <v>44523</v>
      </c>
      <c r="AQ42" s="574" t="str">
        <f t="shared" si="0"/>
        <v>2-4</v>
      </c>
      <c r="AR42" s="576" t="str">
        <f t="shared" si="1"/>
        <v/>
      </c>
      <c r="AS42" s="578" t="str">
        <f t="shared" si="2"/>
        <v/>
      </c>
      <c r="AT42" s="580" t="str">
        <f t="shared" si="6"/>
        <v/>
      </c>
      <c r="AU42" s="582" t="str">
        <f t="shared" si="7"/>
        <v/>
      </c>
      <c r="AV42" s="584" t="str">
        <f t="shared" si="8"/>
        <v/>
      </c>
      <c r="AW42" s="662" t="str">
        <f>IFERROR(VLOOKUP(功能_33[[#This Row],[功能代號]],工作表3!C:C,1,FALSE),"未計SIT測試")</f>
        <v>L2038</v>
      </c>
    </row>
    <row r="43" spans="3:49" ht="13.5" x14ac:dyDescent="0.3">
      <c r="C43" s="292" t="s">
        <v>91</v>
      </c>
      <c r="D43" s="292" t="s">
        <v>2829</v>
      </c>
      <c r="E43" s="291" t="s">
        <v>263</v>
      </c>
      <c r="F43" s="292" t="s">
        <v>264</v>
      </c>
      <c r="G43" s="292"/>
      <c r="H43" s="291" t="s">
        <v>193</v>
      </c>
      <c r="I43" s="291" t="s">
        <v>203</v>
      </c>
      <c r="J43" s="225" t="s">
        <v>3132</v>
      </c>
      <c r="K43" s="299">
        <v>44432</v>
      </c>
      <c r="L43" s="299">
        <v>44432</v>
      </c>
      <c r="M43" s="299">
        <f>IFERROR(IF(VLOOKUP(功能_33[[#This Row],[功能代號]],討論項目!A:H,8,FALSE)=0,"",VLOOKUP(功能_33[[#This Row],[功能代號]],討論項目!A:H,8,FALSE)),"")</f>
        <v>44447</v>
      </c>
      <c r="N43" s="291" t="s">
        <v>10</v>
      </c>
      <c r="O43" s="291" t="s">
        <v>13</v>
      </c>
      <c r="P43" s="270" t="s">
        <v>265</v>
      </c>
      <c r="T43" s="291"/>
      <c r="V43" s="291"/>
      <c r="W43" s="291"/>
      <c r="X43" s="292" t="str">
        <f>VLOOKUP(功能_33[[#This Row],[User]],SKL放款!A:G,7,FALSE)</f>
        <v>放款推展課</v>
      </c>
      <c r="Y43" s="299">
        <v>44533</v>
      </c>
      <c r="Z43" s="299">
        <v>44533</v>
      </c>
      <c r="AA43" s="299">
        <v>44543</v>
      </c>
      <c r="AB43" s="299">
        <v>44543</v>
      </c>
      <c r="AC43" s="299">
        <v>44544</v>
      </c>
      <c r="AD43" s="299"/>
      <c r="AE43" s="299"/>
      <c r="AF43" s="355"/>
      <c r="AG43" s="299" t="str">
        <f>IFERROR(IF(VLOOKUP(功能_33[[#This Row],[功能代號]],E:Q,11,FALSE)=0,"",VLOOKUP(功能_33[[#This Row],[功能代號]],E:Q,11,FALSE)),"")</f>
        <v>李珮君</v>
      </c>
      <c r="AH43" s="299"/>
      <c r="AI43" s="299"/>
      <c r="AJ43" s="292"/>
      <c r="AL43" s="291" t="s">
        <v>266</v>
      </c>
      <c r="AM43" s="302" t="s">
        <v>267</v>
      </c>
      <c r="AN43" s="292" t="str">
        <f>VLOOKUP(功能_33[[#This Row],[功能代號]],需二審tmp!A:A,1,FALSE)</f>
        <v>L2411</v>
      </c>
      <c r="AO43" s="356">
        <v>44523</v>
      </c>
      <c r="AQ43" s="574" t="str">
        <f t="shared" si="0"/>
        <v>2-4</v>
      </c>
      <c r="AR43" s="576" t="str">
        <f t="shared" si="1"/>
        <v/>
      </c>
      <c r="AS43" s="578" t="str">
        <f t="shared" si="2"/>
        <v/>
      </c>
      <c r="AT43" s="580" t="str">
        <f t="shared" si="6"/>
        <v/>
      </c>
      <c r="AU43" s="582" t="str">
        <f t="shared" si="7"/>
        <v/>
      </c>
      <c r="AV43" s="584" t="str">
        <f t="shared" si="8"/>
        <v/>
      </c>
      <c r="AW43" s="662" t="str">
        <f>IFERROR(VLOOKUP(功能_33[[#This Row],[功能代號]],工作表3!C:C,1,FALSE),"未計SIT測試")</f>
        <v>L2411</v>
      </c>
    </row>
    <row r="44" spans="3:49" ht="13.5" x14ac:dyDescent="0.3">
      <c r="C44" s="292" t="s">
        <v>91</v>
      </c>
      <c r="D44" s="292" t="s">
        <v>2829</v>
      </c>
      <c r="E44" s="291" t="s">
        <v>268</v>
      </c>
      <c r="F44" s="292" t="s">
        <v>269</v>
      </c>
      <c r="G44" s="292"/>
      <c r="H44" s="291" t="s">
        <v>193</v>
      </c>
      <c r="I44" s="291" t="s">
        <v>203</v>
      </c>
      <c r="J44" s="225" t="s">
        <v>3132</v>
      </c>
      <c r="K44" s="299">
        <v>44432</v>
      </c>
      <c r="L44" s="299">
        <v>44432</v>
      </c>
      <c r="M44" s="299">
        <f>IFERROR(IF(VLOOKUP(功能_33[[#This Row],[功能代號]],討論項目!A:H,8,FALSE)=0,"",VLOOKUP(功能_33[[#This Row],[功能代號]],討論項目!A:H,8,FALSE)),"")</f>
        <v>44445</v>
      </c>
      <c r="N44" s="291" t="s">
        <v>10</v>
      </c>
      <c r="O44" s="291" t="s">
        <v>13</v>
      </c>
      <c r="P44" s="270" t="s">
        <v>226</v>
      </c>
      <c r="T44" s="291"/>
      <c r="V44" s="291"/>
      <c r="W44" s="291"/>
      <c r="X44" s="292" t="str">
        <f>VLOOKUP(功能_33[[#This Row],[User]],SKL放款!A:G,7,FALSE)</f>
        <v>放款推展課</v>
      </c>
      <c r="Y44" s="299">
        <v>44533</v>
      </c>
      <c r="Z44" s="299">
        <v>44533</v>
      </c>
      <c r="AA44" s="299">
        <v>44543</v>
      </c>
      <c r="AB44" s="299">
        <v>44543</v>
      </c>
      <c r="AC44" s="299">
        <v>44544</v>
      </c>
      <c r="AD44" s="299"/>
      <c r="AE44" s="299"/>
      <c r="AF44" s="355"/>
      <c r="AG44" s="299" t="str">
        <f>IFERROR(IF(VLOOKUP(功能_33[[#This Row],[功能代號]],E:Q,11,FALSE)=0,"",VLOOKUP(功能_33[[#This Row],[功能代號]],E:Q,11,FALSE)),"")</f>
        <v>李珮君</v>
      </c>
      <c r="AH44" s="299"/>
      <c r="AI44" s="299"/>
      <c r="AJ44" s="292"/>
      <c r="AK44" s="224">
        <v>44494</v>
      </c>
      <c r="AL44" s="291" t="s">
        <v>266</v>
      </c>
      <c r="AM44" s="292" t="s">
        <v>270</v>
      </c>
      <c r="AN44" s="292" t="str">
        <f>VLOOKUP(功能_33[[#This Row],[功能代號]],需二審tmp!A:A,1,FALSE)</f>
        <v>L2911</v>
      </c>
      <c r="AO44" s="356">
        <v>44523</v>
      </c>
      <c r="AQ44" s="574" t="str">
        <f t="shared" si="0"/>
        <v>2-4</v>
      </c>
      <c r="AR44" s="576" t="str">
        <f t="shared" si="1"/>
        <v/>
      </c>
      <c r="AS44" s="578" t="str">
        <f t="shared" si="2"/>
        <v/>
      </c>
      <c r="AT44" s="580" t="str">
        <f t="shared" si="6"/>
        <v/>
      </c>
      <c r="AU44" s="582" t="str">
        <f t="shared" si="7"/>
        <v/>
      </c>
      <c r="AV44" s="584" t="str">
        <f t="shared" si="8"/>
        <v/>
      </c>
      <c r="AW44" s="662" t="str">
        <f>IFERROR(VLOOKUP(功能_33[[#This Row],[功能代號]],工作表3!C:C,1,FALSE),"未計SIT測試")</f>
        <v>L2911</v>
      </c>
    </row>
    <row r="45" spans="3:49" ht="13.5" x14ac:dyDescent="0.3">
      <c r="C45" s="292" t="s">
        <v>91</v>
      </c>
      <c r="D45" s="292" t="s">
        <v>2829</v>
      </c>
      <c r="E45" s="291" t="s">
        <v>271</v>
      </c>
      <c r="F45" s="292" t="s">
        <v>272</v>
      </c>
      <c r="G45" s="292"/>
      <c r="H45" s="291" t="s">
        <v>193</v>
      </c>
      <c r="I45" s="291" t="s">
        <v>203</v>
      </c>
      <c r="J45" s="225" t="s">
        <v>3132</v>
      </c>
      <c r="K45" s="299">
        <v>44432</v>
      </c>
      <c r="L45" s="299">
        <v>44432</v>
      </c>
      <c r="M45" s="299">
        <f>IFERROR(IF(VLOOKUP(功能_33[[#This Row],[功能代號]],討論項目!A:H,8,FALSE)=0,"",VLOOKUP(功能_33[[#This Row],[功能代號]],討論項目!A:H,8,FALSE)),"")</f>
        <v>44445</v>
      </c>
      <c r="N45" s="291" t="s">
        <v>10</v>
      </c>
      <c r="O45" s="291" t="s">
        <v>13</v>
      </c>
      <c r="P45" s="270" t="s">
        <v>226</v>
      </c>
      <c r="T45" s="291"/>
      <c r="V45" s="291"/>
      <c r="W45" s="291"/>
      <c r="X45" s="292" t="str">
        <f>VLOOKUP(功能_33[[#This Row],[User]],SKL放款!A:G,7,FALSE)</f>
        <v>放款推展課</v>
      </c>
      <c r="Y45" s="299">
        <v>44533</v>
      </c>
      <c r="Z45" s="299">
        <v>44533</v>
      </c>
      <c r="AA45" s="299">
        <v>44543</v>
      </c>
      <c r="AB45" s="299">
        <v>44543</v>
      </c>
      <c r="AC45" s="299">
        <v>44544</v>
      </c>
      <c r="AD45" s="299"/>
      <c r="AE45" s="299"/>
      <c r="AF45" s="355"/>
      <c r="AG45" s="299" t="str">
        <f>IFERROR(IF(VLOOKUP(功能_33[[#This Row],[功能代號]],E:Q,11,FALSE)=0,"",VLOOKUP(功能_33[[#This Row],[功能代號]],E:Q,11,FALSE)),"")</f>
        <v>李珮君</v>
      </c>
      <c r="AH45" s="299"/>
      <c r="AI45" s="299"/>
      <c r="AJ45" s="292"/>
      <c r="AL45" s="291" t="s">
        <v>190</v>
      </c>
      <c r="AM45" s="302"/>
      <c r="AN45" s="292" t="str">
        <f>VLOOKUP(功能_33[[#This Row],[功能代號]],需二審tmp!A:A,1,FALSE)</f>
        <v>L2415</v>
      </c>
      <c r="AO45" s="356">
        <v>44523</v>
      </c>
      <c r="AQ45" s="574" t="str">
        <f t="shared" si="0"/>
        <v>2-4</v>
      </c>
      <c r="AR45" s="576" t="str">
        <f t="shared" si="1"/>
        <v/>
      </c>
      <c r="AS45" s="578" t="str">
        <f t="shared" si="2"/>
        <v/>
      </c>
      <c r="AT45" s="580" t="str">
        <f t="shared" si="6"/>
        <v/>
      </c>
      <c r="AU45" s="582" t="str">
        <f t="shared" si="7"/>
        <v/>
      </c>
      <c r="AV45" s="584" t="str">
        <f t="shared" si="8"/>
        <v/>
      </c>
      <c r="AW45" s="662" t="str">
        <f>IFERROR(VLOOKUP(功能_33[[#This Row],[功能代號]],工作表3!C:C,1,FALSE),"未計SIT測試")</f>
        <v>L2415</v>
      </c>
    </row>
    <row r="46" spans="3:49" ht="13.5" x14ac:dyDescent="0.3">
      <c r="C46" s="292" t="s">
        <v>91</v>
      </c>
      <c r="D46" s="292" t="s">
        <v>2829</v>
      </c>
      <c r="E46" s="291" t="s">
        <v>273</v>
      </c>
      <c r="F46" s="292" t="s">
        <v>274</v>
      </c>
      <c r="G46" s="292"/>
      <c r="H46" s="291" t="s">
        <v>193</v>
      </c>
      <c r="I46" s="291" t="s">
        <v>203</v>
      </c>
      <c r="J46" s="225" t="s">
        <v>3132</v>
      </c>
      <c r="K46" s="299">
        <v>44432</v>
      </c>
      <c r="L46" s="299">
        <v>44432</v>
      </c>
      <c r="M46" s="299">
        <v>44536</v>
      </c>
      <c r="N46" s="291" t="s">
        <v>10</v>
      </c>
      <c r="O46" s="291" t="s">
        <v>13</v>
      </c>
      <c r="P46" s="270" t="s">
        <v>226</v>
      </c>
      <c r="T46" s="291"/>
      <c r="V46" s="291"/>
      <c r="W46" s="291"/>
      <c r="X46" s="292" t="str">
        <f>VLOOKUP(功能_33[[#This Row],[User]],SKL放款!A:G,7,FALSE)</f>
        <v>放款推展課</v>
      </c>
      <c r="Y46" s="299">
        <v>44533</v>
      </c>
      <c r="Z46" s="299">
        <v>44477</v>
      </c>
      <c r="AA46" s="299">
        <v>44477</v>
      </c>
      <c r="AB46" s="299">
        <v>44477</v>
      </c>
      <c r="AC46" s="299">
        <v>44544</v>
      </c>
      <c r="AD46" s="299" t="s">
        <v>196</v>
      </c>
      <c r="AE46" s="299"/>
      <c r="AF46" s="355"/>
      <c r="AG46" s="299" t="str">
        <f>IFERROR(IF(VLOOKUP(功能_33[[#This Row],[功能代號]],E:Q,11,FALSE)=0,"",VLOOKUP(功能_33[[#This Row],[功能代號]],E:Q,11,FALSE)),"")</f>
        <v>李珮君</v>
      </c>
      <c r="AH46" s="299"/>
      <c r="AI46" s="299"/>
      <c r="AJ46" s="292"/>
      <c r="AL46" s="291" t="s">
        <v>266</v>
      </c>
      <c r="AM46" s="292" t="s">
        <v>270</v>
      </c>
      <c r="AN46" s="292" t="e">
        <f>VLOOKUP(功能_33[[#This Row],[功能代號]],需二審tmp!A:A,1,FALSE)</f>
        <v>#N/A</v>
      </c>
      <c r="AO46" s="356">
        <v>44523</v>
      </c>
      <c r="AQ46" s="574" t="str">
        <f t="shared" si="0"/>
        <v>2-4</v>
      </c>
      <c r="AR46" s="576" t="str">
        <f t="shared" si="1"/>
        <v/>
      </c>
      <c r="AS46" s="578" t="str">
        <f t="shared" si="2"/>
        <v/>
      </c>
      <c r="AT46" s="580" t="str">
        <f t="shared" si="6"/>
        <v/>
      </c>
      <c r="AU46" s="582" t="str">
        <f t="shared" si="7"/>
        <v/>
      </c>
      <c r="AV46" s="584" t="str">
        <f t="shared" si="8"/>
        <v/>
      </c>
      <c r="AW46" s="662" t="str">
        <f>IFERROR(VLOOKUP(功能_33[[#This Row],[功能代號]],工作表3!C:C,1,FALSE),"未計SIT測試")</f>
        <v>L2416</v>
      </c>
    </row>
    <row r="47" spans="3:49" ht="13.5" x14ac:dyDescent="0.3">
      <c r="C47" s="292" t="s">
        <v>91</v>
      </c>
      <c r="D47" s="292" t="s">
        <v>2829</v>
      </c>
      <c r="E47" s="291" t="s">
        <v>275</v>
      </c>
      <c r="F47" s="292" t="s">
        <v>276</v>
      </c>
      <c r="G47" s="292"/>
      <c r="H47" s="291" t="s">
        <v>193</v>
      </c>
      <c r="I47" s="291" t="s">
        <v>203</v>
      </c>
      <c r="J47" s="225" t="s">
        <v>3132</v>
      </c>
      <c r="K47" s="299">
        <v>44432</v>
      </c>
      <c r="L47" s="299">
        <v>44432</v>
      </c>
      <c r="M47" s="299">
        <v>44536</v>
      </c>
      <c r="N47" s="291" t="s">
        <v>10</v>
      </c>
      <c r="O47" s="291" t="s">
        <v>172</v>
      </c>
      <c r="P47" s="270" t="s">
        <v>226</v>
      </c>
      <c r="T47" s="291"/>
      <c r="V47" s="291"/>
      <c r="W47" s="291"/>
      <c r="X47" s="292" t="str">
        <f>VLOOKUP(功能_33[[#This Row],[User]],SKL放款!A:G,7,FALSE)</f>
        <v>放款服務課</v>
      </c>
      <c r="Y47" s="299">
        <v>44533</v>
      </c>
      <c r="Z47" s="299" t="s">
        <v>195</v>
      </c>
      <c r="AA47" s="299">
        <v>44477</v>
      </c>
      <c r="AB47" s="299">
        <v>44477</v>
      </c>
      <c r="AC47" s="299">
        <v>44544</v>
      </c>
      <c r="AD47" s="299" t="s">
        <v>196</v>
      </c>
      <c r="AE47" s="299"/>
      <c r="AF47" s="355"/>
      <c r="AG47" s="299" t="str">
        <f>IFERROR(IF(VLOOKUP(功能_33[[#This Row],[功能代號]],E:Q,11,FALSE)=0,"",VLOOKUP(功能_33[[#This Row],[功能代號]],E:Q,11,FALSE)),"")</f>
        <v>陳政皓</v>
      </c>
      <c r="AH47" s="299"/>
      <c r="AI47" s="299"/>
      <c r="AJ47" s="292"/>
      <c r="AL47" s="291" t="s">
        <v>266</v>
      </c>
      <c r="AM47" s="302" t="s">
        <v>277</v>
      </c>
      <c r="AN47" s="292" t="e">
        <f>VLOOKUP(功能_33[[#This Row],[功能代號]],需二審tmp!A:A,1,FALSE)</f>
        <v>#N/A</v>
      </c>
      <c r="AO47" s="356">
        <v>44523</v>
      </c>
      <c r="AQ47" s="574" t="str">
        <f t="shared" si="0"/>
        <v>2-4</v>
      </c>
      <c r="AR47" s="576" t="str">
        <f t="shared" si="1"/>
        <v/>
      </c>
      <c r="AS47" s="578" t="str">
        <f t="shared" si="2"/>
        <v/>
      </c>
      <c r="AT47" s="580" t="str">
        <f t="shared" si="6"/>
        <v/>
      </c>
      <c r="AU47" s="582" t="str">
        <f t="shared" si="7"/>
        <v/>
      </c>
      <c r="AV47" s="584" t="str">
        <f t="shared" si="8"/>
        <v/>
      </c>
      <c r="AW47" s="662" t="str">
        <f>IFERROR(VLOOKUP(功能_33[[#This Row],[功能代號]],工作表3!C:C,1,FALSE),"未計SIT測試")</f>
        <v>L2915</v>
      </c>
    </row>
    <row r="48" spans="3:49" ht="13.5" x14ac:dyDescent="0.3">
      <c r="C48" s="292" t="s">
        <v>91</v>
      </c>
      <c r="D48" s="292" t="s">
        <v>2829</v>
      </c>
      <c r="E48" s="291" t="s">
        <v>278</v>
      </c>
      <c r="F48" s="292" t="s">
        <v>279</v>
      </c>
      <c r="G48" s="292"/>
      <c r="H48" s="291" t="s">
        <v>193</v>
      </c>
      <c r="I48" s="291" t="s">
        <v>203</v>
      </c>
      <c r="J48" s="225" t="s">
        <v>3132</v>
      </c>
      <c r="K48" s="299">
        <v>44432</v>
      </c>
      <c r="L48" s="299">
        <v>44432</v>
      </c>
      <c r="M48" s="299">
        <v>44536</v>
      </c>
      <c r="N48" s="291" t="s">
        <v>10</v>
      </c>
      <c r="O48" s="291" t="s">
        <v>172</v>
      </c>
      <c r="P48" s="270" t="s">
        <v>226</v>
      </c>
      <c r="T48" s="291"/>
      <c r="V48" s="291"/>
      <c r="W48" s="291"/>
      <c r="X48" s="292" t="str">
        <f>VLOOKUP(功能_33[[#This Row],[User]],SKL放款!A:G,7,FALSE)</f>
        <v>放款服務課</v>
      </c>
      <c r="Y48" s="299">
        <v>44533</v>
      </c>
      <c r="Z48" s="299" t="s">
        <v>195</v>
      </c>
      <c r="AA48" s="299">
        <v>44477</v>
      </c>
      <c r="AB48" s="299">
        <v>44477</v>
      </c>
      <c r="AC48" s="299">
        <v>44544</v>
      </c>
      <c r="AD48" s="299" t="s">
        <v>196</v>
      </c>
      <c r="AE48" s="299"/>
      <c r="AF48" s="355"/>
      <c r="AG48" s="299" t="str">
        <f>IFERROR(IF(VLOOKUP(功能_33[[#This Row],[功能代號]],E:Q,11,FALSE)=0,"",VLOOKUP(功能_33[[#This Row],[功能代號]],E:Q,11,FALSE)),"")</f>
        <v>陳政皓</v>
      </c>
      <c r="AH48" s="299"/>
      <c r="AI48" s="299"/>
      <c r="AJ48" s="292"/>
      <c r="AL48" s="291" t="s">
        <v>190</v>
      </c>
      <c r="AN48" s="292" t="e">
        <f>VLOOKUP(功能_33[[#This Row],[功能代號]],需二審tmp!A:A,1,FALSE)</f>
        <v>#N/A</v>
      </c>
      <c r="AO48" s="356">
        <v>44523</v>
      </c>
      <c r="AQ48" s="574" t="str">
        <f t="shared" si="0"/>
        <v>2-4</v>
      </c>
      <c r="AR48" s="576" t="str">
        <f t="shared" si="1"/>
        <v/>
      </c>
      <c r="AS48" s="578" t="str">
        <f t="shared" si="2"/>
        <v/>
      </c>
      <c r="AT48" s="580" t="str">
        <f t="shared" si="6"/>
        <v/>
      </c>
      <c r="AU48" s="582" t="str">
        <f t="shared" si="7"/>
        <v/>
      </c>
      <c r="AV48" s="584" t="str">
        <f t="shared" si="8"/>
        <v/>
      </c>
      <c r="AW48" s="662" t="str">
        <f>IFERROR(VLOOKUP(功能_33[[#This Row],[功能代號]],工作表3!C:C,1,FALSE),"未計SIT測試")</f>
        <v>L2916</v>
      </c>
    </row>
    <row r="49" spans="2:49" ht="13.5" x14ac:dyDescent="0.3">
      <c r="C49" s="292" t="s">
        <v>91</v>
      </c>
      <c r="D49" s="292" t="s">
        <v>2829</v>
      </c>
      <c r="E49" s="291" t="s">
        <v>280</v>
      </c>
      <c r="F49" s="292" t="s">
        <v>281</v>
      </c>
      <c r="G49" s="292"/>
      <c r="H49" s="291" t="s">
        <v>193</v>
      </c>
      <c r="I49" s="291" t="s">
        <v>194</v>
      </c>
      <c r="J49" s="225" t="s">
        <v>3132</v>
      </c>
      <c r="K49" s="299">
        <v>44433</v>
      </c>
      <c r="L49" s="299">
        <v>44433</v>
      </c>
      <c r="M49" s="299">
        <v>44533</v>
      </c>
      <c r="N49" s="291" t="s">
        <v>10</v>
      </c>
      <c r="O49" s="291" t="s">
        <v>18</v>
      </c>
      <c r="P49" s="270" t="s">
        <v>226</v>
      </c>
      <c r="T49" s="291"/>
      <c r="V49" s="291"/>
      <c r="W49" s="291"/>
      <c r="X49" s="292" t="str">
        <f>VLOOKUP(功能_33[[#This Row],[User]],SKL放款!A:G,7,FALSE)</f>
        <v>放款服務課</v>
      </c>
      <c r="Y49" s="299">
        <v>44533</v>
      </c>
      <c r="Z49" s="299">
        <v>44470</v>
      </c>
      <c r="AA49" s="299">
        <f>IF(功能_33[[#This Row],[URS交二審]]=0,"",功能_33[[#This Row],[URS交二審]]+7)</f>
        <v>44477</v>
      </c>
      <c r="AB49" s="299">
        <f>IF(功能_33[[#This Row],[URS交二審]]=0,"",功能_33[[#This Row],[URS交二審]]+7)</f>
        <v>44477</v>
      </c>
      <c r="AC49" s="299">
        <v>44544</v>
      </c>
      <c r="AD49" s="299" t="s">
        <v>196</v>
      </c>
      <c r="AE49" s="299"/>
      <c r="AF49" s="355"/>
      <c r="AG49" s="299" t="str">
        <f>IFERROR(IF(VLOOKUP(功能_33[[#This Row],[功能代號]],E:Q,11,FALSE)=0,"",VLOOKUP(功能_33[[#This Row],[功能代號]],E:Q,11,FALSE)),"")</f>
        <v>尹少玄</v>
      </c>
      <c r="AH49" s="299"/>
      <c r="AI49" s="299"/>
      <c r="AJ49" s="292"/>
      <c r="AL49" s="291" t="s">
        <v>190</v>
      </c>
      <c r="AM49" s="291" t="s">
        <v>190</v>
      </c>
      <c r="AN49" s="292" t="e">
        <f>VLOOKUP(功能_33[[#This Row],[功能代號]],需二審tmp!A:A,1,FALSE)</f>
        <v>#N/A</v>
      </c>
      <c r="AO49" s="356">
        <v>44523</v>
      </c>
      <c r="AQ49" s="574" t="str">
        <f t="shared" si="0"/>
        <v>2-4</v>
      </c>
      <c r="AR49" s="576" t="str">
        <f t="shared" si="1"/>
        <v/>
      </c>
      <c r="AS49" s="578" t="str">
        <f t="shared" si="2"/>
        <v/>
      </c>
      <c r="AT49" s="580" t="str">
        <f t="shared" si="6"/>
        <v/>
      </c>
      <c r="AU49" s="582" t="str">
        <f t="shared" si="7"/>
        <v/>
      </c>
      <c r="AV49" s="584" t="str">
        <f t="shared" si="8"/>
        <v/>
      </c>
      <c r="AW49" s="662" t="str">
        <f>IFERROR(VLOOKUP(功能_33[[#This Row],[功能代號]],工作表3!C:C,1,FALSE),"未計SIT測試")</f>
        <v>L2918</v>
      </c>
    </row>
    <row r="50" spans="2:49" ht="13.5" x14ac:dyDescent="0.3">
      <c r="C50" s="292" t="s">
        <v>91</v>
      </c>
      <c r="D50" s="292" t="s">
        <v>2829</v>
      </c>
      <c r="E50" s="291" t="s">
        <v>282</v>
      </c>
      <c r="F50" s="292" t="s">
        <v>283</v>
      </c>
      <c r="G50" s="292"/>
      <c r="H50" s="291" t="s">
        <v>193</v>
      </c>
      <c r="I50" s="291" t="s">
        <v>194</v>
      </c>
      <c r="J50" s="225" t="s">
        <v>3132</v>
      </c>
      <c r="K50" s="299">
        <v>44433</v>
      </c>
      <c r="L50" s="299">
        <v>44433</v>
      </c>
      <c r="M50" s="299">
        <v>44537</v>
      </c>
      <c r="N50" s="291" t="s">
        <v>10</v>
      </c>
      <c r="O50" s="291" t="s">
        <v>13</v>
      </c>
      <c r="P50" s="270" t="s">
        <v>226</v>
      </c>
      <c r="T50" s="291"/>
      <c r="V50" s="291"/>
      <c r="W50" s="291"/>
      <c r="X50" s="292" t="str">
        <f>VLOOKUP(功能_33[[#This Row],[User]],SKL放款!A:G,7,FALSE)</f>
        <v>放款推展課</v>
      </c>
      <c r="Y50" s="299">
        <v>44533</v>
      </c>
      <c r="Z50" s="299">
        <v>44477</v>
      </c>
      <c r="AA50" s="299">
        <v>44477</v>
      </c>
      <c r="AB50" s="299">
        <v>44477</v>
      </c>
      <c r="AC50" s="299">
        <v>44544</v>
      </c>
      <c r="AD50" s="299" t="s">
        <v>196</v>
      </c>
      <c r="AE50" s="299"/>
      <c r="AF50" s="355"/>
      <c r="AG50" s="299" t="str">
        <f>IFERROR(IF(VLOOKUP(功能_33[[#This Row],[功能代號]],E:Q,11,FALSE)=0,"",VLOOKUP(功能_33[[#This Row],[功能代號]],E:Q,11,FALSE)),"")</f>
        <v>李珮君</v>
      </c>
      <c r="AH50" s="299"/>
      <c r="AI50" s="299"/>
      <c r="AJ50" s="292"/>
      <c r="AK50" s="224">
        <v>44498</v>
      </c>
      <c r="AL50" s="291" t="s">
        <v>190</v>
      </c>
      <c r="AM50" s="291" t="s">
        <v>190</v>
      </c>
      <c r="AN50" s="292" t="e">
        <f>VLOOKUP(功能_33[[#This Row],[功能代號]],需二審tmp!A:A,1,FALSE)</f>
        <v>#N/A</v>
      </c>
      <c r="AO50" s="356">
        <v>44523</v>
      </c>
      <c r="AQ50" s="574" t="str">
        <f t="shared" si="0"/>
        <v>2-4</v>
      </c>
      <c r="AR50" s="576" t="str">
        <f t="shared" si="1"/>
        <v/>
      </c>
      <c r="AS50" s="578" t="str">
        <f t="shared" si="2"/>
        <v/>
      </c>
      <c r="AT50" s="580" t="str">
        <f t="shared" si="6"/>
        <v/>
      </c>
      <c r="AU50" s="582" t="str">
        <f t="shared" si="7"/>
        <v/>
      </c>
      <c r="AV50" s="584" t="str">
        <f t="shared" si="8"/>
        <v/>
      </c>
      <c r="AW50" s="662" t="str">
        <f>IFERROR(VLOOKUP(功能_33[[#This Row],[功能代號]],工作表3!C:C,1,FALSE),"未計SIT測試")</f>
        <v>L2418</v>
      </c>
    </row>
    <row r="51" spans="2:49" ht="13.5" x14ac:dyDescent="0.3">
      <c r="C51" s="292" t="s">
        <v>95</v>
      </c>
      <c r="D51" s="292" t="s">
        <v>2815</v>
      </c>
      <c r="E51" s="291" t="s">
        <v>3060</v>
      </c>
      <c r="F51" s="292" t="s">
        <v>3063</v>
      </c>
      <c r="G51" s="292" t="s">
        <v>3064</v>
      </c>
      <c r="H51" s="291" t="s">
        <v>193</v>
      </c>
      <c r="I51" s="291" t="s">
        <v>194</v>
      </c>
      <c r="J51" s="225" t="s">
        <v>3234</v>
      </c>
      <c r="K51" s="299">
        <v>44433</v>
      </c>
      <c r="L51" s="299">
        <v>44433</v>
      </c>
      <c r="M51" s="299">
        <v>44539</v>
      </c>
      <c r="N51" s="291" t="s">
        <v>10</v>
      </c>
      <c r="O51" s="291" t="s">
        <v>11</v>
      </c>
      <c r="T51" s="291"/>
      <c r="V51" s="291"/>
      <c r="W51" s="291"/>
      <c r="X51" s="292" t="str">
        <f>VLOOKUP(功能_33[[#This Row],[User]],SKL放款!A:G,7,FALSE)</f>
        <v>放款服務課</v>
      </c>
      <c r="Y51" s="299">
        <v>44539</v>
      </c>
      <c r="Z51" s="299" t="s">
        <v>346</v>
      </c>
      <c r="AA51" s="282">
        <v>44544</v>
      </c>
      <c r="AB51" s="283">
        <v>44544</v>
      </c>
      <c r="AC51" s="299">
        <v>44550</v>
      </c>
      <c r="AD51" s="283"/>
      <c r="AE51" s="283"/>
      <c r="AF51" s="283"/>
      <c r="AG51" s="283" t="str">
        <f>IFERROR(IF(VLOOKUP(功能_33[[#This Row],[功能代號]],E:Q,11,FALSE)=0,"",VLOOKUP(功能_33[[#This Row],[功能代號]],E:Q,11,FALSE)),"")</f>
        <v>蔡珮瑜</v>
      </c>
      <c r="AH51" s="283"/>
      <c r="AI51" s="283"/>
      <c r="AJ51" s="292"/>
      <c r="AL51" s="291" t="s">
        <v>190</v>
      </c>
      <c r="AM51" s="291" t="s">
        <v>190</v>
      </c>
      <c r="AN51" s="292" t="e">
        <f>VLOOKUP(功能_33[[#This Row],[功能代號]],需二審tmp!A:A,1,FALSE)</f>
        <v>#N/A</v>
      </c>
      <c r="AO51" s="356">
        <v>44526</v>
      </c>
      <c r="AQ51" s="574" t="str">
        <f t="shared" si="0"/>
        <v>6-6</v>
      </c>
      <c r="AR51" s="576" t="str">
        <f t="shared" si="1"/>
        <v/>
      </c>
      <c r="AS51" s="578" t="str">
        <f t="shared" si="2"/>
        <v/>
      </c>
      <c r="AT51" s="580" t="str">
        <f t="shared" si="6"/>
        <v/>
      </c>
      <c r="AU51" s="582" t="str">
        <f t="shared" si="7"/>
        <v/>
      </c>
      <c r="AV51" s="584" t="str">
        <f t="shared" si="8"/>
        <v/>
      </c>
      <c r="AW51" s="662" t="str">
        <f>IFERROR(VLOOKUP(功能_33[[#This Row],[功能代號]],工作表3!C:C,1,FALSE),"未計SIT測試")</f>
        <v>L6023</v>
      </c>
    </row>
    <row r="52" spans="2:49" ht="13.5" x14ac:dyDescent="0.3">
      <c r="C52" s="292" t="s">
        <v>95</v>
      </c>
      <c r="D52" s="292" t="s">
        <v>2815</v>
      </c>
      <c r="E52" s="291" t="s">
        <v>3061</v>
      </c>
      <c r="F52" s="292" t="s">
        <v>3062</v>
      </c>
      <c r="G52" s="292" t="s">
        <v>3064</v>
      </c>
      <c r="H52" s="291" t="s">
        <v>193</v>
      </c>
      <c r="I52" s="291" t="s">
        <v>194</v>
      </c>
      <c r="J52" s="225" t="s">
        <v>3234</v>
      </c>
      <c r="K52" s="299">
        <v>44433</v>
      </c>
      <c r="L52" s="299">
        <v>44433</v>
      </c>
      <c r="M52" s="299">
        <v>44539</v>
      </c>
      <c r="N52" s="291" t="s">
        <v>10</v>
      </c>
      <c r="O52" s="291" t="s">
        <v>11</v>
      </c>
      <c r="T52" s="291"/>
      <c r="V52" s="291"/>
      <c r="W52" s="291"/>
      <c r="X52" s="292" t="str">
        <f>VLOOKUP(功能_33[[#This Row],[User]],SKL放款!A:G,7,FALSE)</f>
        <v>放款服務課</v>
      </c>
      <c r="Y52" s="299">
        <v>44539</v>
      </c>
      <c r="Z52" s="299" t="s">
        <v>346</v>
      </c>
      <c r="AA52" s="282">
        <v>44544</v>
      </c>
      <c r="AB52" s="283">
        <v>44544</v>
      </c>
      <c r="AC52" s="299">
        <v>44550</v>
      </c>
      <c r="AD52" s="283"/>
      <c r="AE52" s="283"/>
      <c r="AF52" s="283"/>
      <c r="AG52" s="283" t="str">
        <f>IFERROR(IF(VLOOKUP(功能_33[[#This Row],[功能代號]],E:Q,11,FALSE)=0,"",VLOOKUP(功能_33[[#This Row],[功能代號]],E:Q,11,FALSE)),"")</f>
        <v>蔡珮瑜</v>
      </c>
      <c r="AH52" s="283"/>
      <c r="AI52" s="283"/>
      <c r="AJ52" s="292"/>
      <c r="AL52" s="291" t="s">
        <v>190</v>
      </c>
      <c r="AM52" s="291" t="s">
        <v>190</v>
      </c>
      <c r="AN52" s="292" t="e">
        <f>VLOOKUP(功能_33[[#This Row],[功能代號]],需二審tmp!A:A,1,FALSE)</f>
        <v>#N/A</v>
      </c>
      <c r="AO52" s="356">
        <v>44526</v>
      </c>
      <c r="AQ52" s="574" t="str">
        <f t="shared" si="0"/>
        <v>6-6</v>
      </c>
      <c r="AR52" s="576" t="str">
        <f t="shared" si="1"/>
        <v/>
      </c>
      <c r="AS52" s="578" t="str">
        <f t="shared" si="2"/>
        <v/>
      </c>
      <c r="AT52" s="580" t="str">
        <f t="shared" si="6"/>
        <v/>
      </c>
      <c r="AU52" s="582" t="str">
        <f t="shared" si="7"/>
        <v/>
      </c>
      <c r="AV52" s="584" t="str">
        <f t="shared" si="8"/>
        <v/>
      </c>
      <c r="AW52" s="662" t="str">
        <f>IFERROR(VLOOKUP(功能_33[[#This Row],[功能代號]],工作表3!C:C,1,FALSE),"未計SIT測試")</f>
        <v>L6203</v>
      </c>
    </row>
    <row r="53" spans="2:49" ht="13.5" x14ac:dyDescent="0.3">
      <c r="C53" s="292" t="s">
        <v>91</v>
      </c>
      <c r="D53" s="292" t="s">
        <v>2829</v>
      </c>
      <c r="E53" s="291" t="s">
        <v>284</v>
      </c>
      <c r="F53" s="292" t="s">
        <v>285</v>
      </c>
      <c r="G53" s="292"/>
      <c r="H53" s="291" t="s">
        <v>193</v>
      </c>
      <c r="I53" s="291" t="s">
        <v>203</v>
      </c>
      <c r="J53" s="225" t="s">
        <v>3132</v>
      </c>
      <c r="K53" s="299">
        <v>44433</v>
      </c>
      <c r="L53" s="299">
        <v>44432</v>
      </c>
      <c r="M53" s="299">
        <v>44536</v>
      </c>
      <c r="N53" s="291" t="s">
        <v>10</v>
      </c>
      <c r="O53" s="291" t="s">
        <v>13</v>
      </c>
      <c r="P53" s="270" t="s">
        <v>226</v>
      </c>
      <c r="T53" s="291"/>
      <c r="V53" s="291"/>
      <c r="W53" s="291"/>
      <c r="X53" s="292" t="e">
        <f>VLOOKUP([3]!功能_33[[#This Row],[User]],[3]SKL放款!A:G,7,FALSE)</f>
        <v>#REF!</v>
      </c>
      <c r="Y53" s="299">
        <v>44533</v>
      </c>
      <c r="Z53" s="299">
        <v>44533</v>
      </c>
      <c r="AA53" s="299">
        <v>44543</v>
      </c>
      <c r="AB53" s="299">
        <v>44543</v>
      </c>
      <c r="AC53" s="299">
        <v>44544</v>
      </c>
      <c r="AD53" s="299"/>
      <c r="AE53" s="299"/>
      <c r="AF53" s="355"/>
      <c r="AG53" s="299" t="str">
        <f>IFERROR(IF(VLOOKUP([3]!功能_33[[#This Row],[功能代號]],E:Q,11,FALSE)=0,"",VLOOKUP([3]!功能_33[[#This Row],[功能代號]],E:Q,11,FALSE)),"")</f>
        <v/>
      </c>
      <c r="AH53" s="299"/>
      <c r="AI53" s="299"/>
      <c r="AJ53" s="292"/>
      <c r="AK53" s="224">
        <v>44494</v>
      </c>
      <c r="AL53" s="291" t="s">
        <v>190</v>
      </c>
      <c r="AN53" s="292" t="e">
        <f>VLOOKUP([3]!功能_33[[#This Row],[功能代號]],[3]需二審tmp!A:A,1,FALSE)</f>
        <v>#REF!</v>
      </c>
      <c r="AO53" s="356">
        <v>44523</v>
      </c>
      <c r="AQ53" s="574" t="str">
        <f t="shared" si="0"/>
        <v>2-4</v>
      </c>
      <c r="AR53" s="575" t="str">
        <f t="shared" si="1"/>
        <v/>
      </c>
      <c r="AS53" s="577" t="str">
        <f t="shared" si="2"/>
        <v/>
      </c>
      <c r="AT53" s="613" t="str">
        <f t="shared" si="6"/>
        <v/>
      </c>
      <c r="AU53" s="614" t="str">
        <f t="shared" si="7"/>
        <v/>
      </c>
      <c r="AV53" s="263" t="str">
        <f t="shared" si="8"/>
        <v/>
      </c>
      <c r="AW53" s="662" t="str">
        <f>IFERROR(VLOOKUP(功能_33[[#This Row],[功能代號]],工作表3!C:C,1,FALSE),"未計SIT測試")</f>
        <v>L2017</v>
      </c>
    </row>
    <row r="54" spans="2:49" ht="13.5" x14ac:dyDescent="0.3">
      <c r="C54" s="292" t="s">
        <v>91</v>
      </c>
      <c r="D54" s="292" t="s">
        <v>2829</v>
      </c>
      <c r="E54" s="291" t="s">
        <v>286</v>
      </c>
      <c r="F54" s="292" t="s">
        <v>287</v>
      </c>
      <c r="G54" s="292"/>
      <c r="H54" s="291" t="s">
        <v>193</v>
      </c>
      <c r="I54" s="291" t="s">
        <v>203</v>
      </c>
      <c r="J54" s="225" t="s">
        <v>3132</v>
      </c>
      <c r="K54" s="299">
        <v>44433</v>
      </c>
      <c r="L54" s="299">
        <v>44432</v>
      </c>
      <c r="M54" s="299">
        <v>44536</v>
      </c>
      <c r="N54" s="291" t="s">
        <v>10</v>
      </c>
      <c r="O54" s="291" t="s">
        <v>13</v>
      </c>
      <c r="P54" s="270" t="s">
        <v>226</v>
      </c>
      <c r="T54" s="291"/>
      <c r="V54" s="291"/>
      <c r="W54" s="291"/>
      <c r="X54" s="292" t="e">
        <f>VLOOKUP([3]!功能_33[[#This Row],[User]],[3]SKL放款!A:G,7,FALSE)</f>
        <v>#REF!</v>
      </c>
      <c r="Y54" s="299">
        <v>44533</v>
      </c>
      <c r="Z54" s="299">
        <v>44477</v>
      </c>
      <c r="AA54" s="299">
        <v>44477</v>
      </c>
      <c r="AB54" s="299">
        <v>44477</v>
      </c>
      <c r="AC54" s="299">
        <v>44544</v>
      </c>
      <c r="AD54" s="299" t="s">
        <v>196</v>
      </c>
      <c r="AE54" s="299"/>
      <c r="AF54" s="355"/>
      <c r="AG54" s="299" t="str">
        <f>IFERROR(IF(VLOOKUP([3]!功能_33[[#This Row],[功能代號]],E:Q,11,FALSE)=0,"",VLOOKUP([3]!功能_33[[#This Row],[功能代號]],E:Q,11,FALSE)),"")</f>
        <v/>
      </c>
      <c r="AH54" s="299"/>
      <c r="AI54" s="299"/>
      <c r="AJ54" s="292"/>
      <c r="AL54" s="291" t="s">
        <v>190</v>
      </c>
      <c r="AN54" s="292" t="e">
        <f>VLOOKUP([3]!功能_33[[#This Row],[功能代號]],[3]需二審tmp!A:A,1,FALSE)</f>
        <v>#REF!</v>
      </c>
      <c r="AO54" s="356">
        <v>44523</v>
      </c>
      <c r="AQ54" s="574" t="str">
        <f t="shared" si="0"/>
        <v>2-4</v>
      </c>
      <c r="AR54" s="575" t="str">
        <f t="shared" si="1"/>
        <v/>
      </c>
      <c r="AS54" s="577" t="str">
        <f t="shared" si="2"/>
        <v/>
      </c>
      <c r="AT54" s="613" t="str">
        <f t="shared" si="6"/>
        <v/>
      </c>
      <c r="AU54" s="614" t="str">
        <f t="shared" si="7"/>
        <v/>
      </c>
      <c r="AV54" s="263" t="str">
        <f t="shared" si="8"/>
        <v/>
      </c>
      <c r="AW54" s="662" t="str">
        <f>IFERROR(VLOOKUP(功能_33[[#This Row],[功能代號]],工作表3!C:C,1,FALSE),"未計SIT測試")</f>
        <v>L2417</v>
      </c>
    </row>
    <row r="55" spans="2:49" ht="13.5" x14ac:dyDescent="0.3">
      <c r="C55" s="292" t="s">
        <v>91</v>
      </c>
      <c r="D55" s="292" t="s">
        <v>2829</v>
      </c>
      <c r="E55" s="291" t="s">
        <v>288</v>
      </c>
      <c r="F55" s="292" t="s">
        <v>289</v>
      </c>
      <c r="G55" s="292"/>
      <c r="H55" s="291" t="s">
        <v>193</v>
      </c>
      <c r="I55" s="291" t="s">
        <v>203</v>
      </c>
      <c r="J55" s="225" t="s">
        <v>3132</v>
      </c>
      <c r="K55" s="299">
        <v>44434</v>
      </c>
      <c r="L55" s="299">
        <v>44433</v>
      </c>
      <c r="M55" s="299">
        <f>IFERROR(IF(VLOOKUP(功能_33[[#This Row],[功能代號]],討論項目!A:H,8,FALSE)=0,"",VLOOKUP(功能_33[[#This Row],[功能代號]],討論項目!A:H,8,FALSE)),"")</f>
        <v>44445</v>
      </c>
      <c r="N55" s="291" t="s">
        <v>10</v>
      </c>
      <c r="O55" s="291" t="s">
        <v>13</v>
      </c>
      <c r="P55" s="270" t="s">
        <v>226</v>
      </c>
      <c r="T55" s="291"/>
      <c r="V55" s="291"/>
      <c r="W55" s="291"/>
      <c r="X55" s="292" t="str">
        <f>VLOOKUP(功能_33[[#This Row],[User]],SKL放款!A:G,7,FALSE)</f>
        <v>放款推展課</v>
      </c>
      <c r="Y55" s="299">
        <v>44533</v>
      </c>
      <c r="Z55" s="299">
        <v>44533</v>
      </c>
      <c r="AA55" s="299">
        <v>44543</v>
      </c>
      <c r="AB55" s="299">
        <v>44543</v>
      </c>
      <c r="AC55" s="299">
        <v>44544</v>
      </c>
      <c r="AD55" s="299"/>
      <c r="AE55" s="299"/>
      <c r="AF55" s="355"/>
      <c r="AG55" s="299" t="str">
        <f>IFERROR(IF(VLOOKUP(功能_33[[#This Row],[功能代號]],E:Q,11,FALSE)=0,"",VLOOKUP(功能_33[[#This Row],[功能代號]],E:Q,11,FALSE)),"")</f>
        <v>李珮君</v>
      </c>
      <c r="AH55" s="299"/>
      <c r="AI55" s="299"/>
      <c r="AJ55" s="292"/>
      <c r="AL55" s="291" t="s">
        <v>266</v>
      </c>
      <c r="AM55" s="292" t="s">
        <v>277</v>
      </c>
      <c r="AN55" s="292" t="str">
        <f>VLOOKUP(功能_33[[#This Row],[功能代號]],需二審tmp!A:A,1,FALSE)</f>
        <v>L2412</v>
      </c>
      <c r="AO55" s="356">
        <v>44523</v>
      </c>
      <c r="AQ55" s="574" t="str">
        <f t="shared" si="0"/>
        <v>2-4</v>
      </c>
      <c r="AR55" s="576" t="str">
        <f t="shared" si="1"/>
        <v/>
      </c>
      <c r="AS55" s="578" t="str">
        <f t="shared" si="2"/>
        <v/>
      </c>
      <c r="AT55" s="580" t="str">
        <f t="shared" si="6"/>
        <v/>
      </c>
      <c r="AU55" s="582" t="str">
        <f t="shared" si="7"/>
        <v/>
      </c>
      <c r="AV55" s="584" t="str">
        <f t="shared" si="8"/>
        <v/>
      </c>
      <c r="AW55" s="662" t="str">
        <f>IFERROR(VLOOKUP(功能_33[[#This Row],[功能代號]],工作表3!C:C,1,FALSE),"未計SIT測試")</f>
        <v>L2412</v>
      </c>
    </row>
    <row r="56" spans="2:49" ht="13.5" x14ac:dyDescent="0.3">
      <c r="C56" s="292" t="s">
        <v>91</v>
      </c>
      <c r="D56" s="292" t="s">
        <v>2829</v>
      </c>
      <c r="E56" s="291" t="s">
        <v>290</v>
      </c>
      <c r="F56" s="292" t="s">
        <v>291</v>
      </c>
      <c r="G56" s="292"/>
      <c r="H56" s="291" t="s">
        <v>193</v>
      </c>
      <c r="I56" s="291" t="s">
        <v>203</v>
      </c>
      <c r="J56" s="225" t="s">
        <v>3132</v>
      </c>
      <c r="K56" s="299">
        <v>44434</v>
      </c>
      <c r="L56" s="299">
        <v>44433</v>
      </c>
      <c r="M56" s="299">
        <v>44536</v>
      </c>
      <c r="N56" s="291" t="s">
        <v>10</v>
      </c>
      <c r="O56" s="291" t="s">
        <v>13</v>
      </c>
      <c r="P56" s="270" t="s">
        <v>226</v>
      </c>
      <c r="T56" s="291"/>
      <c r="V56" s="291"/>
      <c r="W56" s="291"/>
      <c r="X56" s="292" t="str">
        <f>VLOOKUP(功能_33[[#This Row],[User]],SKL放款!A:G,7,FALSE)</f>
        <v>放款推展課</v>
      </c>
      <c r="Y56" s="299">
        <v>44533</v>
      </c>
      <c r="Z56" s="299">
        <v>44477</v>
      </c>
      <c r="AA56" s="299">
        <v>44477</v>
      </c>
      <c r="AB56" s="299">
        <v>44477</v>
      </c>
      <c r="AC56" s="299">
        <v>44544</v>
      </c>
      <c r="AD56" s="299" t="s">
        <v>196</v>
      </c>
      <c r="AE56" s="299"/>
      <c r="AF56" s="355"/>
      <c r="AG56" s="299" t="str">
        <f>IFERROR(IF(VLOOKUP(功能_33[[#This Row],[功能代號]],E:Q,11,FALSE)=0,"",VLOOKUP(功能_33[[#This Row],[功能代號]],E:Q,11,FALSE)),"")</f>
        <v>李珮君</v>
      </c>
      <c r="AH56" s="299"/>
      <c r="AI56" s="299"/>
      <c r="AJ56" s="292"/>
      <c r="AL56" s="291" t="s">
        <v>190</v>
      </c>
      <c r="AN56" s="292" t="e">
        <f>VLOOKUP(功能_33[[#This Row],[功能代號]],需二審tmp!A:A,1,FALSE)</f>
        <v>#N/A</v>
      </c>
      <c r="AO56" s="356">
        <v>44523</v>
      </c>
      <c r="AQ56" s="574" t="str">
        <f t="shared" si="0"/>
        <v>2-4</v>
      </c>
      <c r="AR56" s="576" t="str">
        <f t="shared" si="1"/>
        <v/>
      </c>
      <c r="AS56" s="578" t="str">
        <f t="shared" si="2"/>
        <v/>
      </c>
      <c r="AT56" s="580" t="str">
        <f t="shared" si="6"/>
        <v/>
      </c>
      <c r="AU56" s="582" t="str">
        <f t="shared" si="7"/>
        <v/>
      </c>
      <c r="AV56" s="584" t="str">
        <f t="shared" si="8"/>
        <v/>
      </c>
      <c r="AW56" s="662" t="str">
        <f>IFERROR(VLOOKUP(功能_33[[#This Row],[功能代號]],工作表3!C:C,1,FALSE),"未計SIT測試")</f>
        <v>L2912</v>
      </c>
    </row>
    <row r="57" spans="2:49" ht="13.5" x14ac:dyDescent="0.3">
      <c r="C57" s="292" t="s">
        <v>91</v>
      </c>
      <c r="D57" s="292" t="s">
        <v>2829</v>
      </c>
      <c r="E57" s="291" t="s">
        <v>292</v>
      </c>
      <c r="F57" s="292" t="s">
        <v>293</v>
      </c>
      <c r="G57" s="292"/>
      <c r="H57" s="291" t="s">
        <v>193</v>
      </c>
      <c r="I57" s="291" t="s">
        <v>203</v>
      </c>
      <c r="J57" s="225" t="s">
        <v>3132</v>
      </c>
      <c r="K57" s="299">
        <v>44435</v>
      </c>
      <c r="L57" s="299">
        <v>44434</v>
      </c>
      <c r="M57" s="299">
        <f>IFERROR(IF(VLOOKUP(功能_33[[#This Row],[功能代號]],討論項目!A:H,8,FALSE)=0,"",VLOOKUP(功能_33[[#This Row],[功能代號]],討論項目!A:H,8,FALSE)),"")</f>
        <v>44435</v>
      </c>
      <c r="N57" s="291" t="s">
        <v>10</v>
      </c>
      <c r="O57" s="291" t="s">
        <v>27</v>
      </c>
      <c r="P57" s="270" t="s">
        <v>226</v>
      </c>
      <c r="T57" s="291"/>
      <c r="V57" s="291"/>
      <c r="W57" s="291"/>
      <c r="X57" s="292" t="str">
        <f>VLOOKUP(功能_33[[#This Row],[User]],SKL放款!A:G,7,FALSE)</f>
        <v>放款推展課</v>
      </c>
      <c r="Y57" s="299">
        <v>44533</v>
      </c>
      <c r="Z57" s="299" t="s">
        <v>133</v>
      </c>
      <c r="AA57" s="299">
        <v>44543</v>
      </c>
      <c r="AB57" s="299">
        <v>44543</v>
      </c>
      <c r="AC57" s="299">
        <v>44544</v>
      </c>
      <c r="AD57" s="299"/>
      <c r="AE57" s="299"/>
      <c r="AF57" s="355"/>
      <c r="AG57" s="299" t="str">
        <f>IFERROR(IF(VLOOKUP(功能_33[[#This Row],[功能代號]],E:Q,11,FALSE)=0,"",VLOOKUP(功能_33[[#This Row],[功能代號]],E:Q,11,FALSE)),"")</f>
        <v>李穎</v>
      </c>
      <c r="AH57" s="299"/>
      <c r="AI57" s="299"/>
      <c r="AJ57" s="292"/>
      <c r="AL57" s="291" t="s">
        <v>266</v>
      </c>
      <c r="AM57" s="292" t="s">
        <v>294</v>
      </c>
      <c r="AN57" s="292" t="str">
        <f>VLOOKUP(功能_33[[#This Row],[功能代號]],需二審tmp!A:A,1,FALSE)</f>
        <v>L2413</v>
      </c>
      <c r="AO57" s="356">
        <v>44523</v>
      </c>
      <c r="AQ57" s="574" t="str">
        <f t="shared" si="0"/>
        <v>2-4</v>
      </c>
      <c r="AR57" s="576" t="str">
        <f t="shared" si="1"/>
        <v/>
      </c>
      <c r="AS57" s="578" t="str">
        <f t="shared" si="2"/>
        <v/>
      </c>
      <c r="AT57" s="580" t="str">
        <f t="shared" si="6"/>
        <v/>
      </c>
      <c r="AU57" s="582" t="str">
        <f t="shared" si="7"/>
        <v/>
      </c>
      <c r="AV57" s="584" t="str">
        <f t="shared" si="8"/>
        <v/>
      </c>
      <c r="AW57" s="662" t="str">
        <f>IFERROR(VLOOKUP(功能_33[[#This Row],[功能代號]],工作表3!C:C,1,FALSE),"未計SIT測試")</f>
        <v>L2413</v>
      </c>
    </row>
    <row r="58" spans="2:49" ht="13.5" x14ac:dyDescent="0.3">
      <c r="C58" s="292" t="s">
        <v>91</v>
      </c>
      <c r="D58" s="292" t="s">
        <v>2829</v>
      </c>
      <c r="E58" s="291" t="s">
        <v>295</v>
      </c>
      <c r="F58" s="292" t="s">
        <v>296</v>
      </c>
      <c r="G58" s="292"/>
      <c r="H58" s="291" t="s">
        <v>193</v>
      </c>
      <c r="I58" s="291" t="s">
        <v>203</v>
      </c>
      <c r="J58" s="225" t="s">
        <v>3132</v>
      </c>
      <c r="K58" s="299">
        <v>44435</v>
      </c>
      <c r="L58" s="299">
        <v>44434</v>
      </c>
      <c r="M58" s="299">
        <f>IFERROR(IF(VLOOKUP(功能_33[[#This Row],[功能代號]],討論項目!A:H,8,FALSE)=0,"",VLOOKUP(功能_33[[#This Row],[功能代號]],討論項目!A:H,8,FALSE)),"")</f>
        <v>44441</v>
      </c>
      <c r="N58" s="291" t="s">
        <v>10</v>
      </c>
      <c r="O58" s="291" t="s">
        <v>27</v>
      </c>
      <c r="P58" s="270" t="s">
        <v>226</v>
      </c>
      <c r="T58" s="291"/>
      <c r="V58" s="291"/>
      <c r="W58" s="291"/>
      <c r="X58" s="292" t="str">
        <f>VLOOKUP(功能_33[[#This Row],[User]],SKL放款!A:G,7,FALSE)</f>
        <v>放款推展課</v>
      </c>
      <c r="Y58" s="299">
        <v>44533</v>
      </c>
      <c r="Z58" s="299" t="s">
        <v>133</v>
      </c>
      <c r="AA58" s="299">
        <v>44543</v>
      </c>
      <c r="AB58" s="299">
        <v>44543</v>
      </c>
      <c r="AC58" s="299">
        <v>44544</v>
      </c>
      <c r="AD58" s="299"/>
      <c r="AE58" s="299"/>
      <c r="AF58" s="355"/>
      <c r="AG58" s="299" t="str">
        <f>IFERROR(IF(VLOOKUP(功能_33[[#This Row],[功能代號]],E:Q,11,FALSE)=0,"",VLOOKUP(功能_33[[#This Row],[功能代號]],E:Q,11,FALSE)),"")</f>
        <v>李穎</v>
      </c>
      <c r="AH58" s="299"/>
      <c r="AI58" s="299"/>
      <c r="AJ58" s="292"/>
      <c r="AL58" s="291" t="s">
        <v>190</v>
      </c>
      <c r="AN58" s="292" t="str">
        <f>VLOOKUP(功能_33[[#This Row],[功能代號]],需二審tmp!A:A,1,FALSE)</f>
        <v>L2913</v>
      </c>
      <c r="AO58" s="356">
        <v>44523</v>
      </c>
      <c r="AQ58" s="574" t="str">
        <f t="shared" si="0"/>
        <v>2-4</v>
      </c>
      <c r="AR58" s="576" t="str">
        <f t="shared" si="1"/>
        <v/>
      </c>
      <c r="AS58" s="578" t="str">
        <f t="shared" si="2"/>
        <v/>
      </c>
      <c r="AT58" s="580" t="str">
        <f t="shared" si="6"/>
        <v/>
      </c>
      <c r="AU58" s="582" t="str">
        <f t="shared" si="7"/>
        <v/>
      </c>
      <c r="AV58" s="584" t="str">
        <f t="shared" si="8"/>
        <v/>
      </c>
      <c r="AW58" s="662" t="str">
        <f>IFERROR(VLOOKUP(功能_33[[#This Row],[功能代號]],工作表3!C:C,1,FALSE),"未計SIT測試")</f>
        <v>L2913</v>
      </c>
    </row>
    <row r="59" spans="2:49" ht="13.5" x14ac:dyDescent="0.3">
      <c r="C59" s="292" t="s">
        <v>91</v>
      </c>
      <c r="D59" s="292" t="s">
        <v>2829</v>
      </c>
      <c r="E59" s="291" t="s">
        <v>297</v>
      </c>
      <c r="F59" s="292" t="s">
        <v>298</v>
      </c>
      <c r="G59" s="292"/>
      <c r="H59" s="291" t="s">
        <v>193</v>
      </c>
      <c r="I59" s="291" t="s">
        <v>203</v>
      </c>
      <c r="J59" s="225" t="s">
        <v>3132</v>
      </c>
      <c r="K59" s="299">
        <v>44435</v>
      </c>
      <c r="L59" s="299">
        <v>44434</v>
      </c>
      <c r="M59" s="299">
        <f>IFERROR(IF(VLOOKUP(功能_33[[#This Row],[功能代號]],討論項目!A:H,8,FALSE)=0,"",VLOOKUP(功能_33[[#This Row],[功能代號]],討論項目!A:H,8,FALSE)),"")</f>
        <v>44445</v>
      </c>
      <c r="N59" s="291" t="s">
        <v>10</v>
      </c>
      <c r="O59" s="291" t="s">
        <v>27</v>
      </c>
      <c r="P59" s="270" t="s">
        <v>226</v>
      </c>
      <c r="T59" s="291"/>
      <c r="V59" s="291"/>
      <c r="W59" s="291"/>
      <c r="X59" s="292" t="str">
        <f>VLOOKUP(功能_33[[#This Row],[User]],SKL放款!A:G,7,FALSE)</f>
        <v>放款推展課</v>
      </c>
      <c r="Y59" s="299">
        <v>44533</v>
      </c>
      <c r="Z59" s="299" t="s">
        <v>133</v>
      </c>
      <c r="AA59" s="299">
        <v>44543</v>
      </c>
      <c r="AB59" s="299">
        <v>44543</v>
      </c>
      <c r="AC59" s="299">
        <v>44544</v>
      </c>
      <c r="AD59" s="299"/>
      <c r="AE59" s="299"/>
      <c r="AF59" s="355"/>
      <c r="AG59" s="299" t="str">
        <f>IFERROR(IF(VLOOKUP(功能_33[[#This Row],[功能代號]],E:Q,11,FALSE)=0,"",VLOOKUP(功能_33[[#This Row],[功能代號]],E:Q,11,FALSE)),"")</f>
        <v>李穎</v>
      </c>
      <c r="AH59" s="299"/>
      <c r="AI59" s="299"/>
      <c r="AJ59" s="292"/>
      <c r="AL59" s="291" t="s">
        <v>190</v>
      </c>
      <c r="AN59" s="292" t="str">
        <f>VLOOKUP(功能_33[[#This Row],[功能代號]],需二審tmp!A:A,1,FALSE)</f>
        <v>L2414</v>
      </c>
      <c r="AO59" s="356">
        <v>44523</v>
      </c>
      <c r="AQ59" s="574" t="str">
        <f t="shared" si="0"/>
        <v>2-4</v>
      </c>
      <c r="AR59" s="576" t="str">
        <f t="shared" si="1"/>
        <v/>
      </c>
      <c r="AS59" s="578" t="str">
        <f t="shared" si="2"/>
        <v/>
      </c>
      <c r="AT59" s="580" t="str">
        <f t="shared" si="6"/>
        <v/>
      </c>
      <c r="AU59" s="582" t="str">
        <f t="shared" si="7"/>
        <v/>
      </c>
      <c r="AV59" s="584" t="str">
        <f t="shared" si="8"/>
        <v/>
      </c>
      <c r="AW59" s="662" t="str">
        <f>IFERROR(VLOOKUP(功能_33[[#This Row],[功能代號]],工作表3!C:C,1,FALSE),"未計SIT測試")</f>
        <v>L2414</v>
      </c>
    </row>
    <row r="60" spans="2:49" ht="13.5" x14ac:dyDescent="0.3">
      <c r="C60" s="292" t="s">
        <v>91</v>
      </c>
      <c r="D60" s="292" t="s">
        <v>2829</v>
      </c>
      <c r="E60" s="291" t="s">
        <v>299</v>
      </c>
      <c r="F60" s="292" t="s">
        <v>300</v>
      </c>
      <c r="G60" s="292"/>
      <c r="H60" s="291" t="s">
        <v>193</v>
      </c>
      <c r="I60" s="291" t="s">
        <v>203</v>
      </c>
      <c r="J60" s="225" t="s">
        <v>3132</v>
      </c>
      <c r="K60" s="299">
        <v>44435</v>
      </c>
      <c r="L60" s="299">
        <v>44434</v>
      </c>
      <c r="M60" s="299">
        <v>44536</v>
      </c>
      <c r="N60" s="291" t="s">
        <v>10</v>
      </c>
      <c r="O60" s="291" t="s">
        <v>27</v>
      </c>
      <c r="P60" s="270" t="s">
        <v>226</v>
      </c>
      <c r="T60" s="291"/>
      <c r="V60" s="291"/>
      <c r="W60" s="291"/>
      <c r="X60" s="292" t="str">
        <f>VLOOKUP(功能_33[[#This Row],[User]],SKL放款!A:G,7,FALSE)</f>
        <v>放款推展課</v>
      </c>
      <c r="Y60" s="299">
        <v>44533</v>
      </c>
      <c r="Z60" s="299" t="s">
        <v>195</v>
      </c>
      <c r="AA60" s="299">
        <v>44477</v>
      </c>
      <c r="AB60" s="299">
        <v>44477</v>
      </c>
      <c r="AC60" s="299">
        <v>44544</v>
      </c>
      <c r="AD60" s="299" t="s">
        <v>196</v>
      </c>
      <c r="AE60" s="299"/>
      <c r="AF60" s="355"/>
      <c r="AG60" s="299" t="str">
        <f>IFERROR(IF(VLOOKUP(功能_33[[#This Row],[功能代號]],E:Q,11,FALSE)=0,"",VLOOKUP(功能_33[[#This Row],[功能代號]],E:Q,11,FALSE)),"")</f>
        <v>李穎</v>
      </c>
      <c r="AH60" s="299"/>
      <c r="AI60" s="299"/>
      <c r="AJ60" s="292"/>
      <c r="AL60" s="291" t="s">
        <v>190</v>
      </c>
      <c r="AN60" s="292" t="e">
        <f>VLOOKUP(功能_33[[#This Row],[功能代號]],需二審tmp!A:A,1,FALSE)</f>
        <v>#N/A</v>
      </c>
      <c r="AO60" s="356">
        <v>44523</v>
      </c>
      <c r="AQ60" s="574" t="str">
        <f t="shared" si="0"/>
        <v>2-4</v>
      </c>
      <c r="AR60" s="576" t="str">
        <f t="shared" si="1"/>
        <v/>
      </c>
      <c r="AS60" s="578" t="str">
        <f t="shared" si="2"/>
        <v/>
      </c>
      <c r="AT60" s="580" t="str">
        <f t="shared" si="6"/>
        <v/>
      </c>
      <c r="AU60" s="582" t="str">
        <f t="shared" si="7"/>
        <v/>
      </c>
      <c r="AV60" s="584" t="str">
        <f t="shared" si="8"/>
        <v/>
      </c>
      <c r="AW60" s="662" t="str">
        <f>IFERROR(VLOOKUP(功能_33[[#This Row],[功能代號]],工作表3!C:C,1,FALSE),"未計SIT測試")</f>
        <v>L2914</v>
      </c>
    </row>
    <row r="61" spans="2:49" ht="13.5" x14ac:dyDescent="0.3">
      <c r="C61" s="292" t="s">
        <v>91</v>
      </c>
      <c r="D61" s="292" t="s">
        <v>2841</v>
      </c>
      <c r="E61" s="291" t="s">
        <v>301</v>
      </c>
      <c r="F61" s="292" t="s">
        <v>302</v>
      </c>
      <c r="G61" s="292"/>
      <c r="H61" s="291" t="s">
        <v>193</v>
      </c>
      <c r="I61" s="291" t="s">
        <v>203</v>
      </c>
      <c r="J61" s="225" t="s">
        <v>3223</v>
      </c>
      <c r="K61" s="299">
        <v>44434</v>
      </c>
      <c r="L61" s="299">
        <v>44434</v>
      </c>
      <c r="M61" s="299">
        <f>IFERROR(IF(VLOOKUP(功能_33[[#This Row],[功能代號]],討論項目!A:H,8,FALSE)=0,"",VLOOKUP(功能_33[[#This Row],[功能代號]],討論項目!A:H,8,FALSE)),"")</f>
        <v>44499</v>
      </c>
      <c r="N61" s="291" t="s">
        <v>12</v>
      </c>
      <c r="O61" s="291" t="s">
        <v>172</v>
      </c>
      <c r="P61" s="270" t="s">
        <v>303</v>
      </c>
      <c r="T61" s="291"/>
      <c r="V61" s="291"/>
      <c r="W61" s="291"/>
      <c r="X61" s="292" t="str">
        <f>VLOOKUP(功能_33[[#This Row],[User]],SKL放款!A:G,7,FALSE)</f>
        <v>放款服務課</v>
      </c>
      <c r="Y61" s="299">
        <v>44533</v>
      </c>
      <c r="Z61" s="299">
        <v>44470</v>
      </c>
      <c r="AA61" s="299">
        <f>IF(功能_33[[#This Row],[URS交二審]]=0,"",功能_33[[#This Row],[URS交二審]]+7)</f>
        <v>44477</v>
      </c>
      <c r="AB61" s="299">
        <f>IF(功能_33[[#This Row],[URS交二審]]=0,"",功能_33[[#This Row],[URS交二審]]+7)</f>
        <v>44477</v>
      </c>
      <c r="AC61" s="299">
        <v>44546</v>
      </c>
      <c r="AD61" s="299" t="s">
        <v>196</v>
      </c>
      <c r="AE61" s="299"/>
      <c r="AF61" s="355"/>
      <c r="AG61" s="299" t="str">
        <f>IFERROR(IF(VLOOKUP(功能_33[[#This Row],[功能代號]],E:Q,11,FALSE)=0,"",VLOOKUP(功能_33[[#This Row],[功能代號]],E:Q,11,FALSE)),"")</f>
        <v>陳政皓</v>
      </c>
      <c r="AH61" s="299"/>
      <c r="AI61" s="299"/>
      <c r="AJ61" s="292"/>
      <c r="AL61" s="291">
        <v>231</v>
      </c>
      <c r="AM61" s="292" t="s">
        <v>304</v>
      </c>
      <c r="AN61" s="292" t="str">
        <f>VLOOKUP(功能_33[[#This Row],[功能代號]],需二審tmp!A:A,1,FALSE)</f>
        <v>L2702</v>
      </c>
      <c r="AO61" s="356">
        <v>44523</v>
      </c>
      <c r="AQ61" s="574" t="str">
        <f t="shared" si="0"/>
        <v>2-9</v>
      </c>
      <c r="AR61" s="576" t="str">
        <f t="shared" si="1"/>
        <v/>
      </c>
      <c r="AS61" s="578" t="str">
        <f t="shared" si="2"/>
        <v/>
      </c>
      <c r="AT61" s="580" t="str">
        <f t="shared" si="6"/>
        <v/>
      </c>
      <c r="AU61" s="582" t="str">
        <f t="shared" si="7"/>
        <v/>
      </c>
      <c r="AV61" s="584" t="str">
        <f t="shared" si="8"/>
        <v/>
      </c>
      <c r="AW61" s="662" t="str">
        <f>IFERROR(VLOOKUP(功能_33[[#This Row],[功能代號]],工作表3!C:C,1,FALSE),"未計SIT測試")</f>
        <v>L2702</v>
      </c>
    </row>
    <row r="62" spans="2:49" ht="13.5" x14ac:dyDescent="0.3">
      <c r="C62" s="292" t="s">
        <v>91</v>
      </c>
      <c r="D62" s="292" t="s">
        <v>2841</v>
      </c>
      <c r="E62" s="291" t="s">
        <v>305</v>
      </c>
      <c r="F62" s="292" t="s">
        <v>306</v>
      </c>
      <c r="G62" s="292"/>
      <c r="H62" s="291" t="s">
        <v>193</v>
      </c>
      <c r="I62" s="291" t="s">
        <v>203</v>
      </c>
      <c r="J62" s="225" t="s">
        <v>3223</v>
      </c>
      <c r="K62" s="299">
        <v>44434</v>
      </c>
      <c r="L62" s="299">
        <v>44434</v>
      </c>
      <c r="M62" s="299">
        <f>IFERROR(IF(VLOOKUP(功能_33[[#This Row],[功能代號]],討論項目!A:H,8,FALSE)=0,"",VLOOKUP(功能_33[[#This Row],[功能代號]],討論項目!A:H,8,FALSE)),"")</f>
        <v>44441</v>
      </c>
      <c r="N62" s="291" t="s">
        <v>12</v>
      </c>
      <c r="O62" s="291" t="s">
        <v>172</v>
      </c>
      <c r="P62" s="270" t="s">
        <v>303</v>
      </c>
      <c r="T62" s="291"/>
      <c r="V62" s="291"/>
      <c r="W62" s="291"/>
      <c r="X62" s="292" t="str">
        <f>VLOOKUP(功能_33[[#This Row],[User]],SKL放款!A:G,7,FALSE)</f>
        <v>放款服務課</v>
      </c>
      <c r="Y62" s="299">
        <v>44533</v>
      </c>
      <c r="Z62" s="299">
        <v>44470</v>
      </c>
      <c r="AA62" s="299">
        <f>IF(功能_33[[#This Row],[URS交二審]]=0,"",功能_33[[#This Row],[URS交二審]]+7)</f>
        <v>44477</v>
      </c>
      <c r="AB62" s="299">
        <f>IF(功能_33[[#This Row],[URS交二審]]=0,"",功能_33[[#This Row],[URS交二審]]+7)</f>
        <v>44477</v>
      </c>
      <c r="AC62" s="299">
        <v>44546</v>
      </c>
      <c r="AD62" s="299" t="s">
        <v>196</v>
      </c>
      <c r="AE62" s="299"/>
      <c r="AF62" s="355"/>
      <c r="AG62" s="299" t="str">
        <f>IFERROR(IF(VLOOKUP(功能_33[[#This Row],[功能代號]],E:Q,11,FALSE)=0,"",VLOOKUP(功能_33[[#This Row],[功能代號]],E:Q,11,FALSE)),"")</f>
        <v>陳政皓</v>
      </c>
      <c r="AH62" s="299"/>
      <c r="AI62" s="299"/>
      <c r="AJ62" s="292"/>
      <c r="AL62" s="291">
        <v>209</v>
      </c>
      <c r="AM62" s="292" t="s">
        <v>307</v>
      </c>
      <c r="AN62" s="292" t="str">
        <f>VLOOKUP(功能_33[[#This Row],[功能代號]],需二審tmp!A:A,1,FALSE)</f>
        <v>L2072</v>
      </c>
      <c r="AO62" s="356">
        <v>44523</v>
      </c>
      <c r="AQ62" s="574" t="str">
        <f t="shared" si="0"/>
        <v>2-9</v>
      </c>
      <c r="AR62" s="576" t="str">
        <f t="shared" si="1"/>
        <v/>
      </c>
      <c r="AS62" s="578" t="str">
        <f t="shared" si="2"/>
        <v/>
      </c>
      <c r="AT62" s="580" t="str">
        <f t="shared" si="6"/>
        <v/>
      </c>
      <c r="AU62" s="582" t="str">
        <f t="shared" si="7"/>
        <v/>
      </c>
      <c r="AV62" s="584" t="str">
        <f t="shared" si="8"/>
        <v/>
      </c>
      <c r="AW62" s="662" t="str">
        <f>IFERROR(VLOOKUP(功能_33[[#This Row],[功能代號]],工作表3!C:C,1,FALSE),"未計SIT測試")</f>
        <v>L2072</v>
      </c>
    </row>
    <row r="63" spans="2:49" ht="13.5" x14ac:dyDescent="0.3">
      <c r="B63" s="292">
        <v>1</v>
      </c>
      <c r="C63" s="292" t="s">
        <v>92</v>
      </c>
      <c r="D63" s="292" t="s">
        <v>2832</v>
      </c>
      <c r="E63" s="291" t="s">
        <v>308</v>
      </c>
      <c r="F63" s="292" t="s">
        <v>309</v>
      </c>
      <c r="G63" s="292"/>
      <c r="H63" s="291" t="s">
        <v>193</v>
      </c>
      <c r="I63" s="291" t="s">
        <v>194</v>
      </c>
      <c r="J63" s="225" t="s">
        <v>310</v>
      </c>
      <c r="K63" s="299">
        <v>44438</v>
      </c>
      <c r="L63" s="299">
        <v>44435</v>
      </c>
      <c r="M63" s="299">
        <v>44435</v>
      </c>
      <c r="N63" s="291" t="s">
        <v>8</v>
      </c>
      <c r="O63" s="291" t="s">
        <v>172</v>
      </c>
      <c r="P63" s="270" t="s">
        <v>13</v>
      </c>
      <c r="T63" s="291"/>
      <c r="V63" s="291"/>
      <c r="W63" s="291"/>
      <c r="X63" s="292" t="str">
        <f>VLOOKUP(功能_33[[#This Row],[User]],SKL放款!A:G,7,FALSE)</f>
        <v>放款服務課</v>
      </c>
      <c r="Y63" s="299">
        <v>44496</v>
      </c>
      <c r="Z63" s="299">
        <v>44488</v>
      </c>
      <c r="AA63" s="299">
        <v>44496</v>
      </c>
      <c r="AB63" s="299">
        <v>44496</v>
      </c>
      <c r="AC63" s="299">
        <v>44512</v>
      </c>
      <c r="AD63" s="299" t="s">
        <v>196</v>
      </c>
      <c r="AE63" s="299"/>
      <c r="AF63" s="355"/>
      <c r="AG63" s="299" t="str">
        <f>IFERROR(IF(VLOOKUP(功能_33[[#This Row],[功能代號]],E:Q,11,FALSE)=0,"",VLOOKUP(功能_33[[#This Row],[功能代號]],E:Q,11,FALSE)),"")</f>
        <v>陳政皓</v>
      </c>
      <c r="AH63" s="299"/>
      <c r="AI63" s="299"/>
      <c r="AJ63" s="292"/>
      <c r="AK63" s="292"/>
      <c r="AL63" s="291">
        <v>305</v>
      </c>
      <c r="AM63" s="292" t="s">
        <v>311</v>
      </c>
      <c r="AN63" s="292" t="e">
        <f>VLOOKUP(功能_33[[#This Row],[功能代號]],需二審tmp!A:A,1,FALSE)</f>
        <v>#N/A</v>
      </c>
      <c r="AO63" s="356">
        <v>44512</v>
      </c>
      <c r="AQ63" s="574" t="str">
        <f t="shared" si="0"/>
        <v>3-1</v>
      </c>
      <c r="AR63" s="576" t="str">
        <f t="shared" si="1"/>
        <v/>
      </c>
      <c r="AS63" s="578" t="str">
        <f t="shared" si="2"/>
        <v/>
      </c>
      <c r="AT63" s="580" t="str">
        <f t="shared" si="6"/>
        <v/>
      </c>
      <c r="AU63" s="582" t="str">
        <f t="shared" si="7"/>
        <v/>
      </c>
      <c r="AV63" s="584" t="str">
        <f t="shared" si="8"/>
        <v/>
      </c>
      <c r="AW63" s="662" t="str">
        <f>IFERROR(VLOOKUP(功能_33[[#This Row],[功能代號]],工作表3!C:C,1,FALSE),"未計SIT測試")</f>
        <v>L3901</v>
      </c>
    </row>
    <row r="64" spans="2:49" ht="13.5" x14ac:dyDescent="0.3">
      <c r="C64" s="292" t="s">
        <v>98</v>
      </c>
      <c r="D64" s="292" t="s">
        <v>2809</v>
      </c>
      <c r="E64" s="291" t="s">
        <v>312</v>
      </c>
      <c r="F64" s="292" t="s">
        <v>313</v>
      </c>
      <c r="G64" s="292"/>
      <c r="H64" s="291" t="s">
        <v>193</v>
      </c>
      <c r="I64" s="291" t="s">
        <v>314</v>
      </c>
      <c r="J64" s="225" t="s">
        <v>3156</v>
      </c>
      <c r="K64" s="299">
        <v>44438</v>
      </c>
      <c r="L64" s="299">
        <v>44435</v>
      </c>
      <c r="M64" s="299">
        <v>44445</v>
      </c>
      <c r="N64" s="291" t="s">
        <v>8</v>
      </c>
      <c r="O64" s="291" t="s">
        <v>172</v>
      </c>
      <c r="P64" s="270" t="s">
        <v>315</v>
      </c>
      <c r="T64" s="291"/>
      <c r="V64" s="291"/>
      <c r="W64" s="291"/>
      <c r="X64" s="292" t="str">
        <f>VLOOKUP(功能_33[[#This Row],[User]],SKL放款!A:G,7,FALSE)</f>
        <v>放款服務課</v>
      </c>
      <c r="Y64" s="299">
        <v>44445</v>
      </c>
      <c r="Z64" s="299" t="s">
        <v>133</v>
      </c>
      <c r="AA64" s="299">
        <v>44544</v>
      </c>
      <c r="AB64" s="299">
        <v>44544</v>
      </c>
      <c r="AC64" s="299">
        <v>44544</v>
      </c>
      <c r="AD64" s="299"/>
      <c r="AE64" s="299"/>
      <c r="AF64" s="355"/>
      <c r="AG64" s="299" t="str">
        <f>IFERROR(IF(VLOOKUP(功能_33[[#This Row],[功能代號]],E:Q,11,FALSE)=0,"",VLOOKUP(功能_33[[#This Row],[功能代號]],E:Q,11,FALSE)),"")</f>
        <v>陳政皓</v>
      </c>
      <c r="AH64" s="299"/>
      <c r="AI64" s="299"/>
      <c r="AJ64" s="292"/>
      <c r="AK64" s="292"/>
      <c r="AL64" s="303" t="s">
        <v>316</v>
      </c>
      <c r="AM64" s="304" t="s">
        <v>317</v>
      </c>
      <c r="AN64" s="292" t="str">
        <f>VLOOKUP(功能_33[[#This Row],[功能代號]],需二審tmp!A:A,1,FALSE)</f>
        <v>L9110</v>
      </c>
      <c r="AO64" s="356">
        <v>44526</v>
      </c>
      <c r="AQ64" s="574" t="str">
        <f t="shared" si="0"/>
        <v>9-9</v>
      </c>
      <c r="AR64" s="576" t="str">
        <f t="shared" si="1"/>
        <v/>
      </c>
      <c r="AS64" s="578" t="str">
        <f t="shared" si="2"/>
        <v/>
      </c>
      <c r="AT64" s="580" t="str">
        <f t="shared" si="6"/>
        <v/>
      </c>
      <c r="AU64" s="582" t="str">
        <f t="shared" si="7"/>
        <v/>
      </c>
      <c r="AV64" s="584" t="str">
        <f t="shared" si="8"/>
        <v/>
      </c>
      <c r="AW64" s="662" t="str">
        <f>IFERROR(VLOOKUP(功能_33[[#This Row],[功能代號]],工作表3!C:C,1,FALSE),"未計SIT測試")</f>
        <v>L9110</v>
      </c>
    </row>
    <row r="65" spans="2:49" ht="13.5" x14ac:dyDescent="0.3">
      <c r="B65" s="292">
        <v>1</v>
      </c>
      <c r="C65" s="292" t="s">
        <v>92</v>
      </c>
      <c r="D65" s="292" t="s">
        <v>2833</v>
      </c>
      <c r="E65" s="291" t="s">
        <v>318</v>
      </c>
      <c r="F65" s="292" t="s">
        <v>319</v>
      </c>
      <c r="G65" s="292"/>
      <c r="H65" s="291" t="s">
        <v>193</v>
      </c>
      <c r="I65" s="291" t="s">
        <v>194</v>
      </c>
      <c r="J65" s="225" t="s">
        <v>310</v>
      </c>
      <c r="K65" s="299">
        <v>44439</v>
      </c>
      <c r="L65" s="299">
        <v>44439</v>
      </c>
      <c r="M65" s="299">
        <v>44439</v>
      </c>
      <c r="N65" s="291" t="s">
        <v>12</v>
      </c>
      <c r="O65" s="291" t="s">
        <v>18</v>
      </c>
      <c r="T65" s="291"/>
      <c r="V65" s="291"/>
      <c r="W65" s="291"/>
      <c r="X65" s="292" t="str">
        <f>VLOOKUP(功能_33[[#This Row],[User]],SKL放款!A:G,7,FALSE)</f>
        <v>放款服務課</v>
      </c>
      <c r="Y65" s="299">
        <v>44496</v>
      </c>
      <c r="Z65" s="299" t="s">
        <v>195</v>
      </c>
      <c r="AA65" s="299">
        <v>44496</v>
      </c>
      <c r="AB65" s="299">
        <v>44496</v>
      </c>
      <c r="AC65" s="299">
        <v>44512</v>
      </c>
      <c r="AD65" s="299" t="s">
        <v>196</v>
      </c>
      <c r="AE65" s="299"/>
      <c r="AF65" s="355"/>
      <c r="AG65" s="299" t="str">
        <f>IFERROR(IF(VLOOKUP(功能_33[[#This Row],[功能代號]],E:Q,11,FALSE)=0,"",VLOOKUP(功能_33[[#This Row],[功能代號]],E:Q,11,FALSE)),"")</f>
        <v>尹少玄</v>
      </c>
      <c r="AH65" s="299"/>
      <c r="AI65" s="299"/>
      <c r="AJ65" s="292"/>
      <c r="AK65" s="292"/>
      <c r="AL65" s="291" t="s">
        <v>190</v>
      </c>
      <c r="AN65" s="292" t="e">
        <f>VLOOKUP(功能_33[[#This Row],[功能代號]],需二審tmp!A:A,1,FALSE)</f>
        <v>#N/A</v>
      </c>
      <c r="AO65" s="356">
        <v>44512</v>
      </c>
      <c r="AQ65" s="574" t="str">
        <f t="shared" si="0"/>
        <v>3-2</v>
      </c>
      <c r="AR65" s="576" t="str">
        <f t="shared" si="1"/>
        <v/>
      </c>
      <c r="AS65" s="578" t="str">
        <f t="shared" si="2"/>
        <v/>
      </c>
      <c r="AT65" s="580" t="str">
        <f t="shared" si="6"/>
        <v/>
      </c>
      <c r="AU65" s="582" t="str">
        <f t="shared" si="7"/>
        <v/>
      </c>
      <c r="AV65" s="584" t="str">
        <f t="shared" si="8"/>
        <v/>
      </c>
      <c r="AW65" s="662" t="str">
        <f>IFERROR(VLOOKUP(功能_33[[#This Row],[功能代號]],工作表3!C:C,1,FALSE),"未計SIT測試")</f>
        <v>L3003</v>
      </c>
    </row>
    <row r="66" spans="2:49" ht="13.5" x14ac:dyDescent="0.3">
      <c r="B66" s="292">
        <v>1</v>
      </c>
      <c r="C66" s="292" t="s">
        <v>92</v>
      </c>
      <c r="D66" s="292" t="s">
        <v>2833</v>
      </c>
      <c r="E66" s="291" t="s">
        <v>320</v>
      </c>
      <c r="F66" s="292" t="s">
        <v>321</v>
      </c>
      <c r="G66" s="292"/>
      <c r="H66" s="291" t="s">
        <v>193</v>
      </c>
      <c r="I66" s="291" t="s">
        <v>194</v>
      </c>
      <c r="J66" s="225" t="s">
        <v>310</v>
      </c>
      <c r="K66" s="299">
        <v>44439</v>
      </c>
      <c r="L66" s="299">
        <v>44439</v>
      </c>
      <c r="M66" s="299">
        <f>IFERROR(IF(VLOOKUP(功能_33[[#This Row],[功能代號]],討論項目!A:H,8,FALSE)=0,"",VLOOKUP(功能_33[[#This Row],[功能代號]],討論項目!A:H,8,FALSE)),"")</f>
        <v>44490</v>
      </c>
      <c r="N66" s="291" t="s">
        <v>12</v>
      </c>
      <c r="O66" s="291" t="s">
        <v>18</v>
      </c>
      <c r="T66" s="291"/>
      <c r="V66" s="291"/>
      <c r="W66" s="291"/>
      <c r="X66" s="292" t="str">
        <f>VLOOKUP(功能_33[[#This Row],[User]],SKL放款!A:G,7,FALSE)</f>
        <v>放款服務課</v>
      </c>
      <c r="Y66" s="299">
        <v>44496</v>
      </c>
      <c r="Z66" s="299">
        <v>44512</v>
      </c>
      <c r="AA66" s="299">
        <v>44496</v>
      </c>
      <c r="AB66" s="299">
        <v>44496</v>
      </c>
      <c r="AC66" s="299">
        <v>44512</v>
      </c>
      <c r="AD66" s="299" t="s">
        <v>196</v>
      </c>
      <c r="AE66" s="299"/>
      <c r="AF66" s="355"/>
      <c r="AG66" s="299" t="str">
        <f>IFERROR(IF(VLOOKUP(功能_33[[#This Row],[功能代號]],E:Q,11,FALSE)=0,"",VLOOKUP(功能_33[[#This Row],[功能代號]],E:Q,11,FALSE)),"")</f>
        <v>尹少玄</v>
      </c>
      <c r="AH66" s="299"/>
      <c r="AI66" s="299"/>
      <c r="AJ66" s="292"/>
      <c r="AK66" s="292"/>
      <c r="AL66" s="291" t="s">
        <v>190</v>
      </c>
      <c r="AN66" s="292" t="str">
        <f>VLOOKUP(功能_33[[#This Row],[功能代號]],需二審tmp!A:A,1,FALSE)</f>
        <v>L3110</v>
      </c>
      <c r="AO66" s="356">
        <v>44512</v>
      </c>
      <c r="AQ66" s="574" t="str">
        <f t="shared" si="0"/>
        <v>3-2</v>
      </c>
      <c r="AR66" s="576" t="str">
        <f t="shared" si="1"/>
        <v/>
      </c>
      <c r="AS66" s="578" t="str">
        <f t="shared" si="2"/>
        <v/>
      </c>
      <c r="AT66" s="580" t="str">
        <f t="shared" si="6"/>
        <v/>
      </c>
      <c r="AU66" s="582" t="str">
        <f t="shared" si="7"/>
        <v/>
      </c>
      <c r="AV66" s="584" t="str">
        <f t="shared" si="8"/>
        <v/>
      </c>
      <c r="AW66" s="662" t="str">
        <f>IFERROR(VLOOKUP(功能_33[[#This Row],[功能代號]],工作表3!C:C,1,FALSE),"未計SIT測試")</f>
        <v>L3110</v>
      </c>
    </row>
    <row r="67" spans="2:49" ht="13.5" x14ac:dyDescent="0.3">
      <c r="B67" s="292">
        <v>1</v>
      </c>
      <c r="C67" s="292" t="s">
        <v>92</v>
      </c>
      <c r="D67" s="292" t="s">
        <v>2833</v>
      </c>
      <c r="E67" s="291" t="s">
        <v>322</v>
      </c>
      <c r="F67" s="292" t="s">
        <v>323</v>
      </c>
      <c r="G67" s="292"/>
      <c r="H67" s="291" t="s">
        <v>193</v>
      </c>
      <c r="I67" s="291" t="s">
        <v>194</v>
      </c>
      <c r="J67" s="225" t="s">
        <v>310</v>
      </c>
      <c r="K67" s="299">
        <v>44439</v>
      </c>
      <c r="L67" s="299">
        <v>44439</v>
      </c>
      <c r="M67" s="299">
        <v>44439</v>
      </c>
      <c r="N67" s="291" t="s">
        <v>12</v>
      </c>
      <c r="O67" s="291" t="s">
        <v>18</v>
      </c>
      <c r="T67" s="291"/>
      <c r="V67" s="291"/>
      <c r="W67" s="291"/>
      <c r="X67" s="292" t="str">
        <f>VLOOKUP(功能_33[[#This Row],[User]],SKL放款!A:G,7,FALSE)</f>
        <v>放款服務課</v>
      </c>
      <c r="Y67" s="299">
        <v>44496</v>
      </c>
      <c r="Z67" s="299" t="s">
        <v>195</v>
      </c>
      <c r="AA67" s="299">
        <v>44496</v>
      </c>
      <c r="AB67" s="299">
        <v>44496</v>
      </c>
      <c r="AC67" s="299">
        <v>44512</v>
      </c>
      <c r="AD67" s="299" t="s">
        <v>196</v>
      </c>
      <c r="AE67" s="299"/>
      <c r="AF67" s="355"/>
      <c r="AG67" s="299" t="str">
        <f>IFERROR(IF(VLOOKUP(功能_33[[#This Row],[功能代號]],E:Q,11,FALSE)=0,"",VLOOKUP(功能_33[[#This Row],[功能代號]],E:Q,11,FALSE)),"")</f>
        <v>尹少玄</v>
      </c>
      <c r="AH67" s="299"/>
      <c r="AI67" s="299"/>
      <c r="AJ67" s="292"/>
      <c r="AK67" s="292"/>
      <c r="AL67" s="291" t="s">
        <v>190</v>
      </c>
      <c r="AN67" s="292" t="e">
        <f>VLOOKUP(功能_33[[#This Row],[功能代號]],需二審tmp!A:A,1,FALSE)</f>
        <v>#N/A</v>
      </c>
      <c r="AO67" s="356">
        <v>44512</v>
      </c>
      <c r="AQ67" s="574" t="str">
        <f t="shared" ref="AQ67:AQ130" si="9">IF(COUNTA(AC67)=1,LEFT(D67,3),"")</f>
        <v>3-2</v>
      </c>
      <c r="AR67" s="576" t="str">
        <f t="shared" ref="AR67:AR130" si="10">IF(AND(COUNTA(L67)=1,COUNTA(M67)=1,COUNTA(Y67)=1,COUNTA(AB67)=1,COUNTA(AC67)=0),LEFT(D67,3),"")</f>
        <v/>
      </c>
      <c r="AS67" s="578" t="str">
        <f t="shared" ref="AS67:AS130" si="11">IF(AND(COUNTA(L67)=1,COUNTA(M67)=1,COUNTA(Y67)=1,COUNTA(AB67)=0,COUNTA(AC67)=0),LEFT(D67,3),"")</f>
        <v/>
      </c>
      <c r="AT67" s="580" t="str">
        <f t="shared" ref="AT67:AT130" si="12">IF(AND(COUNTA(M67)=0,COUNTA(Y67)=1),LEFT(D67,3),"")</f>
        <v/>
      </c>
      <c r="AU67" s="582" t="str">
        <f t="shared" ref="AU67:AU130" si="13">IF(AND(COUNTA(M67)=1,COUNTA(Y67)=0),LEFT(D67,3),"")</f>
        <v/>
      </c>
      <c r="AV67" s="584" t="str">
        <f t="shared" ref="AV67:AV130" si="14">IF(AND(COUNTA(M67)=0,COUNTA(Y67)=0),LEFT(D67,3),"")</f>
        <v/>
      </c>
      <c r="AW67" s="662" t="str">
        <f>IFERROR(VLOOKUP(功能_33[[#This Row],[功能代號]],工作表3!C:C,1,FALSE),"未計SIT測試")</f>
        <v>L3120</v>
      </c>
    </row>
    <row r="68" spans="2:49" ht="13.5" x14ac:dyDescent="0.3">
      <c r="C68" s="292" t="s">
        <v>95</v>
      </c>
      <c r="D68" s="292" t="s">
        <v>2837</v>
      </c>
      <c r="E68" s="291" t="s">
        <v>324</v>
      </c>
      <c r="F68" s="292" t="s">
        <v>325</v>
      </c>
      <c r="G68" s="292"/>
      <c r="H68" s="291" t="s">
        <v>193</v>
      </c>
      <c r="I68" s="291" t="s">
        <v>194</v>
      </c>
      <c r="J68" s="225" t="s">
        <v>3234</v>
      </c>
      <c r="K68" s="299">
        <v>44439</v>
      </c>
      <c r="L68" s="299">
        <v>44439</v>
      </c>
      <c r="M68" s="299">
        <v>44533</v>
      </c>
      <c r="N68" s="291" t="s">
        <v>12</v>
      </c>
      <c r="O68" s="291" t="s">
        <v>18</v>
      </c>
      <c r="T68" s="291"/>
      <c r="V68" s="291"/>
      <c r="W68" s="291"/>
      <c r="X68" s="292" t="str">
        <f>VLOOKUP(功能_33[[#This Row],[User]],SKL放款!A:G,7,FALSE)</f>
        <v>放款服務課</v>
      </c>
      <c r="Y68" s="299">
        <v>44533</v>
      </c>
      <c r="Z68" s="299">
        <v>44493</v>
      </c>
      <c r="AA68" s="299">
        <v>44523</v>
      </c>
      <c r="AB68" s="299">
        <v>44524</v>
      </c>
      <c r="AC68" s="299">
        <v>44550</v>
      </c>
      <c r="AD68" s="299"/>
      <c r="AE68" s="299"/>
      <c r="AF68" s="355"/>
      <c r="AG68" s="299" t="str">
        <f>IFERROR(IF(VLOOKUP(功能_33[[#This Row],[功能代號]],E:Q,11,FALSE)=0,"",VLOOKUP(功能_33[[#This Row],[功能代號]],E:Q,11,FALSE)),"")</f>
        <v>尹少玄</v>
      </c>
      <c r="AH68" s="299"/>
      <c r="AI68" s="299"/>
      <c r="AJ68" s="292"/>
      <c r="AK68" s="292"/>
      <c r="AL68" s="291" t="s">
        <v>190</v>
      </c>
      <c r="AM68" s="292" t="s">
        <v>190</v>
      </c>
      <c r="AN68" s="292" t="str">
        <f>VLOOKUP(功能_33[[#This Row],[功能代號]],需二審tmp!A:A,1,FALSE)</f>
        <v>L6984</v>
      </c>
      <c r="AO68" s="356">
        <v>44526</v>
      </c>
      <c r="AQ68" s="574" t="str">
        <f t="shared" si="9"/>
        <v>6-8</v>
      </c>
      <c r="AR68" s="576" t="str">
        <f t="shared" si="10"/>
        <v/>
      </c>
      <c r="AS68" s="578" t="str">
        <f t="shared" si="11"/>
        <v/>
      </c>
      <c r="AT68" s="580" t="str">
        <f t="shared" si="12"/>
        <v/>
      </c>
      <c r="AU68" s="582" t="str">
        <f t="shared" si="13"/>
        <v/>
      </c>
      <c r="AV68" s="584" t="str">
        <f t="shared" si="14"/>
        <v/>
      </c>
      <c r="AW68" s="662" t="str">
        <f>IFERROR(VLOOKUP(功能_33[[#This Row],[功能代號]],工作表3!C:C,1,FALSE),"未計SIT測試")</f>
        <v>L6984</v>
      </c>
    </row>
    <row r="69" spans="2:49" ht="13.5" x14ac:dyDescent="0.3">
      <c r="B69" s="292">
        <v>1</v>
      </c>
      <c r="C69" s="292" t="s">
        <v>92</v>
      </c>
      <c r="D69" s="292" t="s">
        <v>2833</v>
      </c>
      <c r="E69" s="291" t="s">
        <v>326</v>
      </c>
      <c r="F69" s="292" t="s">
        <v>327</v>
      </c>
      <c r="G69" s="292"/>
      <c r="H69" s="291" t="s">
        <v>193</v>
      </c>
      <c r="I69" s="291" t="s">
        <v>194</v>
      </c>
      <c r="J69" s="225" t="s">
        <v>310</v>
      </c>
      <c r="K69" s="299">
        <v>44440</v>
      </c>
      <c r="L69" s="299">
        <v>44438</v>
      </c>
      <c r="M69" s="299">
        <f>IFERROR(IF(VLOOKUP(功能_33[[#This Row],[功能代號]],討論項目!A:H,8,FALSE)=0,"",VLOOKUP(功能_33[[#This Row],[功能代號]],討論項目!A:H,8,FALSE)),"")</f>
        <v>44428</v>
      </c>
      <c r="N69" s="291" t="s">
        <v>12</v>
      </c>
      <c r="O69" s="291" t="s">
        <v>18</v>
      </c>
      <c r="T69" s="291"/>
      <c r="V69" s="291"/>
      <c r="W69" s="291"/>
      <c r="X69" s="292" t="str">
        <f>VLOOKUP(功能_33[[#This Row],[User]],SKL放款!A:G,7,FALSE)</f>
        <v>放款服務課</v>
      </c>
      <c r="Y69" s="299">
        <v>44496</v>
      </c>
      <c r="Z69" s="299">
        <v>44488</v>
      </c>
      <c r="AA69" s="299">
        <v>44496</v>
      </c>
      <c r="AB69" s="299">
        <v>44496</v>
      </c>
      <c r="AC69" s="299">
        <v>44512</v>
      </c>
      <c r="AD69" s="299" t="s">
        <v>196</v>
      </c>
      <c r="AE69" s="299"/>
      <c r="AF69" s="355"/>
      <c r="AG69" s="299" t="str">
        <f>IFERROR(IF(VLOOKUP(功能_33[[#This Row],[功能代號]],E:Q,11,FALSE)=0,"",VLOOKUP(功能_33[[#This Row],[功能代號]],E:Q,11,FALSE)),"")</f>
        <v>尹少玄</v>
      </c>
      <c r="AH69" s="299"/>
      <c r="AI69" s="299"/>
      <c r="AJ69" s="292"/>
      <c r="AK69" s="224" t="s">
        <v>328</v>
      </c>
      <c r="AL69" s="291">
        <v>325</v>
      </c>
      <c r="AM69" s="292" t="s">
        <v>329</v>
      </c>
      <c r="AN69" s="292" t="str">
        <f>VLOOKUP(功能_33[[#This Row],[功能代號]],需二審tmp!A:A,1,FALSE)</f>
        <v>L3100</v>
      </c>
      <c r="AO69" s="356">
        <v>44512</v>
      </c>
      <c r="AQ69" s="574" t="str">
        <f t="shared" si="9"/>
        <v>3-2</v>
      </c>
      <c r="AR69" s="576" t="str">
        <f t="shared" si="10"/>
        <v/>
      </c>
      <c r="AS69" s="578" t="str">
        <f t="shared" si="11"/>
        <v/>
      </c>
      <c r="AT69" s="580" t="str">
        <f t="shared" si="12"/>
        <v/>
      </c>
      <c r="AU69" s="582" t="str">
        <f t="shared" si="13"/>
        <v/>
      </c>
      <c r="AV69" s="584" t="str">
        <f t="shared" si="14"/>
        <v/>
      </c>
      <c r="AW69" s="662" t="str">
        <f>IFERROR(VLOOKUP(功能_33[[#This Row],[功能代號]],工作表3!C:C,1,FALSE),"未計SIT測試")</f>
        <v>L3100</v>
      </c>
    </row>
    <row r="70" spans="2:49" ht="13.5" x14ac:dyDescent="0.3">
      <c r="B70" s="292">
        <v>1</v>
      </c>
      <c r="C70" s="292" t="s">
        <v>92</v>
      </c>
      <c r="D70" s="292" t="s">
        <v>2833</v>
      </c>
      <c r="E70" s="291" t="s">
        <v>330</v>
      </c>
      <c r="F70" s="292" t="s">
        <v>331</v>
      </c>
      <c r="G70" s="292"/>
      <c r="H70" s="291" t="s">
        <v>193</v>
      </c>
      <c r="I70" s="291" t="s">
        <v>194</v>
      </c>
      <c r="J70" s="225" t="s">
        <v>310</v>
      </c>
      <c r="K70" s="299">
        <v>44440</v>
      </c>
      <c r="L70" s="299">
        <v>44438</v>
      </c>
      <c r="M70" s="299">
        <f>IFERROR(IF(VLOOKUP(功能_33[[#This Row],[功能代號]],討論項目!A:H,8,FALSE)=0,"",VLOOKUP(功能_33[[#This Row],[功能代號]],討論項目!A:H,8,FALSE)),"")</f>
        <v>44487</v>
      </c>
      <c r="N70" s="291" t="s">
        <v>12</v>
      </c>
      <c r="O70" s="291" t="s">
        <v>11</v>
      </c>
      <c r="T70" s="291"/>
      <c r="V70" s="291"/>
      <c r="W70" s="291"/>
      <c r="X70" s="292" t="str">
        <f>VLOOKUP(功能_33[[#This Row],[User]],SKL放款!A:G,7,FALSE)</f>
        <v>放款服務課</v>
      </c>
      <c r="Y70" s="299">
        <v>44496</v>
      </c>
      <c r="Z70" s="299">
        <v>44488</v>
      </c>
      <c r="AA70" s="299">
        <v>44496</v>
      </c>
      <c r="AB70" s="299">
        <v>44496</v>
      </c>
      <c r="AC70" s="299">
        <v>44512</v>
      </c>
      <c r="AD70" s="299" t="s">
        <v>196</v>
      </c>
      <c r="AE70" s="299"/>
      <c r="AF70" s="355"/>
      <c r="AG70" s="299" t="str">
        <f>IFERROR(IF(VLOOKUP(功能_33[[#This Row],[功能代號]],E:Q,11,FALSE)=0,"",VLOOKUP(功能_33[[#This Row],[功能代號]],E:Q,11,FALSE)),"")</f>
        <v>蔡珮瑜</v>
      </c>
      <c r="AH70" s="299"/>
      <c r="AI70" s="299"/>
      <c r="AJ70" s="292"/>
      <c r="AK70" s="292"/>
      <c r="AL70" s="291">
        <v>320</v>
      </c>
      <c r="AM70" s="292" t="s">
        <v>332</v>
      </c>
      <c r="AN70" s="292" t="str">
        <f>VLOOKUP(功能_33[[#This Row],[功能代號]],需二審tmp!A:A,1,FALSE)</f>
        <v>L3002</v>
      </c>
      <c r="AO70" s="356">
        <v>44512</v>
      </c>
      <c r="AQ70" s="574" t="str">
        <f t="shared" si="9"/>
        <v>3-2</v>
      </c>
      <c r="AR70" s="576" t="str">
        <f t="shared" si="10"/>
        <v/>
      </c>
      <c r="AS70" s="578" t="str">
        <f t="shared" si="11"/>
        <v/>
      </c>
      <c r="AT70" s="580" t="str">
        <f t="shared" si="12"/>
        <v/>
      </c>
      <c r="AU70" s="582" t="str">
        <f t="shared" si="13"/>
        <v/>
      </c>
      <c r="AV70" s="584" t="str">
        <f t="shared" si="14"/>
        <v/>
      </c>
      <c r="AW70" s="662" t="str">
        <f>IFERROR(VLOOKUP(功能_33[[#This Row],[功能代號]],工作表3!C:C,1,FALSE),"未計SIT測試")</f>
        <v>L3002</v>
      </c>
    </row>
    <row r="71" spans="2:49" ht="13.5" x14ac:dyDescent="0.3">
      <c r="B71" s="292">
        <v>1</v>
      </c>
      <c r="C71" s="292" t="s">
        <v>92</v>
      </c>
      <c r="D71" s="292" t="s">
        <v>2833</v>
      </c>
      <c r="E71" s="291" t="s">
        <v>333</v>
      </c>
      <c r="F71" s="292" t="s">
        <v>334</v>
      </c>
      <c r="G71" s="292"/>
      <c r="H71" s="291" t="s">
        <v>193</v>
      </c>
      <c r="I71" s="291" t="s">
        <v>194</v>
      </c>
      <c r="J71" s="225" t="s">
        <v>310</v>
      </c>
      <c r="K71" s="299">
        <v>44440</v>
      </c>
      <c r="L71" s="299">
        <v>44438</v>
      </c>
      <c r="M71" s="299">
        <f>IFERROR(IF(VLOOKUP(功能_33[[#This Row],[功能代號]],討論項目!A:H,8,FALSE)=0,"",VLOOKUP(功能_33[[#This Row],[功能代號]],討論項目!A:H,8,FALSE)),"")</f>
        <v>44487</v>
      </c>
      <c r="N71" s="291" t="s">
        <v>12</v>
      </c>
      <c r="O71" s="291" t="s">
        <v>11</v>
      </c>
      <c r="T71" s="291"/>
      <c r="V71" s="291"/>
      <c r="W71" s="291"/>
      <c r="X71" s="292" t="str">
        <f>VLOOKUP(功能_33[[#This Row],[User]],SKL放款!A:G,7,FALSE)</f>
        <v>放款服務課</v>
      </c>
      <c r="Y71" s="299">
        <v>44496</v>
      </c>
      <c r="Z71" s="299">
        <v>44488</v>
      </c>
      <c r="AA71" s="299">
        <v>44496</v>
      </c>
      <c r="AB71" s="299">
        <v>44496</v>
      </c>
      <c r="AC71" s="299">
        <v>44512</v>
      </c>
      <c r="AD71" s="299" t="s">
        <v>196</v>
      </c>
      <c r="AE71" s="299"/>
      <c r="AF71" s="355"/>
      <c r="AG71" s="299" t="str">
        <f>IFERROR(IF(VLOOKUP(功能_33[[#This Row],[功能代號]],E:Q,11,FALSE)=0,"",VLOOKUP(功能_33[[#This Row],[功能代號]],E:Q,11,FALSE)),"")</f>
        <v>蔡珮瑜</v>
      </c>
      <c r="AH71" s="299"/>
      <c r="AI71" s="299"/>
      <c r="AJ71" s="292"/>
      <c r="AK71" s="292"/>
      <c r="AL71" s="291">
        <v>320</v>
      </c>
      <c r="AM71" s="292" t="s">
        <v>332</v>
      </c>
      <c r="AN71" s="292" t="str">
        <f>VLOOKUP(功能_33[[#This Row],[功能代號]],需二審tmp!A:A,1,FALSE)</f>
        <v>L3916</v>
      </c>
      <c r="AO71" s="356">
        <v>44512</v>
      </c>
      <c r="AQ71" s="574" t="str">
        <f t="shared" si="9"/>
        <v>3-2</v>
      </c>
      <c r="AR71" s="576" t="str">
        <f t="shared" si="10"/>
        <v/>
      </c>
      <c r="AS71" s="578" t="str">
        <f t="shared" si="11"/>
        <v/>
      </c>
      <c r="AT71" s="580" t="str">
        <f t="shared" si="12"/>
        <v/>
      </c>
      <c r="AU71" s="582" t="str">
        <f t="shared" si="13"/>
        <v/>
      </c>
      <c r="AV71" s="584" t="str">
        <f t="shared" si="14"/>
        <v/>
      </c>
      <c r="AW71" s="662" t="str">
        <f>IFERROR(VLOOKUP(功能_33[[#This Row],[功能代號]],工作表3!C:C,1,FALSE),"未計SIT測試")</f>
        <v>L3916</v>
      </c>
    </row>
    <row r="72" spans="2:49" ht="13.5" x14ac:dyDescent="0.3">
      <c r="B72" s="292">
        <v>1</v>
      </c>
      <c r="C72" s="292" t="s">
        <v>92</v>
      </c>
      <c r="D72" s="292" t="s">
        <v>2833</v>
      </c>
      <c r="E72" s="291" t="s">
        <v>335</v>
      </c>
      <c r="F72" s="292" t="s">
        <v>336</v>
      </c>
      <c r="G72" s="292"/>
      <c r="H72" s="291" t="s">
        <v>193</v>
      </c>
      <c r="I72" s="291" t="s">
        <v>194</v>
      </c>
      <c r="J72" s="225" t="s">
        <v>310</v>
      </c>
      <c r="K72" s="299">
        <v>44441</v>
      </c>
      <c r="L72" s="299">
        <v>44438</v>
      </c>
      <c r="M72" s="299">
        <v>44438</v>
      </c>
      <c r="N72" s="291" t="s">
        <v>12</v>
      </c>
      <c r="O72" s="291" t="s">
        <v>11</v>
      </c>
      <c r="T72" s="291"/>
      <c r="V72" s="291"/>
      <c r="W72" s="291"/>
      <c r="X72" s="292" t="str">
        <f>VLOOKUP(功能_33[[#This Row],[User]],SKL放款!A:G,7,FALSE)</f>
        <v>放款服務課</v>
      </c>
      <c r="Y72" s="299">
        <v>44496</v>
      </c>
      <c r="Z72" s="299" t="s">
        <v>195</v>
      </c>
      <c r="AA72" s="299">
        <v>44496</v>
      </c>
      <c r="AB72" s="299">
        <v>44496</v>
      </c>
      <c r="AC72" s="299">
        <v>44512</v>
      </c>
      <c r="AD72" s="299" t="s">
        <v>196</v>
      </c>
      <c r="AE72" s="299"/>
      <c r="AF72" s="355"/>
      <c r="AG72" s="299" t="str">
        <f>IFERROR(IF(VLOOKUP(功能_33[[#This Row],[功能代號]],E:Q,11,FALSE)=0,"",VLOOKUP(功能_33[[#This Row],[功能代號]],E:Q,11,FALSE)),"")</f>
        <v>蔡珮瑜</v>
      </c>
      <c r="AH72" s="299"/>
      <c r="AI72" s="299"/>
      <c r="AJ72" s="292"/>
      <c r="AK72" s="292"/>
      <c r="AL72" s="291">
        <v>320</v>
      </c>
      <c r="AM72" s="292" t="s">
        <v>332</v>
      </c>
      <c r="AN72" s="292" t="e">
        <f>VLOOKUP(功能_33[[#This Row],[功能代號]],需二審tmp!A:A,1,FALSE)</f>
        <v>#N/A</v>
      </c>
      <c r="AO72" s="356">
        <v>44512</v>
      </c>
      <c r="AQ72" s="574" t="str">
        <f t="shared" si="9"/>
        <v>3-2</v>
      </c>
      <c r="AR72" s="576" t="str">
        <f t="shared" si="10"/>
        <v/>
      </c>
      <c r="AS72" s="578" t="str">
        <f t="shared" si="11"/>
        <v/>
      </c>
      <c r="AT72" s="580" t="str">
        <f t="shared" si="12"/>
        <v/>
      </c>
      <c r="AU72" s="582" t="str">
        <f t="shared" si="13"/>
        <v/>
      </c>
      <c r="AV72" s="584" t="str">
        <f t="shared" si="14"/>
        <v/>
      </c>
      <c r="AW72" s="662" t="str">
        <f>IFERROR(VLOOKUP(功能_33[[#This Row],[功能代號]],工作表3!C:C,1,FALSE),"未計SIT測試")</f>
        <v>L3001</v>
      </c>
    </row>
    <row r="73" spans="2:49" ht="13.5" x14ac:dyDescent="0.3">
      <c r="C73" s="292" t="s">
        <v>91</v>
      </c>
      <c r="D73" s="292" t="s">
        <v>2830</v>
      </c>
      <c r="E73" s="291" t="s">
        <v>337</v>
      </c>
      <c r="F73" s="292" t="s">
        <v>338</v>
      </c>
      <c r="G73" s="292" t="s">
        <v>339</v>
      </c>
      <c r="H73" s="291" t="s">
        <v>193</v>
      </c>
      <c r="I73" s="291" t="s">
        <v>194</v>
      </c>
      <c r="J73" s="225" t="s">
        <v>3223</v>
      </c>
      <c r="K73" s="299">
        <v>44441</v>
      </c>
      <c r="L73" s="299">
        <v>44439</v>
      </c>
      <c r="M73" s="299">
        <f>IFERROR(IF(VLOOKUP(功能_33[[#This Row],[功能代號]],討論項目!A:H,8,FALSE)=0,"",VLOOKUP(功能_33[[#This Row],[功能代號]],討論項目!A:H,8,FALSE)),"")</f>
        <v>44469</v>
      </c>
      <c r="N73" s="291" t="s">
        <v>10</v>
      </c>
      <c r="O73" s="291" t="s">
        <v>22</v>
      </c>
      <c r="P73" s="270" t="s">
        <v>15</v>
      </c>
      <c r="T73" s="291"/>
      <c r="V73" s="291"/>
      <c r="W73" s="291"/>
      <c r="X73" s="292" t="str">
        <f>VLOOKUP(功能_33[[#This Row],[User]],SKL放款!A:G,7,FALSE)</f>
        <v>放款服務課</v>
      </c>
      <c r="Y73" s="299">
        <v>44533</v>
      </c>
      <c r="Z73" s="299">
        <v>44470</v>
      </c>
      <c r="AA73" s="299">
        <f>IF(功能_33[[#This Row],[URS交二審]]=0,"",功能_33[[#This Row],[URS交二審]]+7)</f>
        <v>44477</v>
      </c>
      <c r="AB73" s="299">
        <f>IF(功能_33[[#This Row],[URS交二審]]=0,"",功能_33[[#This Row],[URS交二審]]+7)</f>
        <v>44477</v>
      </c>
      <c r="AC73" s="299">
        <v>44546</v>
      </c>
      <c r="AD73" s="299" t="s">
        <v>196</v>
      </c>
      <c r="AE73" s="299"/>
      <c r="AF73" s="355"/>
      <c r="AG73" s="299" t="str">
        <f>IFERROR(IF(VLOOKUP(功能_33[[#This Row],[功能代號]],E:Q,11,FALSE)=0,"",VLOOKUP(功能_33[[#This Row],[功能代號]],E:Q,11,FALSE)),"")</f>
        <v>許慧玉</v>
      </c>
      <c r="AH73" s="299"/>
      <c r="AI73" s="299"/>
      <c r="AJ73" s="292"/>
      <c r="AL73" s="291" t="s">
        <v>190</v>
      </c>
      <c r="AM73" s="291" t="s">
        <v>190</v>
      </c>
      <c r="AN73" s="292" t="str">
        <f>VLOOKUP(功能_33[[#This Row],[功能代號]],需二審tmp!A:A,1,FALSE)</f>
        <v>L2060</v>
      </c>
      <c r="AO73" s="356">
        <v>44523</v>
      </c>
      <c r="AQ73" s="574" t="str">
        <f t="shared" si="9"/>
        <v>2-9</v>
      </c>
      <c r="AR73" s="576" t="str">
        <f t="shared" si="10"/>
        <v/>
      </c>
      <c r="AS73" s="578" t="str">
        <f t="shared" si="11"/>
        <v/>
      </c>
      <c r="AT73" s="580" t="str">
        <f t="shared" si="12"/>
        <v/>
      </c>
      <c r="AU73" s="582" t="str">
        <f t="shared" si="13"/>
        <v/>
      </c>
      <c r="AV73" s="584" t="str">
        <f t="shared" si="14"/>
        <v/>
      </c>
      <c r="AW73" s="662" t="str">
        <f>IFERROR(VLOOKUP(功能_33[[#This Row],[功能代號]],工作表3!C:C,1,FALSE),"未計SIT測試")</f>
        <v>L2060</v>
      </c>
    </row>
    <row r="74" spans="2:49" ht="13.5" x14ac:dyDescent="0.3">
      <c r="C74" s="292" t="s">
        <v>91</v>
      </c>
      <c r="D74" s="292" t="s">
        <v>2830</v>
      </c>
      <c r="E74" s="291" t="s">
        <v>340</v>
      </c>
      <c r="F74" s="292" t="s">
        <v>341</v>
      </c>
      <c r="G74" s="292" t="s">
        <v>342</v>
      </c>
      <c r="H74" s="291" t="s">
        <v>193</v>
      </c>
      <c r="I74" s="291" t="s">
        <v>194</v>
      </c>
      <c r="J74" s="225" t="s">
        <v>3223</v>
      </c>
      <c r="K74" s="299">
        <v>44441</v>
      </c>
      <c r="L74" s="299">
        <v>44439</v>
      </c>
      <c r="M74" s="299">
        <f>IFERROR(IF(VLOOKUP(功能_33[[#This Row],[功能代號]],討論項目!A:H,8,FALSE)=0,"",VLOOKUP(功能_33[[#This Row],[功能代號]],討論項目!A:H,8,FALSE)),"")</f>
        <v>44469</v>
      </c>
      <c r="N74" s="291" t="s">
        <v>10</v>
      </c>
      <c r="O74" s="291" t="s">
        <v>22</v>
      </c>
      <c r="P74" s="270" t="s">
        <v>15</v>
      </c>
      <c r="T74" s="291"/>
      <c r="V74" s="291"/>
      <c r="W74" s="291"/>
      <c r="X74" s="292" t="str">
        <f>VLOOKUP(功能_33[[#This Row],[User]],SKL放款!A:G,7,FALSE)</f>
        <v>放款服務課</v>
      </c>
      <c r="Y74" s="299">
        <v>44533</v>
      </c>
      <c r="Z74" s="299">
        <v>44470</v>
      </c>
      <c r="AA74" s="299">
        <f>IF(功能_33[[#This Row],[URS交二審]]=0,"",功能_33[[#This Row],[URS交二審]]+7)</f>
        <v>44477</v>
      </c>
      <c r="AB74" s="299">
        <f>IF(功能_33[[#This Row],[URS交二審]]=0,"",功能_33[[#This Row],[URS交二審]]+7)</f>
        <v>44477</v>
      </c>
      <c r="AC74" s="299">
        <v>44546</v>
      </c>
      <c r="AD74" s="299" t="s">
        <v>196</v>
      </c>
      <c r="AE74" s="299"/>
      <c r="AF74" s="355"/>
      <c r="AG74" s="299" t="str">
        <f>IFERROR(IF(VLOOKUP(功能_33[[#This Row],[功能代號]],E:Q,11,FALSE)=0,"",VLOOKUP(功能_33[[#This Row],[功能代號]],E:Q,11,FALSE)),"")</f>
        <v>許慧玉</v>
      </c>
      <c r="AH74" s="299"/>
      <c r="AI74" s="299"/>
      <c r="AJ74" s="292"/>
      <c r="AL74" s="291" t="s">
        <v>190</v>
      </c>
      <c r="AM74" s="291" t="s">
        <v>190</v>
      </c>
      <c r="AN74" s="292" t="str">
        <f>VLOOKUP(功能_33[[#This Row],[功能代號]],需二審tmp!A:A,1,FALSE)</f>
        <v>L2600</v>
      </c>
      <c r="AO74" s="356">
        <v>44523</v>
      </c>
      <c r="AQ74" s="574" t="str">
        <f t="shared" si="9"/>
        <v>2-9</v>
      </c>
      <c r="AR74" s="576" t="str">
        <f t="shared" si="10"/>
        <v/>
      </c>
      <c r="AS74" s="578" t="str">
        <f t="shared" si="11"/>
        <v/>
      </c>
      <c r="AT74" s="580" t="str">
        <f t="shared" si="12"/>
        <v/>
      </c>
      <c r="AU74" s="582" t="str">
        <f t="shared" si="13"/>
        <v/>
      </c>
      <c r="AV74" s="584" t="str">
        <f t="shared" si="14"/>
        <v/>
      </c>
      <c r="AW74" s="662" t="str">
        <f>IFERROR(VLOOKUP(功能_33[[#This Row],[功能代號]],工作表3!C:C,1,FALSE),"未計SIT測試")</f>
        <v>L2600</v>
      </c>
    </row>
    <row r="75" spans="2:49" ht="13.5" x14ac:dyDescent="0.3">
      <c r="C75" s="292" t="s">
        <v>91</v>
      </c>
      <c r="D75" s="292" t="s">
        <v>2830</v>
      </c>
      <c r="E75" s="291" t="s">
        <v>343</v>
      </c>
      <c r="F75" s="281" t="s">
        <v>344</v>
      </c>
      <c r="G75" s="292" t="s">
        <v>345</v>
      </c>
      <c r="H75" s="291" t="s">
        <v>193</v>
      </c>
      <c r="I75" s="291" t="s">
        <v>194</v>
      </c>
      <c r="J75" s="225" t="s">
        <v>3242</v>
      </c>
      <c r="K75" s="299">
        <v>44441</v>
      </c>
      <c r="L75" s="299">
        <v>44439</v>
      </c>
      <c r="M75" s="299">
        <v>44550</v>
      </c>
      <c r="N75" s="291" t="s">
        <v>10</v>
      </c>
      <c r="O75" s="291" t="s">
        <v>22</v>
      </c>
      <c r="P75" s="270" t="s">
        <v>15</v>
      </c>
      <c r="T75" s="291"/>
      <c r="V75" s="291"/>
      <c r="W75" s="291"/>
      <c r="X75" s="292" t="str">
        <f>VLOOKUP(功能_33[[#This Row],[User]],SKL放款!A:G,7,FALSE)</f>
        <v>放款服務課</v>
      </c>
      <c r="Y75" s="228">
        <v>44550</v>
      </c>
      <c r="Z75" s="299" t="s">
        <v>346</v>
      </c>
      <c r="AA75" s="299">
        <v>44550</v>
      </c>
      <c r="AB75" s="283">
        <v>44550</v>
      </c>
      <c r="AC75" s="283">
        <v>44550</v>
      </c>
      <c r="AD75" s="283"/>
      <c r="AE75" s="283"/>
      <c r="AF75" s="283"/>
      <c r="AG75" s="283" t="str">
        <f>IFERROR(IF(VLOOKUP(功能_33[[#This Row],[功能代號]],E:Q,11,FALSE)=0,"",VLOOKUP(功能_33[[#This Row],[功能代號]],E:Q,11,FALSE)),"")</f>
        <v>許慧玉</v>
      </c>
      <c r="AH75" s="283"/>
      <c r="AI75" s="283"/>
      <c r="AJ75" s="292"/>
      <c r="AL75" s="291" t="s">
        <v>190</v>
      </c>
      <c r="AM75" s="291" t="s">
        <v>190</v>
      </c>
      <c r="AN75" s="292" t="e">
        <f>VLOOKUP(功能_33[[#This Row],[功能代號]],需二審tmp!A:A,1,FALSE)</f>
        <v>#N/A</v>
      </c>
      <c r="AO75" s="356">
        <v>44523</v>
      </c>
      <c r="AQ75" s="574" t="str">
        <f t="shared" si="9"/>
        <v>2-9</v>
      </c>
      <c r="AR75" s="576" t="str">
        <f t="shared" si="10"/>
        <v/>
      </c>
      <c r="AS75" s="578" t="str">
        <f t="shared" si="11"/>
        <v/>
      </c>
      <c r="AT75" s="580" t="str">
        <f t="shared" si="12"/>
        <v/>
      </c>
      <c r="AU75" s="582" t="str">
        <f t="shared" si="13"/>
        <v/>
      </c>
      <c r="AV75" s="584" t="str">
        <f t="shared" si="14"/>
        <v/>
      </c>
      <c r="AW75" s="662" t="str">
        <f>IFERROR(VLOOKUP(功能_33[[#This Row],[功能代號]],工作表3!C:C,1,FALSE),"未計SIT測試")</f>
        <v>未計SIT測試</v>
      </c>
    </row>
    <row r="76" spans="2:49" ht="13.5" x14ac:dyDescent="0.3">
      <c r="C76" s="292" t="s">
        <v>91</v>
      </c>
      <c r="D76" s="292" t="s">
        <v>2830</v>
      </c>
      <c r="E76" s="291" t="s">
        <v>347</v>
      </c>
      <c r="F76" s="281" t="s">
        <v>348</v>
      </c>
      <c r="G76" s="292" t="s">
        <v>345</v>
      </c>
      <c r="H76" s="291" t="s">
        <v>193</v>
      </c>
      <c r="I76" s="291" t="s">
        <v>194</v>
      </c>
      <c r="J76" s="225" t="s">
        <v>3242</v>
      </c>
      <c r="K76" s="299">
        <v>44441</v>
      </c>
      <c r="L76" s="299">
        <v>44439</v>
      </c>
      <c r="M76" s="299">
        <v>44550</v>
      </c>
      <c r="N76" s="291" t="s">
        <v>10</v>
      </c>
      <c r="O76" s="291" t="s">
        <v>22</v>
      </c>
      <c r="P76" s="270" t="s">
        <v>15</v>
      </c>
      <c r="T76" s="291"/>
      <c r="V76" s="291"/>
      <c r="W76" s="291"/>
      <c r="X76" s="292" t="str">
        <f>VLOOKUP(功能_33[[#This Row],[User]],SKL放款!A:G,7,FALSE)</f>
        <v>放款服務課</v>
      </c>
      <c r="Y76" s="228">
        <v>44550</v>
      </c>
      <c r="Z76" s="299" t="s">
        <v>346</v>
      </c>
      <c r="AA76" s="299">
        <v>44550</v>
      </c>
      <c r="AB76" s="283">
        <v>44550</v>
      </c>
      <c r="AC76" s="283">
        <v>44550</v>
      </c>
      <c r="AD76" s="283"/>
      <c r="AE76" s="283"/>
      <c r="AF76" s="283"/>
      <c r="AG76" s="283" t="str">
        <f>IFERROR(IF(VLOOKUP(功能_33[[#This Row],[功能代號]],E:Q,11,FALSE)=0,"",VLOOKUP(功能_33[[#This Row],[功能代號]],E:Q,11,FALSE)),"")</f>
        <v>許慧玉</v>
      </c>
      <c r="AH76" s="283"/>
      <c r="AI76" s="283"/>
      <c r="AJ76" s="292"/>
      <c r="AL76" s="291" t="s">
        <v>190</v>
      </c>
      <c r="AM76" s="291" t="s">
        <v>190</v>
      </c>
      <c r="AN76" s="292" t="e">
        <f>VLOOKUP(功能_33[[#This Row],[功能代號]],需二審tmp!A:A,1,FALSE)</f>
        <v>#N/A</v>
      </c>
      <c r="AO76" s="356">
        <v>44523</v>
      </c>
      <c r="AQ76" s="574" t="str">
        <f t="shared" si="9"/>
        <v>2-9</v>
      </c>
      <c r="AR76" s="576" t="str">
        <f t="shared" si="10"/>
        <v/>
      </c>
      <c r="AS76" s="578" t="str">
        <f t="shared" si="11"/>
        <v/>
      </c>
      <c r="AT76" s="580" t="str">
        <f t="shared" si="12"/>
        <v/>
      </c>
      <c r="AU76" s="582" t="str">
        <f t="shared" si="13"/>
        <v/>
      </c>
      <c r="AV76" s="584" t="str">
        <f t="shared" si="14"/>
        <v/>
      </c>
      <c r="AW76" s="662" t="str">
        <f>IFERROR(VLOOKUP(功能_33[[#This Row],[功能代號]],工作表3!C:C,1,FALSE),"未計SIT測試")</f>
        <v>L2064</v>
      </c>
    </row>
    <row r="77" spans="2:49" ht="13.5" x14ac:dyDescent="0.3">
      <c r="C77" s="292" t="s">
        <v>95</v>
      </c>
      <c r="D77" s="292" t="s">
        <v>2838</v>
      </c>
      <c r="E77" s="291" t="s">
        <v>349</v>
      </c>
      <c r="F77" s="292" t="s">
        <v>350</v>
      </c>
      <c r="G77" s="292" t="s">
        <v>351</v>
      </c>
      <c r="H77" s="291" t="s">
        <v>193</v>
      </c>
      <c r="I77" s="291" t="s">
        <v>194</v>
      </c>
      <c r="J77" s="225" t="s">
        <v>3234</v>
      </c>
      <c r="K77" s="299">
        <v>44441</v>
      </c>
      <c r="L77" s="299">
        <v>44439</v>
      </c>
      <c r="M77" s="299">
        <v>44550</v>
      </c>
      <c r="N77" s="291" t="s">
        <v>10</v>
      </c>
      <c r="O77" s="291" t="s">
        <v>22</v>
      </c>
      <c r="P77" s="270" t="s">
        <v>15</v>
      </c>
      <c r="T77" s="291"/>
      <c r="V77" s="291"/>
      <c r="W77" s="291"/>
      <c r="X77" s="292" t="str">
        <f>VLOOKUP(功能_33[[#This Row],[User]],SKL放款!A:G,7,FALSE)</f>
        <v>放款服務課</v>
      </c>
      <c r="Y77" s="299">
        <v>44547</v>
      </c>
      <c r="Z77" s="299" t="s">
        <v>346</v>
      </c>
      <c r="AA77" s="282">
        <v>44550</v>
      </c>
      <c r="AB77" s="283">
        <v>44550</v>
      </c>
      <c r="AC77" s="299">
        <v>44550</v>
      </c>
      <c r="AD77" s="283"/>
      <c r="AE77" s="283"/>
      <c r="AF77" s="283"/>
      <c r="AG77" s="283" t="str">
        <f>IFERROR(IF(VLOOKUP(功能_33[[#This Row],[功能代號]],E:Q,11,FALSE)=0,"",VLOOKUP(功能_33[[#This Row],[功能代號]],E:Q,11,FALSE)),"")</f>
        <v>許慧玉</v>
      </c>
      <c r="AH77" s="283"/>
      <c r="AI77" s="283"/>
      <c r="AJ77" s="292"/>
      <c r="AL77" s="291" t="s">
        <v>190</v>
      </c>
      <c r="AM77" s="291" t="s">
        <v>190</v>
      </c>
      <c r="AN77" s="292" t="e">
        <f>VLOOKUP(功能_33[[#This Row],[功能代號]],需二審tmp!A:A,1,FALSE)</f>
        <v>#N/A</v>
      </c>
      <c r="AO77" s="356">
        <v>44526</v>
      </c>
      <c r="AQ77" s="574" t="str">
        <f t="shared" si="9"/>
        <v>6-6</v>
      </c>
      <c r="AR77" s="576" t="str">
        <f t="shared" si="10"/>
        <v/>
      </c>
      <c r="AS77" s="578" t="str">
        <f t="shared" si="11"/>
        <v/>
      </c>
      <c r="AT77" s="580" t="str">
        <f t="shared" si="12"/>
        <v/>
      </c>
      <c r="AU77" s="582" t="str">
        <f t="shared" si="13"/>
        <v/>
      </c>
      <c r="AV77" s="584" t="str">
        <f t="shared" si="14"/>
        <v/>
      </c>
      <c r="AW77" s="662" t="str">
        <f>IFERROR(VLOOKUP(功能_33[[#This Row],[功能代號]],工作表3!C:C,1,FALSE),"未計SIT測試")</f>
        <v>L6022</v>
      </c>
    </row>
    <row r="78" spans="2:49" ht="13.5" x14ac:dyDescent="0.3">
      <c r="C78" s="292" t="s">
        <v>95</v>
      </c>
      <c r="D78" s="292" t="s">
        <v>2838</v>
      </c>
      <c r="E78" s="291" t="s">
        <v>352</v>
      </c>
      <c r="F78" s="292" t="s">
        <v>353</v>
      </c>
      <c r="G78" s="292" t="s">
        <v>351</v>
      </c>
      <c r="H78" s="291" t="s">
        <v>193</v>
      </c>
      <c r="I78" s="291" t="s">
        <v>194</v>
      </c>
      <c r="J78" s="225" t="s">
        <v>3234</v>
      </c>
      <c r="K78" s="299">
        <v>44441</v>
      </c>
      <c r="L78" s="299">
        <v>44439</v>
      </c>
      <c r="M78" s="299">
        <v>44550</v>
      </c>
      <c r="N78" s="291" t="s">
        <v>10</v>
      </c>
      <c r="O78" s="291" t="s">
        <v>22</v>
      </c>
      <c r="P78" s="270" t="s">
        <v>15</v>
      </c>
      <c r="T78" s="291"/>
      <c r="V78" s="291"/>
      <c r="W78" s="291"/>
      <c r="X78" s="292" t="str">
        <f>VLOOKUP(功能_33[[#This Row],[User]],SKL放款!A:G,7,FALSE)</f>
        <v>放款服務課</v>
      </c>
      <c r="Y78" s="299">
        <v>44547</v>
      </c>
      <c r="Z78" s="299" t="s">
        <v>346</v>
      </c>
      <c r="AA78" s="282">
        <v>44550</v>
      </c>
      <c r="AB78" s="283">
        <v>44550</v>
      </c>
      <c r="AC78" s="299">
        <v>44550</v>
      </c>
      <c r="AD78" s="283"/>
      <c r="AE78" s="283"/>
      <c r="AF78" s="283"/>
      <c r="AG78" s="283" t="str">
        <f>IFERROR(IF(VLOOKUP(功能_33[[#This Row],[功能代號]],E:Q,11,FALSE)=0,"",VLOOKUP(功能_33[[#This Row],[功能代號]],E:Q,11,FALSE)),"")</f>
        <v>許慧玉</v>
      </c>
      <c r="AH78" s="283"/>
      <c r="AI78" s="283"/>
      <c r="AJ78" s="292"/>
      <c r="AL78" s="291" t="s">
        <v>190</v>
      </c>
      <c r="AM78" s="291" t="s">
        <v>190</v>
      </c>
      <c r="AN78" s="292" t="e">
        <f>VLOOKUP(功能_33[[#This Row],[功能代號]],需二審tmp!A:A,1,FALSE)</f>
        <v>#N/A</v>
      </c>
      <c r="AO78" s="356">
        <v>44526</v>
      </c>
      <c r="AQ78" s="574" t="str">
        <f t="shared" si="9"/>
        <v>6-6</v>
      </c>
      <c r="AR78" s="576" t="str">
        <f t="shared" si="10"/>
        <v/>
      </c>
      <c r="AS78" s="578" t="str">
        <f t="shared" si="11"/>
        <v/>
      </c>
      <c r="AT78" s="580" t="str">
        <f t="shared" si="12"/>
        <v/>
      </c>
      <c r="AU78" s="582" t="str">
        <f t="shared" si="13"/>
        <v/>
      </c>
      <c r="AV78" s="584" t="str">
        <f t="shared" si="14"/>
        <v/>
      </c>
      <c r="AW78" s="662" t="str">
        <f>IFERROR(VLOOKUP(功能_33[[#This Row],[功能代號]],工作表3!C:C,1,FALSE),"未計SIT測試")</f>
        <v>L6202</v>
      </c>
    </row>
    <row r="79" spans="2:49" ht="13.5" x14ac:dyDescent="0.3">
      <c r="B79" s="292">
        <v>1</v>
      </c>
      <c r="C79" s="292" t="s">
        <v>92</v>
      </c>
      <c r="D79" s="292" t="s">
        <v>2833</v>
      </c>
      <c r="E79" s="291" t="s">
        <v>354</v>
      </c>
      <c r="F79" s="292" t="s">
        <v>355</v>
      </c>
      <c r="G79" s="292"/>
      <c r="H79" s="291" t="s">
        <v>193</v>
      </c>
      <c r="I79" s="291" t="s">
        <v>194</v>
      </c>
      <c r="J79" s="225" t="s">
        <v>310</v>
      </c>
      <c r="K79" s="299">
        <v>44442</v>
      </c>
      <c r="L79" s="299">
        <v>44439</v>
      </c>
      <c r="M79" s="299">
        <f>IFERROR(IF(VLOOKUP(功能_33[[#This Row],[功能代號]],討論項目!A:H,8,FALSE)=0,"",VLOOKUP(功能_33[[#This Row],[功能代號]],討論項目!A:H,8,FALSE)),"")</f>
        <v>44487</v>
      </c>
      <c r="N79" s="291" t="s">
        <v>7</v>
      </c>
      <c r="O79" s="291" t="s">
        <v>11</v>
      </c>
      <c r="T79" s="291"/>
      <c r="V79" s="291"/>
      <c r="W79" s="291"/>
      <c r="X79" s="292" t="str">
        <f>VLOOKUP(功能_33[[#This Row],[User]],SKL放款!A:G,7,FALSE)</f>
        <v>放款服務課</v>
      </c>
      <c r="Y79" s="299">
        <v>44496</v>
      </c>
      <c r="Z79" s="299">
        <v>44488</v>
      </c>
      <c r="AA79" s="299">
        <v>44496</v>
      </c>
      <c r="AB79" s="299">
        <v>44496</v>
      </c>
      <c r="AC79" s="299">
        <v>44512</v>
      </c>
      <c r="AD79" s="299" t="s">
        <v>196</v>
      </c>
      <c r="AE79" s="299"/>
      <c r="AF79" s="355"/>
      <c r="AG79" s="299" t="str">
        <f>IFERROR(IF(VLOOKUP(功能_33[[#This Row],[功能代號]],E:Q,11,FALSE)=0,"",VLOOKUP(功能_33[[#This Row],[功能代號]],E:Q,11,FALSE)),"")</f>
        <v>蔡珮瑜</v>
      </c>
      <c r="AH79" s="299"/>
      <c r="AI79" s="299"/>
      <c r="AJ79" s="292"/>
      <c r="AK79" s="359">
        <v>44491</v>
      </c>
      <c r="AL79" s="291">
        <v>315</v>
      </c>
      <c r="AM79" s="292" t="s">
        <v>356</v>
      </c>
      <c r="AN79" s="292" t="str">
        <f>VLOOKUP(功能_33[[#This Row],[功能代號]],需二審tmp!A:A,1,FALSE)</f>
        <v>L3912</v>
      </c>
      <c r="AO79" s="356">
        <v>44512</v>
      </c>
      <c r="AQ79" s="574" t="str">
        <f t="shared" si="9"/>
        <v>3-2</v>
      </c>
      <c r="AR79" s="576" t="str">
        <f t="shared" si="10"/>
        <v/>
      </c>
      <c r="AS79" s="578" t="str">
        <f t="shared" si="11"/>
        <v/>
      </c>
      <c r="AT79" s="580" t="str">
        <f t="shared" si="12"/>
        <v/>
      </c>
      <c r="AU79" s="582" t="str">
        <f t="shared" si="13"/>
        <v/>
      </c>
      <c r="AV79" s="584" t="str">
        <f t="shared" si="14"/>
        <v/>
      </c>
      <c r="AW79" s="662" t="str">
        <f>IFERROR(VLOOKUP(功能_33[[#This Row],[功能代號]],工作表3!C:C,1,FALSE),"未計SIT測試")</f>
        <v>L3912</v>
      </c>
    </row>
    <row r="80" spans="2:49" ht="13.5" x14ac:dyDescent="0.3">
      <c r="B80" s="292">
        <v>1</v>
      </c>
      <c r="C80" s="292" t="s">
        <v>92</v>
      </c>
      <c r="D80" s="292" t="s">
        <v>2833</v>
      </c>
      <c r="E80" s="291" t="s">
        <v>357</v>
      </c>
      <c r="F80" s="292" t="s">
        <v>358</v>
      </c>
      <c r="G80" s="292"/>
      <c r="H80" s="291" t="s">
        <v>193</v>
      </c>
      <c r="I80" s="291" t="s">
        <v>194</v>
      </c>
      <c r="J80" s="225" t="s">
        <v>310</v>
      </c>
      <c r="K80" s="299">
        <v>44442</v>
      </c>
      <c r="L80" s="299">
        <v>44439</v>
      </c>
      <c r="M80" s="299">
        <f>IFERROR(IF(VLOOKUP(功能_33[[#This Row],[功能代號]],討論項目!A:H,8,FALSE)=0,"",VLOOKUP(功能_33[[#This Row],[功能代號]],討論項目!A:H,8,FALSE)),"")</f>
        <v>44487</v>
      </c>
      <c r="N80" s="291" t="s">
        <v>7</v>
      </c>
      <c r="O80" s="291" t="s">
        <v>11</v>
      </c>
      <c r="P80" s="270" t="s">
        <v>14</v>
      </c>
      <c r="T80" s="291"/>
      <c r="V80" s="291"/>
      <c r="W80" s="291"/>
      <c r="X80" s="292" t="str">
        <f>VLOOKUP(功能_33[[#This Row],[User]],SKL放款!A:G,7,FALSE)</f>
        <v>放款服務課</v>
      </c>
      <c r="Y80" s="299">
        <v>44496</v>
      </c>
      <c r="Z80" s="299">
        <v>44488</v>
      </c>
      <c r="AA80" s="299">
        <v>44496</v>
      </c>
      <c r="AB80" s="299">
        <v>44496</v>
      </c>
      <c r="AC80" s="299">
        <v>44512</v>
      </c>
      <c r="AD80" s="299" t="s">
        <v>196</v>
      </c>
      <c r="AE80" s="299"/>
      <c r="AF80" s="355"/>
      <c r="AG80" s="299" t="str">
        <f>IFERROR(IF(VLOOKUP(功能_33[[#This Row],[功能代號]],E:Q,11,FALSE)=0,"",VLOOKUP(功能_33[[#This Row],[功能代號]],E:Q,11,FALSE)),"")</f>
        <v>蔡珮瑜</v>
      </c>
      <c r="AH80" s="299"/>
      <c r="AI80" s="299"/>
      <c r="AJ80" s="292"/>
      <c r="AK80" s="292"/>
      <c r="AL80" s="291">
        <v>315</v>
      </c>
      <c r="AM80" s="292" t="s">
        <v>356</v>
      </c>
      <c r="AN80" s="292" t="str">
        <f>VLOOKUP(功能_33[[#This Row],[功能代號]],需二審tmp!A:A,1,FALSE)</f>
        <v>L3005</v>
      </c>
      <c r="AO80" s="356">
        <v>44512</v>
      </c>
      <c r="AQ80" s="574" t="str">
        <f t="shared" si="9"/>
        <v>3-2</v>
      </c>
      <c r="AR80" s="576" t="str">
        <f t="shared" si="10"/>
        <v/>
      </c>
      <c r="AS80" s="578" t="str">
        <f t="shared" si="11"/>
        <v/>
      </c>
      <c r="AT80" s="580" t="str">
        <f t="shared" si="12"/>
        <v/>
      </c>
      <c r="AU80" s="582" t="str">
        <f t="shared" si="13"/>
        <v/>
      </c>
      <c r="AV80" s="584" t="str">
        <f t="shared" si="14"/>
        <v/>
      </c>
      <c r="AW80" s="662" t="str">
        <f>IFERROR(VLOOKUP(功能_33[[#This Row],[功能代號]],工作表3!C:C,1,FALSE),"未計SIT測試")</f>
        <v>L3005</v>
      </c>
    </row>
    <row r="81" spans="2:49" ht="13.5" x14ac:dyDescent="0.3">
      <c r="B81" s="292">
        <v>1</v>
      </c>
      <c r="C81" s="292" t="s">
        <v>92</v>
      </c>
      <c r="D81" s="292" t="s">
        <v>2834</v>
      </c>
      <c r="E81" s="291" t="s">
        <v>359</v>
      </c>
      <c r="F81" s="292" t="s">
        <v>360</v>
      </c>
      <c r="G81" s="292"/>
      <c r="H81" s="291" t="s">
        <v>193</v>
      </c>
      <c r="I81" s="291" t="s">
        <v>194</v>
      </c>
      <c r="J81" s="225" t="s">
        <v>310</v>
      </c>
      <c r="K81" s="299">
        <v>44442</v>
      </c>
      <c r="L81" s="299">
        <v>44439</v>
      </c>
      <c r="M81" s="299">
        <v>44439</v>
      </c>
      <c r="N81" s="291" t="s">
        <v>7</v>
      </c>
      <c r="O81" s="291" t="s">
        <v>11</v>
      </c>
      <c r="T81" s="291"/>
      <c r="V81" s="291"/>
      <c r="W81" s="291"/>
      <c r="X81" s="292" t="str">
        <f>VLOOKUP(功能_33[[#This Row],[User]],SKL放款!A:G,7,FALSE)</f>
        <v>放款服務課</v>
      </c>
      <c r="Y81" s="299">
        <v>44496</v>
      </c>
      <c r="Z81" s="299">
        <v>44488</v>
      </c>
      <c r="AA81" s="299">
        <v>44496</v>
      </c>
      <c r="AB81" s="299">
        <v>44496</v>
      </c>
      <c r="AC81" s="299">
        <v>44512</v>
      </c>
      <c r="AD81" s="299" t="s">
        <v>196</v>
      </c>
      <c r="AE81" s="299"/>
      <c r="AF81" s="355"/>
      <c r="AG81" s="299" t="str">
        <f>IFERROR(IF(VLOOKUP(功能_33[[#This Row],[功能代號]],E:Q,11,FALSE)=0,"",VLOOKUP(功能_33[[#This Row],[功能代號]],E:Q,11,FALSE)),"")</f>
        <v>蔡珮瑜</v>
      </c>
      <c r="AH81" s="299"/>
      <c r="AI81" s="299"/>
      <c r="AJ81" s="292"/>
      <c r="AK81" s="292"/>
      <c r="AL81" s="291">
        <v>350</v>
      </c>
      <c r="AM81" s="292" t="s">
        <v>361</v>
      </c>
      <c r="AN81" s="292" t="e">
        <f>VLOOKUP(功能_33[[#This Row],[功能代號]],需二審tmp!A:A,1,FALSE)</f>
        <v>#N/A</v>
      </c>
      <c r="AO81" s="356">
        <v>44512</v>
      </c>
      <c r="AQ81" s="574" t="str">
        <f t="shared" si="9"/>
        <v>3-5</v>
      </c>
      <c r="AR81" s="576" t="str">
        <f t="shared" si="10"/>
        <v/>
      </c>
      <c r="AS81" s="578" t="str">
        <f t="shared" si="11"/>
        <v/>
      </c>
      <c r="AT81" s="580" t="str">
        <f t="shared" si="12"/>
        <v/>
      </c>
      <c r="AU81" s="582" t="str">
        <f t="shared" si="13"/>
        <v/>
      </c>
      <c r="AV81" s="584" t="str">
        <f t="shared" si="14"/>
        <v/>
      </c>
      <c r="AW81" s="662" t="str">
        <f>IFERROR(VLOOKUP(功能_33[[#This Row],[功能代號]],工作表3!C:C,1,FALSE),"未計SIT測試")</f>
        <v>L3932</v>
      </c>
    </row>
    <row r="82" spans="2:49" ht="13.5" x14ac:dyDescent="0.3">
      <c r="B82" s="292">
        <v>1</v>
      </c>
      <c r="C82" s="292" t="s">
        <v>92</v>
      </c>
      <c r="D82" s="292" t="s">
        <v>2834</v>
      </c>
      <c r="E82" s="291" t="s">
        <v>362</v>
      </c>
      <c r="F82" s="292" t="s">
        <v>363</v>
      </c>
      <c r="G82" s="292"/>
      <c r="H82" s="291" t="s">
        <v>193</v>
      </c>
      <c r="I82" s="291" t="s">
        <v>194</v>
      </c>
      <c r="J82" s="225" t="s">
        <v>310</v>
      </c>
      <c r="K82" s="299">
        <v>44442</v>
      </c>
      <c r="L82" s="299">
        <v>44439</v>
      </c>
      <c r="M82" s="299">
        <f>IFERROR(IF(VLOOKUP(功能_33[[#This Row],[功能代號]],討論項目!A:H,8,FALSE)=0,"",VLOOKUP(功能_33[[#This Row],[功能代號]],討論項目!A:H,8,FALSE)),"")</f>
        <v>44487</v>
      </c>
      <c r="N82" s="291" t="s">
        <v>7</v>
      </c>
      <c r="O82" s="291" t="s">
        <v>11</v>
      </c>
      <c r="T82" s="291"/>
      <c r="V82" s="291"/>
      <c r="W82" s="291"/>
      <c r="X82" s="292" t="str">
        <f>VLOOKUP(功能_33[[#This Row],[User]],SKL放款!A:G,7,FALSE)</f>
        <v>放款服務課</v>
      </c>
      <c r="Y82" s="299">
        <v>44496</v>
      </c>
      <c r="Z82" s="299">
        <v>44488</v>
      </c>
      <c r="AA82" s="299">
        <v>44496</v>
      </c>
      <c r="AB82" s="299">
        <v>44496</v>
      </c>
      <c r="AC82" s="299">
        <v>44512</v>
      </c>
      <c r="AD82" s="299" t="s">
        <v>196</v>
      </c>
      <c r="AE82" s="299"/>
      <c r="AF82" s="355"/>
      <c r="AG82" s="299" t="str">
        <f>IFERROR(IF(VLOOKUP(功能_33[[#This Row],[功能代號]],E:Q,11,FALSE)=0,"",VLOOKUP(功能_33[[#This Row],[功能代號]],E:Q,11,FALSE)),"")</f>
        <v>蔡珮瑜</v>
      </c>
      <c r="AH82" s="299"/>
      <c r="AI82" s="299"/>
      <c r="AJ82" s="292"/>
      <c r="AK82" s="292"/>
      <c r="AL82" s="291">
        <v>351</v>
      </c>
      <c r="AM82" s="292" t="s">
        <v>364</v>
      </c>
      <c r="AN82" s="292" t="str">
        <f>VLOOKUP(功能_33[[#This Row],[功能代號]],需二審tmp!A:A,1,FALSE)</f>
        <v>L3721</v>
      </c>
      <c r="AO82" s="356">
        <v>44512</v>
      </c>
      <c r="AQ82" s="574" t="str">
        <f t="shared" si="9"/>
        <v>3-5</v>
      </c>
      <c r="AR82" s="576" t="str">
        <f t="shared" si="10"/>
        <v/>
      </c>
      <c r="AS82" s="578" t="str">
        <f t="shared" si="11"/>
        <v/>
      </c>
      <c r="AT82" s="580" t="str">
        <f t="shared" si="12"/>
        <v/>
      </c>
      <c r="AU82" s="582" t="str">
        <f t="shared" si="13"/>
        <v/>
      </c>
      <c r="AV82" s="584" t="str">
        <f t="shared" si="14"/>
        <v/>
      </c>
      <c r="AW82" s="662" t="str">
        <f>IFERROR(VLOOKUP(功能_33[[#This Row],[功能代號]],工作表3!C:C,1,FALSE),"未計SIT測試")</f>
        <v>L3721</v>
      </c>
    </row>
    <row r="83" spans="2:49" ht="13.5" x14ac:dyDescent="0.3">
      <c r="B83" s="292">
        <v>1</v>
      </c>
      <c r="C83" s="292" t="s">
        <v>92</v>
      </c>
      <c r="D83" s="292" t="s">
        <v>2834</v>
      </c>
      <c r="E83" s="291" t="s">
        <v>365</v>
      </c>
      <c r="F83" s="292" t="s">
        <v>366</v>
      </c>
      <c r="G83" s="292"/>
      <c r="H83" s="291" t="s">
        <v>193</v>
      </c>
      <c r="I83" s="291" t="s">
        <v>194</v>
      </c>
      <c r="J83" s="225" t="s">
        <v>310</v>
      </c>
      <c r="K83" s="299">
        <v>44442</v>
      </c>
      <c r="L83" s="299">
        <v>44439</v>
      </c>
      <c r="M83" s="299">
        <v>44439</v>
      </c>
      <c r="N83" s="291" t="s">
        <v>12</v>
      </c>
      <c r="O83" s="291" t="s">
        <v>11</v>
      </c>
      <c r="T83" s="291"/>
      <c r="V83" s="291"/>
      <c r="W83" s="291"/>
      <c r="X83" s="292" t="str">
        <f>VLOOKUP(功能_33[[#This Row],[User]],SKL放款!A:G,7,FALSE)</f>
        <v>放款服務課</v>
      </c>
      <c r="Y83" s="299">
        <v>44496</v>
      </c>
      <c r="Z83" s="299">
        <v>44488</v>
      </c>
      <c r="AA83" s="299">
        <v>44497</v>
      </c>
      <c r="AB83" s="299">
        <v>44497</v>
      </c>
      <c r="AC83" s="299">
        <v>44512</v>
      </c>
      <c r="AD83" s="299" t="s">
        <v>196</v>
      </c>
      <c r="AE83" s="299"/>
      <c r="AF83" s="355"/>
      <c r="AG83" s="299" t="str">
        <f>IFERROR(IF(VLOOKUP(功能_33[[#This Row],[功能代號]],E:Q,11,FALSE)=0,"",VLOOKUP(功能_33[[#This Row],[功能代號]],E:Q,11,FALSE)),"")</f>
        <v>蔡珮瑜</v>
      </c>
      <c r="AH83" s="299"/>
      <c r="AI83" s="299"/>
      <c r="AJ83" s="292"/>
      <c r="AK83" s="292"/>
      <c r="AL83" s="291">
        <v>321</v>
      </c>
      <c r="AM83" s="292" t="s">
        <v>367</v>
      </c>
      <c r="AN83" s="292" t="str">
        <f>VLOOKUP(功能_33[[#This Row],[功能代號]],需二審tmp!A:A,1,FALSE)</f>
        <v>L3701</v>
      </c>
      <c r="AO83" s="356">
        <v>44512</v>
      </c>
      <c r="AQ83" s="574" t="str">
        <f t="shared" si="9"/>
        <v>3-5</v>
      </c>
      <c r="AR83" s="576" t="str">
        <f t="shared" si="10"/>
        <v/>
      </c>
      <c r="AS83" s="578" t="str">
        <f t="shared" si="11"/>
        <v/>
      </c>
      <c r="AT83" s="580" t="str">
        <f t="shared" si="12"/>
        <v/>
      </c>
      <c r="AU83" s="582" t="str">
        <f t="shared" si="13"/>
        <v/>
      </c>
      <c r="AV83" s="584" t="str">
        <f t="shared" si="14"/>
        <v/>
      </c>
      <c r="AW83" s="662" t="str">
        <f>IFERROR(VLOOKUP(功能_33[[#This Row],[功能代號]],工作表3!C:C,1,FALSE),"未計SIT測試")</f>
        <v>未計SIT測試</v>
      </c>
    </row>
    <row r="84" spans="2:49" ht="54" x14ac:dyDescent="0.3">
      <c r="C84" s="292" t="s">
        <v>93</v>
      </c>
      <c r="D84" s="292" t="s">
        <v>368</v>
      </c>
      <c r="E84" s="291" t="s">
        <v>369</v>
      </c>
      <c r="F84" s="292" t="s">
        <v>370</v>
      </c>
      <c r="G84" s="292"/>
      <c r="H84" s="291" t="s">
        <v>193</v>
      </c>
      <c r="I84" s="291" t="s">
        <v>194</v>
      </c>
      <c r="J84" s="225" t="s">
        <v>2959</v>
      </c>
      <c r="K84" s="299">
        <v>44438</v>
      </c>
      <c r="L84" s="299">
        <v>44438</v>
      </c>
      <c r="M84" s="299">
        <v>44533</v>
      </c>
      <c r="N84" s="291" t="s">
        <v>12</v>
      </c>
      <c r="O84" s="291" t="s">
        <v>18</v>
      </c>
      <c r="T84" s="291"/>
      <c r="V84" s="291"/>
      <c r="W84" s="291"/>
      <c r="X84" s="292" t="str">
        <f>VLOOKUP(功能_33[[#This Row],[User]],SKL放款!A:G,7,FALSE)</f>
        <v>放款服務課</v>
      </c>
      <c r="Y84" s="299">
        <v>44533</v>
      </c>
      <c r="Z84" s="299">
        <v>44515</v>
      </c>
      <c r="AA84" s="299">
        <v>44523</v>
      </c>
      <c r="AB84" s="299">
        <v>44524</v>
      </c>
      <c r="AC84" s="299">
        <v>44539</v>
      </c>
      <c r="AD84" s="299"/>
      <c r="AE84" s="299"/>
      <c r="AF84" s="355"/>
      <c r="AG84" s="299" t="str">
        <f>IFERROR(IF(VLOOKUP(功能_33[[#This Row],[功能代號]],E:Q,11,FALSE)=0,"",VLOOKUP(功能_33[[#This Row],[功能代號]],E:Q,11,FALSE)),"")</f>
        <v>尹少玄</v>
      </c>
      <c r="AH84" s="299"/>
      <c r="AI84" s="299"/>
      <c r="AJ84" s="292"/>
      <c r="AK84" s="292"/>
      <c r="AL84" s="611" t="s">
        <v>3033</v>
      </c>
      <c r="AM84" s="219" t="s">
        <v>3034</v>
      </c>
      <c r="AN84" s="292" t="str">
        <f>VLOOKUP(功能_33[[#This Row],[功能代號]],需二審tmp!A:A,1,FALSE)</f>
        <v>L4101</v>
      </c>
      <c r="AO84" s="356">
        <v>44533</v>
      </c>
      <c r="AQ84" s="574" t="str">
        <f t="shared" si="9"/>
        <v>4-1</v>
      </c>
      <c r="AR84" s="576" t="str">
        <f t="shared" si="10"/>
        <v/>
      </c>
      <c r="AS84" s="578" t="str">
        <f t="shared" si="11"/>
        <v/>
      </c>
      <c r="AT84" s="580" t="str">
        <f t="shared" si="12"/>
        <v/>
      </c>
      <c r="AU84" s="582" t="str">
        <f t="shared" si="13"/>
        <v/>
      </c>
      <c r="AV84" s="584" t="str">
        <f t="shared" si="14"/>
        <v/>
      </c>
      <c r="AW84" s="662" t="str">
        <f>IFERROR(VLOOKUP(功能_33[[#This Row],[功能代號]],工作表3!C:C,1,FALSE),"未計SIT測試")</f>
        <v>L4101</v>
      </c>
    </row>
    <row r="85" spans="2:49" ht="13.5" x14ac:dyDescent="0.3">
      <c r="C85" s="292" t="s">
        <v>93</v>
      </c>
      <c r="D85" s="292" t="s">
        <v>368</v>
      </c>
      <c r="E85" s="291" t="s">
        <v>371</v>
      </c>
      <c r="F85" s="292" t="s">
        <v>372</v>
      </c>
      <c r="G85" s="292"/>
      <c r="H85" s="291" t="s">
        <v>193</v>
      </c>
      <c r="I85" s="291" t="s">
        <v>194</v>
      </c>
      <c r="J85" s="225" t="s">
        <v>2959</v>
      </c>
      <c r="K85" s="299">
        <v>44438</v>
      </c>
      <c r="L85" s="299">
        <v>44438</v>
      </c>
      <c r="M85" s="299">
        <v>44523</v>
      </c>
      <c r="N85" s="291" t="s">
        <v>12</v>
      </c>
      <c r="O85" s="291" t="s">
        <v>18</v>
      </c>
      <c r="T85" s="291"/>
      <c r="V85" s="291"/>
      <c r="W85" s="291"/>
      <c r="X85" s="292" t="str">
        <f>VLOOKUP(功能_33[[#This Row],[User]],SKL放款!A:G,7,FALSE)</f>
        <v>放款服務課</v>
      </c>
      <c r="Y85" s="299">
        <v>44533</v>
      </c>
      <c r="Z85" s="299" t="s">
        <v>195</v>
      </c>
      <c r="AA85" s="299">
        <v>44523</v>
      </c>
      <c r="AB85" s="299">
        <v>44524</v>
      </c>
      <c r="AC85" s="299">
        <v>44539</v>
      </c>
      <c r="AD85" s="299"/>
      <c r="AE85" s="299"/>
      <c r="AF85" s="355"/>
      <c r="AG85" s="299" t="str">
        <f>IFERROR(IF(VLOOKUP(功能_33[[#This Row],[功能代號]],E:Q,11,FALSE)=0,"",VLOOKUP(功能_33[[#This Row],[功能代號]],E:Q,11,FALSE)),"")</f>
        <v>尹少玄</v>
      </c>
      <c r="AH85" s="299"/>
      <c r="AI85" s="299"/>
      <c r="AJ85" s="292"/>
      <c r="AK85" s="292"/>
      <c r="AL85" s="227" t="s">
        <v>3035</v>
      </c>
      <c r="AM85" s="227" t="s">
        <v>3035</v>
      </c>
      <c r="AN85" s="292" t="e">
        <f>VLOOKUP(功能_33[[#This Row],[功能代號]],需二審tmp!A:A,1,FALSE)</f>
        <v>#N/A</v>
      </c>
      <c r="AO85" s="356">
        <v>44523</v>
      </c>
      <c r="AQ85" s="574" t="str">
        <f t="shared" si="9"/>
        <v>4-1</v>
      </c>
      <c r="AR85" s="576" t="str">
        <f t="shared" si="10"/>
        <v/>
      </c>
      <c r="AS85" s="578" t="str">
        <f t="shared" si="11"/>
        <v/>
      </c>
      <c r="AT85" s="580" t="str">
        <f t="shared" si="12"/>
        <v/>
      </c>
      <c r="AU85" s="582" t="str">
        <f t="shared" si="13"/>
        <v/>
      </c>
      <c r="AV85" s="584" t="str">
        <f t="shared" si="14"/>
        <v/>
      </c>
      <c r="AW85" s="662" t="str">
        <f>IFERROR(VLOOKUP(功能_33[[#This Row],[功能代號]],工作表3!C:C,1,FALSE),"未計SIT測試")</f>
        <v>L4001</v>
      </c>
    </row>
    <row r="86" spans="2:49" ht="13.5" x14ac:dyDescent="0.3">
      <c r="C86" s="292" t="s">
        <v>93</v>
      </c>
      <c r="D86" s="292" t="s">
        <v>368</v>
      </c>
      <c r="E86" s="291" t="s">
        <v>373</v>
      </c>
      <c r="F86" s="292" t="s">
        <v>374</v>
      </c>
      <c r="G86" s="292"/>
      <c r="H86" s="291" t="s">
        <v>193</v>
      </c>
      <c r="I86" s="291" t="s">
        <v>194</v>
      </c>
      <c r="J86" s="225" t="s">
        <v>2959</v>
      </c>
      <c r="K86" s="299">
        <v>44438</v>
      </c>
      <c r="L86" s="299">
        <v>44438</v>
      </c>
      <c r="M86" s="299">
        <v>44523</v>
      </c>
      <c r="N86" s="291" t="s">
        <v>12</v>
      </c>
      <c r="O86" s="291" t="s">
        <v>18</v>
      </c>
      <c r="T86" s="291"/>
      <c r="V86" s="291"/>
      <c r="W86" s="291"/>
      <c r="X86" s="292" t="str">
        <f>VLOOKUP(功能_33[[#This Row],[User]],SKL放款!A:G,7,FALSE)</f>
        <v>放款服務課</v>
      </c>
      <c r="Y86" s="299">
        <v>44533</v>
      </c>
      <c r="Z86" s="299" t="s">
        <v>195</v>
      </c>
      <c r="AA86" s="299">
        <v>44523</v>
      </c>
      <c r="AB86" s="299">
        <v>44524</v>
      </c>
      <c r="AC86" s="299">
        <v>44539</v>
      </c>
      <c r="AD86" s="299"/>
      <c r="AE86" s="299"/>
      <c r="AF86" s="355"/>
      <c r="AG86" s="299" t="str">
        <f>IFERROR(IF(VLOOKUP(功能_33[[#This Row],[功能代號]],E:Q,11,FALSE)=0,"",VLOOKUP(功能_33[[#This Row],[功能代號]],E:Q,11,FALSE)),"")</f>
        <v>尹少玄</v>
      </c>
      <c r="AH86" s="299"/>
      <c r="AI86" s="299"/>
      <c r="AJ86" s="292"/>
      <c r="AK86" s="292"/>
      <c r="AL86" s="227" t="s">
        <v>3035</v>
      </c>
      <c r="AM86" s="227" t="s">
        <v>3035</v>
      </c>
      <c r="AN86" s="292" t="e">
        <f>VLOOKUP(功能_33[[#This Row],[功能代號]],需二審tmp!A:A,1,FALSE)</f>
        <v>#N/A</v>
      </c>
      <c r="AO86" s="356">
        <v>44523</v>
      </c>
      <c r="AQ86" s="574" t="str">
        <f t="shared" si="9"/>
        <v>4-1</v>
      </c>
      <c r="AR86" s="576" t="str">
        <f t="shared" si="10"/>
        <v/>
      </c>
      <c r="AS86" s="578" t="str">
        <f t="shared" si="11"/>
        <v/>
      </c>
      <c r="AT86" s="580" t="str">
        <f t="shared" si="12"/>
        <v/>
      </c>
      <c r="AU86" s="582" t="str">
        <f t="shared" si="13"/>
        <v/>
      </c>
      <c r="AV86" s="584" t="str">
        <f t="shared" si="14"/>
        <v/>
      </c>
      <c r="AW86" s="662" t="str">
        <f>IFERROR(VLOOKUP(功能_33[[#This Row],[功能代號]],工作表3!C:C,1,FALSE),"未計SIT測試")</f>
        <v>L4901</v>
      </c>
    </row>
    <row r="87" spans="2:49" ht="13.5" x14ac:dyDescent="0.3">
      <c r="C87" s="292" t="s">
        <v>95</v>
      </c>
      <c r="D87" s="292" t="s">
        <v>2837</v>
      </c>
      <c r="E87" s="291" t="s">
        <v>375</v>
      </c>
      <c r="F87" s="292" t="s">
        <v>376</v>
      </c>
      <c r="G87" s="292"/>
      <c r="H87" s="291" t="s">
        <v>193</v>
      </c>
      <c r="I87" s="291" t="s">
        <v>194</v>
      </c>
      <c r="J87" s="225" t="s">
        <v>3234</v>
      </c>
      <c r="K87" s="299">
        <v>44447</v>
      </c>
      <c r="L87" s="299">
        <v>44447</v>
      </c>
      <c r="M87" s="299">
        <v>44547</v>
      </c>
      <c r="N87" s="291" t="s">
        <v>8</v>
      </c>
      <c r="O87" s="291" t="s">
        <v>11</v>
      </c>
      <c r="P87" s="270" t="s">
        <v>14</v>
      </c>
      <c r="T87" s="291"/>
      <c r="V87" s="291"/>
      <c r="W87" s="291"/>
      <c r="X87" s="292" t="str">
        <f>VLOOKUP(功能_33[[#This Row],[User]],SKL放款!A:G,7,FALSE)</f>
        <v>放款服務課</v>
      </c>
      <c r="Y87" s="299">
        <v>44533</v>
      </c>
      <c r="Z87" s="299" t="s">
        <v>133</v>
      </c>
      <c r="AA87" s="299">
        <v>44546</v>
      </c>
      <c r="AB87" s="299">
        <v>44546</v>
      </c>
      <c r="AC87" s="299">
        <v>44550</v>
      </c>
      <c r="AD87" s="299"/>
      <c r="AE87" s="299"/>
      <c r="AF87" s="355"/>
      <c r="AG87" s="299" t="str">
        <f>IFERROR(IF(VLOOKUP(功能_33[[#This Row],[功能代號]],E:Q,11,FALSE)=0,"",VLOOKUP(功能_33[[#This Row],[功能代號]],E:Q,11,FALSE)),"")</f>
        <v>蔡珮瑜</v>
      </c>
      <c r="AH87" s="299"/>
      <c r="AI87" s="299"/>
      <c r="AJ87" s="292"/>
      <c r="AK87" s="224" t="s">
        <v>377</v>
      </c>
      <c r="AL87" s="291" t="s">
        <v>190</v>
      </c>
      <c r="AM87" s="292" t="s">
        <v>190</v>
      </c>
      <c r="AN87" s="292" t="str">
        <f>VLOOKUP(功能_33[[#This Row],[功能代號]],需二審tmp!A:A,1,FALSE)</f>
        <v>L6001</v>
      </c>
      <c r="AQ87" s="574" t="str">
        <f t="shared" si="9"/>
        <v>6-8</v>
      </c>
      <c r="AR87" s="576" t="str">
        <f t="shared" si="10"/>
        <v/>
      </c>
      <c r="AS87" s="578" t="str">
        <f t="shared" si="11"/>
        <v/>
      </c>
      <c r="AT87" s="580" t="str">
        <f t="shared" si="12"/>
        <v/>
      </c>
      <c r="AU87" s="582" t="str">
        <f t="shared" si="13"/>
        <v/>
      </c>
      <c r="AV87" s="584" t="str">
        <f t="shared" si="14"/>
        <v/>
      </c>
      <c r="AW87" s="662" t="str">
        <f>IFERROR(VLOOKUP(功能_33[[#This Row],[功能代號]],工作表3!C:C,1,FALSE),"未計SIT測試")</f>
        <v>L6001</v>
      </c>
    </row>
    <row r="88" spans="2:49" ht="13.5" x14ac:dyDescent="0.3">
      <c r="C88" s="292" t="s">
        <v>93</v>
      </c>
      <c r="D88" s="292" t="s">
        <v>378</v>
      </c>
      <c r="E88" s="291" t="s">
        <v>379</v>
      </c>
      <c r="F88" s="292" t="s">
        <v>380</v>
      </c>
      <c r="G88" s="292"/>
      <c r="H88" s="291" t="s">
        <v>193</v>
      </c>
      <c r="I88" s="291" t="s">
        <v>194</v>
      </c>
      <c r="J88" s="225" t="s">
        <v>2959</v>
      </c>
      <c r="K88" s="299">
        <v>44447</v>
      </c>
      <c r="L88" s="299">
        <v>44447</v>
      </c>
      <c r="M88" s="299">
        <v>44523</v>
      </c>
      <c r="N88" s="291" t="s">
        <v>12</v>
      </c>
      <c r="O88" s="291" t="s">
        <v>22</v>
      </c>
      <c r="T88" s="291"/>
      <c r="V88" s="291"/>
      <c r="W88" s="291"/>
      <c r="X88" s="292" t="str">
        <f>VLOOKUP(功能_33[[#This Row],[User]],SKL放款!A:G,7,FALSE)</f>
        <v>放款服務課</v>
      </c>
      <c r="Y88" s="299">
        <v>44533</v>
      </c>
      <c r="Z88" s="299">
        <v>44515</v>
      </c>
      <c r="AA88" s="299">
        <v>44516</v>
      </c>
      <c r="AB88" s="299">
        <v>44516</v>
      </c>
      <c r="AC88" s="299">
        <v>44539</v>
      </c>
      <c r="AD88" s="299"/>
      <c r="AE88" s="299"/>
      <c r="AF88" s="355"/>
      <c r="AG88" s="299" t="str">
        <f>IFERROR(IF(VLOOKUP(功能_33[[#This Row],[功能代號]],E:Q,11,FALSE)=0,"",VLOOKUP(功能_33[[#This Row],[功能代號]],E:Q,11,FALSE)),"")</f>
        <v>許慧玉</v>
      </c>
      <c r="AH88" s="299"/>
      <c r="AI88" s="299"/>
      <c r="AJ88" s="292"/>
      <c r="AK88" s="299"/>
      <c r="AL88" s="227" t="s">
        <v>3001</v>
      </c>
      <c r="AM88" s="227" t="s">
        <v>3001</v>
      </c>
      <c r="AN88" s="292" t="str">
        <f>VLOOKUP(功能_33[[#This Row],[功能代號]],需二審tmp!A:A,1,FALSE)</f>
        <v>L4042</v>
      </c>
      <c r="AO88" s="356">
        <v>44523</v>
      </c>
      <c r="AQ88" s="574" t="str">
        <f t="shared" si="9"/>
        <v>4-4</v>
      </c>
      <c r="AR88" s="576" t="str">
        <f t="shared" si="10"/>
        <v/>
      </c>
      <c r="AS88" s="578" t="str">
        <f t="shared" si="11"/>
        <v/>
      </c>
      <c r="AT88" s="580" t="str">
        <f t="shared" si="12"/>
        <v/>
      </c>
      <c r="AU88" s="582" t="str">
        <f t="shared" si="13"/>
        <v/>
      </c>
      <c r="AV88" s="584" t="str">
        <f t="shared" si="14"/>
        <v/>
      </c>
      <c r="AW88" s="662" t="str">
        <f>IFERROR(VLOOKUP(功能_33[[#This Row],[功能代號]],工作表3!C:C,1,FALSE),"未計SIT測試")</f>
        <v>L4042</v>
      </c>
    </row>
    <row r="89" spans="2:49" ht="27" x14ac:dyDescent="0.3">
      <c r="C89" s="292" t="s">
        <v>93</v>
      </c>
      <c r="D89" s="292" t="s">
        <v>378</v>
      </c>
      <c r="E89" s="291" t="s">
        <v>381</v>
      </c>
      <c r="F89" s="292" t="s">
        <v>382</v>
      </c>
      <c r="G89" s="292"/>
      <c r="H89" s="291" t="s">
        <v>193</v>
      </c>
      <c r="I89" s="291" t="s">
        <v>194</v>
      </c>
      <c r="J89" s="225" t="s">
        <v>2959</v>
      </c>
      <c r="K89" s="299">
        <v>44447</v>
      </c>
      <c r="L89" s="299">
        <v>44447</v>
      </c>
      <c r="M89" s="299">
        <v>44523</v>
      </c>
      <c r="N89" s="291" t="s">
        <v>12</v>
      </c>
      <c r="O89" s="291" t="s">
        <v>22</v>
      </c>
      <c r="T89" s="291"/>
      <c r="V89" s="291"/>
      <c r="W89" s="291"/>
      <c r="X89" s="292" t="str">
        <f>VLOOKUP(功能_33[[#This Row],[User]],SKL放款!A:G,7,FALSE)</f>
        <v>放款服務課</v>
      </c>
      <c r="Y89" s="299">
        <v>44533</v>
      </c>
      <c r="Z89" s="299">
        <v>44515</v>
      </c>
      <c r="AA89" s="299">
        <v>44516</v>
      </c>
      <c r="AB89" s="299">
        <v>44516</v>
      </c>
      <c r="AC89" s="299">
        <v>44539</v>
      </c>
      <c r="AD89" s="299"/>
      <c r="AE89" s="299"/>
      <c r="AF89" s="355"/>
      <c r="AG89" s="299" t="str">
        <f>IFERROR(IF(VLOOKUP(功能_33[[#This Row],[功能代號]],E:Q,11,FALSE)=0,"",VLOOKUP(功能_33[[#This Row],[功能代號]],E:Q,11,FALSE)),"")</f>
        <v>許慧玉</v>
      </c>
      <c r="AH89" s="299"/>
      <c r="AI89" s="299"/>
      <c r="AJ89" s="292"/>
      <c r="AK89" s="299"/>
      <c r="AL89" s="611" t="s">
        <v>3036</v>
      </c>
      <c r="AM89" s="219" t="s">
        <v>3037</v>
      </c>
      <c r="AN89" s="292" t="str">
        <f>VLOOKUP(功能_33[[#This Row],[功能代號]],需二審tmp!A:A,1,FALSE)</f>
        <v>L4410</v>
      </c>
      <c r="AO89" s="356">
        <v>44523</v>
      </c>
      <c r="AQ89" s="574" t="str">
        <f t="shared" si="9"/>
        <v>4-4</v>
      </c>
      <c r="AR89" s="576" t="str">
        <f t="shared" si="10"/>
        <v/>
      </c>
      <c r="AS89" s="578" t="str">
        <f t="shared" si="11"/>
        <v/>
      </c>
      <c r="AT89" s="580" t="str">
        <f t="shared" si="12"/>
        <v/>
      </c>
      <c r="AU89" s="582" t="str">
        <f t="shared" si="13"/>
        <v/>
      </c>
      <c r="AV89" s="584" t="str">
        <f t="shared" si="14"/>
        <v/>
      </c>
      <c r="AW89" s="662" t="str">
        <f>IFERROR(VLOOKUP(功能_33[[#This Row],[功能代號]],工作表3!C:C,1,FALSE),"未計SIT測試")</f>
        <v>L4410</v>
      </c>
    </row>
    <row r="90" spans="2:49" ht="40.5" x14ac:dyDescent="0.3">
      <c r="C90" s="292" t="s">
        <v>93</v>
      </c>
      <c r="D90" s="292" t="s">
        <v>378</v>
      </c>
      <c r="E90" s="291" t="s">
        <v>383</v>
      </c>
      <c r="F90" s="292" t="s">
        <v>384</v>
      </c>
      <c r="G90" s="292"/>
      <c r="H90" s="291" t="s">
        <v>193</v>
      </c>
      <c r="I90" s="291" t="s">
        <v>194</v>
      </c>
      <c r="J90" s="225" t="s">
        <v>2959</v>
      </c>
      <c r="K90" s="299">
        <v>44447</v>
      </c>
      <c r="L90" s="299">
        <v>44447</v>
      </c>
      <c r="M90" s="299">
        <v>44523</v>
      </c>
      <c r="N90" s="291" t="s">
        <v>12</v>
      </c>
      <c r="O90" s="291" t="s">
        <v>22</v>
      </c>
      <c r="T90" s="291"/>
      <c r="V90" s="291"/>
      <c r="W90" s="291"/>
      <c r="X90" s="292" t="str">
        <f>VLOOKUP(功能_33[[#This Row],[User]],SKL放款!A:G,7,FALSE)</f>
        <v>放款服務課</v>
      </c>
      <c r="Y90" s="299">
        <v>44533</v>
      </c>
      <c r="Z90" s="299" t="s">
        <v>195</v>
      </c>
      <c r="AA90" s="299">
        <v>44516</v>
      </c>
      <c r="AB90" s="299">
        <v>44516</v>
      </c>
      <c r="AC90" s="299">
        <v>44539</v>
      </c>
      <c r="AD90" s="299"/>
      <c r="AE90" s="299"/>
      <c r="AF90" s="355"/>
      <c r="AG90" s="299" t="str">
        <f>IFERROR(IF(VLOOKUP(功能_33[[#This Row],[功能代號]],E:Q,11,FALSE)=0,"",VLOOKUP(功能_33[[#This Row],[功能代號]],E:Q,11,FALSE)),"")</f>
        <v>許慧玉</v>
      </c>
      <c r="AH90" s="299"/>
      <c r="AI90" s="299"/>
      <c r="AJ90" s="292"/>
      <c r="AK90" s="299"/>
      <c r="AL90" s="611" t="s">
        <v>3039</v>
      </c>
      <c r="AM90" s="219" t="s">
        <v>3038</v>
      </c>
      <c r="AN90" s="292" t="e">
        <f>VLOOKUP(功能_33[[#This Row],[功能代號]],需二審tmp!A:A,1,FALSE)</f>
        <v>#N/A</v>
      </c>
      <c r="AO90" s="356">
        <v>44523</v>
      </c>
      <c r="AQ90" s="574" t="str">
        <f t="shared" si="9"/>
        <v>4-4</v>
      </c>
      <c r="AR90" s="576" t="str">
        <f t="shared" si="10"/>
        <v/>
      </c>
      <c r="AS90" s="578" t="str">
        <f t="shared" si="11"/>
        <v/>
      </c>
      <c r="AT90" s="580" t="str">
        <f t="shared" si="12"/>
        <v/>
      </c>
      <c r="AU90" s="582" t="str">
        <f t="shared" si="13"/>
        <v/>
      </c>
      <c r="AV90" s="584" t="str">
        <f t="shared" si="14"/>
        <v/>
      </c>
      <c r="AW90" s="662" t="str">
        <f>IFERROR(VLOOKUP(功能_33[[#This Row],[功能代號]],工作表3!C:C,1,FALSE),"未計SIT測試")</f>
        <v>L4040</v>
      </c>
    </row>
    <row r="91" spans="2:49" ht="27" x14ac:dyDescent="0.3">
      <c r="C91" s="292" t="s">
        <v>93</v>
      </c>
      <c r="D91" s="292" t="s">
        <v>378</v>
      </c>
      <c r="E91" s="291" t="s">
        <v>385</v>
      </c>
      <c r="F91" s="292" t="s">
        <v>386</v>
      </c>
      <c r="G91" s="292"/>
      <c r="H91" s="291" t="s">
        <v>193</v>
      </c>
      <c r="I91" s="291" t="s">
        <v>194</v>
      </c>
      <c r="J91" s="225" t="s">
        <v>2959</v>
      </c>
      <c r="K91" s="299">
        <v>44447</v>
      </c>
      <c r="L91" s="299">
        <v>44447</v>
      </c>
      <c r="M91" s="299">
        <v>44523</v>
      </c>
      <c r="N91" s="291" t="s">
        <v>12</v>
      </c>
      <c r="O91" s="291" t="s">
        <v>22</v>
      </c>
      <c r="T91" s="291"/>
      <c r="V91" s="291"/>
      <c r="W91" s="291"/>
      <c r="X91" s="292" t="str">
        <f>VLOOKUP(功能_33[[#This Row],[User]],SKL放款!A:G,7,FALSE)</f>
        <v>放款服務課</v>
      </c>
      <c r="Y91" s="299">
        <v>44533</v>
      </c>
      <c r="Z91" s="299" t="s">
        <v>195</v>
      </c>
      <c r="AA91" s="299">
        <v>44516</v>
      </c>
      <c r="AB91" s="299">
        <v>44516</v>
      </c>
      <c r="AC91" s="299">
        <v>44539</v>
      </c>
      <c r="AD91" s="299"/>
      <c r="AE91" s="299"/>
      <c r="AF91" s="355"/>
      <c r="AG91" s="299" t="str">
        <f>IFERROR(IF(VLOOKUP(功能_33[[#This Row],[功能代號]],E:Q,11,FALSE)=0,"",VLOOKUP(功能_33[[#This Row],[功能代號]],E:Q,11,FALSE)),"")</f>
        <v>許慧玉</v>
      </c>
      <c r="AH91" s="299"/>
      <c r="AI91" s="299"/>
      <c r="AJ91" s="292"/>
      <c r="AK91" s="299"/>
      <c r="AL91" s="611" t="s">
        <v>3045</v>
      </c>
      <c r="AM91" s="219" t="s">
        <v>3044</v>
      </c>
      <c r="AN91" s="292" t="e">
        <f>VLOOKUP(功能_33[[#This Row],[功能代號]],需二審tmp!A:A,1,FALSE)</f>
        <v>#N/A</v>
      </c>
      <c r="AO91" s="356">
        <v>44523</v>
      </c>
      <c r="AQ91" s="574" t="str">
        <f t="shared" si="9"/>
        <v>4-4</v>
      </c>
      <c r="AR91" s="576" t="str">
        <f t="shared" si="10"/>
        <v/>
      </c>
      <c r="AS91" s="578" t="str">
        <f t="shared" si="11"/>
        <v/>
      </c>
      <c r="AT91" s="580" t="str">
        <f t="shared" si="12"/>
        <v/>
      </c>
      <c r="AU91" s="582" t="str">
        <f t="shared" si="13"/>
        <v/>
      </c>
      <c r="AV91" s="584" t="str">
        <f t="shared" si="14"/>
        <v/>
      </c>
      <c r="AW91" s="662" t="str">
        <f>IFERROR(VLOOKUP(功能_33[[#This Row],[功能代號]],工作表3!C:C,1,FALSE),"未計SIT測試")</f>
        <v>L4414</v>
      </c>
    </row>
    <row r="92" spans="2:49" ht="13.5" x14ac:dyDescent="0.3">
      <c r="C92" s="292" t="s">
        <v>93</v>
      </c>
      <c r="D92" s="292" t="s">
        <v>378</v>
      </c>
      <c r="E92" s="291" t="s">
        <v>387</v>
      </c>
      <c r="F92" s="292" t="s">
        <v>388</v>
      </c>
      <c r="G92" s="292"/>
      <c r="H92" s="291" t="s">
        <v>193</v>
      </c>
      <c r="I92" s="291" t="s">
        <v>194</v>
      </c>
      <c r="J92" s="225" t="s">
        <v>2959</v>
      </c>
      <c r="K92" s="299">
        <v>44447</v>
      </c>
      <c r="L92" s="299">
        <v>44447</v>
      </c>
      <c r="M92" s="299">
        <v>44523</v>
      </c>
      <c r="N92" s="291" t="s">
        <v>12</v>
      </c>
      <c r="O92" s="291" t="s">
        <v>22</v>
      </c>
      <c r="T92" s="291"/>
      <c r="V92" s="291"/>
      <c r="W92" s="291"/>
      <c r="X92" s="292" t="str">
        <f>VLOOKUP(功能_33[[#This Row],[User]],SKL放款!A:G,7,FALSE)</f>
        <v>放款服務課</v>
      </c>
      <c r="Y92" s="299">
        <v>44533</v>
      </c>
      <c r="Z92" s="299">
        <v>44515</v>
      </c>
      <c r="AA92" s="299">
        <v>44516</v>
      </c>
      <c r="AB92" s="299">
        <v>44516</v>
      </c>
      <c r="AC92" s="299">
        <v>44539</v>
      </c>
      <c r="AD92" s="299"/>
      <c r="AE92" s="299"/>
      <c r="AF92" s="355"/>
      <c r="AG92" s="299" t="str">
        <f>IFERROR(IF(VLOOKUP(功能_33[[#This Row],[功能代號]],E:Q,11,FALSE)=0,"",VLOOKUP(功能_33[[#This Row],[功能代號]],E:Q,11,FALSE)),"")</f>
        <v>許慧玉</v>
      </c>
      <c r="AH92" s="299"/>
      <c r="AI92" s="299"/>
      <c r="AJ92" s="292"/>
      <c r="AK92" s="299"/>
      <c r="AL92" s="227" t="s">
        <v>3001</v>
      </c>
      <c r="AM92" s="227" t="s">
        <v>3001</v>
      </c>
      <c r="AN92" s="292" t="str">
        <f>VLOOKUP(功能_33[[#This Row],[功能代號]],需二審tmp!A:A,1,FALSE)</f>
        <v>L4940</v>
      </c>
      <c r="AO92" s="356">
        <v>44523</v>
      </c>
      <c r="AQ92" s="574" t="str">
        <f t="shared" si="9"/>
        <v>4-4</v>
      </c>
      <c r="AR92" s="576" t="str">
        <f t="shared" si="10"/>
        <v/>
      </c>
      <c r="AS92" s="578" t="str">
        <f t="shared" si="11"/>
        <v/>
      </c>
      <c r="AT92" s="580" t="str">
        <f t="shared" si="12"/>
        <v/>
      </c>
      <c r="AU92" s="582" t="str">
        <f t="shared" si="13"/>
        <v/>
      </c>
      <c r="AV92" s="584" t="str">
        <f t="shared" si="14"/>
        <v/>
      </c>
      <c r="AW92" s="662" t="str">
        <f>IFERROR(VLOOKUP(功能_33[[#This Row],[功能代號]],工作表3!C:C,1,FALSE),"未計SIT測試")</f>
        <v>L4940</v>
      </c>
    </row>
    <row r="93" spans="2:49" ht="13.5" x14ac:dyDescent="0.3">
      <c r="C93" s="292" t="s">
        <v>93</v>
      </c>
      <c r="D93" s="292" t="s">
        <v>378</v>
      </c>
      <c r="E93" s="291" t="s">
        <v>389</v>
      </c>
      <c r="F93" s="292" t="s">
        <v>390</v>
      </c>
      <c r="G93" s="292"/>
      <c r="H93" s="291" t="s">
        <v>193</v>
      </c>
      <c r="I93" s="291" t="s">
        <v>194</v>
      </c>
      <c r="J93" s="225" t="s">
        <v>2959</v>
      </c>
      <c r="K93" s="299">
        <v>44447</v>
      </c>
      <c r="L93" s="299">
        <v>44447</v>
      </c>
      <c r="M93" s="299">
        <v>44523</v>
      </c>
      <c r="N93" s="291" t="s">
        <v>12</v>
      </c>
      <c r="O93" s="291" t="s">
        <v>22</v>
      </c>
      <c r="T93" s="291"/>
      <c r="V93" s="291"/>
      <c r="W93" s="291"/>
      <c r="X93" s="292" t="str">
        <f>VLOOKUP(功能_33[[#This Row],[User]],SKL放款!A:G,7,FALSE)</f>
        <v>放款服務課</v>
      </c>
      <c r="Y93" s="299">
        <v>44533</v>
      </c>
      <c r="Z93" s="299">
        <v>44515</v>
      </c>
      <c r="AA93" s="299">
        <v>44516</v>
      </c>
      <c r="AB93" s="299">
        <v>44516</v>
      </c>
      <c r="AC93" s="299">
        <v>44539</v>
      </c>
      <c r="AD93" s="299"/>
      <c r="AE93" s="299"/>
      <c r="AF93" s="355"/>
      <c r="AG93" s="299" t="str">
        <f>IFERROR(IF(VLOOKUP(功能_33[[#This Row],[功能代號]],E:Q,11,FALSE)=0,"",VLOOKUP(功能_33[[#This Row],[功能代號]],E:Q,11,FALSE)),"")</f>
        <v>許慧玉</v>
      </c>
      <c r="AH93" s="299"/>
      <c r="AI93" s="299"/>
      <c r="AJ93" s="292"/>
      <c r="AK93" s="299"/>
      <c r="AL93" s="227" t="s">
        <v>3001</v>
      </c>
      <c r="AM93" s="227" t="s">
        <v>3001</v>
      </c>
      <c r="AN93" s="292" t="str">
        <f>VLOOKUP(功能_33[[#This Row],[功能代號]],需二審tmp!A:A,1,FALSE)</f>
        <v>L4941</v>
      </c>
      <c r="AO93" s="356">
        <v>44523</v>
      </c>
      <c r="AQ93" s="574" t="str">
        <f t="shared" si="9"/>
        <v>4-4</v>
      </c>
      <c r="AR93" s="576" t="str">
        <f t="shared" si="10"/>
        <v/>
      </c>
      <c r="AS93" s="578" t="str">
        <f t="shared" si="11"/>
        <v/>
      </c>
      <c r="AT93" s="580" t="str">
        <f t="shared" si="12"/>
        <v/>
      </c>
      <c r="AU93" s="582" t="str">
        <f t="shared" si="13"/>
        <v/>
      </c>
      <c r="AV93" s="584" t="str">
        <f t="shared" si="14"/>
        <v/>
      </c>
      <c r="AW93" s="662" t="str">
        <f>IFERROR(VLOOKUP(功能_33[[#This Row],[功能代號]],工作表3!C:C,1,FALSE),"未計SIT測試")</f>
        <v>L4941</v>
      </c>
    </row>
    <row r="94" spans="2:49" ht="13.5" x14ac:dyDescent="0.3">
      <c r="C94" s="292" t="s">
        <v>93</v>
      </c>
      <c r="D94" s="292" t="s">
        <v>378</v>
      </c>
      <c r="E94" s="291" t="s">
        <v>391</v>
      </c>
      <c r="F94" s="292" t="s">
        <v>392</v>
      </c>
      <c r="G94" s="292"/>
      <c r="H94" s="291" t="s">
        <v>193</v>
      </c>
      <c r="I94" s="291" t="s">
        <v>194</v>
      </c>
      <c r="J94" s="225" t="s">
        <v>2959</v>
      </c>
      <c r="K94" s="299">
        <v>44448</v>
      </c>
      <c r="L94" s="299">
        <v>44448</v>
      </c>
      <c r="M94" s="299">
        <v>44523</v>
      </c>
      <c r="N94" s="291" t="s">
        <v>12</v>
      </c>
      <c r="O94" s="291" t="s">
        <v>23</v>
      </c>
      <c r="T94" s="291"/>
      <c r="V94" s="291"/>
      <c r="W94" s="291"/>
      <c r="X94" s="292" t="str">
        <f>VLOOKUP(功能_33[[#This Row],[User]],SKL放款!A:G,7,FALSE)</f>
        <v>放款服務課</v>
      </c>
      <c r="Y94" s="299">
        <v>44533</v>
      </c>
      <c r="Z94" s="299">
        <v>44515</v>
      </c>
      <c r="AA94" s="299">
        <v>44516</v>
      </c>
      <c r="AB94" s="299">
        <v>44516</v>
      </c>
      <c r="AC94" s="299">
        <v>44539</v>
      </c>
      <c r="AD94" s="299"/>
      <c r="AE94" s="299"/>
      <c r="AF94" s="355"/>
      <c r="AG94" s="299" t="str">
        <f>IFERROR(IF(VLOOKUP(功能_33[[#This Row],[功能代號]],E:Q,11,FALSE)=0,"",VLOOKUP(功能_33[[#This Row],[功能代號]],E:Q,11,FALSE)),"")</f>
        <v>宋郁宏</v>
      </c>
      <c r="AH94" s="299"/>
      <c r="AI94" s="299"/>
      <c r="AJ94" s="292"/>
      <c r="AK94" s="299"/>
      <c r="AL94" s="227" t="s">
        <v>3001</v>
      </c>
      <c r="AM94" s="227" t="s">
        <v>3001</v>
      </c>
      <c r="AN94" s="292" t="str">
        <f>VLOOKUP(功能_33[[#This Row],[功能代號]],需二審tmp!A:A,1,FALSE)</f>
        <v>L4043</v>
      </c>
      <c r="AO94" s="356">
        <v>44523</v>
      </c>
      <c r="AQ94" s="574" t="str">
        <f t="shared" si="9"/>
        <v>4-4</v>
      </c>
      <c r="AR94" s="576" t="str">
        <f t="shared" si="10"/>
        <v/>
      </c>
      <c r="AS94" s="578" t="str">
        <f t="shared" si="11"/>
        <v/>
      </c>
      <c r="AT94" s="580" t="str">
        <f t="shared" si="12"/>
        <v/>
      </c>
      <c r="AU94" s="582" t="str">
        <f t="shared" si="13"/>
        <v/>
      </c>
      <c r="AV94" s="584" t="str">
        <f t="shared" si="14"/>
        <v/>
      </c>
      <c r="AW94" s="662" t="str">
        <f>IFERROR(VLOOKUP(功能_33[[#This Row],[功能代號]],工作表3!C:C,1,FALSE),"未計SIT測試")</f>
        <v>L4043</v>
      </c>
    </row>
    <row r="95" spans="2:49" ht="27" x14ac:dyDescent="0.3">
      <c r="C95" s="292" t="s">
        <v>93</v>
      </c>
      <c r="D95" s="292" t="s">
        <v>378</v>
      </c>
      <c r="E95" s="291" t="s">
        <v>393</v>
      </c>
      <c r="F95" s="292" t="s">
        <v>394</v>
      </c>
      <c r="G95" s="292"/>
      <c r="H95" s="291" t="s">
        <v>193</v>
      </c>
      <c r="I95" s="291" t="s">
        <v>194</v>
      </c>
      <c r="J95" s="225" t="s">
        <v>2959</v>
      </c>
      <c r="K95" s="299">
        <v>44448</v>
      </c>
      <c r="L95" s="299">
        <v>44448</v>
      </c>
      <c r="M95" s="299">
        <v>44523</v>
      </c>
      <c r="N95" s="291" t="s">
        <v>12</v>
      </c>
      <c r="O95" s="291" t="s">
        <v>23</v>
      </c>
      <c r="T95" s="291"/>
      <c r="V95" s="291"/>
      <c r="W95" s="291"/>
      <c r="X95" s="292" t="str">
        <f>VLOOKUP(功能_33[[#This Row],[User]],SKL放款!A:G,7,FALSE)</f>
        <v>放款服務課</v>
      </c>
      <c r="Y95" s="299">
        <v>44533</v>
      </c>
      <c r="Z95" s="299">
        <v>44515</v>
      </c>
      <c r="AA95" s="299">
        <v>44516</v>
      </c>
      <c r="AB95" s="299">
        <v>44516</v>
      </c>
      <c r="AC95" s="299">
        <v>44539</v>
      </c>
      <c r="AD95" s="299"/>
      <c r="AE95" s="299"/>
      <c r="AF95" s="355"/>
      <c r="AG95" s="299" t="str">
        <f>IFERROR(IF(VLOOKUP(功能_33[[#This Row],[功能代號]],E:Q,11,FALSE)=0,"",VLOOKUP(功能_33[[#This Row],[功能代號]],E:Q,11,FALSE)),"")</f>
        <v>宋郁宏</v>
      </c>
      <c r="AH95" s="299"/>
      <c r="AI95" s="299"/>
      <c r="AJ95" s="292"/>
      <c r="AK95" s="299"/>
      <c r="AL95" s="611" t="s">
        <v>3040</v>
      </c>
      <c r="AM95" s="219" t="s">
        <v>3041</v>
      </c>
      <c r="AN95" s="292" t="str">
        <f>VLOOKUP(功能_33[[#This Row],[功能代號]],需二審tmp!A:A,1,FALSE)</f>
        <v>L4412</v>
      </c>
      <c r="AO95" s="356">
        <v>44523</v>
      </c>
      <c r="AQ95" s="574" t="str">
        <f t="shared" si="9"/>
        <v>4-4</v>
      </c>
      <c r="AR95" s="576" t="str">
        <f t="shared" si="10"/>
        <v/>
      </c>
      <c r="AS95" s="578" t="str">
        <f t="shared" si="11"/>
        <v/>
      </c>
      <c r="AT95" s="580" t="str">
        <f t="shared" si="12"/>
        <v/>
      </c>
      <c r="AU95" s="582" t="str">
        <f t="shared" si="13"/>
        <v/>
      </c>
      <c r="AV95" s="584" t="str">
        <f t="shared" si="14"/>
        <v/>
      </c>
      <c r="AW95" s="662" t="str">
        <f>IFERROR(VLOOKUP(功能_33[[#This Row],[功能代號]],工作表3!C:C,1,FALSE),"未計SIT測試")</f>
        <v>L4412</v>
      </c>
    </row>
    <row r="96" spans="2:49" ht="40.5" x14ac:dyDescent="0.3">
      <c r="C96" s="292" t="s">
        <v>93</v>
      </c>
      <c r="D96" s="292" t="s">
        <v>378</v>
      </c>
      <c r="E96" s="291" t="s">
        <v>395</v>
      </c>
      <c r="F96" s="292" t="s">
        <v>396</v>
      </c>
      <c r="G96" s="292"/>
      <c r="H96" s="291" t="s">
        <v>193</v>
      </c>
      <c r="I96" s="291" t="s">
        <v>194</v>
      </c>
      <c r="J96" s="225" t="s">
        <v>2959</v>
      </c>
      <c r="K96" s="299">
        <v>44448</v>
      </c>
      <c r="L96" s="299">
        <v>44448</v>
      </c>
      <c r="M96" s="299">
        <v>44523</v>
      </c>
      <c r="N96" s="291" t="s">
        <v>12</v>
      </c>
      <c r="O96" s="291" t="s">
        <v>23</v>
      </c>
      <c r="T96" s="291"/>
      <c r="V96" s="291"/>
      <c r="W96" s="291"/>
      <c r="X96" s="292" t="str">
        <f>VLOOKUP(功能_33[[#This Row],[User]],SKL放款!A:G,7,FALSE)</f>
        <v>放款服務課</v>
      </c>
      <c r="Y96" s="299">
        <v>44533</v>
      </c>
      <c r="Z96" s="299" t="s">
        <v>195</v>
      </c>
      <c r="AA96" s="299">
        <v>44516</v>
      </c>
      <c r="AB96" s="299">
        <v>44516</v>
      </c>
      <c r="AC96" s="299">
        <v>44539</v>
      </c>
      <c r="AD96" s="299"/>
      <c r="AE96" s="299"/>
      <c r="AF96" s="355"/>
      <c r="AG96" s="299" t="str">
        <f>IFERROR(IF(VLOOKUP(功能_33[[#This Row],[功能代號]],E:Q,11,FALSE)=0,"",VLOOKUP(功能_33[[#This Row],[功能代號]],E:Q,11,FALSE)),"")</f>
        <v>宋郁宏</v>
      </c>
      <c r="AH96" s="299"/>
      <c r="AI96" s="299"/>
      <c r="AJ96" s="292"/>
      <c r="AK96" s="299"/>
      <c r="AL96" s="611" t="s">
        <v>3043</v>
      </c>
      <c r="AM96" s="219" t="s">
        <v>3042</v>
      </c>
      <c r="AN96" s="292" t="e">
        <f>VLOOKUP(功能_33[[#This Row],[功能代號]],需二審tmp!A:A,1,FALSE)</f>
        <v>#N/A</v>
      </c>
      <c r="AO96" s="356">
        <v>44523</v>
      </c>
      <c r="AQ96" s="574" t="str">
        <f t="shared" si="9"/>
        <v>4-4</v>
      </c>
      <c r="AR96" s="576" t="str">
        <f t="shared" si="10"/>
        <v/>
      </c>
      <c r="AS96" s="578" t="str">
        <f t="shared" si="11"/>
        <v/>
      </c>
      <c r="AT96" s="580" t="str">
        <f t="shared" si="12"/>
        <v/>
      </c>
      <c r="AU96" s="582" t="str">
        <f t="shared" si="13"/>
        <v/>
      </c>
      <c r="AV96" s="584" t="str">
        <f t="shared" si="14"/>
        <v/>
      </c>
      <c r="AW96" s="662" t="str">
        <f>IFERROR(VLOOKUP(功能_33[[#This Row],[功能代號]],工作表3!C:C,1,FALSE),"未計SIT測試")</f>
        <v>L4041</v>
      </c>
    </row>
    <row r="97" spans="2:49" ht="13.5" x14ac:dyDescent="0.3">
      <c r="C97" s="292" t="s">
        <v>93</v>
      </c>
      <c r="D97" s="292" t="s">
        <v>378</v>
      </c>
      <c r="E97" s="291" t="s">
        <v>397</v>
      </c>
      <c r="F97" s="292" t="s">
        <v>398</v>
      </c>
      <c r="G97" s="292"/>
      <c r="H97" s="291" t="s">
        <v>193</v>
      </c>
      <c r="I97" s="291" t="s">
        <v>194</v>
      </c>
      <c r="J97" s="225" t="s">
        <v>2959</v>
      </c>
      <c r="K97" s="299">
        <v>44448</v>
      </c>
      <c r="L97" s="299">
        <v>44448</v>
      </c>
      <c r="M97" s="299">
        <v>44523</v>
      </c>
      <c r="N97" s="291" t="s">
        <v>12</v>
      </c>
      <c r="O97" s="291" t="s">
        <v>23</v>
      </c>
      <c r="T97" s="291"/>
      <c r="V97" s="291"/>
      <c r="W97" s="291"/>
      <c r="X97" s="292" t="str">
        <f>VLOOKUP(功能_33[[#This Row],[User]],SKL放款!A:G,7,FALSE)</f>
        <v>放款服務課</v>
      </c>
      <c r="Y97" s="299">
        <v>44533</v>
      </c>
      <c r="Z97" s="299" t="s">
        <v>195</v>
      </c>
      <c r="AA97" s="299">
        <v>44516</v>
      </c>
      <c r="AB97" s="299">
        <v>44516</v>
      </c>
      <c r="AC97" s="299">
        <v>44539</v>
      </c>
      <c r="AD97" s="299"/>
      <c r="AE97" s="299"/>
      <c r="AF97" s="355"/>
      <c r="AG97" s="299" t="str">
        <f>IFERROR(IF(VLOOKUP(功能_33[[#This Row],[功能代號]],E:Q,11,FALSE)=0,"",VLOOKUP(功能_33[[#This Row],[功能代號]],E:Q,11,FALSE)),"")</f>
        <v>宋郁宏</v>
      </c>
      <c r="AH97" s="299"/>
      <c r="AI97" s="299"/>
      <c r="AJ97" s="292"/>
      <c r="AK97" s="299"/>
      <c r="AL97" s="227" t="s">
        <v>3001</v>
      </c>
      <c r="AM97" s="227" t="s">
        <v>3001</v>
      </c>
      <c r="AN97" s="292" t="e">
        <f>VLOOKUP(功能_33[[#This Row],[功能代號]],需二審tmp!A:A,1,FALSE)</f>
        <v>#N/A</v>
      </c>
      <c r="AO97" s="356">
        <v>44523</v>
      </c>
      <c r="AQ97" s="574" t="str">
        <f t="shared" si="9"/>
        <v>4-4</v>
      </c>
      <c r="AR97" s="576" t="str">
        <f t="shared" si="10"/>
        <v/>
      </c>
      <c r="AS97" s="578" t="str">
        <f t="shared" si="11"/>
        <v/>
      </c>
      <c r="AT97" s="580" t="str">
        <f t="shared" si="12"/>
        <v/>
      </c>
      <c r="AU97" s="582" t="str">
        <f t="shared" si="13"/>
        <v/>
      </c>
      <c r="AV97" s="584" t="str">
        <f t="shared" si="14"/>
        <v/>
      </c>
      <c r="AW97" s="662" t="str">
        <f>IFERROR(VLOOKUP(功能_33[[#This Row],[功能代號]],工作表3!C:C,1,FALSE),"未計SIT測試")</f>
        <v>L4942</v>
      </c>
    </row>
    <row r="98" spans="2:49" ht="13.5" x14ac:dyDescent="0.3">
      <c r="B98" s="292">
        <v>1</v>
      </c>
      <c r="C98" s="292" t="s">
        <v>92</v>
      </c>
      <c r="D98" s="359" t="s">
        <v>2835</v>
      </c>
      <c r="E98" s="291" t="s">
        <v>399</v>
      </c>
      <c r="F98" s="292" t="s">
        <v>400</v>
      </c>
      <c r="G98" s="292"/>
      <c r="H98" s="291" t="s">
        <v>193</v>
      </c>
      <c r="I98" s="291" t="s">
        <v>194</v>
      </c>
      <c r="J98" s="225" t="s">
        <v>310</v>
      </c>
      <c r="K98" s="299">
        <v>44452</v>
      </c>
      <c r="L98" s="299">
        <v>44452</v>
      </c>
      <c r="M98" s="299">
        <v>44452</v>
      </c>
      <c r="N98" s="291" t="s">
        <v>8</v>
      </c>
      <c r="O98" s="291" t="s">
        <v>24</v>
      </c>
      <c r="T98" s="291"/>
      <c r="V98" s="291"/>
      <c r="W98" s="291"/>
      <c r="X98" s="292" t="str">
        <f>VLOOKUP(功能_33[[#This Row],[User]],SKL放款!A:G,7,FALSE)</f>
        <v>放款服務課</v>
      </c>
      <c r="Y98" s="299">
        <v>44496</v>
      </c>
      <c r="Z98" s="299">
        <v>44488</v>
      </c>
      <c r="AA98" s="299">
        <v>44496</v>
      </c>
      <c r="AB98" s="299">
        <v>44496</v>
      </c>
      <c r="AC98" s="299">
        <v>44512</v>
      </c>
      <c r="AD98" s="299" t="s">
        <v>196</v>
      </c>
      <c r="AE98" s="299"/>
      <c r="AF98" s="355"/>
      <c r="AG98" s="299" t="str">
        <f>IFERROR(IF(VLOOKUP(功能_33[[#This Row],[功能代號]],E:Q,11,FALSE)=0,"",VLOOKUP(功能_33[[#This Row],[功能代號]],E:Q,11,FALSE)),"")</f>
        <v>邵淑微</v>
      </c>
      <c r="AH98" s="299"/>
      <c r="AI98" s="299"/>
      <c r="AJ98" s="292"/>
      <c r="AK98" s="299"/>
      <c r="AL98" s="291">
        <v>336</v>
      </c>
      <c r="AM98" s="292" t="s">
        <v>401</v>
      </c>
      <c r="AN98" s="292" t="e">
        <f>VLOOKUP(功能_33[[#This Row],[功能代號]],需二審tmp!A:A,1,FALSE)</f>
        <v>#N/A</v>
      </c>
      <c r="AO98" s="356">
        <v>44512</v>
      </c>
      <c r="AQ98" s="574" t="str">
        <f t="shared" si="9"/>
        <v>3-3</v>
      </c>
      <c r="AR98" s="576" t="str">
        <f t="shared" si="10"/>
        <v/>
      </c>
      <c r="AS98" s="578" t="str">
        <f t="shared" si="11"/>
        <v/>
      </c>
      <c r="AT98" s="580" t="str">
        <f t="shared" si="12"/>
        <v/>
      </c>
      <c r="AU98" s="582" t="str">
        <f t="shared" si="13"/>
        <v/>
      </c>
      <c r="AV98" s="584" t="str">
        <f t="shared" si="14"/>
        <v/>
      </c>
      <c r="AW98" s="662" t="str">
        <f>IFERROR(VLOOKUP(功能_33[[#This Row],[功能代號]],工作表3!C:C,1,FALSE),"未計SIT測試")</f>
        <v>L3210</v>
      </c>
    </row>
    <row r="99" spans="2:49" ht="13.5" x14ac:dyDescent="0.3">
      <c r="B99" s="292">
        <v>1</v>
      </c>
      <c r="C99" s="292" t="s">
        <v>92</v>
      </c>
      <c r="D99" s="359" t="s">
        <v>2835</v>
      </c>
      <c r="E99" s="291" t="s">
        <v>402</v>
      </c>
      <c r="F99" s="292" t="s">
        <v>403</v>
      </c>
      <c r="G99" s="292"/>
      <c r="H99" s="291" t="s">
        <v>193</v>
      </c>
      <c r="I99" s="291" t="s">
        <v>194</v>
      </c>
      <c r="J99" s="225" t="s">
        <v>3058</v>
      </c>
      <c r="K99" s="299">
        <v>44452</v>
      </c>
      <c r="L99" s="299">
        <v>44452</v>
      </c>
      <c r="M99" s="299">
        <f>IFERROR(IF(VLOOKUP(功能_33[[#This Row],[功能代號]],討論項目!A:H,8,FALSE)=0,"",VLOOKUP(功能_33[[#This Row],[功能代號]],討論項目!A:H,8,FALSE)),"")</f>
        <v>44487</v>
      </c>
      <c r="N99" s="291" t="s">
        <v>8</v>
      </c>
      <c r="O99" s="291" t="s">
        <v>24</v>
      </c>
      <c r="T99" s="291"/>
      <c r="V99" s="291"/>
      <c r="W99" s="291"/>
      <c r="X99" s="292" t="str">
        <f>VLOOKUP(功能_33[[#This Row],[User]],SKL放款!A:G,7,FALSE)</f>
        <v>放款服務課</v>
      </c>
      <c r="Y99" s="299">
        <v>44496</v>
      </c>
      <c r="Z99" s="299">
        <v>44488</v>
      </c>
      <c r="AA99" s="299">
        <v>44497</v>
      </c>
      <c r="AB99" s="299">
        <v>44497</v>
      </c>
      <c r="AC99" s="222" t="s">
        <v>3059</v>
      </c>
      <c r="AD99" s="299" t="s">
        <v>196</v>
      </c>
      <c r="AE99" s="299"/>
      <c r="AF99" s="355"/>
      <c r="AG99" s="299" t="str">
        <f>IFERROR(IF(VLOOKUP(功能_33[[#This Row],[功能代號]],E:Q,11,FALSE)=0,"",VLOOKUP(功能_33[[#This Row],[功能代號]],E:Q,11,FALSE)),"")</f>
        <v>邵淑微</v>
      </c>
      <c r="AH99" s="299"/>
      <c r="AI99" s="299"/>
      <c r="AJ99" s="292"/>
      <c r="AK99" s="299"/>
      <c r="AL99" s="291">
        <v>337</v>
      </c>
      <c r="AM99" s="292" t="s">
        <v>404</v>
      </c>
      <c r="AN99" s="292" t="str">
        <f>VLOOKUP(功能_33[[#This Row],[功能代號]],需二審tmp!A:A,1,FALSE)</f>
        <v>L3220</v>
      </c>
      <c r="AO99" s="356">
        <v>44512</v>
      </c>
      <c r="AQ99" s="574" t="str">
        <f t="shared" si="9"/>
        <v>3-3</v>
      </c>
      <c r="AR99" s="576" t="str">
        <f t="shared" si="10"/>
        <v/>
      </c>
      <c r="AS99" s="578" t="str">
        <f t="shared" si="11"/>
        <v/>
      </c>
      <c r="AT99" s="580" t="str">
        <f t="shared" si="12"/>
        <v/>
      </c>
      <c r="AU99" s="582" t="str">
        <f t="shared" si="13"/>
        <v/>
      </c>
      <c r="AV99" s="584" t="str">
        <f t="shared" si="14"/>
        <v/>
      </c>
      <c r="AW99" s="662" t="str">
        <f>IFERROR(VLOOKUP(功能_33[[#This Row],[功能代號]],工作表3!C:C,1,FALSE),"未計SIT測試")</f>
        <v>L3220</v>
      </c>
    </row>
    <row r="100" spans="2:49" ht="13.5" x14ac:dyDescent="0.3">
      <c r="C100" s="292" t="s">
        <v>93</v>
      </c>
      <c r="D100" s="226" t="s">
        <v>368</v>
      </c>
      <c r="E100" s="291" t="s">
        <v>405</v>
      </c>
      <c r="F100" s="292" t="s">
        <v>406</v>
      </c>
      <c r="G100" s="292" t="s">
        <v>407</v>
      </c>
      <c r="H100" s="291" t="s">
        <v>193</v>
      </c>
      <c r="I100" s="291" t="s">
        <v>203</v>
      </c>
      <c r="J100" s="225" t="s">
        <v>2959</v>
      </c>
      <c r="K100" s="299">
        <v>44481</v>
      </c>
      <c r="L100" s="299">
        <v>44484</v>
      </c>
      <c r="M100" s="299">
        <v>44533</v>
      </c>
      <c r="N100" s="291" t="s">
        <v>12</v>
      </c>
      <c r="O100" s="291" t="s">
        <v>18</v>
      </c>
      <c r="T100" s="291"/>
      <c r="V100" s="291"/>
      <c r="W100" s="291"/>
      <c r="X100" s="292" t="str">
        <f>VLOOKUP(功能_33[[#This Row],[User]],SKL放款!A:G,7,FALSE)</f>
        <v>放款服務課</v>
      </c>
      <c r="Y100" s="299">
        <v>44533</v>
      </c>
      <c r="Z100" s="299">
        <v>44515</v>
      </c>
      <c r="AA100" s="299">
        <v>44523</v>
      </c>
      <c r="AB100" s="299">
        <v>44524</v>
      </c>
      <c r="AC100" s="299">
        <v>44539</v>
      </c>
      <c r="AD100" s="299"/>
      <c r="AE100" s="299"/>
      <c r="AF100" s="299"/>
      <c r="AG100" s="299" t="str">
        <f>IFERROR(IF(VLOOKUP(功能_33[[#This Row],[功能代號]],E:Q,11,FALSE)=0,"",VLOOKUP(功能_33[[#This Row],[功能代號]],E:Q,11,FALSE)),"")</f>
        <v>尹少玄</v>
      </c>
      <c r="AH100" s="299"/>
      <c r="AI100" s="299"/>
      <c r="AJ100" s="292"/>
      <c r="AL100" s="227" t="s">
        <v>3035</v>
      </c>
      <c r="AM100" s="227" t="s">
        <v>3035</v>
      </c>
      <c r="AN100" s="292" t="e">
        <f>VLOOKUP(功能_33[[#This Row],[功能代號]],需二審tmp!A:A,1,FALSE)</f>
        <v>#N/A</v>
      </c>
      <c r="AO100" s="356">
        <v>44533</v>
      </c>
      <c r="AQ100" s="574" t="str">
        <f t="shared" si="9"/>
        <v>4-1</v>
      </c>
      <c r="AR100" s="576" t="str">
        <f t="shared" si="10"/>
        <v/>
      </c>
      <c r="AS100" s="578" t="str">
        <f t="shared" si="11"/>
        <v/>
      </c>
      <c r="AT100" s="580" t="str">
        <f t="shared" si="12"/>
        <v/>
      </c>
      <c r="AU100" s="582" t="str">
        <f t="shared" si="13"/>
        <v/>
      </c>
      <c r="AV100" s="584" t="str">
        <f t="shared" si="14"/>
        <v/>
      </c>
      <c r="AW100" s="662" t="str">
        <f>IFERROR(VLOOKUP(功能_33[[#This Row],[功能代號]],工作表3!C:C,1,FALSE),"未計SIT測試")</f>
        <v>L4102</v>
      </c>
    </row>
    <row r="101" spans="2:49" ht="13.5" x14ac:dyDescent="0.3">
      <c r="C101" s="292" t="s">
        <v>93</v>
      </c>
      <c r="D101" s="226" t="s">
        <v>368</v>
      </c>
      <c r="E101" s="291" t="s">
        <v>408</v>
      </c>
      <c r="F101" s="292" t="s">
        <v>409</v>
      </c>
      <c r="G101" s="292" t="s">
        <v>407</v>
      </c>
      <c r="H101" s="291" t="s">
        <v>193</v>
      </c>
      <c r="I101" s="291" t="s">
        <v>203</v>
      </c>
      <c r="J101" s="225" t="s">
        <v>2959</v>
      </c>
      <c r="K101" s="299">
        <v>44481</v>
      </c>
      <c r="L101" s="299">
        <v>44484</v>
      </c>
      <c r="M101" s="299">
        <v>44523</v>
      </c>
      <c r="N101" s="291" t="s">
        <v>12</v>
      </c>
      <c r="O101" s="291" t="s">
        <v>18</v>
      </c>
      <c r="T101" s="291"/>
      <c r="V101" s="291"/>
      <c r="W101" s="291"/>
      <c r="X101" s="292" t="str">
        <f>VLOOKUP(功能_33[[#This Row],[User]],SKL放款!A:G,7,FALSE)</f>
        <v>放款服務課</v>
      </c>
      <c r="Y101" s="299">
        <v>44533</v>
      </c>
      <c r="Z101" s="299">
        <v>44515</v>
      </c>
      <c r="AA101" s="299">
        <v>44523</v>
      </c>
      <c r="AB101" s="299">
        <v>44524</v>
      </c>
      <c r="AC101" s="299">
        <v>44539</v>
      </c>
      <c r="AD101" s="299"/>
      <c r="AE101" s="299"/>
      <c r="AF101" s="299"/>
      <c r="AG101" s="299" t="str">
        <f>IFERROR(IF(VLOOKUP(功能_33[[#This Row],[功能代號]],E:Q,11,FALSE)=0,"",VLOOKUP(功能_33[[#This Row],[功能代號]],E:Q,11,FALSE)),"")</f>
        <v>尹少玄</v>
      </c>
      <c r="AH101" s="299"/>
      <c r="AI101" s="299"/>
      <c r="AJ101" s="292"/>
      <c r="AL101" s="227" t="s">
        <v>3035</v>
      </c>
      <c r="AM101" s="227" t="s">
        <v>3035</v>
      </c>
      <c r="AN101" s="292" t="e">
        <f>VLOOKUP(功能_33[[#This Row],[功能代號]],需二審tmp!A:A,1,FALSE)</f>
        <v>#N/A</v>
      </c>
      <c r="AO101" s="356">
        <v>44523</v>
      </c>
      <c r="AQ101" s="574" t="str">
        <f t="shared" si="9"/>
        <v>4-1</v>
      </c>
      <c r="AR101" s="576" t="str">
        <f t="shared" si="10"/>
        <v/>
      </c>
      <c r="AS101" s="578" t="str">
        <f t="shared" si="11"/>
        <v/>
      </c>
      <c r="AT101" s="580" t="str">
        <f t="shared" si="12"/>
        <v/>
      </c>
      <c r="AU101" s="582" t="str">
        <f t="shared" si="13"/>
        <v/>
      </c>
      <c r="AV101" s="584" t="str">
        <f t="shared" si="14"/>
        <v/>
      </c>
      <c r="AW101" s="662" t="str">
        <f>IFERROR(VLOOKUP(功能_33[[#This Row],[功能代號]],工作表3!C:C,1,FALSE),"未計SIT測試")</f>
        <v>L4103</v>
      </c>
    </row>
    <row r="102" spans="2:49" ht="13.5" x14ac:dyDescent="0.3">
      <c r="C102" s="292" t="s">
        <v>93</v>
      </c>
      <c r="D102" s="226" t="s">
        <v>410</v>
      </c>
      <c r="E102" s="291" t="s">
        <v>411</v>
      </c>
      <c r="F102" s="292" t="s">
        <v>412</v>
      </c>
      <c r="G102" s="292" t="s">
        <v>407</v>
      </c>
      <c r="H102" s="291" t="s">
        <v>193</v>
      </c>
      <c r="I102" s="291" t="s">
        <v>203</v>
      </c>
      <c r="J102" s="225" t="s">
        <v>2959</v>
      </c>
      <c r="K102" s="299">
        <v>44481</v>
      </c>
      <c r="L102" s="299">
        <v>44484</v>
      </c>
      <c r="M102" s="299">
        <v>44523</v>
      </c>
      <c r="N102" s="291" t="s">
        <v>12</v>
      </c>
      <c r="O102" s="291" t="s">
        <v>22</v>
      </c>
      <c r="T102" s="291"/>
      <c r="V102" s="291"/>
      <c r="W102" s="291"/>
      <c r="X102" s="292" t="str">
        <f>VLOOKUP(功能_33[[#This Row],[User]],SKL放款!A:G,7,FALSE)</f>
        <v>放款服務課</v>
      </c>
      <c r="Y102" s="299">
        <v>44533</v>
      </c>
      <c r="Z102" s="299">
        <v>44523</v>
      </c>
      <c r="AA102" s="299">
        <v>44523</v>
      </c>
      <c r="AB102" s="299">
        <v>44525</v>
      </c>
      <c r="AC102" s="299">
        <v>44539</v>
      </c>
      <c r="AD102" s="299"/>
      <c r="AE102" s="299"/>
      <c r="AF102" s="299"/>
      <c r="AG102" s="299" t="str">
        <f>IFERROR(IF(VLOOKUP(功能_33[[#This Row],[功能代號]],E:Q,11,FALSE)=0,"",VLOOKUP(功能_33[[#This Row],[功能代號]],E:Q,11,FALSE)),"")</f>
        <v>許慧玉</v>
      </c>
      <c r="AH102" s="299"/>
      <c r="AI102" s="299"/>
      <c r="AJ102" s="292"/>
      <c r="AL102" s="291" t="s">
        <v>2976</v>
      </c>
      <c r="AM102" s="291" t="s">
        <v>2976</v>
      </c>
      <c r="AN102" s="292" t="e">
        <f>VLOOKUP(功能_33[[#This Row],[功能代號]],需二審tmp!A:A,1,FALSE)</f>
        <v>#N/A</v>
      </c>
      <c r="AO102" s="356">
        <v>44523</v>
      </c>
      <c r="AQ102" s="574" t="str">
        <f t="shared" si="9"/>
        <v>4-2</v>
      </c>
      <c r="AR102" s="576" t="str">
        <f t="shared" si="10"/>
        <v/>
      </c>
      <c r="AS102" s="578" t="str">
        <f t="shared" si="11"/>
        <v/>
      </c>
      <c r="AT102" s="580" t="str">
        <f t="shared" si="12"/>
        <v/>
      </c>
      <c r="AU102" s="582" t="str">
        <f t="shared" si="13"/>
        <v/>
      </c>
      <c r="AV102" s="584" t="str">
        <f t="shared" si="14"/>
        <v/>
      </c>
      <c r="AW102" s="662" t="str">
        <f>IFERROR(VLOOKUP(功能_33[[#This Row],[功能代號]],工作表3!C:C,1,FALSE),"未計SIT測試")</f>
        <v>L4922</v>
      </c>
    </row>
    <row r="103" spans="2:49" ht="13.5" x14ac:dyDescent="0.3">
      <c r="C103" s="292" t="s">
        <v>93</v>
      </c>
      <c r="D103" s="226" t="s">
        <v>410</v>
      </c>
      <c r="E103" s="291" t="s">
        <v>413</v>
      </c>
      <c r="F103" s="292" t="s">
        <v>414</v>
      </c>
      <c r="G103" s="292" t="s">
        <v>407</v>
      </c>
      <c r="H103" s="291" t="s">
        <v>193</v>
      </c>
      <c r="I103" s="291" t="s">
        <v>203</v>
      </c>
      <c r="J103" s="225" t="s">
        <v>2959</v>
      </c>
      <c r="K103" s="299">
        <v>44481</v>
      </c>
      <c r="L103" s="299">
        <v>44484</v>
      </c>
      <c r="M103" s="299">
        <v>44523</v>
      </c>
      <c r="N103" s="291" t="s">
        <v>12</v>
      </c>
      <c r="O103" s="291" t="s">
        <v>22</v>
      </c>
      <c r="T103" s="291"/>
      <c r="V103" s="291"/>
      <c r="W103" s="291"/>
      <c r="X103" s="292" t="str">
        <f>VLOOKUP(功能_33[[#This Row],[User]],SKL放款!A:G,7,FALSE)</f>
        <v>放款服務課</v>
      </c>
      <c r="Y103" s="299">
        <v>44533</v>
      </c>
      <c r="Z103" s="299">
        <v>44523</v>
      </c>
      <c r="AA103" s="299">
        <v>44523</v>
      </c>
      <c r="AB103" s="299">
        <v>44525</v>
      </c>
      <c r="AC103" s="299">
        <v>44539</v>
      </c>
      <c r="AD103" s="299"/>
      <c r="AE103" s="299"/>
      <c r="AF103" s="299"/>
      <c r="AG103" s="299" t="str">
        <f>IFERROR(IF(VLOOKUP(功能_33[[#This Row],[功能代號]],E:Q,11,FALSE)=0,"",VLOOKUP(功能_33[[#This Row],[功能代號]],E:Q,11,FALSE)),"")</f>
        <v>許慧玉</v>
      </c>
      <c r="AH103" s="299"/>
      <c r="AI103" s="299"/>
      <c r="AJ103" s="292"/>
      <c r="AL103" s="291" t="s">
        <v>2976</v>
      </c>
      <c r="AM103" s="291" t="s">
        <v>2976</v>
      </c>
      <c r="AN103" s="292" t="e">
        <f>VLOOKUP(功能_33[[#This Row],[功能代號]],需二審tmp!A:A,1,FALSE)</f>
        <v>#N/A</v>
      </c>
      <c r="AO103" s="356">
        <v>44523</v>
      </c>
      <c r="AQ103" s="574" t="str">
        <f t="shared" si="9"/>
        <v>4-2</v>
      </c>
      <c r="AR103" s="576" t="str">
        <f t="shared" si="10"/>
        <v/>
      </c>
      <c r="AS103" s="578" t="str">
        <f t="shared" si="11"/>
        <v/>
      </c>
      <c r="AT103" s="580" t="str">
        <f t="shared" si="12"/>
        <v/>
      </c>
      <c r="AU103" s="582" t="str">
        <f t="shared" si="13"/>
        <v/>
      </c>
      <c r="AV103" s="584" t="str">
        <f t="shared" si="14"/>
        <v/>
      </c>
      <c r="AW103" s="662" t="str">
        <f>IFERROR(VLOOKUP(功能_33[[#This Row],[功能代號]],工作表3!C:C,1,FALSE),"未計SIT測試")</f>
        <v>L4923</v>
      </c>
    </row>
    <row r="104" spans="2:49" ht="13.5" x14ac:dyDescent="0.3">
      <c r="C104" s="292" t="s">
        <v>95</v>
      </c>
      <c r="D104" s="292" t="s">
        <v>2810</v>
      </c>
      <c r="E104" s="291" t="s">
        <v>415</v>
      </c>
      <c r="F104" s="292" t="s">
        <v>416</v>
      </c>
      <c r="G104" s="292"/>
      <c r="H104" s="291" t="s">
        <v>193</v>
      </c>
      <c r="I104" s="291" t="s">
        <v>314</v>
      </c>
      <c r="J104" s="225" t="s">
        <v>3234</v>
      </c>
      <c r="K104" s="299">
        <v>44452</v>
      </c>
      <c r="L104" s="299">
        <v>44452</v>
      </c>
      <c r="M104" s="299">
        <v>44540</v>
      </c>
      <c r="N104" s="291" t="s">
        <v>12</v>
      </c>
      <c r="O104" s="291" t="s">
        <v>11</v>
      </c>
      <c r="T104" s="291"/>
      <c r="V104" s="291"/>
      <c r="W104" s="291"/>
      <c r="X104" s="292" t="str">
        <f>VLOOKUP(功能_33[[#This Row],[User]],SKL放款!A:G,7,FALSE)</f>
        <v>放款服務課</v>
      </c>
      <c r="Y104" s="299">
        <v>44540</v>
      </c>
      <c r="Z104" s="299" t="s">
        <v>133</v>
      </c>
      <c r="AA104" s="299">
        <v>44546</v>
      </c>
      <c r="AB104" s="299">
        <v>44546</v>
      </c>
      <c r="AC104" s="299">
        <v>44550</v>
      </c>
      <c r="AD104" s="299"/>
      <c r="AE104" s="299"/>
      <c r="AF104" s="355"/>
      <c r="AG104" s="299" t="str">
        <f>IFERROR(IF(VLOOKUP(功能_33[[#This Row],[功能代號]],E:Q,11,FALSE)=0,"",VLOOKUP(功能_33[[#This Row],[功能代號]],E:Q,11,FALSE)),"")</f>
        <v>蔡珮瑜</v>
      </c>
      <c r="AH104" s="299"/>
      <c r="AI104" s="299"/>
      <c r="AJ104" s="292"/>
      <c r="AK104" s="224" t="s">
        <v>418</v>
      </c>
      <c r="AL104" s="291" t="s">
        <v>2976</v>
      </c>
      <c r="AN104" s="292" t="str">
        <f>VLOOKUP(功能_33[[#This Row],[功能代號]],需二審tmp!A:A,1,FALSE)</f>
        <v>L6101</v>
      </c>
      <c r="AO104" s="356">
        <v>44533</v>
      </c>
      <c r="AQ104" s="574" t="str">
        <f t="shared" si="9"/>
        <v>6-1</v>
      </c>
      <c r="AR104" s="576" t="str">
        <f t="shared" si="10"/>
        <v/>
      </c>
      <c r="AS104" s="578" t="str">
        <f t="shared" si="11"/>
        <v/>
      </c>
      <c r="AT104" s="580" t="str">
        <f t="shared" si="12"/>
        <v/>
      </c>
      <c r="AU104" s="582" t="str">
        <f t="shared" si="13"/>
        <v/>
      </c>
      <c r="AV104" s="584" t="str">
        <f t="shared" si="14"/>
        <v/>
      </c>
      <c r="AW104" s="662" t="str">
        <f>IFERROR(VLOOKUP(功能_33[[#This Row],[功能代號]],工作表3!C:C,1,FALSE),"未計SIT測試")</f>
        <v>L6101</v>
      </c>
    </row>
    <row r="105" spans="2:49" ht="27" x14ac:dyDescent="0.3">
      <c r="C105" s="292" t="s">
        <v>93</v>
      </c>
      <c r="D105" s="292" t="s">
        <v>419</v>
      </c>
      <c r="E105" s="291" t="s">
        <v>420</v>
      </c>
      <c r="F105" s="292" t="s">
        <v>421</v>
      </c>
      <c r="G105" s="292"/>
      <c r="H105" s="291" t="s">
        <v>193</v>
      </c>
      <c r="I105" s="291" t="s">
        <v>194</v>
      </c>
      <c r="J105" s="225" t="s">
        <v>2959</v>
      </c>
      <c r="K105" s="299">
        <v>44452</v>
      </c>
      <c r="L105" s="299">
        <v>44452</v>
      </c>
      <c r="M105" s="299">
        <v>44372</v>
      </c>
      <c r="N105" s="291" t="s">
        <v>8</v>
      </c>
      <c r="O105" s="291" t="s">
        <v>24</v>
      </c>
      <c r="T105" s="291"/>
      <c r="V105" s="291"/>
      <c r="W105" s="291"/>
      <c r="X105" s="292" t="str">
        <f>VLOOKUP(功能_33[[#This Row],[User]],SKL放款!A:G,7,FALSE)</f>
        <v>放款服務課</v>
      </c>
      <c r="Y105" s="299">
        <v>44496</v>
      </c>
      <c r="Z105" s="299" t="s">
        <v>195</v>
      </c>
      <c r="AA105" s="299">
        <v>44525</v>
      </c>
      <c r="AB105" s="299">
        <v>44524</v>
      </c>
      <c r="AC105" s="299">
        <v>44539</v>
      </c>
      <c r="AD105" s="299"/>
      <c r="AE105" s="299"/>
      <c r="AF105" s="355"/>
      <c r="AG105" s="299" t="str">
        <f>IFERROR(IF(VLOOKUP(功能_33[[#This Row],[功能代號]],E:Q,11,FALSE)=0,"",VLOOKUP(功能_33[[#This Row],[功能代號]],E:Q,11,FALSE)),"")</f>
        <v>邵淑微</v>
      </c>
      <c r="AH105" s="299"/>
      <c r="AI105" s="299"/>
      <c r="AJ105" s="292"/>
      <c r="AK105" s="299"/>
      <c r="AL105" s="308" t="s">
        <v>3002</v>
      </c>
      <c r="AM105" s="219" t="s">
        <v>3003</v>
      </c>
      <c r="AN105" s="292" t="e">
        <f>VLOOKUP(功能_33[[#This Row],[功能代號]],需二審tmp!A:A,1,FALSE)</f>
        <v>#N/A</v>
      </c>
      <c r="AO105" s="356">
        <v>44523</v>
      </c>
      <c r="AQ105" s="574" t="str">
        <f t="shared" si="9"/>
        <v>4-7</v>
      </c>
      <c r="AR105" s="576" t="str">
        <f t="shared" si="10"/>
        <v/>
      </c>
      <c r="AS105" s="578" t="str">
        <f t="shared" si="11"/>
        <v/>
      </c>
      <c r="AT105" s="580" t="str">
        <f t="shared" si="12"/>
        <v/>
      </c>
      <c r="AU105" s="582" t="str">
        <f t="shared" si="13"/>
        <v/>
      </c>
      <c r="AV105" s="584" t="str">
        <f t="shared" si="14"/>
        <v/>
      </c>
      <c r="AW105" s="662" t="str">
        <f>IFERROR(VLOOKUP(功能_33[[#This Row],[功能代號]],工作表3!C:C,1,FALSE),"未計SIT測試")</f>
        <v>L4701</v>
      </c>
    </row>
    <row r="106" spans="2:49" ht="13.5" x14ac:dyDescent="0.3">
      <c r="B106" s="292">
        <v>1</v>
      </c>
      <c r="C106" s="292" t="s">
        <v>92</v>
      </c>
      <c r="D106" s="359" t="s">
        <v>2835</v>
      </c>
      <c r="E106" s="291" t="s">
        <v>422</v>
      </c>
      <c r="F106" s="292" t="s">
        <v>423</v>
      </c>
      <c r="G106" s="292"/>
      <c r="H106" s="291" t="s">
        <v>193</v>
      </c>
      <c r="I106" s="291" t="s">
        <v>194</v>
      </c>
      <c r="J106" s="225" t="s">
        <v>310</v>
      </c>
      <c r="K106" s="299">
        <v>44452</v>
      </c>
      <c r="L106" s="299">
        <v>44452</v>
      </c>
      <c r="M106" s="299">
        <f>IFERROR(IF(VLOOKUP(功能_33[[#This Row],[功能代號]],討論項目!A:H,8,FALSE)=0,"",VLOOKUP(功能_33[[#This Row],[功能代號]],討論項目!A:H,8,FALSE)),"")</f>
        <v>44487</v>
      </c>
      <c r="N106" s="291" t="s">
        <v>8</v>
      </c>
      <c r="O106" s="291" t="s">
        <v>24</v>
      </c>
      <c r="T106" s="291"/>
      <c r="V106" s="291"/>
      <c r="W106" s="291"/>
      <c r="X106" s="292" t="str">
        <f>VLOOKUP(功能_33[[#This Row],[User]],SKL放款!A:G,7,FALSE)</f>
        <v>放款服務課</v>
      </c>
      <c r="Y106" s="299">
        <v>44496</v>
      </c>
      <c r="Z106" s="299">
        <v>44488</v>
      </c>
      <c r="AA106" s="299">
        <v>44496</v>
      </c>
      <c r="AB106" s="299">
        <v>44496</v>
      </c>
      <c r="AC106" s="299">
        <v>44512</v>
      </c>
      <c r="AD106" s="299" t="s">
        <v>196</v>
      </c>
      <c r="AE106" s="299"/>
      <c r="AF106" s="355"/>
      <c r="AG106" s="299" t="str">
        <f>IFERROR(IF(VLOOKUP(功能_33[[#This Row],[功能代號]],E:Q,11,FALSE)=0,"",VLOOKUP(功能_33[[#This Row],[功能代號]],E:Q,11,FALSE)),"")</f>
        <v>邵淑微</v>
      </c>
      <c r="AH106" s="299"/>
      <c r="AI106" s="299"/>
      <c r="AJ106" s="292"/>
      <c r="AK106" s="299"/>
      <c r="AL106" s="291">
        <v>338</v>
      </c>
      <c r="AM106" s="292" t="s">
        <v>424</v>
      </c>
      <c r="AN106" s="292" t="str">
        <f>VLOOKUP(功能_33[[#This Row],[功能代號]],需二審tmp!A:A,1,FALSE)</f>
        <v>L3007</v>
      </c>
      <c r="AO106" s="356">
        <v>44512</v>
      </c>
      <c r="AQ106" s="574" t="str">
        <f t="shared" si="9"/>
        <v>3-3</v>
      </c>
      <c r="AR106" s="576" t="str">
        <f t="shared" si="10"/>
        <v/>
      </c>
      <c r="AS106" s="578" t="str">
        <f t="shared" si="11"/>
        <v/>
      </c>
      <c r="AT106" s="580" t="str">
        <f t="shared" si="12"/>
        <v/>
      </c>
      <c r="AU106" s="582" t="str">
        <f t="shared" si="13"/>
        <v/>
      </c>
      <c r="AV106" s="584" t="str">
        <f t="shared" si="14"/>
        <v/>
      </c>
      <c r="AW106" s="662" t="str">
        <f>IFERROR(VLOOKUP(功能_33[[#This Row],[功能代號]],工作表3!C:C,1,FALSE),"未計SIT測試")</f>
        <v>L3007</v>
      </c>
    </row>
    <row r="107" spans="2:49" ht="40.5" x14ac:dyDescent="0.3">
      <c r="B107" s="292">
        <v>1</v>
      </c>
      <c r="C107" s="292" t="s">
        <v>92</v>
      </c>
      <c r="D107" s="359" t="s">
        <v>2835</v>
      </c>
      <c r="E107" s="291" t="s">
        <v>425</v>
      </c>
      <c r="F107" s="292" t="s">
        <v>426</v>
      </c>
      <c r="G107" s="292"/>
      <c r="H107" s="291" t="s">
        <v>193</v>
      </c>
      <c r="I107" s="291" t="s">
        <v>194</v>
      </c>
      <c r="J107" s="225" t="s">
        <v>310</v>
      </c>
      <c r="K107" s="299">
        <v>44452</v>
      </c>
      <c r="L107" s="299">
        <v>44452</v>
      </c>
      <c r="M107" s="299">
        <f>IFERROR(IF(VLOOKUP(功能_33[[#This Row],[功能代號]],討論項目!A:H,8,FALSE)=0,"",VLOOKUP(功能_33[[#This Row],[功能代號]],討論項目!A:H,8,FALSE)),"")</f>
        <v>44487</v>
      </c>
      <c r="N107" s="291" t="s">
        <v>8</v>
      </c>
      <c r="O107" s="291" t="s">
        <v>24</v>
      </c>
      <c r="T107" s="291"/>
      <c r="V107" s="291"/>
      <c r="W107" s="291"/>
      <c r="X107" s="292" t="str">
        <f>VLOOKUP(功能_33[[#This Row],[User]],SKL放款!A:G,7,FALSE)</f>
        <v>放款服務課</v>
      </c>
      <c r="Y107" s="299">
        <v>44496</v>
      </c>
      <c r="Z107" s="299">
        <v>44488</v>
      </c>
      <c r="AA107" s="299">
        <v>44496</v>
      </c>
      <c r="AB107" s="299">
        <v>44496</v>
      </c>
      <c r="AC107" s="299">
        <v>44512</v>
      </c>
      <c r="AD107" s="299" t="s">
        <v>196</v>
      </c>
      <c r="AE107" s="299"/>
      <c r="AF107" s="355"/>
      <c r="AG107" s="299" t="str">
        <f>IFERROR(IF(VLOOKUP(功能_33[[#This Row],[功能代號]],E:Q,11,FALSE)=0,"",VLOOKUP(功能_33[[#This Row],[功能代號]],E:Q,11,FALSE)),"")</f>
        <v>邵淑微</v>
      </c>
      <c r="AH107" s="299"/>
      <c r="AI107" s="299"/>
      <c r="AJ107" s="292"/>
      <c r="AK107" s="299"/>
      <c r="AL107" s="308" t="s">
        <v>3046</v>
      </c>
      <c r="AM107" s="219" t="s">
        <v>3047</v>
      </c>
      <c r="AN107" s="292" t="str">
        <f>VLOOKUP(功能_33[[#This Row],[功能代號]],需二審tmp!A:A,1,FALSE)</f>
        <v>L3009</v>
      </c>
      <c r="AO107" s="356">
        <v>44512</v>
      </c>
      <c r="AQ107" s="574" t="str">
        <f t="shared" si="9"/>
        <v>3-3</v>
      </c>
      <c r="AR107" s="576" t="str">
        <f t="shared" si="10"/>
        <v/>
      </c>
      <c r="AS107" s="578" t="str">
        <f t="shared" si="11"/>
        <v/>
      </c>
      <c r="AT107" s="580" t="str">
        <f t="shared" si="12"/>
        <v/>
      </c>
      <c r="AU107" s="582" t="str">
        <f t="shared" si="13"/>
        <v/>
      </c>
      <c r="AV107" s="584" t="str">
        <f t="shared" si="14"/>
        <v/>
      </c>
      <c r="AW107" s="662" t="str">
        <f>IFERROR(VLOOKUP(功能_33[[#This Row],[功能代號]],工作表3!C:C,1,FALSE),"未計SIT測試")</f>
        <v>L3009</v>
      </c>
    </row>
    <row r="108" spans="2:49" ht="13.5" x14ac:dyDescent="0.3">
      <c r="B108" s="292">
        <v>1</v>
      </c>
      <c r="C108" s="292" t="s">
        <v>92</v>
      </c>
      <c r="D108" s="359" t="s">
        <v>2835</v>
      </c>
      <c r="E108" s="291" t="s">
        <v>427</v>
      </c>
      <c r="F108" s="292" t="s">
        <v>428</v>
      </c>
      <c r="G108" s="292"/>
      <c r="H108" s="291" t="s">
        <v>193</v>
      </c>
      <c r="I108" s="291" t="s">
        <v>194</v>
      </c>
      <c r="J108" s="225" t="s">
        <v>310</v>
      </c>
      <c r="K108" s="299">
        <v>44452</v>
      </c>
      <c r="L108" s="299">
        <v>44452</v>
      </c>
      <c r="M108" s="299">
        <f>IFERROR(IF(VLOOKUP(功能_33[[#This Row],[功能代號]],討論項目!A:H,8,FALSE)=0,"",VLOOKUP(功能_33[[#This Row],[功能代號]],討論項目!A:H,8,FALSE)),"")</f>
        <v>44487</v>
      </c>
      <c r="N108" s="291" t="s">
        <v>8</v>
      </c>
      <c r="O108" s="291" t="s">
        <v>24</v>
      </c>
      <c r="T108" s="291"/>
      <c r="V108" s="291"/>
      <c r="W108" s="291"/>
      <c r="X108" s="292" t="str">
        <f>VLOOKUP(功能_33[[#This Row],[User]],SKL放款!A:G,7,FALSE)</f>
        <v>放款服務課</v>
      </c>
      <c r="Y108" s="299">
        <v>44496</v>
      </c>
      <c r="Z108" s="299">
        <v>44488</v>
      </c>
      <c r="AA108" s="299">
        <v>44496</v>
      </c>
      <c r="AB108" s="299">
        <v>44496</v>
      </c>
      <c r="AC108" s="299">
        <v>44512</v>
      </c>
      <c r="AD108" s="299" t="s">
        <v>196</v>
      </c>
      <c r="AE108" s="299"/>
      <c r="AF108" s="355"/>
      <c r="AG108" s="299" t="str">
        <f>IFERROR(IF(VLOOKUP(功能_33[[#This Row],[功能代號]],E:Q,11,FALSE)=0,"",VLOOKUP(功能_33[[#This Row],[功能代號]],E:Q,11,FALSE)),"")</f>
        <v>邵淑微</v>
      </c>
      <c r="AH108" s="299"/>
      <c r="AI108" s="299"/>
      <c r="AJ108" s="292"/>
      <c r="AK108" s="299"/>
      <c r="AL108" s="291" t="s">
        <v>190</v>
      </c>
      <c r="AN108" s="292" t="str">
        <f>VLOOKUP(功能_33[[#This Row],[功能代號]],需二審tmp!A:A,1,FALSE)</f>
        <v>L3943</v>
      </c>
      <c r="AO108" s="356">
        <v>44512</v>
      </c>
      <c r="AQ108" s="574" t="str">
        <f t="shared" si="9"/>
        <v>3-3</v>
      </c>
      <c r="AR108" s="576" t="str">
        <f t="shared" si="10"/>
        <v/>
      </c>
      <c r="AS108" s="578" t="str">
        <f t="shared" si="11"/>
        <v/>
      </c>
      <c r="AT108" s="580" t="str">
        <f t="shared" si="12"/>
        <v/>
      </c>
      <c r="AU108" s="582" t="str">
        <f t="shared" si="13"/>
        <v/>
      </c>
      <c r="AV108" s="584" t="str">
        <f t="shared" si="14"/>
        <v/>
      </c>
      <c r="AW108" s="662" t="str">
        <f>IFERROR(VLOOKUP(功能_33[[#This Row],[功能代號]],工作表3!C:C,1,FALSE),"未計SIT測試")</f>
        <v>L3943</v>
      </c>
    </row>
    <row r="109" spans="2:49" ht="13.5" x14ac:dyDescent="0.3">
      <c r="C109" s="292" t="s">
        <v>91</v>
      </c>
      <c r="D109" s="292" t="s">
        <v>2841</v>
      </c>
      <c r="E109" s="291" t="s">
        <v>429</v>
      </c>
      <c r="F109" s="292" t="s">
        <v>430</v>
      </c>
      <c r="G109" s="292"/>
      <c r="H109" s="291" t="s">
        <v>193</v>
      </c>
      <c r="I109" s="291" t="s">
        <v>203</v>
      </c>
      <c r="J109" s="225" t="s">
        <v>3223</v>
      </c>
      <c r="K109" s="299">
        <v>44453</v>
      </c>
      <c r="L109" s="299">
        <v>44453</v>
      </c>
      <c r="M109" s="299">
        <f>IFERROR(IF(VLOOKUP(功能_33[[#This Row],[功能代號]],討論項目!A:H,8,FALSE)=0,"",VLOOKUP(功能_33[[#This Row],[功能代號]],討論項目!A:H,8,FALSE)),"")</f>
        <v>44461</v>
      </c>
      <c r="N109" s="291" t="s">
        <v>12</v>
      </c>
      <c r="O109" s="291" t="s">
        <v>11</v>
      </c>
      <c r="T109" s="291"/>
      <c r="V109" s="291"/>
      <c r="W109" s="291"/>
      <c r="X109" s="292" t="str">
        <f>VLOOKUP(功能_33[[#This Row],[User]],SKL放款!A:G,7,FALSE)</f>
        <v>放款服務課</v>
      </c>
      <c r="Y109" s="299">
        <v>44533</v>
      </c>
      <c r="Z109" s="299">
        <v>44470</v>
      </c>
      <c r="AA109" s="299">
        <f>IF(功能_33[[#This Row],[URS交二審]]=0,"",功能_33[[#This Row],[URS交二審]]+7)</f>
        <v>44477</v>
      </c>
      <c r="AB109" s="299">
        <f>IF(功能_33[[#This Row],[URS交二審]]=0,"",功能_33[[#This Row],[URS交二審]]+7)</f>
        <v>44477</v>
      </c>
      <c r="AC109" s="299">
        <v>44546</v>
      </c>
      <c r="AD109" s="299" t="s">
        <v>196</v>
      </c>
      <c r="AE109" s="299"/>
      <c r="AF109" s="355"/>
      <c r="AG109" s="299" t="str">
        <f>IFERROR(IF(VLOOKUP(功能_33[[#This Row],[功能代號]],E:Q,11,FALSE)=0,"",VLOOKUP(功能_33[[#This Row],[功能代號]],E:Q,11,FALSE)),"")</f>
        <v>蔡珮瑜</v>
      </c>
      <c r="AH109" s="299"/>
      <c r="AI109" s="299"/>
      <c r="AJ109" s="292"/>
      <c r="AK109" s="299"/>
      <c r="AL109" s="291" t="s">
        <v>431</v>
      </c>
      <c r="AM109" s="292" t="s">
        <v>432</v>
      </c>
      <c r="AN109" s="292" t="str">
        <f>VLOOKUP(功能_33[[#This Row],[功能代號]],需二審tmp!A:A,1,FALSE)</f>
        <v>L2061</v>
      </c>
      <c r="AO109" s="356">
        <v>44523</v>
      </c>
      <c r="AQ109" s="574" t="str">
        <f t="shared" si="9"/>
        <v>2-9</v>
      </c>
      <c r="AR109" s="576" t="str">
        <f t="shared" si="10"/>
        <v/>
      </c>
      <c r="AS109" s="578" t="str">
        <f t="shared" si="11"/>
        <v/>
      </c>
      <c r="AT109" s="580" t="str">
        <f t="shared" si="12"/>
        <v/>
      </c>
      <c r="AU109" s="582" t="str">
        <f t="shared" si="13"/>
        <v/>
      </c>
      <c r="AV109" s="584" t="str">
        <f t="shared" si="14"/>
        <v/>
      </c>
      <c r="AW109" s="662" t="str">
        <f>IFERROR(VLOOKUP(功能_33[[#This Row],[功能代號]],工作表3!C:C,1,FALSE),"未計SIT測試")</f>
        <v>未計SIT測試</v>
      </c>
    </row>
    <row r="110" spans="2:49" ht="13.5" x14ac:dyDescent="0.3">
      <c r="C110" s="292" t="s">
        <v>91</v>
      </c>
      <c r="D110" s="292" t="s">
        <v>2841</v>
      </c>
      <c r="E110" s="291" t="s">
        <v>433</v>
      </c>
      <c r="F110" s="292" t="s">
        <v>434</v>
      </c>
      <c r="G110" s="292"/>
      <c r="H110" s="291" t="s">
        <v>193</v>
      </c>
      <c r="I110" s="291" t="s">
        <v>203</v>
      </c>
      <c r="J110" s="225" t="s">
        <v>3223</v>
      </c>
      <c r="K110" s="299">
        <v>44453</v>
      </c>
      <c r="L110" s="299">
        <v>44453</v>
      </c>
      <c r="M110" s="299">
        <f>IFERROR(IF(VLOOKUP(功能_33[[#This Row],[功能代號]],討論項目!A:H,8,FALSE)=0,"",VLOOKUP(功能_33[[#This Row],[功能代號]],討論項目!A:H,8,FALSE)),"")</f>
        <v>44461</v>
      </c>
      <c r="N110" s="291" t="s">
        <v>12</v>
      </c>
      <c r="O110" s="291" t="s">
        <v>11</v>
      </c>
      <c r="T110" s="291"/>
      <c r="V110" s="291"/>
      <c r="W110" s="291"/>
      <c r="X110" s="292" t="str">
        <f>VLOOKUP(功能_33[[#This Row],[User]],SKL放款!A:G,7,FALSE)</f>
        <v>放款服務課</v>
      </c>
      <c r="Y110" s="299">
        <v>44533</v>
      </c>
      <c r="Z110" s="299">
        <v>44470</v>
      </c>
      <c r="AA110" s="299">
        <f>IF(功能_33[[#This Row],[URS交二審]]=0,"",功能_33[[#This Row],[URS交二審]]+7)</f>
        <v>44477</v>
      </c>
      <c r="AB110" s="299">
        <f>IF(功能_33[[#This Row],[URS交二審]]=0,"",功能_33[[#This Row],[URS交二審]]+7)</f>
        <v>44477</v>
      </c>
      <c r="AC110" s="299">
        <v>44546</v>
      </c>
      <c r="AD110" s="299" t="s">
        <v>196</v>
      </c>
      <c r="AE110" s="299"/>
      <c r="AF110" s="355"/>
      <c r="AG110" s="299" t="str">
        <f>IFERROR(IF(VLOOKUP(功能_33[[#This Row],[功能代號]],E:Q,11,FALSE)=0,"",VLOOKUP(功能_33[[#This Row],[功能代號]],E:Q,11,FALSE)),"")</f>
        <v>蔡珮瑜</v>
      </c>
      <c r="AH110" s="299"/>
      <c r="AI110" s="299"/>
      <c r="AJ110" s="292"/>
      <c r="AK110" s="299"/>
      <c r="AL110" s="291" t="s">
        <v>431</v>
      </c>
      <c r="AM110" s="292" t="s">
        <v>435</v>
      </c>
      <c r="AN110" s="292" t="str">
        <f>VLOOKUP(功能_33[[#This Row],[功能代號]],需二審tmp!A:A,1,FALSE)</f>
        <v>L2670</v>
      </c>
      <c r="AO110" s="356">
        <v>44523</v>
      </c>
      <c r="AQ110" s="574" t="str">
        <f t="shared" si="9"/>
        <v>2-9</v>
      </c>
      <c r="AR110" s="576" t="str">
        <f t="shared" si="10"/>
        <v/>
      </c>
      <c r="AS110" s="578" t="str">
        <f t="shared" si="11"/>
        <v/>
      </c>
      <c r="AT110" s="580" t="str">
        <f t="shared" si="12"/>
        <v/>
      </c>
      <c r="AU110" s="582" t="str">
        <f t="shared" si="13"/>
        <v/>
      </c>
      <c r="AV110" s="584" t="str">
        <f t="shared" si="14"/>
        <v/>
      </c>
      <c r="AW110" s="662" t="str">
        <f>IFERROR(VLOOKUP(功能_33[[#This Row],[功能代號]],工作表3!C:C,1,FALSE),"未計SIT測試")</f>
        <v>未計SIT測試</v>
      </c>
    </row>
    <row r="111" spans="2:49" ht="13.5" x14ac:dyDescent="0.3">
      <c r="C111" s="292" t="s">
        <v>91</v>
      </c>
      <c r="D111" s="292" t="s">
        <v>2841</v>
      </c>
      <c r="E111" s="291" t="s">
        <v>436</v>
      </c>
      <c r="F111" s="292" t="s">
        <v>437</v>
      </c>
      <c r="G111" s="292"/>
      <c r="H111" s="291" t="s">
        <v>193</v>
      </c>
      <c r="I111" s="291" t="s">
        <v>203</v>
      </c>
      <c r="J111" s="225" t="s">
        <v>3223</v>
      </c>
      <c r="K111" s="299">
        <v>44453</v>
      </c>
      <c r="L111" s="299">
        <v>44453</v>
      </c>
      <c r="M111" s="299">
        <f>IFERROR(IF(VLOOKUP(功能_33[[#This Row],[功能代號]],討論項目!A:H,8,FALSE)=0,"",VLOOKUP(功能_33[[#This Row],[功能代號]],討論項目!A:H,8,FALSE)),"")</f>
        <v>44461</v>
      </c>
      <c r="N111" s="291" t="s">
        <v>12</v>
      </c>
      <c r="O111" s="291" t="s">
        <v>11</v>
      </c>
      <c r="T111" s="291"/>
      <c r="V111" s="291"/>
      <c r="W111" s="291"/>
      <c r="X111" s="292" t="str">
        <f>VLOOKUP(功能_33[[#This Row],[User]],SKL放款!A:G,7,FALSE)</f>
        <v>放款服務課</v>
      </c>
      <c r="Y111" s="299">
        <v>44533</v>
      </c>
      <c r="Z111" s="299">
        <v>44470</v>
      </c>
      <c r="AA111" s="299">
        <f>IF(功能_33[[#This Row],[URS交二審]]=0,"",功能_33[[#This Row],[URS交二審]]+7)</f>
        <v>44477</v>
      </c>
      <c r="AB111" s="299">
        <f>IF(功能_33[[#This Row],[URS交二審]]=0,"",功能_33[[#This Row],[URS交二審]]+7)</f>
        <v>44477</v>
      </c>
      <c r="AC111" s="299">
        <v>44546</v>
      </c>
      <c r="AD111" s="299" t="s">
        <v>196</v>
      </c>
      <c r="AE111" s="299"/>
      <c r="AF111" s="355"/>
      <c r="AG111" s="299" t="str">
        <f>IFERROR(IF(VLOOKUP(功能_33[[#This Row],[功能代號]],E:Q,11,FALSE)=0,"",VLOOKUP(功能_33[[#This Row],[功能代號]],E:Q,11,FALSE)),"")</f>
        <v>蔡珮瑜</v>
      </c>
      <c r="AH111" s="299"/>
      <c r="AI111" s="299"/>
      <c r="AJ111" s="292"/>
      <c r="AK111" s="299"/>
      <c r="AL111" s="291" t="s">
        <v>438</v>
      </c>
      <c r="AM111" s="292" t="s">
        <v>432</v>
      </c>
      <c r="AN111" s="292" t="str">
        <f>VLOOKUP(功能_33[[#This Row],[功能代號]],需二審tmp!A:A,1,FALSE)</f>
        <v>L2062</v>
      </c>
      <c r="AO111" s="356">
        <v>44523</v>
      </c>
      <c r="AQ111" s="574" t="str">
        <f t="shared" si="9"/>
        <v>2-9</v>
      </c>
      <c r="AR111" s="576" t="str">
        <f t="shared" si="10"/>
        <v/>
      </c>
      <c r="AS111" s="578" t="str">
        <f t="shared" si="11"/>
        <v/>
      </c>
      <c r="AT111" s="580" t="str">
        <f t="shared" si="12"/>
        <v/>
      </c>
      <c r="AU111" s="582" t="str">
        <f t="shared" si="13"/>
        <v/>
      </c>
      <c r="AV111" s="584" t="str">
        <f t="shared" si="14"/>
        <v/>
      </c>
      <c r="AW111" s="662" t="str">
        <f>IFERROR(VLOOKUP(功能_33[[#This Row],[功能代號]],工作表3!C:C,1,FALSE),"未計SIT測試")</f>
        <v>未計SIT測試</v>
      </c>
    </row>
    <row r="112" spans="2:49" ht="13.5" x14ac:dyDescent="0.3">
      <c r="C112" s="292" t="s">
        <v>93</v>
      </c>
      <c r="D112" s="292" t="s">
        <v>439</v>
      </c>
      <c r="E112" s="291" t="s">
        <v>440</v>
      </c>
      <c r="F112" s="292" t="s">
        <v>441</v>
      </c>
      <c r="G112" s="292"/>
      <c r="H112" s="291" t="s">
        <v>193</v>
      </c>
      <c r="I112" s="291" t="s">
        <v>2774</v>
      </c>
      <c r="J112" s="225" t="s">
        <v>2959</v>
      </c>
      <c r="K112" s="299">
        <v>44455</v>
      </c>
      <c r="L112" s="299">
        <v>44455</v>
      </c>
      <c r="M112" s="299">
        <v>44523</v>
      </c>
      <c r="N112" s="291" t="s">
        <v>10</v>
      </c>
      <c r="O112" s="291" t="s">
        <v>24</v>
      </c>
      <c r="T112" s="291"/>
      <c r="V112" s="291"/>
      <c r="W112" s="291"/>
      <c r="X112" s="292" t="str">
        <f>VLOOKUP(功能_33[[#This Row],[User]],SKL放款!A:G,7,FALSE)</f>
        <v>放款服務課</v>
      </c>
      <c r="Y112" s="299">
        <v>44533</v>
      </c>
      <c r="Z112" s="299" t="s">
        <v>195</v>
      </c>
      <c r="AA112" s="299">
        <v>44524</v>
      </c>
      <c r="AB112" s="299">
        <v>44524</v>
      </c>
      <c r="AC112" s="299">
        <v>44539</v>
      </c>
      <c r="AD112" s="299"/>
      <c r="AE112" s="299"/>
      <c r="AF112" s="355"/>
      <c r="AG112" s="299" t="str">
        <f>IFERROR(IF(VLOOKUP(功能_33[[#This Row],[功能代號]],E:Q,11,FALSE)=0,"",VLOOKUP(功能_33[[#This Row],[功能代號]],E:Q,11,FALSE)),"")</f>
        <v>邵淑微</v>
      </c>
      <c r="AH112" s="299"/>
      <c r="AI112" s="299"/>
      <c r="AJ112" s="292"/>
      <c r="AK112" s="299"/>
      <c r="AL112" s="291" t="s">
        <v>2976</v>
      </c>
      <c r="AM112" s="291" t="s">
        <v>2976</v>
      </c>
      <c r="AN112" s="292" t="e">
        <f>VLOOKUP(功能_33[[#This Row],[功能代號]],需二審tmp!A:A,1,FALSE)</f>
        <v>#N/A</v>
      </c>
      <c r="AO112" s="356">
        <v>44523</v>
      </c>
      <c r="AQ112" s="574" t="str">
        <f t="shared" si="9"/>
        <v>4-6</v>
      </c>
      <c r="AR112" s="576" t="str">
        <f t="shared" si="10"/>
        <v/>
      </c>
      <c r="AS112" s="578" t="str">
        <f t="shared" si="11"/>
        <v/>
      </c>
      <c r="AT112" s="580" t="str">
        <f t="shared" si="12"/>
        <v/>
      </c>
      <c r="AU112" s="582" t="str">
        <f t="shared" si="13"/>
        <v/>
      </c>
      <c r="AV112" s="584" t="str">
        <f t="shared" si="14"/>
        <v/>
      </c>
      <c r="AW112" s="662" t="str">
        <f>IFERROR(VLOOKUP(功能_33[[#This Row],[功能代號]],工作表3!C:C,1,FALSE),"未計SIT測試")</f>
        <v>L4060</v>
      </c>
    </row>
    <row r="113" spans="1:49" ht="13.5" x14ac:dyDescent="0.3">
      <c r="C113" s="292" t="s">
        <v>93</v>
      </c>
      <c r="D113" s="292" t="s">
        <v>439</v>
      </c>
      <c r="E113" s="291" t="s">
        <v>442</v>
      </c>
      <c r="F113" s="292" t="s">
        <v>443</v>
      </c>
      <c r="G113" s="292"/>
      <c r="H113" s="291" t="s">
        <v>193</v>
      </c>
      <c r="I113" s="291" t="s">
        <v>2774</v>
      </c>
      <c r="J113" s="225" t="s">
        <v>2959</v>
      </c>
      <c r="K113" s="299">
        <v>44455</v>
      </c>
      <c r="L113" s="299">
        <v>44455</v>
      </c>
      <c r="M113" s="299">
        <v>44533</v>
      </c>
      <c r="N113" s="291" t="s">
        <v>10</v>
      </c>
      <c r="O113" s="291" t="s">
        <v>24</v>
      </c>
      <c r="T113" s="291"/>
      <c r="V113" s="291"/>
      <c r="W113" s="291"/>
      <c r="X113" s="292" t="str">
        <f>VLOOKUP(功能_33[[#This Row],[User]],SKL放款!A:G,7,FALSE)</f>
        <v>放款服務課</v>
      </c>
      <c r="Y113" s="299">
        <v>44533</v>
      </c>
      <c r="Z113" s="299" t="s">
        <v>2733</v>
      </c>
      <c r="AA113" s="299">
        <v>44524</v>
      </c>
      <c r="AB113" s="299">
        <v>44524</v>
      </c>
      <c r="AC113" s="299">
        <v>44539</v>
      </c>
      <c r="AD113" s="299"/>
      <c r="AE113" s="299"/>
      <c r="AF113" s="355"/>
      <c r="AG113" s="299" t="str">
        <f>IFERROR(IF(VLOOKUP(功能_33[[#This Row],[功能代號]],E:Q,11,FALSE)=0,"",VLOOKUP(功能_33[[#This Row],[功能代號]],E:Q,11,FALSE)),"")</f>
        <v>邵淑微</v>
      </c>
      <c r="AH113" s="299"/>
      <c r="AI113" s="299"/>
      <c r="AJ113" s="292"/>
      <c r="AK113" s="224">
        <f>功能_33[[#This Row],[實際展示]]</f>
        <v>44455</v>
      </c>
      <c r="AL113" s="291" t="s">
        <v>2962</v>
      </c>
      <c r="AM113" s="292" t="s">
        <v>2960</v>
      </c>
      <c r="AN113" s="292" t="str">
        <f>VLOOKUP(功能_33[[#This Row],[功能代號]],需二審tmp!A:A,1,FALSE)</f>
        <v>L4610</v>
      </c>
      <c r="AO113" s="356">
        <v>44533</v>
      </c>
      <c r="AQ113" s="574" t="str">
        <f t="shared" si="9"/>
        <v>4-6</v>
      </c>
      <c r="AR113" s="576" t="str">
        <f t="shared" si="10"/>
        <v/>
      </c>
      <c r="AS113" s="578" t="str">
        <f t="shared" si="11"/>
        <v/>
      </c>
      <c r="AT113" s="580" t="str">
        <f t="shared" si="12"/>
        <v/>
      </c>
      <c r="AU113" s="582" t="str">
        <f t="shared" si="13"/>
        <v/>
      </c>
      <c r="AV113" s="584" t="str">
        <f t="shared" si="14"/>
        <v/>
      </c>
      <c r="AW113" s="662" t="str">
        <f>IFERROR(VLOOKUP(功能_33[[#This Row],[功能代號]],工作表3!C:C,1,FALSE),"未計SIT測試")</f>
        <v>L4610</v>
      </c>
    </row>
    <row r="114" spans="1:49" ht="13.5" x14ac:dyDescent="0.3">
      <c r="C114" s="292" t="s">
        <v>93</v>
      </c>
      <c r="D114" s="292" t="s">
        <v>439</v>
      </c>
      <c r="E114" s="291" t="s">
        <v>444</v>
      </c>
      <c r="F114" s="292" t="s">
        <v>445</v>
      </c>
      <c r="G114" s="292"/>
      <c r="H114" s="291" t="s">
        <v>193</v>
      </c>
      <c r="I114" s="291" t="s">
        <v>2774</v>
      </c>
      <c r="J114" s="225" t="s">
        <v>2959</v>
      </c>
      <c r="K114" s="299">
        <v>44455</v>
      </c>
      <c r="L114" s="299">
        <v>44455</v>
      </c>
      <c r="M114" s="299">
        <v>44523</v>
      </c>
      <c r="N114" s="291" t="s">
        <v>10</v>
      </c>
      <c r="O114" s="291" t="s">
        <v>24</v>
      </c>
      <c r="T114" s="291"/>
      <c r="V114" s="291"/>
      <c r="W114" s="291"/>
      <c r="X114" s="292" t="str">
        <f>VLOOKUP(功能_33[[#This Row],[User]],SKL放款!A:G,7,FALSE)</f>
        <v>放款服務課</v>
      </c>
      <c r="Y114" s="299">
        <v>44533</v>
      </c>
      <c r="Z114" s="299" t="s">
        <v>133</v>
      </c>
      <c r="AA114" s="299">
        <v>44524</v>
      </c>
      <c r="AB114" s="299">
        <v>44524</v>
      </c>
      <c r="AC114" s="299">
        <v>44539</v>
      </c>
      <c r="AD114" s="299"/>
      <c r="AE114" s="299"/>
      <c r="AF114" s="355"/>
      <c r="AG114" s="299" t="str">
        <f>IFERROR(IF(VLOOKUP(功能_33[[#This Row],[功能代號]],E:Q,11,FALSE)=0,"",VLOOKUP(功能_33[[#This Row],[功能代號]],E:Q,11,FALSE)),"")</f>
        <v>邵淑微</v>
      </c>
      <c r="AH114" s="299"/>
      <c r="AI114" s="299"/>
      <c r="AJ114" s="292"/>
      <c r="AK114" s="299"/>
      <c r="AL114" s="291" t="s">
        <v>2964</v>
      </c>
      <c r="AM114" s="292" t="s">
        <v>2963</v>
      </c>
      <c r="AN114" s="292" t="str">
        <f>VLOOKUP(功能_33[[#This Row],[功能代號]],需二審tmp!A:A,1,FALSE)</f>
        <v>L4600</v>
      </c>
      <c r="AO114" s="356">
        <v>44523</v>
      </c>
      <c r="AQ114" s="574" t="str">
        <f t="shared" si="9"/>
        <v>4-6</v>
      </c>
      <c r="AR114" s="576" t="str">
        <f t="shared" si="10"/>
        <v/>
      </c>
      <c r="AS114" s="578" t="str">
        <f t="shared" si="11"/>
        <v/>
      </c>
      <c r="AT114" s="580" t="str">
        <f t="shared" si="12"/>
        <v/>
      </c>
      <c r="AU114" s="582" t="str">
        <f t="shared" si="13"/>
        <v/>
      </c>
      <c r="AV114" s="584" t="str">
        <f t="shared" si="14"/>
        <v/>
      </c>
      <c r="AW114" s="662" t="str">
        <f>IFERROR(VLOOKUP(功能_33[[#This Row],[功能代號]],工作表3!C:C,1,FALSE),"未計SIT測試")</f>
        <v>L4600</v>
      </c>
    </row>
    <row r="115" spans="1:49" ht="40.5" x14ac:dyDescent="0.3">
      <c r="C115" s="292" t="s">
        <v>93</v>
      </c>
      <c r="D115" s="292" t="s">
        <v>439</v>
      </c>
      <c r="E115" s="291" t="s">
        <v>446</v>
      </c>
      <c r="F115" s="292" t="s">
        <v>447</v>
      </c>
      <c r="G115" s="292"/>
      <c r="H115" s="291" t="s">
        <v>193</v>
      </c>
      <c r="I115" s="291" t="s">
        <v>2774</v>
      </c>
      <c r="J115" s="225" t="s">
        <v>2959</v>
      </c>
      <c r="K115" s="299">
        <v>44455</v>
      </c>
      <c r="L115" s="299">
        <v>44455</v>
      </c>
      <c r="M115" s="299">
        <v>44523</v>
      </c>
      <c r="N115" s="291" t="s">
        <v>10</v>
      </c>
      <c r="O115" s="291" t="s">
        <v>24</v>
      </c>
      <c r="T115" s="291"/>
      <c r="V115" s="291"/>
      <c r="W115" s="291"/>
      <c r="X115" s="292" t="str">
        <f>VLOOKUP(功能_33[[#This Row],[User]],SKL放款!A:G,7,FALSE)</f>
        <v>放款服務課</v>
      </c>
      <c r="Y115" s="299">
        <v>44533</v>
      </c>
      <c r="Z115" s="299" t="s">
        <v>133</v>
      </c>
      <c r="AA115" s="299">
        <v>44524</v>
      </c>
      <c r="AB115" s="299">
        <v>44524</v>
      </c>
      <c r="AC115" s="299">
        <v>44539</v>
      </c>
      <c r="AD115" s="299"/>
      <c r="AE115" s="299"/>
      <c r="AF115" s="355"/>
      <c r="AG115" s="299" t="str">
        <f>IFERROR(IF(VLOOKUP(功能_33[[#This Row],[功能代號]],E:Q,11,FALSE)=0,"",VLOOKUP(功能_33[[#This Row],[功能代號]],E:Q,11,FALSE)),"")</f>
        <v>邵淑微</v>
      </c>
      <c r="AH115" s="299"/>
      <c r="AI115" s="299"/>
      <c r="AJ115" s="292"/>
      <c r="AK115" s="299"/>
      <c r="AL115" s="308" t="s">
        <v>2966</v>
      </c>
      <c r="AM115" s="219" t="s">
        <v>2965</v>
      </c>
      <c r="AN115" s="292" t="str">
        <f>VLOOKUP(功能_33[[#This Row],[功能代號]],需二審tmp!A:A,1,FALSE)</f>
        <v>L4601</v>
      </c>
      <c r="AO115" s="356">
        <v>44523</v>
      </c>
      <c r="AQ115" s="574" t="str">
        <f t="shared" si="9"/>
        <v>4-6</v>
      </c>
      <c r="AR115" s="576" t="str">
        <f t="shared" si="10"/>
        <v/>
      </c>
      <c r="AS115" s="578" t="str">
        <f t="shared" si="11"/>
        <v/>
      </c>
      <c r="AT115" s="580" t="str">
        <f t="shared" si="12"/>
        <v/>
      </c>
      <c r="AU115" s="582" t="str">
        <f t="shared" si="13"/>
        <v/>
      </c>
      <c r="AV115" s="584" t="str">
        <f t="shared" si="14"/>
        <v/>
      </c>
      <c r="AW115" s="662" t="str">
        <f>IFERROR(VLOOKUP(功能_33[[#This Row],[功能代號]],工作表3!C:C,1,FALSE),"未計SIT測試")</f>
        <v>L4601</v>
      </c>
    </row>
    <row r="116" spans="1:49" ht="13.5" x14ac:dyDescent="0.3">
      <c r="C116" s="292" t="s">
        <v>93</v>
      </c>
      <c r="D116" s="292" t="s">
        <v>439</v>
      </c>
      <c r="E116" s="291" t="s">
        <v>448</v>
      </c>
      <c r="F116" s="292" t="s">
        <v>449</v>
      </c>
      <c r="G116" s="292"/>
      <c r="H116" s="291" t="s">
        <v>193</v>
      </c>
      <c r="I116" s="291" t="s">
        <v>2774</v>
      </c>
      <c r="J116" s="225" t="s">
        <v>2959</v>
      </c>
      <c r="K116" s="299">
        <v>44455</v>
      </c>
      <c r="L116" s="299">
        <v>44455</v>
      </c>
      <c r="M116" s="299">
        <v>44533</v>
      </c>
      <c r="N116" s="291" t="s">
        <v>10</v>
      </c>
      <c r="O116" s="291" t="s">
        <v>24</v>
      </c>
      <c r="T116" s="291"/>
      <c r="V116" s="291"/>
      <c r="W116" s="291"/>
      <c r="X116" s="292" t="str">
        <f>VLOOKUP(功能_33[[#This Row],[User]],SKL放款!A:G,7,FALSE)</f>
        <v>放款服務課</v>
      </c>
      <c r="Y116" s="299">
        <v>44533</v>
      </c>
      <c r="Z116" s="299" t="s">
        <v>133</v>
      </c>
      <c r="AA116" s="299">
        <v>44524</v>
      </c>
      <c r="AB116" s="299">
        <v>44524</v>
      </c>
      <c r="AC116" s="299">
        <v>44539</v>
      </c>
      <c r="AD116" s="299"/>
      <c r="AE116" s="299"/>
      <c r="AF116" s="355"/>
      <c r="AG116" s="299" t="str">
        <f>IFERROR(IF(VLOOKUP(功能_33[[#This Row],[功能代號]],E:Q,11,FALSE)=0,"",VLOOKUP(功能_33[[#This Row],[功能代號]],E:Q,11,FALSE)),"")</f>
        <v>邵淑微</v>
      </c>
      <c r="AH116" s="299"/>
      <c r="AI116" s="299"/>
      <c r="AJ116" s="292"/>
      <c r="AK116" s="224">
        <f>功能_33[[#This Row],[實際展示]]</f>
        <v>44455</v>
      </c>
      <c r="AL116" s="291" t="s">
        <v>2961</v>
      </c>
      <c r="AM116" s="292" t="s">
        <v>2960</v>
      </c>
      <c r="AN116" s="292" t="str">
        <f>VLOOKUP(功能_33[[#This Row],[功能代號]],需二審tmp!A:A,1,FALSE)</f>
        <v>L4611</v>
      </c>
      <c r="AO116" s="356">
        <v>44533</v>
      </c>
      <c r="AQ116" s="574" t="str">
        <f t="shared" si="9"/>
        <v>4-6</v>
      </c>
      <c r="AR116" s="576" t="str">
        <f t="shared" si="10"/>
        <v/>
      </c>
      <c r="AS116" s="578" t="str">
        <f t="shared" si="11"/>
        <v/>
      </c>
      <c r="AT116" s="580" t="str">
        <f t="shared" si="12"/>
        <v/>
      </c>
      <c r="AU116" s="582" t="str">
        <f t="shared" si="13"/>
        <v/>
      </c>
      <c r="AV116" s="584" t="str">
        <f t="shared" si="14"/>
        <v/>
      </c>
      <c r="AW116" s="662" t="str">
        <f>IFERROR(VLOOKUP(功能_33[[#This Row],[功能代號]],工作表3!C:C,1,FALSE),"未計SIT測試")</f>
        <v>L4611</v>
      </c>
    </row>
    <row r="117" spans="1:49" ht="13.5" x14ac:dyDescent="0.3">
      <c r="C117" s="292" t="s">
        <v>93</v>
      </c>
      <c r="D117" s="292" t="s">
        <v>439</v>
      </c>
      <c r="E117" s="291" t="s">
        <v>450</v>
      </c>
      <c r="F117" s="292" t="s">
        <v>451</v>
      </c>
      <c r="G117" s="292"/>
      <c r="H117" s="291" t="s">
        <v>193</v>
      </c>
      <c r="I117" s="291" t="s">
        <v>2774</v>
      </c>
      <c r="J117" s="225" t="s">
        <v>2959</v>
      </c>
      <c r="K117" s="299">
        <v>44455</v>
      </c>
      <c r="L117" s="299">
        <v>44455</v>
      </c>
      <c r="M117" s="299">
        <v>44523</v>
      </c>
      <c r="N117" s="291" t="s">
        <v>10</v>
      </c>
      <c r="O117" s="291" t="s">
        <v>24</v>
      </c>
      <c r="T117" s="291"/>
      <c r="V117" s="291"/>
      <c r="W117" s="291"/>
      <c r="X117" s="292" t="str">
        <f>VLOOKUP(功能_33[[#This Row],[User]],SKL放款!A:G,7,FALSE)</f>
        <v>放款服務課</v>
      </c>
      <c r="Y117" s="299">
        <v>44533</v>
      </c>
      <c r="Z117" s="299" t="s">
        <v>195</v>
      </c>
      <c r="AA117" s="299">
        <v>44524</v>
      </c>
      <c r="AB117" s="299">
        <v>44524</v>
      </c>
      <c r="AC117" s="299">
        <v>44539</v>
      </c>
      <c r="AD117" s="299"/>
      <c r="AE117" s="299"/>
      <c r="AF117" s="355"/>
      <c r="AG117" s="299" t="str">
        <f>IFERROR(IF(VLOOKUP(功能_33[[#This Row],[功能代號]],E:Q,11,FALSE)=0,"",VLOOKUP(功能_33[[#This Row],[功能代號]],E:Q,11,FALSE)),"")</f>
        <v>邵淑微</v>
      </c>
      <c r="AH117" s="299"/>
      <c r="AI117" s="299"/>
      <c r="AJ117" s="292"/>
      <c r="AK117" s="299"/>
      <c r="AL117" s="291" t="s">
        <v>2968</v>
      </c>
      <c r="AM117" s="292" t="s">
        <v>2967</v>
      </c>
      <c r="AN117" s="292" t="e">
        <f>VLOOKUP(功能_33[[#This Row],[功能代號]],需二審tmp!A:A,1,FALSE)</f>
        <v>#N/A</v>
      </c>
      <c r="AO117" s="356">
        <v>44523</v>
      </c>
      <c r="AQ117" s="574" t="str">
        <f t="shared" si="9"/>
        <v>4-6</v>
      </c>
      <c r="AR117" s="576" t="str">
        <f t="shared" si="10"/>
        <v/>
      </c>
      <c r="AS117" s="578" t="str">
        <f t="shared" si="11"/>
        <v/>
      </c>
      <c r="AT117" s="580" t="str">
        <f t="shared" si="12"/>
        <v/>
      </c>
      <c r="AU117" s="582" t="str">
        <f t="shared" si="13"/>
        <v/>
      </c>
      <c r="AV117" s="584" t="str">
        <f t="shared" si="14"/>
        <v/>
      </c>
      <c r="AW117" s="662" t="str">
        <f>IFERROR(VLOOKUP(功能_33[[#This Row],[功能代號]],工作表3!C:C,1,FALSE),"未計SIT測試")</f>
        <v>L4602</v>
      </c>
    </row>
    <row r="118" spans="1:49" ht="13.5" x14ac:dyDescent="0.3">
      <c r="A118" s="604">
        <v>44552</v>
      </c>
      <c r="C118" s="292" t="s">
        <v>93</v>
      </c>
      <c r="D118" s="292" t="s">
        <v>439</v>
      </c>
      <c r="E118" s="291" t="s">
        <v>452</v>
      </c>
      <c r="F118" s="292" t="s">
        <v>453</v>
      </c>
      <c r="G118" s="292"/>
      <c r="H118" s="291" t="s">
        <v>193</v>
      </c>
      <c r="I118" s="291" t="s">
        <v>2774</v>
      </c>
      <c r="J118" s="225" t="s">
        <v>3241</v>
      </c>
      <c r="K118" s="299">
        <v>44455</v>
      </c>
      <c r="L118" s="299">
        <v>44455</v>
      </c>
      <c r="M118" s="228">
        <v>44550</v>
      </c>
      <c r="N118" s="291" t="s">
        <v>10</v>
      </c>
      <c r="O118" s="291" t="s">
        <v>24</v>
      </c>
      <c r="T118" s="291"/>
      <c r="V118" s="291"/>
      <c r="W118" s="291"/>
      <c r="X118" s="292" t="str">
        <f>VLOOKUP(功能_33[[#This Row],[User]],SKL放款!A:G,7,FALSE)</f>
        <v>放款服務課</v>
      </c>
      <c r="Y118" s="228">
        <v>44550</v>
      </c>
      <c r="Z118" s="299" t="s">
        <v>133</v>
      </c>
      <c r="AA118" s="299">
        <v>44524</v>
      </c>
      <c r="AB118" s="299">
        <v>44524</v>
      </c>
      <c r="AC118" s="299">
        <v>44550</v>
      </c>
      <c r="AD118" s="299"/>
      <c r="AE118" s="299"/>
      <c r="AF118" s="355"/>
      <c r="AG118" s="299" t="str">
        <f>IFERROR(IF(VLOOKUP(功能_33[[#This Row],[功能代號]],E:Q,11,FALSE)=0,"",VLOOKUP(功能_33[[#This Row],[功能代號]],E:Q,11,FALSE)),"")</f>
        <v>邵淑微</v>
      </c>
      <c r="AH118" s="299"/>
      <c r="AI118" s="299"/>
      <c r="AJ118" s="292"/>
      <c r="AK118" s="299"/>
      <c r="AL118" s="291" t="s">
        <v>2970</v>
      </c>
      <c r="AM118" s="292" t="s">
        <v>2969</v>
      </c>
      <c r="AN118" s="292" t="str">
        <f>VLOOKUP(功能_33[[#This Row],[功能代號]],需二審tmp!A:A,1,FALSE)</f>
        <v>L4603</v>
      </c>
      <c r="AQ118" s="574" t="str">
        <f t="shared" si="9"/>
        <v>4-6</v>
      </c>
      <c r="AR118" s="576" t="str">
        <f t="shared" si="10"/>
        <v/>
      </c>
      <c r="AS118" s="578" t="str">
        <f t="shared" si="11"/>
        <v/>
      </c>
      <c r="AT118" s="580" t="str">
        <f t="shared" si="12"/>
        <v/>
      </c>
      <c r="AU118" s="582" t="str">
        <f t="shared" si="13"/>
        <v/>
      </c>
      <c r="AV118" s="584" t="str">
        <f t="shared" si="14"/>
        <v/>
      </c>
      <c r="AW118" s="662" t="str">
        <f>IFERROR(VLOOKUP(功能_33[[#This Row],[功能代號]],工作表3!C:C,1,FALSE),"未計SIT測試")</f>
        <v>L4603</v>
      </c>
    </row>
    <row r="119" spans="1:49" ht="27" x14ac:dyDescent="0.3">
      <c r="C119" s="292" t="s">
        <v>93</v>
      </c>
      <c r="D119" s="292" t="s">
        <v>439</v>
      </c>
      <c r="E119" s="291" t="s">
        <v>454</v>
      </c>
      <c r="F119" s="292" t="s">
        <v>455</v>
      </c>
      <c r="G119" s="292"/>
      <c r="H119" s="291" t="s">
        <v>193</v>
      </c>
      <c r="I119" s="291" t="s">
        <v>2774</v>
      </c>
      <c r="J119" s="225" t="s">
        <v>2959</v>
      </c>
      <c r="K119" s="299">
        <v>44455</v>
      </c>
      <c r="L119" s="299">
        <v>44455</v>
      </c>
      <c r="M119" s="299">
        <v>44533</v>
      </c>
      <c r="N119" s="291" t="s">
        <v>10</v>
      </c>
      <c r="O119" s="291" t="s">
        <v>24</v>
      </c>
      <c r="T119" s="291"/>
      <c r="V119" s="291"/>
      <c r="W119" s="291"/>
      <c r="X119" s="292" t="str">
        <f>VLOOKUP(功能_33[[#This Row],[User]],SKL放款!A:G,7,FALSE)</f>
        <v>放款服務課</v>
      </c>
      <c r="Y119" s="299">
        <v>44533</v>
      </c>
      <c r="Z119" s="299" t="s">
        <v>133</v>
      </c>
      <c r="AA119" s="299">
        <v>44524</v>
      </c>
      <c r="AB119" s="299">
        <v>44524</v>
      </c>
      <c r="AC119" s="299">
        <v>44539</v>
      </c>
      <c r="AD119" s="299"/>
      <c r="AE119" s="299"/>
      <c r="AF119" s="355"/>
      <c r="AG119" s="299" t="str">
        <f>IFERROR(IF(VLOOKUP(功能_33[[#This Row],[功能代號]],E:Q,11,FALSE)=0,"",VLOOKUP(功能_33[[#This Row],[功能代號]],E:Q,11,FALSE)),"")</f>
        <v>邵淑微</v>
      </c>
      <c r="AH119" s="299"/>
      <c r="AI119" s="299"/>
      <c r="AJ119" s="292"/>
      <c r="AK119" s="224" t="s">
        <v>456</v>
      </c>
      <c r="AL119" s="308" t="s">
        <v>2972</v>
      </c>
      <c r="AM119" s="219" t="s">
        <v>2971</v>
      </c>
      <c r="AN119" s="292" t="str">
        <f>VLOOKUP(功能_33[[#This Row],[功能代號]],需二審tmp!A:A,1,FALSE)</f>
        <v>L4962</v>
      </c>
      <c r="AO119" s="356">
        <v>44533</v>
      </c>
      <c r="AQ119" s="574" t="str">
        <f t="shared" si="9"/>
        <v>4-6</v>
      </c>
      <c r="AR119" s="576" t="str">
        <f t="shared" si="10"/>
        <v/>
      </c>
      <c r="AS119" s="578" t="str">
        <f t="shared" si="11"/>
        <v/>
      </c>
      <c r="AT119" s="580" t="str">
        <f t="shared" si="12"/>
        <v/>
      </c>
      <c r="AU119" s="582" t="str">
        <f t="shared" si="13"/>
        <v/>
      </c>
      <c r="AV119" s="584" t="str">
        <f t="shared" si="14"/>
        <v/>
      </c>
      <c r="AW119" s="662" t="str">
        <f>IFERROR(VLOOKUP(功能_33[[#This Row],[功能代號]],工作表3!C:C,1,FALSE),"未計SIT測試")</f>
        <v>L4962</v>
      </c>
    </row>
    <row r="120" spans="1:49" ht="13.5" x14ac:dyDescent="0.3">
      <c r="C120" s="292" t="s">
        <v>93</v>
      </c>
      <c r="D120" s="292" t="s">
        <v>439</v>
      </c>
      <c r="E120" s="291" t="s">
        <v>457</v>
      </c>
      <c r="F120" s="292" t="s">
        <v>458</v>
      </c>
      <c r="G120" s="292"/>
      <c r="H120" s="291" t="s">
        <v>193</v>
      </c>
      <c r="I120" s="291" t="s">
        <v>2774</v>
      </c>
      <c r="J120" s="225" t="s">
        <v>2959</v>
      </c>
      <c r="K120" s="299">
        <v>44455</v>
      </c>
      <c r="L120" s="299">
        <v>44455</v>
      </c>
      <c r="M120" s="299">
        <v>44523</v>
      </c>
      <c r="N120" s="291" t="s">
        <v>10</v>
      </c>
      <c r="O120" s="291" t="s">
        <v>24</v>
      </c>
      <c r="T120" s="291"/>
      <c r="V120" s="291"/>
      <c r="W120" s="291"/>
      <c r="X120" s="292" t="str">
        <f>VLOOKUP(功能_33[[#This Row],[User]],SKL放款!A:G,7,FALSE)</f>
        <v>放款服務課</v>
      </c>
      <c r="Y120" s="299">
        <v>44533</v>
      </c>
      <c r="Z120" s="299" t="s">
        <v>195</v>
      </c>
      <c r="AA120" s="299">
        <v>44524</v>
      </c>
      <c r="AB120" s="299">
        <v>44524</v>
      </c>
      <c r="AC120" s="299">
        <v>44539</v>
      </c>
      <c r="AD120" s="299"/>
      <c r="AE120" s="299"/>
      <c r="AF120" s="355"/>
      <c r="AG120" s="299" t="str">
        <f>IFERROR(IF(VLOOKUP(功能_33[[#This Row],[功能代號]],E:Q,11,FALSE)=0,"",VLOOKUP(功能_33[[#This Row],[功能代號]],E:Q,11,FALSE)),"")</f>
        <v>邵淑微</v>
      </c>
      <c r="AH120" s="299"/>
      <c r="AI120" s="299"/>
      <c r="AJ120" s="292"/>
      <c r="AK120" s="299"/>
      <c r="AL120" s="291" t="s">
        <v>2976</v>
      </c>
      <c r="AM120" s="291" t="s">
        <v>2976</v>
      </c>
      <c r="AN120" s="292" t="e">
        <f>VLOOKUP(功能_33[[#This Row],[功能代號]],需二審tmp!A:A,1,FALSE)</f>
        <v>#N/A</v>
      </c>
      <c r="AO120" s="356">
        <v>44523</v>
      </c>
      <c r="AQ120" s="574" t="str">
        <f t="shared" si="9"/>
        <v>4-6</v>
      </c>
      <c r="AR120" s="576" t="str">
        <f t="shared" si="10"/>
        <v/>
      </c>
      <c r="AS120" s="578" t="str">
        <f t="shared" si="11"/>
        <v/>
      </c>
      <c r="AT120" s="580" t="str">
        <f t="shared" si="12"/>
        <v/>
      </c>
      <c r="AU120" s="582" t="str">
        <f t="shared" si="13"/>
        <v/>
      </c>
      <c r="AV120" s="584" t="str">
        <f t="shared" si="14"/>
        <v/>
      </c>
      <c r="AW120" s="662" t="str">
        <f>IFERROR(VLOOKUP(功能_33[[#This Row],[功能代號]],工作表3!C:C,1,FALSE),"未計SIT測試")</f>
        <v>L4960</v>
      </c>
    </row>
    <row r="121" spans="1:49" ht="13.5" x14ac:dyDescent="0.3">
      <c r="C121" s="292" t="s">
        <v>93</v>
      </c>
      <c r="D121" s="292" t="s">
        <v>439</v>
      </c>
      <c r="E121" s="291" t="s">
        <v>459</v>
      </c>
      <c r="F121" s="292" t="s">
        <v>460</v>
      </c>
      <c r="G121" s="292"/>
      <c r="H121" s="291" t="s">
        <v>193</v>
      </c>
      <c r="I121" s="291" t="s">
        <v>2774</v>
      </c>
      <c r="J121" s="225" t="s">
        <v>2959</v>
      </c>
      <c r="K121" s="299">
        <v>44455</v>
      </c>
      <c r="L121" s="299">
        <v>44455</v>
      </c>
      <c r="M121" s="299">
        <v>44523</v>
      </c>
      <c r="N121" s="291" t="s">
        <v>10</v>
      </c>
      <c r="O121" s="291" t="s">
        <v>24</v>
      </c>
      <c r="T121" s="291"/>
      <c r="V121" s="291"/>
      <c r="W121" s="291"/>
      <c r="X121" s="292" t="str">
        <f>VLOOKUP(功能_33[[#This Row],[User]],SKL放款!A:G,7,FALSE)</f>
        <v>放款服務課</v>
      </c>
      <c r="Y121" s="299">
        <v>44533</v>
      </c>
      <c r="Z121" s="299" t="s">
        <v>195</v>
      </c>
      <c r="AA121" s="299">
        <v>44524</v>
      </c>
      <c r="AB121" s="299">
        <v>44524</v>
      </c>
      <c r="AC121" s="299">
        <v>44539</v>
      </c>
      <c r="AD121" s="299"/>
      <c r="AE121" s="299"/>
      <c r="AF121" s="355"/>
      <c r="AG121" s="299" t="str">
        <f>IFERROR(IF(VLOOKUP(功能_33[[#This Row],[功能代號]],E:Q,11,FALSE)=0,"",VLOOKUP(功能_33[[#This Row],[功能代號]],E:Q,11,FALSE)),"")</f>
        <v>邵淑微</v>
      </c>
      <c r="AH121" s="299"/>
      <c r="AI121" s="299"/>
      <c r="AJ121" s="292"/>
      <c r="AK121" s="224" t="s">
        <v>456</v>
      </c>
      <c r="AL121" s="291" t="s">
        <v>2976</v>
      </c>
      <c r="AM121" s="291" t="s">
        <v>2976</v>
      </c>
      <c r="AN121" s="292" t="e">
        <f>VLOOKUP(功能_33[[#This Row],[功能代號]],需二審tmp!A:A,1,FALSE)</f>
        <v>#N/A</v>
      </c>
      <c r="AO121" s="356">
        <v>44523</v>
      </c>
      <c r="AQ121" s="574" t="str">
        <f t="shared" si="9"/>
        <v>4-6</v>
      </c>
      <c r="AR121" s="576" t="str">
        <f t="shared" si="10"/>
        <v/>
      </c>
      <c r="AS121" s="578" t="str">
        <f t="shared" si="11"/>
        <v/>
      </c>
      <c r="AT121" s="580" t="str">
        <f t="shared" si="12"/>
        <v/>
      </c>
      <c r="AU121" s="582" t="str">
        <f t="shared" si="13"/>
        <v/>
      </c>
      <c r="AV121" s="584" t="str">
        <f t="shared" si="14"/>
        <v/>
      </c>
      <c r="AW121" s="662" t="str">
        <f>IFERROR(VLOOKUP(功能_33[[#This Row],[功能代號]],工作表3!C:C,1,FALSE),"未計SIT測試")</f>
        <v>L4961</v>
      </c>
    </row>
    <row r="122" spans="1:49" ht="13.5" x14ac:dyDescent="0.3">
      <c r="C122" s="292" t="s">
        <v>93</v>
      </c>
      <c r="D122" s="292" t="s">
        <v>439</v>
      </c>
      <c r="E122" s="291" t="s">
        <v>461</v>
      </c>
      <c r="F122" s="292" t="s">
        <v>462</v>
      </c>
      <c r="G122" s="292"/>
      <c r="H122" s="291" t="s">
        <v>193</v>
      </c>
      <c r="I122" s="291" t="s">
        <v>2774</v>
      </c>
      <c r="J122" s="225" t="s">
        <v>2959</v>
      </c>
      <c r="K122" s="299">
        <v>44455</v>
      </c>
      <c r="L122" s="299">
        <v>44455</v>
      </c>
      <c r="M122" s="299">
        <v>44523</v>
      </c>
      <c r="N122" s="291" t="s">
        <v>10</v>
      </c>
      <c r="O122" s="291" t="s">
        <v>24</v>
      </c>
      <c r="T122" s="291"/>
      <c r="V122" s="291"/>
      <c r="W122" s="291"/>
      <c r="X122" s="292" t="str">
        <f>VLOOKUP(功能_33[[#This Row],[User]],SKL放款!A:G,7,FALSE)</f>
        <v>放款服務課</v>
      </c>
      <c r="Y122" s="299">
        <v>44533</v>
      </c>
      <c r="Z122" s="299" t="s">
        <v>195</v>
      </c>
      <c r="AA122" s="299">
        <v>44524</v>
      </c>
      <c r="AB122" s="299">
        <v>44524</v>
      </c>
      <c r="AC122" s="299">
        <v>44539</v>
      </c>
      <c r="AD122" s="299"/>
      <c r="AE122" s="299"/>
      <c r="AF122" s="355"/>
      <c r="AG122" s="299" t="str">
        <f>IFERROR(IF(VLOOKUP(功能_33[[#This Row],[功能代號]],E:Q,11,FALSE)=0,"",VLOOKUP(功能_33[[#This Row],[功能代號]],E:Q,11,FALSE)),"")</f>
        <v>邵淑微</v>
      </c>
      <c r="AH122" s="299"/>
      <c r="AI122" s="299"/>
      <c r="AJ122" s="292"/>
      <c r="AK122" s="299"/>
      <c r="AL122" s="291" t="s">
        <v>3021</v>
      </c>
      <c r="AM122" s="292" t="s">
        <v>2973</v>
      </c>
      <c r="AN122" s="292" t="e">
        <f>VLOOKUP(功能_33[[#This Row],[功能代號]],需二審tmp!A:A,1,FALSE)</f>
        <v>#N/A</v>
      </c>
      <c r="AO122" s="356">
        <v>44523</v>
      </c>
      <c r="AQ122" s="574" t="str">
        <f t="shared" si="9"/>
        <v>4-6</v>
      </c>
      <c r="AR122" s="576" t="str">
        <f t="shared" si="10"/>
        <v/>
      </c>
      <c r="AS122" s="578" t="str">
        <f t="shared" si="11"/>
        <v/>
      </c>
      <c r="AT122" s="580" t="str">
        <f t="shared" si="12"/>
        <v/>
      </c>
      <c r="AU122" s="582" t="str">
        <f t="shared" si="13"/>
        <v/>
      </c>
      <c r="AV122" s="584" t="str">
        <f t="shared" si="14"/>
        <v/>
      </c>
      <c r="AW122" s="662" t="str">
        <f>IFERROR(VLOOKUP(功能_33[[#This Row],[功能代號]],工作表3!C:C,1,FALSE),"未計SIT測試")</f>
        <v>L4964</v>
      </c>
    </row>
    <row r="123" spans="1:49" ht="13.5" x14ac:dyDescent="0.3">
      <c r="C123" s="292" t="s">
        <v>93</v>
      </c>
      <c r="D123" s="292" t="s">
        <v>439</v>
      </c>
      <c r="E123" s="291" t="s">
        <v>463</v>
      </c>
      <c r="F123" s="292" t="s">
        <v>464</v>
      </c>
      <c r="G123" s="292"/>
      <c r="H123" s="291" t="s">
        <v>193</v>
      </c>
      <c r="I123" s="291" t="s">
        <v>2774</v>
      </c>
      <c r="J123" s="225" t="s">
        <v>2959</v>
      </c>
      <c r="K123" s="299">
        <v>44455</v>
      </c>
      <c r="L123" s="299">
        <v>44455</v>
      </c>
      <c r="M123" s="299">
        <v>44523</v>
      </c>
      <c r="N123" s="291" t="s">
        <v>10</v>
      </c>
      <c r="O123" s="291" t="s">
        <v>24</v>
      </c>
      <c r="T123" s="291"/>
      <c r="V123" s="291"/>
      <c r="W123" s="291"/>
      <c r="X123" s="292" t="str">
        <f>VLOOKUP(功能_33[[#This Row],[User]],SKL放款!A:G,7,FALSE)</f>
        <v>放款服務課</v>
      </c>
      <c r="Y123" s="299">
        <v>44533</v>
      </c>
      <c r="Z123" s="299" t="s">
        <v>133</v>
      </c>
      <c r="AA123" s="299">
        <v>44524</v>
      </c>
      <c r="AB123" s="299">
        <v>44524</v>
      </c>
      <c r="AC123" s="299">
        <v>44539</v>
      </c>
      <c r="AD123" s="299"/>
      <c r="AE123" s="299"/>
      <c r="AF123" s="355"/>
      <c r="AG123" s="299" t="str">
        <f>IFERROR(IF(VLOOKUP(功能_33[[#This Row],[功能代號]],E:Q,11,FALSE)=0,"",VLOOKUP(功能_33[[#This Row],[功能代號]],E:Q,11,FALSE)),"")</f>
        <v>邵淑微</v>
      </c>
      <c r="AH123" s="299"/>
      <c r="AI123" s="299"/>
      <c r="AJ123" s="292"/>
      <c r="AK123" s="224" t="s">
        <v>456</v>
      </c>
      <c r="AL123" s="291" t="s">
        <v>3022</v>
      </c>
      <c r="AM123" s="292" t="s">
        <v>3020</v>
      </c>
      <c r="AN123" s="292" t="str">
        <f>VLOOKUP(功能_33[[#This Row],[功能代號]],需二審tmp!A:A,1,FALSE)</f>
        <v>L4965</v>
      </c>
      <c r="AO123" s="356">
        <v>44523</v>
      </c>
      <c r="AQ123" s="574" t="str">
        <f t="shared" si="9"/>
        <v>4-6</v>
      </c>
      <c r="AR123" s="576" t="str">
        <f t="shared" si="10"/>
        <v/>
      </c>
      <c r="AS123" s="578" t="str">
        <f t="shared" si="11"/>
        <v/>
      </c>
      <c r="AT123" s="580" t="str">
        <f t="shared" si="12"/>
        <v/>
      </c>
      <c r="AU123" s="582" t="str">
        <f t="shared" si="13"/>
        <v/>
      </c>
      <c r="AV123" s="584" t="str">
        <f t="shared" si="14"/>
        <v/>
      </c>
      <c r="AW123" s="662" t="str">
        <f>IFERROR(VLOOKUP(功能_33[[#This Row],[功能代號]],工作表3!C:C,1,FALSE),"未計SIT測試")</f>
        <v>L4965</v>
      </c>
    </row>
    <row r="124" spans="1:49" ht="67.5" x14ac:dyDescent="0.3">
      <c r="C124" s="292" t="s">
        <v>93</v>
      </c>
      <c r="D124" s="292" t="s">
        <v>465</v>
      </c>
      <c r="E124" s="291" t="s">
        <v>466</v>
      </c>
      <c r="F124" s="292" t="s">
        <v>467</v>
      </c>
      <c r="G124" s="292"/>
      <c r="H124" s="291" t="s">
        <v>193</v>
      </c>
      <c r="I124" s="291" t="s">
        <v>2774</v>
      </c>
      <c r="J124" s="225" t="s">
        <v>2959</v>
      </c>
      <c r="K124" s="299">
        <v>44456</v>
      </c>
      <c r="L124" s="299">
        <v>44456</v>
      </c>
      <c r="M124" s="299">
        <v>44523</v>
      </c>
      <c r="N124" s="291" t="s">
        <v>8</v>
      </c>
      <c r="O124" s="291" t="s">
        <v>22</v>
      </c>
      <c r="P124" s="270" t="s">
        <v>468</v>
      </c>
      <c r="T124" s="291"/>
      <c r="V124" s="291"/>
      <c r="W124" s="291"/>
      <c r="X124" s="292" t="str">
        <f>VLOOKUP(功能_33[[#This Row],[User]],SKL放款!A:G,7,FALSE)</f>
        <v>放款服務課</v>
      </c>
      <c r="Y124" s="299">
        <v>44533</v>
      </c>
      <c r="Z124" s="299" t="s">
        <v>133</v>
      </c>
      <c r="AA124" s="299">
        <v>44523</v>
      </c>
      <c r="AB124" s="299">
        <v>44525</v>
      </c>
      <c r="AC124" s="299">
        <v>44539</v>
      </c>
      <c r="AD124" s="299"/>
      <c r="AE124" s="299"/>
      <c r="AF124" s="355"/>
      <c r="AG124" s="299" t="str">
        <f>IFERROR(IF(VLOOKUP(功能_33[[#This Row],[功能代號]],E:Q,11,FALSE)=0,"",VLOOKUP(功能_33[[#This Row],[功能代號]],E:Q,11,FALSE)),"")</f>
        <v>許慧玉</v>
      </c>
      <c r="AH124" s="299"/>
      <c r="AI124" s="299"/>
      <c r="AJ124" s="292"/>
      <c r="AK124" s="299"/>
      <c r="AL124" s="308" t="s">
        <v>2977</v>
      </c>
      <c r="AM124" s="219" t="s">
        <v>2980</v>
      </c>
      <c r="AN124" s="292" t="str">
        <f>VLOOKUP(功能_33[[#This Row],[功能代號]],需二審tmp!A:A,1,FALSE)</f>
        <v>L4450</v>
      </c>
      <c r="AO124" s="356">
        <v>44523</v>
      </c>
      <c r="AQ124" s="574" t="str">
        <f t="shared" si="9"/>
        <v>4-4</v>
      </c>
      <c r="AR124" s="576" t="str">
        <f t="shared" si="10"/>
        <v/>
      </c>
      <c r="AS124" s="578" t="str">
        <f t="shared" si="11"/>
        <v/>
      </c>
      <c r="AT124" s="580" t="str">
        <f t="shared" si="12"/>
        <v/>
      </c>
      <c r="AU124" s="582" t="str">
        <f t="shared" si="13"/>
        <v/>
      </c>
      <c r="AV124" s="584" t="str">
        <f t="shared" si="14"/>
        <v/>
      </c>
      <c r="AW124" s="662" t="str">
        <f>IFERROR(VLOOKUP(功能_33[[#This Row],[功能代號]],工作表3!C:C,1,FALSE),"未計SIT測試")</f>
        <v>L4450</v>
      </c>
    </row>
    <row r="125" spans="1:49" ht="27" x14ac:dyDescent="0.3">
      <c r="C125" s="292" t="s">
        <v>93</v>
      </c>
      <c r="D125" s="292" t="s">
        <v>465</v>
      </c>
      <c r="E125" s="291" t="s">
        <v>469</v>
      </c>
      <c r="F125" s="292" t="s">
        <v>470</v>
      </c>
      <c r="G125" s="292"/>
      <c r="H125" s="291" t="s">
        <v>193</v>
      </c>
      <c r="I125" s="291" t="s">
        <v>2774</v>
      </c>
      <c r="J125" s="225" t="s">
        <v>2959</v>
      </c>
      <c r="K125" s="299">
        <v>44456</v>
      </c>
      <c r="L125" s="299">
        <v>44456</v>
      </c>
      <c r="M125" s="299">
        <v>44523</v>
      </c>
      <c r="N125" s="291" t="s">
        <v>8</v>
      </c>
      <c r="O125" s="291" t="s">
        <v>22</v>
      </c>
      <c r="P125" s="270" t="s">
        <v>468</v>
      </c>
      <c r="T125" s="291"/>
      <c r="V125" s="291"/>
      <c r="W125" s="291"/>
      <c r="X125" s="292" t="str">
        <f>VLOOKUP(功能_33[[#This Row],[User]],SKL放款!A:G,7,FALSE)</f>
        <v>放款服務課</v>
      </c>
      <c r="Y125" s="299">
        <v>44533</v>
      </c>
      <c r="Z125" s="299" t="s">
        <v>133</v>
      </c>
      <c r="AA125" s="299">
        <v>44523</v>
      </c>
      <c r="AB125" s="299">
        <v>44525</v>
      </c>
      <c r="AC125" s="299">
        <v>44539</v>
      </c>
      <c r="AD125" s="299"/>
      <c r="AE125" s="299"/>
      <c r="AF125" s="355"/>
      <c r="AG125" s="299" t="str">
        <f>IFERROR(IF(VLOOKUP(功能_33[[#This Row],[功能代號]],E:Q,11,FALSE)=0,"",VLOOKUP(功能_33[[#This Row],[功能代號]],E:Q,11,FALSE)),"")</f>
        <v>許慧玉</v>
      </c>
      <c r="AH125" s="299"/>
      <c r="AI125" s="299"/>
      <c r="AJ125" s="292"/>
      <c r="AK125" s="224" t="s">
        <v>471</v>
      </c>
      <c r="AL125" s="308" t="s">
        <v>2985</v>
      </c>
      <c r="AM125" s="219" t="s">
        <v>2986</v>
      </c>
      <c r="AN125" s="292" t="str">
        <f>VLOOKUP(功能_33[[#This Row],[功能代號]],需二審tmp!A:A,1,FALSE)</f>
        <v>L4943</v>
      </c>
      <c r="AO125" s="356">
        <v>44523</v>
      </c>
      <c r="AQ125" s="574" t="str">
        <f t="shared" si="9"/>
        <v>4-4</v>
      </c>
      <c r="AR125" s="576" t="str">
        <f t="shared" si="10"/>
        <v/>
      </c>
      <c r="AS125" s="578" t="str">
        <f t="shared" si="11"/>
        <v/>
      </c>
      <c r="AT125" s="580" t="str">
        <f t="shared" si="12"/>
        <v/>
      </c>
      <c r="AU125" s="582" t="str">
        <f t="shared" si="13"/>
        <v/>
      </c>
      <c r="AV125" s="584" t="str">
        <f t="shared" si="14"/>
        <v/>
      </c>
      <c r="AW125" s="662" t="str">
        <f>IFERROR(VLOOKUP(功能_33[[#This Row],[功能代號]],工作表3!C:C,1,FALSE),"未計SIT測試")</f>
        <v>L4943</v>
      </c>
    </row>
    <row r="126" spans="1:49" ht="27" x14ac:dyDescent="0.3">
      <c r="C126" s="292" t="s">
        <v>93</v>
      </c>
      <c r="D126" s="292" t="s">
        <v>465</v>
      </c>
      <c r="E126" s="291" t="s">
        <v>472</v>
      </c>
      <c r="F126" s="292" t="s">
        <v>473</v>
      </c>
      <c r="G126" s="292"/>
      <c r="H126" s="291" t="s">
        <v>193</v>
      </c>
      <c r="I126" s="291" t="s">
        <v>2774</v>
      </c>
      <c r="J126" s="225" t="s">
        <v>2959</v>
      </c>
      <c r="K126" s="299">
        <v>44456</v>
      </c>
      <c r="L126" s="299">
        <v>44456</v>
      </c>
      <c r="M126" s="299">
        <v>44523</v>
      </c>
      <c r="N126" s="291" t="s">
        <v>8</v>
      </c>
      <c r="O126" s="291" t="s">
        <v>22</v>
      </c>
      <c r="P126" s="270" t="s">
        <v>468</v>
      </c>
      <c r="T126" s="291"/>
      <c r="V126" s="291"/>
      <c r="W126" s="291"/>
      <c r="X126" s="292" t="str">
        <f>VLOOKUP(功能_33[[#This Row],[User]],SKL放款!A:G,7,FALSE)</f>
        <v>放款服務課</v>
      </c>
      <c r="Y126" s="299">
        <v>44533</v>
      </c>
      <c r="Z126" s="299" t="s">
        <v>133</v>
      </c>
      <c r="AA126" s="299">
        <v>44523</v>
      </c>
      <c r="AB126" s="299">
        <v>44525</v>
      </c>
      <c r="AC126" s="299">
        <v>44539</v>
      </c>
      <c r="AD126" s="299"/>
      <c r="AE126" s="299"/>
      <c r="AF126" s="355"/>
      <c r="AG126" s="299" t="str">
        <f>IFERROR(IF(VLOOKUP(功能_33[[#This Row],[功能代號]],E:Q,11,FALSE)=0,"",VLOOKUP(功能_33[[#This Row],[功能代號]],E:Q,11,FALSE)),"")</f>
        <v>許慧玉</v>
      </c>
      <c r="AH126" s="299"/>
      <c r="AI126" s="299"/>
      <c r="AJ126" s="292"/>
      <c r="AK126" s="299"/>
      <c r="AL126" s="308" t="s">
        <v>2978</v>
      </c>
      <c r="AM126" s="219" t="s">
        <v>2979</v>
      </c>
      <c r="AN126" s="292" t="str">
        <f>VLOOKUP(功能_33[[#This Row],[功能代號]],需二審tmp!A:A,1,FALSE)</f>
        <v>L4451</v>
      </c>
      <c r="AO126" s="356">
        <v>44523</v>
      </c>
      <c r="AQ126" s="574" t="str">
        <f t="shared" si="9"/>
        <v>4-4</v>
      </c>
      <c r="AR126" s="576" t="str">
        <f t="shared" si="10"/>
        <v/>
      </c>
      <c r="AS126" s="578" t="str">
        <f t="shared" si="11"/>
        <v/>
      </c>
      <c r="AT126" s="580" t="str">
        <f t="shared" si="12"/>
        <v/>
      </c>
      <c r="AU126" s="582" t="str">
        <f t="shared" si="13"/>
        <v/>
      </c>
      <c r="AV126" s="584" t="str">
        <f t="shared" si="14"/>
        <v/>
      </c>
      <c r="AW126" s="662" t="str">
        <f>IFERROR(VLOOKUP(功能_33[[#This Row],[功能代號]],工作表3!C:C,1,FALSE),"未計SIT測試")</f>
        <v>L4451</v>
      </c>
    </row>
    <row r="127" spans="1:49" ht="40.5" x14ac:dyDescent="0.3">
      <c r="C127" s="292" t="s">
        <v>93</v>
      </c>
      <c r="D127" s="292" t="s">
        <v>465</v>
      </c>
      <c r="E127" s="291" t="s">
        <v>474</v>
      </c>
      <c r="F127" s="292" t="s">
        <v>475</v>
      </c>
      <c r="G127" s="292"/>
      <c r="H127" s="291" t="s">
        <v>193</v>
      </c>
      <c r="I127" s="291" t="s">
        <v>2774</v>
      </c>
      <c r="J127" s="225" t="s">
        <v>2959</v>
      </c>
      <c r="K127" s="299">
        <v>44456</v>
      </c>
      <c r="L127" s="299">
        <v>44456</v>
      </c>
      <c r="M127" s="299">
        <v>44523</v>
      </c>
      <c r="N127" s="291" t="s">
        <v>8</v>
      </c>
      <c r="O127" s="291" t="s">
        <v>22</v>
      </c>
      <c r="P127" s="270" t="s">
        <v>468</v>
      </c>
      <c r="T127" s="291"/>
      <c r="V127" s="291"/>
      <c r="W127" s="291"/>
      <c r="X127" s="292" t="str">
        <f>VLOOKUP(功能_33[[#This Row],[User]],SKL放款!A:G,7,FALSE)</f>
        <v>放款服務課</v>
      </c>
      <c r="Y127" s="299">
        <v>44533</v>
      </c>
      <c r="Z127" s="299" t="s">
        <v>133</v>
      </c>
      <c r="AA127" s="299">
        <v>44523</v>
      </c>
      <c r="AB127" s="299">
        <v>44525</v>
      </c>
      <c r="AC127" s="299">
        <v>44539</v>
      </c>
      <c r="AD127" s="299"/>
      <c r="AE127" s="299"/>
      <c r="AF127" s="355"/>
      <c r="AG127" s="299" t="str">
        <f>IFERROR(IF(VLOOKUP(功能_33[[#This Row],[功能代號]],E:Q,11,FALSE)=0,"",VLOOKUP(功能_33[[#This Row],[功能代號]],E:Q,11,FALSE)),"")</f>
        <v>許慧玉</v>
      </c>
      <c r="AH127" s="299"/>
      <c r="AI127" s="299"/>
      <c r="AJ127" s="292"/>
      <c r="AK127" s="299"/>
      <c r="AL127" s="308" t="s">
        <v>2981</v>
      </c>
      <c r="AM127" s="219" t="s">
        <v>2982</v>
      </c>
      <c r="AN127" s="292" t="str">
        <f>VLOOKUP(功能_33[[#This Row],[功能代號]],需二審tmp!A:A,1,FALSE)</f>
        <v>L4452</v>
      </c>
      <c r="AO127" s="356">
        <v>44523</v>
      </c>
      <c r="AQ127" s="574" t="str">
        <f t="shared" si="9"/>
        <v>4-4</v>
      </c>
      <c r="AR127" s="576" t="str">
        <f t="shared" si="10"/>
        <v/>
      </c>
      <c r="AS127" s="578" t="str">
        <f t="shared" si="11"/>
        <v/>
      </c>
      <c r="AT127" s="580" t="str">
        <f t="shared" si="12"/>
        <v/>
      </c>
      <c r="AU127" s="582" t="str">
        <f t="shared" si="13"/>
        <v/>
      </c>
      <c r="AV127" s="584" t="str">
        <f t="shared" si="14"/>
        <v/>
      </c>
      <c r="AW127" s="662" t="str">
        <f>IFERROR(VLOOKUP(功能_33[[#This Row],[功能代號]],工作表3!C:C,1,FALSE),"未計SIT測試")</f>
        <v>L4452</v>
      </c>
    </row>
    <row r="128" spans="1:49" ht="27" x14ac:dyDescent="0.3">
      <c r="C128" s="292" t="s">
        <v>93</v>
      </c>
      <c r="D128" s="292" t="s">
        <v>465</v>
      </c>
      <c r="E128" s="291" t="s">
        <v>476</v>
      </c>
      <c r="F128" s="292" t="s">
        <v>477</v>
      </c>
      <c r="G128" s="292"/>
      <c r="H128" s="291" t="s">
        <v>193</v>
      </c>
      <c r="I128" s="291" t="s">
        <v>2774</v>
      </c>
      <c r="J128" s="225" t="s">
        <v>2959</v>
      </c>
      <c r="K128" s="299">
        <v>44456</v>
      </c>
      <c r="L128" s="299">
        <v>44456</v>
      </c>
      <c r="M128" s="299">
        <v>44523</v>
      </c>
      <c r="N128" s="291" t="s">
        <v>8</v>
      </c>
      <c r="O128" s="291" t="s">
        <v>22</v>
      </c>
      <c r="P128" s="270" t="s">
        <v>468</v>
      </c>
      <c r="T128" s="291"/>
      <c r="V128" s="291"/>
      <c r="W128" s="291"/>
      <c r="X128" s="292" t="str">
        <f>VLOOKUP(功能_33[[#This Row],[User]],SKL放款!A:G,7,FALSE)</f>
        <v>放款服務課</v>
      </c>
      <c r="Y128" s="299">
        <v>44533</v>
      </c>
      <c r="Z128" s="299" t="s">
        <v>133</v>
      </c>
      <c r="AA128" s="299">
        <v>44523</v>
      </c>
      <c r="AB128" s="299">
        <v>44525</v>
      </c>
      <c r="AC128" s="299">
        <v>44539</v>
      </c>
      <c r="AD128" s="299"/>
      <c r="AE128" s="299"/>
      <c r="AF128" s="355"/>
      <c r="AG128" s="299" t="str">
        <f>IFERROR(IF(VLOOKUP(功能_33[[#This Row],[功能代號]],E:Q,11,FALSE)=0,"",VLOOKUP(功能_33[[#This Row],[功能代號]],E:Q,11,FALSE)),"")</f>
        <v>許慧玉</v>
      </c>
      <c r="AH128" s="299"/>
      <c r="AI128" s="299"/>
      <c r="AJ128" s="292"/>
      <c r="AK128" s="299"/>
      <c r="AL128" s="308" t="s">
        <v>2983</v>
      </c>
      <c r="AM128" s="219" t="s">
        <v>2984</v>
      </c>
      <c r="AN128" s="292" t="str">
        <f>VLOOKUP(功能_33[[#This Row],[功能代號]],需二審tmp!A:A,1,FALSE)</f>
        <v>L4453</v>
      </c>
      <c r="AO128" s="356">
        <v>44523</v>
      </c>
      <c r="AQ128" s="574" t="str">
        <f t="shared" si="9"/>
        <v>4-4</v>
      </c>
      <c r="AR128" s="576" t="str">
        <f t="shared" si="10"/>
        <v/>
      </c>
      <c r="AS128" s="578" t="str">
        <f t="shared" si="11"/>
        <v/>
      </c>
      <c r="AT128" s="580" t="str">
        <f t="shared" si="12"/>
        <v/>
      </c>
      <c r="AU128" s="582" t="str">
        <f t="shared" si="13"/>
        <v/>
      </c>
      <c r="AV128" s="584" t="str">
        <f t="shared" si="14"/>
        <v/>
      </c>
      <c r="AW128" s="662" t="str">
        <f>IFERROR(VLOOKUP(功能_33[[#This Row],[功能代號]],工作表3!C:C,1,FALSE),"未計SIT測試")</f>
        <v>L4453</v>
      </c>
    </row>
    <row r="129" spans="3:49" ht="13.5" x14ac:dyDescent="0.3">
      <c r="C129" s="292" t="s">
        <v>94</v>
      </c>
      <c r="D129" s="292" t="s">
        <v>2822</v>
      </c>
      <c r="E129" s="291" t="s">
        <v>478</v>
      </c>
      <c r="F129" s="292" t="s">
        <v>479</v>
      </c>
      <c r="G129" s="292"/>
      <c r="H129" s="291" t="s">
        <v>480</v>
      </c>
      <c r="I129" s="291" t="s">
        <v>480</v>
      </c>
      <c r="J129" s="225" t="s">
        <v>481</v>
      </c>
      <c r="K129" s="299">
        <v>44462</v>
      </c>
      <c r="L129" s="299">
        <v>44462</v>
      </c>
      <c r="M129" s="299">
        <v>44462</v>
      </c>
      <c r="N129" s="291" t="s">
        <v>7</v>
      </c>
      <c r="O129" s="291" t="s">
        <v>11</v>
      </c>
      <c r="P129" s="270" t="s">
        <v>25</v>
      </c>
      <c r="T129" s="291"/>
      <c r="V129" s="291"/>
      <c r="W129" s="291"/>
      <c r="X129" s="292" t="str">
        <f>VLOOKUP(功能_33[[#This Row],[User]],SKL放款!A:G,7,FALSE)</f>
        <v>放款服務課</v>
      </c>
      <c r="Y129" s="299">
        <v>44489</v>
      </c>
      <c r="Z129" s="299">
        <v>44477</v>
      </c>
      <c r="AA129" s="299">
        <f>IF(功能_33[[#This Row],[URS交二審]]=0,"",功能_33[[#This Row],[URS交二審]]+7)</f>
        <v>44484</v>
      </c>
      <c r="AB129" s="299">
        <f>IF(功能_33[[#This Row],[URS交二審]]=0,"",功能_33[[#This Row],[URS交二審]]+7)</f>
        <v>44484</v>
      </c>
      <c r="AC129" s="299">
        <v>44489</v>
      </c>
      <c r="AD129" s="299"/>
      <c r="AG129" s="299" t="str">
        <f>IFERROR(IF(VLOOKUP(功能_33[[#This Row],[功能代號]],E:Q,11,FALSE)=0,"",VLOOKUP(功能_33[[#This Row],[功能代號]],E:Q,11,FALSE)),"")</f>
        <v>蔡珮瑜</v>
      </c>
      <c r="AH129" s="299"/>
      <c r="AI129" s="299"/>
      <c r="AJ129" s="292"/>
      <c r="AK129" s="299"/>
      <c r="AL129" s="291" t="s">
        <v>3054</v>
      </c>
      <c r="AM129" s="292" t="s">
        <v>3056</v>
      </c>
      <c r="AN129" s="292" t="e">
        <f>VLOOKUP(功能_33[[#This Row],[功能代號]],需二審tmp!A:A,1,FALSE)</f>
        <v>#N/A</v>
      </c>
      <c r="AO129" s="356">
        <v>44489</v>
      </c>
      <c r="AQ129" s="574" t="str">
        <f t="shared" si="9"/>
        <v>5-5</v>
      </c>
      <c r="AR129" s="576" t="str">
        <f t="shared" si="10"/>
        <v/>
      </c>
      <c r="AS129" s="578" t="str">
        <f t="shared" si="11"/>
        <v/>
      </c>
      <c r="AT129" s="580" t="str">
        <f t="shared" si="12"/>
        <v/>
      </c>
      <c r="AU129" s="582" t="str">
        <f t="shared" si="13"/>
        <v/>
      </c>
      <c r="AV129" s="584" t="str">
        <f t="shared" si="14"/>
        <v/>
      </c>
      <c r="AW129" s="662" t="str">
        <f>IFERROR(VLOOKUP(功能_33[[#This Row],[功能代號]],工作表3!C:C,1,FALSE),"未計SIT測試")</f>
        <v>未計SIT測試</v>
      </c>
    </row>
    <row r="130" spans="3:49" ht="13.5" x14ac:dyDescent="0.3">
      <c r="C130" s="292" t="s">
        <v>94</v>
      </c>
      <c r="D130" s="292" t="s">
        <v>2822</v>
      </c>
      <c r="E130" s="291" t="s">
        <v>482</v>
      </c>
      <c r="F130" s="292" t="s">
        <v>483</v>
      </c>
      <c r="G130" s="292"/>
      <c r="H130" s="291" t="s">
        <v>480</v>
      </c>
      <c r="I130" s="291" t="s">
        <v>480</v>
      </c>
      <c r="J130" s="225" t="s">
        <v>481</v>
      </c>
      <c r="K130" s="299">
        <v>44462</v>
      </c>
      <c r="L130" s="299">
        <v>44462</v>
      </c>
      <c r="M130" s="299">
        <v>44462</v>
      </c>
      <c r="N130" s="291" t="s">
        <v>7</v>
      </c>
      <c r="O130" s="291" t="s">
        <v>11</v>
      </c>
      <c r="P130" s="270" t="s">
        <v>25</v>
      </c>
      <c r="T130" s="291"/>
      <c r="V130" s="291"/>
      <c r="W130" s="291"/>
      <c r="X130" s="292" t="str">
        <f>VLOOKUP(功能_33[[#This Row],[User]],SKL放款!A:G,7,FALSE)</f>
        <v>放款服務課</v>
      </c>
      <c r="Y130" s="299">
        <v>44489</v>
      </c>
      <c r="Z130" s="299">
        <v>44477</v>
      </c>
      <c r="AA130" s="299">
        <f>IF(功能_33[[#This Row],[URS交二審]]=0,"",功能_33[[#This Row],[URS交二審]]+7)</f>
        <v>44484</v>
      </c>
      <c r="AB130" s="299">
        <f>IF(功能_33[[#This Row],[URS交二審]]=0,"",功能_33[[#This Row],[URS交二審]]+7)</f>
        <v>44484</v>
      </c>
      <c r="AC130" s="299">
        <v>44489</v>
      </c>
      <c r="AD130" s="299"/>
      <c r="AG130" s="299" t="str">
        <f>IFERROR(IF(VLOOKUP(功能_33[[#This Row],[功能代號]],E:Q,11,FALSE)=0,"",VLOOKUP(功能_33[[#This Row],[功能代號]],E:Q,11,FALSE)),"")</f>
        <v>蔡珮瑜</v>
      </c>
      <c r="AH130" s="299"/>
      <c r="AI130" s="299"/>
      <c r="AJ130" s="292"/>
      <c r="AK130" s="299"/>
      <c r="AL130" s="291" t="s">
        <v>3054</v>
      </c>
      <c r="AM130" s="292" t="s">
        <v>3056</v>
      </c>
      <c r="AN130" s="292" t="e">
        <f>VLOOKUP(功能_33[[#This Row],[功能代號]],需二審tmp!A:A,1,FALSE)</f>
        <v>#N/A</v>
      </c>
      <c r="AO130" s="356">
        <v>44489</v>
      </c>
      <c r="AQ130" s="574" t="str">
        <f t="shared" si="9"/>
        <v>5-5</v>
      </c>
      <c r="AR130" s="576" t="str">
        <f t="shared" si="10"/>
        <v/>
      </c>
      <c r="AS130" s="578" t="str">
        <f t="shared" si="11"/>
        <v/>
      </c>
      <c r="AT130" s="580" t="str">
        <f t="shared" si="12"/>
        <v/>
      </c>
      <c r="AU130" s="582" t="str">
        <f t="shared" si="13"/>
        <v/>
      </c>
      <c r="AV130" s="584" t="str">
        <f t="shared" si="14"/>
        <v/>
      </c>
      <c r="AW130" s="662" t="str">
        <f>IFERROR(VLOOKUP(功能_33[[#This Row],[功能代號]],工作表3!C:C,1,FALSE),"未計SIT測試")</f>
        <v>未計SIT測試</v>
      </c>
    </row>
    <row r="131" spans="3:49" ht="13.5" x14ac:dyDescent="0.3">
      <c r="C131" s="292" t="s">
        <v>94</v>
      </c>
      <c r="D131" s="292" t="s">
        <v>2822</v>
      </c>
      <c r="E131" s="291" t="s">
        <v>484</v>
      </c>
      <c r="F131" s="292" t="s">
        <v>485</v>
      </c>
      <c r="G131" s="292"/>
      <c r="H131" s="291" t="s">
        <v>480</v>
      </c>
      <c r="I131" s="291" t="s">
        <v>480</v>
      </c>
      <c r="J131" s="225" t="s">
        <v>3053</v>
      </c>
      <c r="K131" s="299">
        <v>44462</v>
      </c>
      <c r="L131" s="299">
        <v>44462</v>
      </c>
      <c r="M131" s="299">
        <f>IFERROR(IF(VLOOKUP(功能_33[[#This Row],[功能代號]],討論項目!A:H,8,FALSE)=0,"",VLOOKUP(功能_33[[#This Row],[功能代號]],討論項目!A:H,8,FALSE)),"")</f>
        <v>44470</v>
      </c>
      <c r="N131" s="291" t="s">
        <v>7</v>
      </c>
      <c r="O131" s="291" t="s">
        <v>11</v>
      </c>
      <c r="P131" s="270" t="s">
        <v>25</v>
      </c>
      <c r="T131" s="291"/>
      <c r="V131" s="291"/>
      <c r="W131" s="291"/>
      <c r="X131" s="292" t="str">
        <f>VLOOKUP(功能_33[[#This Row],[User]],SKL放款!A:G,7,FALSE)</f>
        <v>放款服務課</v>
      </c>
      <c r="Y131" s="299">
        <v>44489</v>
      </c>
      <c r="Z131" s="299">
        <v>44477</v>
      </c>
      <c r="AA131" s="299">
        <f>IF(功能_33[[#This Row],[URS交二審]]=0,"",功能_33[[#This Row],[URS交二審]]+7)</f>
        <v>44484</v>
      </c>
      <c r="AB131" s="299">
        <f>IF(功能_33[[#This Row],[URS交二審]]=0,"",功能_33[[#This Row],[URS交二審]]+7)</f>
        <v>44484</v>
      </c>
      <c r="AC131" s="299">
        <v>44489</v>
      </c>
      <c r="AD131" s="299"/>
      <c r="AG131" s="299" t="str">
        <f>IFERROR(IF(VLOOKUP(功能_33[[#This Row],[功能代號]],E:Q,11,FALSE)=0,"",VLOOKUP(功能_33[[#This Row],[功能代號]],E:Q,11,FALSE)),"")</f>
        <v>蔡珮瑜</v>
      </c>
      <c r="AH131" s="299"/>
      <c r="AI131" s="299"/>
      <c r="AJ131" s="292"/>
      <c r="AK131" s="299"/>
      <c r="AL131" s="291" t="s">
        <v>3054</v>
      </c>
      <c r="AM131" s="292" t="s">
        <v>3056</v>
      </c>
      <c r="AN131" s="292" t="str">
        <f>VLOOKUP(功能_33[[#This Row],[功能代號]],需二審tmp!A:A,1,FALSE)</f>
        <v>L5071</v>
      </c>
      <c r="AO131" s="356">
        <v>44489</v>
      </c>
      <c r="AQ131" s="574" t="str">
        <f t="shared" ref="AQ131:AQ154" si="15">IF(COUNTA(AC131)=1,LEFT(D131,3),"")</f>
        <v>5-5</v>
      </c>
      <c r="AR131" s="576" t="str">
        <f t="shared" ref="AR131:AR154" si="16">IF(AND(COUNTA(L131)=1,COUNTA(M131)=1,COUNTA(Y131)=1,COUNTA(AB131)=1,COUNTA(AC131)=0),LEFT(D131,3),"")</f>
        <v/>
      </c>
      <c r="AS131" s="578" t="str">
        <f t="shared" ref="AS131:AS154" si="17">IF(AND(COUNTA(L131)=1,COUNTA(M131)=1,COUNTA(Y131)=1,COUNTA(AB131)=0,COUNTA(AC131)=0),LEFT(D131,3),"")</f>
        <v/>
      </c>
      <c r="AT131" s="580" t="str">
        <f t="shared" ref="AT131:AT154" si="18">IF(AND(COUNTA(M131)=0,COUNTA(Y131)=1),LEFT(D131,3),"")</f>
        <v/>
      </c>
      <c r="AU131" s="582" t="str">
        <f t="shared" ref="AU131:AU154" si="19">IF(AND(COUNTA(M131)=1,COUNTA(Y131)=0),LEFT(D131,3),"")</f>
        <v/>
      </c>
      <c r="AV131" s="584" t="str">
        <f t="shared" ref="AV131:AV154" si="20">IF(AND(COUNTA(M131)=0,COUNTA(Y131)=0),LEFT(D131,3),"")</f>
        <v/>
      </c>
      <c r="AW131" s="662" t="str">
        <f>IFERROR(VLOOKUP(功能_33[[#This Row],[功能代號]],工作表3!C:C,1,FALSE),"未計SIT測試")</f>
        <v>未計SIT測試</v>
      </c>
    </row>
    <row r="132" spans="3:49" ht="13.5" x14ac:dyDescent="0.3">
      <c r="C132" s="292" t="s">
        <v>94</v>
      </c>
      <c r="D132" s="292" t="s">
        <v>2822</v>
      </c>
      <c r="E132" s="291" t="s">
        <v>486</v>
      </c>
      <c r="F132" s="292" t="s">
        <v>487</v>
      </c>
      <c r="G132" s="292"/>
      <c r="H132" s="291" t="s">
        <v>480</v>
      </c>
      <c r="I132" s="291" t="s">
        <v>480</v>
      </c>
      <c r="J132" s="225" t="s">
        <v>481</v>
      </c>
      <c r="K132" s="299">
        <v>44462</v>
      </c>
      <c r="L132" s="299">
        <v>44462</v>
      </c>
      <c r="M132" s="299">
        <f>IFERROR(IF(VLOOKUP(功能_33[[#This Row],[功能代號]],討論項目!A:H,8,FALSE)=0,"",VLOOKUP(功能_33[[#This Row],[功能代號]],討論項目!A:H,8,FALSE)),"")</f>
        <v>44473</v>
      </c>
      <c r="N132" s="291" t="s">
        <v>7</v>
      </c>
      <c r="O132" s="291" t="s">
        <v>11</v>
      </c>
      <c r="P132" s="270" t="s">
        <v>25</v>
      </c>
      <c r="T132" s="291"/>
      <c r="V132" s="291"/>
      <c r="W132" s="291"/>
      <c r="X132" s="292" t="str">
        <f>VLOOKUP(功能_33[[#This Row],[User]],SKL放款!A:G,7,FALSE)</f>
        <v>放款服務課</v>
      </c>
      <c r="Y132" s="299">
        <v>44489</v>
      </c>
      <c r="Z132" s="299">
        <v>44477</v>
      </c>
      <c r="AA132" s="299">
        <f>IF(功能_33[[#This Row],[URS交二審]]=0,"",功能_33[[#This Row],[URS交二審]]+7)</f>
        <v>44484</v>
      </c>
      <c r="AB132" s="299">
        <f>IF(功能_33[[#This Row],[URS交二審]]=0,"",功能_33[[#This Row],[URS交二審]]+7)</f>
        <v>44484</v>
      </c>
      <c r="AC132" s="299">
        <v>44489</v>
      </c>
      <c r="AD132" s="299"/>
      <c r="AG132" s="299" t="str">
        <f>IFERROR(IF(VLOOKUP(功能_33[[#This Row],[功能代號]],E:Q,11,FALSE)=0,"",VLOOKUP(功能_33[[#This Row],[功能代號]],E:Q,11,FALSE)),"")</f>
        <v>蔡珮瑜</v>
      </c>
      <c r="AH132" s="299"/>
      <c r="AI132" s="299"/>
      <c r="AJ132" s="292"/>
      <c r="AK132" s="299"/>
      <c r="AL132" s="291" t="s">
        <v>3054</v>
      </c>
      <c r="AM132" s="292" t="s">
        <v>3056</v>
      </c>
      <c r="AN132" s="292" t="str">
        <f>VLOOKUP(功能_33[[#This Row],[功能代號]],需二審tmp!A:A,1,FALSE)</f>
        <v>L5701</v>
      </c>
      <c r="AO132" s="356">
        <v>44489</v>
      </c>
      <c r="AQ132" s="574" t="str">
        <f t="shared" si="15"/>
        <v>5-5</v>
      </c>
      <c r="AR132" s="576" t="str">
        <f t="shared" si="16"/>
        <v/>
      </c>
      <c r="AS132" s="578" t="str">
        <f t="shared" si="17"/>
        <v/>
      </c>
      <c r="AT132" s="580" t="str">
        <f t="shared" si="18"/>
        <v/>
      </c>
      <c r="AU132" s="582" t="str">
        <f t="shared" si="19"/>
        <v/>
      </c>
      <c r="AV132" s="584" t="str">
        <f t="shared" si="20"/>
        <v/>
      </c>
      <c r="AW132" s="662" t="str">
        <f>IFERROR(VLOOKUP(功能_33[[#This Row],[功能代號]],工作表3!C:C,1,FALSE),"未計SIT測試")</f>
        <v>未計SIT測試</v>
      </c>
    </row>
    <row r="133" spans="3:49" ht="13.5" x14ac:dyDescent="0.3">
      <c r="C133" s="292" t="s">
        <v>94</v>
      </c>
      <c r="D133" s="292" t="s">
        <v>2822</v>
      </c>
      <c r="E133" s="291" t="s">
        <v>488</v>
      </c>
      <c r="F133" s="270" t="s">
        <v>489</v>
      </c>
      <c r="G133" s="270"/>
      <c r="H133" s="291" t="s">
        <v>480</v>
      </c>
      <c r="I133" s="291" t="s">
        <v>480</v>
      </c>
      <c r="J133" s="225" t="s">
        <v>481</v>
      </c>
      <c r="K133" s="299">
        <v>44462</v>
      </c>
      <c r="L133" s="299">
        <v>44462</v>
      </c>
      <c r="M133" s="299">
        <v>44462</v>
      </c>
      <c r="N133" s="291" t="s">
        <v>7</v>
      </c>
      <c r="O133" s="291" t="s">
        <v>11</v>
      </c>
      <c r="P133" s="270" t="s">
        <v>25</v>
      </c>
      <c r="T133" s="291"/>
      <c r="V133" s="291"/>
      <c r="W133" s="291"/>
      <c r="X133" s="292" t="str">
        <f>VLOOKUP(功能_33[[#This Row],[User]],SKL放款!A:G,7,FALSE)</f>
        <v>放款服務課</v>
      </c>
      <c r="Y133" s="299">
        <v>44489</v>
      </c>
      <c r="Z133" s="299">
        <v>44477</v>
      </c>
      <c r="AA133" s="299">
        <f>IF(功能_33[[#This Row],[URS交二審]]=0,"",功能_33[[#This Row],[URS交二審]]+7)</f>
        <v>44484</v>
      </c>
      <c r="AB133" s="299">
        <f>IF(功能_33[[#This Row],[URS交二審]]=0,"",功能_33[[#This Row],[URS交二審]]+7)</f>
        <v>44484</v>
      </c>
      <c r="AC133" s="299">
        <v>44489</v>
      </c>
      <c r="AD133" s="299"/>
      <c r="AG133" s="299" t="str">
        <f>IFERROR(IF(VLOOKUP(功能_33[[#This Row],[功能代號]],E:Q,11,FALSE)=0,"",VLOOKUP(功能_33[[#This Row],[功能代號]],E:Q,11,FALSE)),"")</f>
        <v>蔡珮瑜</v>
      </c>
      <c r="AH133" s="299"/>
      <c r="AI133" s="299"/>
      <c r="AJ133" s="292"/>
      <c r="AK133" s="299"/>
      <c r="AL133" s="291" t="s">
        <v>3054</v>
      </c>
      <c r="AM133" s="292" t="s">
        <v>3056</v>
      </c>
      <c r="AN133" s="292" t="e">
        <f>VLOOKUP(功能_33[[#This Row],[功能代號]],需二審tmp!A:A,1,FALSE)</f>
        <v>#N/A</v>
      </c>
      <c r="AO133" s="356">
        <v>44489</v>
      </c>
      <c r="AQ133" s="574" t="str">
        <f t="shared" si="15"/>
        <v>5-5</v>
      </c>
      <c r="AR133" s="576" t="str">
        <f t="shared" si="16"/>
        <v/>
      </c>
      <c r="AS133" s="578" t="str">
        <f t="shared" si="17"/>
        <v/>
      </c>
      <c r="AT133" s="580" t="str">
        <f t="shared" si="18"/>
        <v/>
      </c>
      <c r="AU133" s="582" t="str">
        <f t="shared" si="19"/>
        <v/>
      </c>
      <c r="AV133" s="584" t="str">
        <f t="shared" si="20"/>
        <v/>
      </c>
      <c r="AW133" s="662" t="str">
        <f>IFERROR(VLOOKUP(功能_33[[#This Row],[功能代號]],工作表3!C:C,1,FALSE),"未計SIT測試")</f>
        <v>未計SIT測試</v>
      </c>
    </row>
    <row r="134" spans="3:49" ht="13.5" x14ac:dyDescent="0.3">
      <c r="C134" s="292" t="s">
        <v>94</v>
      </c>
      <c r="D134" s="292" t="s">
        <v>2822</v>
      </c>
      <c r="E134" s="291" t="s">
        <v>490</v>
      </c>
      <c r="F134" s="292" t="s">
        <v>491</v>
      </c>
      <c r="G134" s="292"/>
      <c r="H134" s="291" t="s">
        <v>480</v>
      </c>
      <c r="I134" s="291" t="s">
        <v>480</v>
      </c>
      <c r="J134" s="225" t="s">
        <v>481</v>
      </c>
      <c r="K134" s="299">
        <v>44467</v>
      </c>
      <c r="L134" s="299">
        <v>44462</v>
      </c>
      <c r="M134" s="299">
        <f>IFERROR(IF(VLOOKUP(功能_33[[#This Row],[功能代號]],討論項目!A:H,8,FALSE)=0,"",VLOOKUP(功能_33[[#This Row],[功能代號]],討論項目!A:H,8,FALSE)),"")</f>
        <v>44468</v>
      </c>
      <c r="N134" s="291" t="s">
        <v>7</v>
      </c>
      <c r="O134" s="291" t="s">
        <v>11</v>
      </c>
      <c r="P134" s="270" t="s">
        <v>25</v>
      </c>
      <c r="T134" s="291"/>
      <c r="V134" s="291"/>
      <c r="W134" s="291"/>
      <c r="X134" s="292" t="str">
        <f>VLOOKUP(功能_33[[#This Row],[User]],SKL放款!A:G,7,FALSE)</f>
        <v>放款服務課</v>
      </c>
      <c r="Y134" s="299">
        <v>44489</v>
      </c>
      <c r="Z134" s="299">
        <v>44477</v>
      </c>
      <c r="AA134" s="299">
        <f>IF(功能_33[[#This Row],[URS交二審]]=0,"",功能_33[[#This Row],[URS交二審]]+7)</f>
        <v>44484</v>
      </c>
      <c r="AB134" s="299">
        <f>IF(功能_33[[#This Row],[URS交二審]]=0,"",功能_33[[#This Row],[URS交二審]]+7)</f>
        <v>44484</v>
      </c>
      <c r="AC134" s="299">
        <v>44489</v>
      </c>
      <c r="AD134" s="299"/>
      <c r="AG134" s="299" t="str">
        <f>IFERROR(IF(VLOOKUP(功能_33[[#This Row],[功能代號]],E:Q,11,FALSE)=0,"",VLOOKUP(功能_33[[#This Row],[功能代號]],E:Q,11,FALSE)),"")</f>
        <v>蔡珮瑜</v>
      </c>
      <c r="AH134" s="299"/>
      <c r="AI134" s="299"/>
      <c r="AJ134" s="292"/>
      <c r="AK134" s="299"/>
      <c r="AL134" s="291" t="s">
        <v>3054</v>
      </c>
      <c r="AM134" s="292" t="s">
        <v>3056</v>
      </c>
      <c r="AN134" s="292" t="str">
        <f>VLOOKUP(功能_33[[#This Row],[功能代號]],需二審tmp!A:A,1,FALSE)</f>
        <v>L5075</v>
      </c>
      <c r="AO134" s="356">
        <v>44489</v>
      </c>
      <c r="AQ134" s="574" t="str">
        <f t="shared" si="15"/>
        <v>5-5</v>
      </c>
      <c r="AR134" s="576" t="str">
        <f t="shared" si="16"/>
        <v/>
      </c>
      <c r="AS134" s="578" t="str">
        <f t="shared" si="17"/>
        <v/>
      </c>
      <c r="AT134" s="580" t="str">
        <f t="shared" si="18"/>
        <v/>
      </c>
      <c r="AU134" s="582" t="str">
        <f t="shared" si="19"/>
        <v/>
      </c>
      <c r="AV134" s="584" t="str">
        <f t="shared" si="20"/>
        <v/>
      </c>
      <c r="AW134" s="662" t="str">
        <f>IFERROR(VLOOKUP(功能_33[[#This Row],[功能代號]],工作表3!C:C,1,FALSE),"未計SIT測試")</f>
        <v>未計SIT測試</v>
      </c>
    </row>
    <row r="135" spans="3:49" ht="13.5" x14ac:dyDescent="0.3">
      <c r="C135" s="292" t="s">
        <v>94</v>
      </c>
      <c r="D135" s="292" t="s">
        <v>2822</v>
      </c>
      <c r="E135" s="291" t="s">
        <v>492</v>
      </c>
      <c r="F135" s="292" t="s">
        <v>493</v>
      </c>
      <c r="G135" s="292"/>
      <c r="H135" s="291" t="s">
        <v>480</v>
      </c>
      <c r="I135" s="291" t="s">
        <v>480</v>
      </c>
      <c r="J135" s="225" t="s">
        <v>481</v>
      </c>
      <c r="K135" s="299">
        <v>44467</v>
      </c>
      <c r="L135" s="299">
        <v>44462</v>
      </c>
      <c r="M135" s="299">
        <v>44462</v>
      </c>
      <c r="N135" s="291" t="s">
        <v>7</v>
      </c>
      <c r="O135" s="291" t="s">
        <v>11</v>
      </c>
      <c r="P135" s="270" t="s">
        <v>25</v>
      </c>
      <c r="T135" s="291"/>
      <c r="V135" s="291"/>
      <c r="W135" s="291"/>
      <c r="X135" s="292" t="str">
        <f>VLOOKUP(功能_33[[#This Row],[User]],SKL放款!A:G,7,FALSE)</f>
        <v>放款服務課</v>
      </c>
      <c r="Y135" s="299">
        <v>44489</v>
      </c>
      <c r="Z135" s="299">
        <v>44477</v>
      </c>
      <c r="AA135" s="299">
        <f>IF(功能_33[[#This Row],[URS交二審]]=0,"",功能_33[[#This Row],[URS交二審]]+7)</f>
        <v>44484</v>
      </c>
      <c r="AB135" s="299">
        <f>IF(功能_33[[#This Row],[URS交二審]]=0,"",功能_33[[#This Row],[URS交二審]]+7)</f>
        <v>44484</v>
      </c>
      <c r="AC135" s="299">
        <v>44489</v>
      </c>
      <c r="AD135" s="299"/>
      <c r="AG135" s="299" t="str">
        <f>IFERROR(IF(VLOOKUP(功能_33[[#This Row],[功能代號]],E:Q,11,FALSE)=0,"",VLOOKUP(功能_33[[#This Row],[功能代號]],E:Q,11,FALSE)),"")</f>
        <v>蔡珮瑜</v>
      </c>
      <c r="AH135" s="299"/>
      <c r="AI135" s="299"/>
      <c r="AJ135" s="292"/>
      <c r="AK135" s="299"/>
      <c r="AL135" s="291" t="s">
        <v>3054</v>
      </c>
      <c r="AM135" s="292" t="s">
        <v>3056</v>
      </c>
      <c r="AN135" s="292" t="e">
        <f>VLOOKUP(功能_33[[#This Row],[功能代號]],需二審tmp!A:A,1,FALSE)</f>
        <v>#N/A</v>
      </c>
      <c r="AO135" s="356">
        <v>44489</v>
      </c>
      <c r="AQ135" s="574" t="str">
        <f t="shared" si="15"/>
        <v>5-5</v>
      </c>
      <c r="AR135" s="576" t="str">
        <f t="shared" si="16"/>
        <v/>
      </c>
      <c r="AS135" s="578" t="str">
        <f t="shared" si="17"/>
        <v/>
      </c>
      <c r="AT135" s="580" t="str">
        <f t="shared" si="18"/>
        <v/>
      </c>
      <c r="AU135" s="582" t="str">
        <f t="shared" si="19"/>
        <v/>
      </c>
      <c r="AV135" s="584" t="str">
        <f t="shared" si="20"/>
        <v/>
      </c>
      <c r="AW135" s="662" t="str">
        <f>IFERROR(VLOOKUP(功能_33[[#This Row],[功能代號]],工作表3!C:C,1,FALSE),"未計SIT測試")</f>
        <v>未計SIT測試</v>
      </c>
    </row>
    <row r="136" spans="3:49" ht="13.5" x14ac:dyDescent="0.3">
      <c r="C136" s="292" t="s">
        <v>94</v>
      </c>
      <c r="D136" s="292" t="s">
        <v>2822</v>
      </c>
      <c r="E136" s="291" t="s">
        <v>494</v>
      </c>
      <c r="F136" s="270" t="s">
        <v>495</v>
      </c>
      <c r="G136" s="270"/>
      <c r="H136" s="291" t="s">
        <v>480</v>
      </c>
      <c r="I136" s="291" t="s">
        <v>480</v>
      </c>
      <c r="J136" s="225" t="s">
        <v>481</v>
      </c>
      <c r="K136" s="299">
        <v>44467</v>
      </c>
      <c r="L136" s="299">
        <v>44462</v>
      </c>
      <c r="M136" s="299">
        <v>44462</v>
      </c>
      <c r="N136" s="291" t="s">
        <v>7</v>
      </c>
      <c r="O136" s="291" t="s">
        <v>11</v>
      </c>
      <c r="P136" s="270" t="s">
        <v>25</v>
      </c>
      <c r="T136" s="291"/>
      <c r="V136" s="291"/>
      <c r="W136" s="291"/>
      <c r="X136" s="292" t="str">
        <f>VLOOKUP(功能_33[[#This Row],[User]],SKL放款!A:G,7,FALSE)</f>
        <v>放款服務課</v>
      </c>
      <c r="Y136" s="299">
        <v>44489</v>
      </c>
      <c r="Z136" s="299">
        <v>44477</v>
      </c>
      <c r="AA136" s="299">
        <f>IF(功能_33[[#This Row],[URS交二審]]=0,"",功能_33[[#This Row],[URS交二審]]+7)</f>
        <v>44484</v>
      </c>
      <c r="AB136" s="299">
        <f>IF(功能_33[[#This Row],[URS交二審]]=0,"",功能_33[[#This Row],[URS交二審]]+7)</f>
        <v>44484</v>
      </c>
      <c r="AC136" s="299">
        <v>44489</v>
      </c>
      <c r="AD136" s="299"/>
      <c r="AG136" s="299" t="str">
        <f>IFERROR(IF(VLOOKUP(功能_33[[#This Row],[功能代號]],E:Q,11,FALSE)=0,"",VLOOKUP(功能_33[[#This Row],[功能代號]],E:Q,11,FALSE)),"")</f>
        <v>蔡珮瑜</v>
      </c>
      <c r="AH136" s="299"/>
      <c r="AI136" s="299"/>
      <c r="AJ136" s="292"/>
      <c r="AK136" s="299"/>
      <c r="AL136" s="291" t="s">
        <v>3054</v>
      </c>
      <c r="AM136" s="292" t="s">
        <v>3056</v>
      </c>
      <c r="AN136" s="292" t="e">
        <f>VLOOKUP(功能_33[[#This Row],[功能代號]],需二審tmp!A:A,1,FALSE)</f>
        <v>#N/A</v>
      </c>
      <c r="AO136" s="356">
        <v>44489</v>
      </c>
      <c r="AQ136" s="574" t="str">
        <f t="shared" si="15"/>
        <v>5-5</v>
      </c>
      <c r="AR136" s="576" t="str">
        <f t="shared" si="16"/>
        <v/>
      </c>
      <c r="AS136" s="578" t="str">
        <f t="shared" si="17"/>
        <v/>
      </c>
      <c r="AT136" s="580" t="str">
        <f t="shared" si="18"/>
        <v/>
      </c>
      <c r="AU136" s="582" t="str">
        <f t="shared" si="19"/>
        <v/>
      </c>
      <c r="AV136" s="584" t="str">
        <f t="shared" si="20"/>
        <v/>
      </c>
      <c r="AW136" s="662" t="str">
        <f>IFERROR(VLOOKUP(功能_33[[#This Row],[功能代號]],工作表3!C:C,1,FALSE),"未計SIT測試")</f>
        <v>未計SIT測試</v>
      </c>
    </row>
    <row r="137" spans="3:49" ht="13.5" x14ac:dyDescent="0.3">
      <c r="C137" s="292" t="s">
        <v>94</v>
      </c>
      <c r="D137" s="292" t="s">
        <v>2822</v>
      </c>
      <c r="E137" s="291" t="s">
        <v>496</v>
      </c>
      <c r="F137" s="292" t="s">
        <v>497</v>
      </c>
      <c r="G137" s="292"/>
      <c r="H137" s="291" t="s">
        <v>480</v>
      </c>
      <c r="I137" s="291" t="s">
        <v>480</v>
      </c>
      <c r="J137" s="225" t="s">
        <v>481</v>
      </c>
      <c r="K137" s="299">
        <v>44467</v>
      </c>
      <c r="L137" s="299">
        <v>44462</v>
      </c>
      <c r="M137" s="299">
        <f>IFERROR(IF(VLOOKUP(功能_33[[#This Row],[功能代號]],討論項目!A:H,8,FALSE)=0,"",VLOOKUP(功能_33[[#This Row],[功能代號]],討論項目!A:H,8,FALSE)),"")</f>
        <v>44468</v>
      </c>
      <c r="N137" s="291" t="s">
        <v>7</v>
      </c>
      <c r="O137" s="291" t="s">
        <v>11</v>
      </c>
      <c r="P137" s="270" t="s">
        <v>25</v>
      </c>
      <c r="T137" s="291"/>
      <c r="V137" s="291"/>
      <c r="W137" s="291"/>
      <c r="X137" s="292" t="str">
        <f>VLOOKUP(功能_33[[#This Row],[User]],SKL放款!A:G,7,FALSE)</f>
        <v>放款服務課</v>
      </c>
      <c r="Y137" s="299">
        <v>44489</v>
      </c>
      <c r="Z137" s="299">
        <v>44477</v>
      </c>
      <c r="AA137" s="299">
        <f>IF(功能_33[[#This Row],[URS交二審]]=0,"",功能_33[[#This Row],[URS交二審]]+7)</f>
        <v>44484</v>
      </c>
      <c r="AB137" s="299">
        <f>IF(功能_33[[#This Row],[URS交二審]]=0,"",功能_33[[#This Row],[URS交二審]]+7)</f>
        <v>44484</v>
      </c>
      <c r="AC137" s="299">
        <v>44489</v>
      </c>
      <c r="AD137" s="299"/>
      <c r="AG137" s="299" t="str">
        <f>IFERROR(IF(VLOOKUP(功能_33[[#This Row],[功能代號]],E:Q,11,FALSE)=0,"",VLOOKUP(功能_33[[#This Row],[功能代號]],E:Q,11,FALSE)),"")</f>
        <v>蔡珮瑜</v>
      </c>
      <c r="AH137" s="299"/>
      <c r="AI137" s="299"/>
      <c r="AJ137" s="292"/>
      <c r="AK137" s="299"/>
      <c r="AL137" s="291" t="s">
        <v>3054</v>
      </c>
      <c r="AM137" s="292" t="s">
        <v>3056</v>
      </c>
      <c r="AN137" s="292" t="str">
        <f>VLOOKUP(功能_33[[#This Row],[功能代號]],需二審tmp!A:A,1,FALSE)</f>
        <v>L5970</v>
      </c>
      <c r="AO137" s="356">
        <v>44489</v>
      </c>
      <c r="AQ137" s="574" t="str">
        <f t="shared" si="15"/>
        <v>5-5</v>
      </c>
      <c r="AR137" s="576" t="str">
        <f t="shared" si="16"/>
        <v/>
      </c>
      <c r="AS137" s="578" t="str">
        <f t="shared" si="17"/>
        <v/>
      </c>
      <c r="AT137" s="580" t="str">
        <f t="shared" si="18"/>
        <v/>
      </c>
      <c r="AU137" s="582" t="str">
        <f t="shared" si="19"/>
        <v/>
      </c>
      <c r="AV137" s="584" t="str">
        <f t="shared" si="20"/>
        <v/>
      </c>
      <c r="AW137" s="662" t="str">
        <f>IFERROR(VLOOKUP(功能_33[[#This Row],[功能代號]],工作表3!C:C,1,FALSE),"未計SIT測試")</f>
        <v>未計SIT測試</v>
      </c>
    </row>
    <row r="138" spans="3:49" ht="13.5" x14ac:dyDescent="0.3">
      <c r="C138" s="292" t="s">
        <v>94</v>
      </c>
      <c r="D138" s="292" t="s">
        <v>2822</v>
      </c>
      <c r="E138" s="291" t="s">
        <v>498</v>
      </c>
      <c r="F138" s="292" t="s">
        <v>499</v>
      </c>
      <c r="G138" s="292"/>
      <c r="H138" s="291" t="s">
        <v>480</v>
      </c>
      <c r="I138" s="291" t="s">
        <v>480</v>
      </c>
      <c r="J138" s="225" t="s">
        <v>481</v>
      </c>
      <c r="K138" s="299">
        <v>44463</v>
      </c>
      <c r="L138" s="299">
        <v>44463</v>
      </c>
      <c r="M138" s="299">
        <v>44463</v>
      </c>
      <c r="N138" s="291" t="s">
        <v>7</v>
      </c>
      <c r="O138" s="291" t="s">
        <v>11</v>
      </c>
      <c r="P138" s="270" t="s">
        <v>25</v>
      </c>
      <c r="T138" s="291"/>
      <c r="V138" s="291"/>
      <c r="W138" s="291"/>
      <c r="X138" s="292" t="str">
        <f>VLOOKUP(功能_33[[#This Row],[User]],SKL放款!A:G,7,FALSE)</f>
        <v>放款服務課</v>
      </c>
      <c r="Y138" s="299">
        <v>44489</v>
      </c>
      <c r="Z138" s="299">
        <v>44477</v>
      </c>
      <c r="AA138" s="299">
        <f>IF(功能_33[[#This Row],[URS交二審]]=0,"",功能_33[[#This Row],[URS交二審]]+7)</f>
        <v>44484</v>
      </c>
      <c r="AB138" s="299">
        <f>IF(功能_33[[#This Row],[URS交二審]]=0,"",功能_33[[#This Row],[URS交二審]]+7)</f>
        <v>44484</v>
      </c>
      <c r="AC138" s="299">
        <v>44489</v>
      </c>
      <c r="AD138" s="299"/>
      <c r="AG138" s="299" t="str">
        <f>IFERROR(IF(VLOOKUP(功能_33[[#This Row],[功能代號]],E:Q,11,FALSE)=0,"",VLOOKUP(功能_33[[#This Row],[功能代號]],E:Q,11,FALSE)),"")</f>
        <v>蔡珮瑜</v>
      </c>
      <c r="AH138" s="299"/>
      <c r="AI138" s="299"/>
      <c r="AJ138" s="292"/>
      <c r="AK138" s="299"/>
      <c r="AL138" s="291" t="s">
        <v>3054</v>
      </c>
      <c r="AM138" s="292" t="s">
        <v>3056</v>
      </c>
      <c r="AN138" s="292" t="e">
        <f>VLOOKUP(功能_33[[#This Row],[功能代號]],需二審tmp!A:A,1,FALSE)</f>
        <v>#N/A</v>
      </c>
      <c r="AO138" s="356">
        <v>44489</v>
      </c>
      <c r="AQ138" s="574" t="str">
        <f t="shared" si="15"/>
        <v>5-5</v>
      </c>
      <c r="AR138" s="576" t="str">
        <f t="shared" si="16"/>
        <v/>
      </c>
      <c r="AS138" s="578" t="str">
        <f t="shared" si="17"/>
        <v/>
      </c>
      <c r="AT138" s="580" t="str">
        <f t="shared" si="18"/>
        <v/>
      </c>
      <c r="AU138" s="582" t="str">
        <f t="shared" si="19"/>
        <v/>
      </c>
      <c r="AV138" s="584" t="str">
        <f t="shared" si="20"/>
        <v/>
      </c>
      <c r="AW138" s="662" t="str">
        <f>IFERROR(VLOOKUP(功能_33[[#This Row],[功能代號]],工作表3!C:C,1,FALSE),"未計SIT測試")</f>
        <v>未計SIT測試</v>
      </c>
    </row>
    <row r="139" spans="3:49" ht="13.5" x14ac:dyDescent="0.3">
      <c r="C139" s="292" t="s">
        <v>94</v>
      </c>
      <c r="D139" s="292" t="s">
        <v>2822</v>
      </c>
      <c r="E139" s="291" t="s">
        <v>500</v>
      </c>
      <c r="F139" s="292" t="s">
        <v>501</v>
      </c>
      <c r="G139" s="292"/>
      <c r="H139" s="291" t="s">
        <v>480</v>
      </c>
      <c r="I139" s="291" t="s">
        <v>480</v>
      </c>
      <c r="J139" s="225" t="s">
        <v>481</v>
      </c>
      <c r="K139" s="299">
        <v>44463</v>
      </c>
      <c r="L139" s="299">
        <v>44463</v>
      </c>
      <c r="M139" s="299">
        <f>IFERROR(IF(VLOOKUP(功能_33[[#This Row],[功能代號]],討論項目!A:H,8,FALSE)=0,"",VLOOKUP(功能_33[[#This Row],[功能代號]],討論項目!A:H,8,FALSE)),"")</f>
        <v>44474</v>
      </c>
      <c r="N139" s="291" t="s">
        <v>7</v>
      </c>
      <c r="O139" s="291" t="s">
        <v>11</v>
      </c>
      <c r="P139" s="270" t="s">
        <v>25</v>
      </c>
      <c r="T139" s="291"/>
      <c r="V139" s="291"/>
      <c r="W139" s="291"/>
      <c r="X139" s="292" t="str">
        <f>VLOOKUP(功能_33[[#This Row],[User]],SKL放款!A:G,7,FALSE)</f>
        <v>放款服務課</v>
      </c>
      <c r="Y139" s="299">
        <v>44489</v>
      </c>
      <c r="Z139" s="299">
        <v>44477</v>
      </c>
      <c r="AA139" s="299">
        <f>IF(功能_33[[#This Row],[URS交二審]]=0,"",功能_33[[#This Row],[URS交二審]]+7)</f>
        <v>44484</v>
      </c>
      <c r="AB139" s="299">
        <f>IF(功能_33[[#This Row],[URS交二審]]=0,"",功能_33[[#This Row],[URS交二審]]+7)</f>
        <v>44484</v>
      </c>
      <c r="AC139" s="299">
        <v>44489</v>
      </c>
      <c r="AD139" s="299"/>
      <c r="AG139" s="299" t="str">
        <f>IFERROR(IF(VLOOKUP(功能_33[[#This Row],[功能代號]],E:Q,11,FALSE)=0,"",VLOOKUP(功能_33[[#This Row],[功能代號]],E:Q,11,FALSE)),"")</f>
        <v>蔡珮瑜</v>
      </c>
      <c r="AH139" s="299"/>
      <c r="AI139" s="299"/>
      <c r="AJ139" s="292"/>
      <c r="AK139" s="299"/>
      <c r="AL139" s="291" t="s">
        <v>3054</v>
      </c>
      <c r="AM139" s="292" t="s">
        <v>3056</v>
      </c>
      <c r="AN139" s="292" t="str">
        <f>VLOOKUP(功能_33[[#This Row],[功能代號]],需二審tmp!A:A,1,FALSE)</f>
        <v>L597A</v>
      </c>
      <c r="AO139" s="356">
        <v>44489</v>
      </c>
      <c r="AQ139" s="574" t="str">
        <f t="shared" si="15"/>
        <v>5-5</v>
      </c>
      <c r="AR139" s="576" t="str">
        <f t="shared" si="16"/>
        <v/>
      </c>
      <c r="AS139" s="578" t="str">
        <f t="shared" si="17"/>
        <v/>
      </c>
      <c r="AT139" s="580" t="str">
        <f t="shared" si="18"/>
        <v/>
      </c>
      <c r="AU139" s="582" t="str">
        <f t="shared" si="19"/>
        <v/>
      </c>
      <c r="AV139" s="584" t="str">
        <f t="shared" si="20"/>
        <v/>
      </c>
      <c r="AW139" s="662" t="str">
        <f>IFERROR(VLOOKUP(功能_33[[#This Row],[功能代號]],工作表3!C:C,1,FALSE),"未計SIT測試")</f>
        <v>未計SIT測試</v>
      </c>
    </row>
    <row r="140" spans="3:49" ht="13.5" x14ac:dyDescent="0.3">
      <c r="C140" s="292" t="s">
        <v>94</v>
      </c>
      <c r="D140" s="292" t="s">
        <v>2822</v>
      </c>
      <c r="E140" s="291" t="s">
        <v>502</v>
      </c>
      <c r="F140" s="292" t="s">
        <v>503</v>
      </c>
      <c r="G140" s="292"/>
      <c r="H140" s="291" t="s">
        <v>480</v>
      </c>
      <c r="I140" s="291" t="s">
        <v>480</v>
      </c>
      <c r="J140" s="225" t="s">
        <v>481</v>
      </c>
      <c r="K140" s="299">
        <v>44463</v>
      </c>
      <c r="L140" s="299">
        <v>44463</v>
      </c>
      <c r="M140" s="299">
        <v>44462</v>
      </c>
      <c r="N140" s="291" t="s">
        <v>7</v>
      </c>
      <c r="O140" s="291" t="s">
        <v>11</v>
      </c>
      <c r="P140" s="270" t="s">
        <v>25</v>
      </c>
      <c r="T140" s="291"/>
      <c r="V140" s="291"/>
      <c r="W140" s="291"/>
      <c r="X140" s="292" t="str">
        <f>VLOOKUP(功能_33[[#This Row],[User]],SKL放款!A:G,7,FALSE)</f>
        <v>放款服務課</v>
      </c>
      <c r="Y140" s="299">
        <v>44489</v>
      </c>
      <c r="Z140" s="299">
        <v>44477</v>
      </c>
      <c r="AA140" s="299">
        <f>IF(功能_33[[#This Row],[URS交二審]]=0,"",功能_33[[#This Row],[URS交二審]]+7)</f>
        <v>44484</v>
      </c>
      <c r="AB140" s="299">
        <f>IF(功能_33[[#This Row],[URS交二審]]=0,"",功能_33[[#This Row],[URS交二審]]+7)</f>
        <v>44484</v>
      </c>
      <c r="AC140" s="299">
        <v>44489</v>
      </c>
      <c r="AD140" s="299"/>
      <c r="AG140" s="299" t="str">
        <f>IFERROR(IF(VLOOKUP(功能_33[[#This Row],[功能代號]],E:Q,11,FALSE)=0,"",VLOOKUP(功能_33[[#This Row],[功能代號]],E:Q,11,FALSE)),"")</f>
        <v>蔡珮瑜</v>
      </c>
      <c r="AH140" s="299"/>
      <c r="AI140" s="299"/>
      <c r="AJ140" s="292"/>
      <c r="AK140" s="299"/>
      <c r="AL140" s="291" t="s">
        <v>3054</v>
      </c>
      <c r="AM140" s="292" t="s">
        <v>3056</v>
      </c>
      <c r="AN140" s="292" t="str">
        <f>VLOOKUP(功能_33[[#This Row],[功能代號]],需二審tmp!A:A,1,FALSE)</f>
        <v>L5702</v>
      </c>
      <c r="AO140" s="356">
        <v>44489</v>
      </c>
      <c r="AQ140" s="574" t="str">
        <f t="shared" si="15"/>
        <v>5-5</v>
      </c>
      <c r="AR140" s="576" t="str">
        <f t="shared" si="16"/>
        <v/>
      </c>
      <c r="AS140" s="578" t="str">
        <f t="shared" si="17"/>
        <v/>
      </c>
      <c r="AT140" s="580" t="str">
        <f t="shared" si="18"/>
        <v/>
      </c>
      <c r="AU140" s="582" t="str">
        <f t="shared" si="19"/>
        <v/>
      </c>
      <c r="AV140" s="584" t="str">
        <f t="shared" si="20"/>
        <v/>
      </c>
      <c r="AW140" s="662" t="str">
        <f>IFERROR(VLOOKUP(功能_33[[#This Row],[功能代號]],工作表3!C:C,1,FALSE),"未計SIT測試")</f>
        <v>未計SIT測試</v>
      </c>
    </row>
    <row r="141" spans="3:49" ht="13.5" x14ac:dyDescent="0.3">
      <c r="C141" s="292" t="s">
        <v>94</v>
      </c>
      <c r="D141" s="292" t="s">
        <v>2822</v>
      </c>
      <c r="E141" s="291" t="s">
        <v>504</v>
      </c>
      <c r="F141" s="292" t="s">
        <v>505</v>
      </c>
      <c r="G141" s="292" t="s">
        <v>506</v>
      </c>
      <c r="H141" s="291" t="s">
        <v>480</v>
      </c>
      <c r="I141" s="291" t="s">
        <v>480</v>
      </c>
      <c r="J141" s="225" t="s">
        <v>481</v>
      </c>
      <c r="K141" s="299">
        <v>44463</v>
      </c>
      <c r="L141" s="299">
        <v>44463</v>
      </c>
      <c r="M141" s="299">
        <v>44473</v>
      </c>
      <c r="N141" s="291" t="s">
        <v>7</v>
      </c>
      <c r="O141" s="291" t="s">
        <v>11</v>
      </c>
      <c r="P141" s="270" t="s">
        <v>25</v>
      </c>
      <c r="T141" s="291"/>
      <c r="V141" s="291"/>
      <c r="W141" s="291"/>
      <c r="X141" s="292" t="str">
        <f>VLOOKUP(功能_33[[#This Row],[User]],SKL放款!A:G,7,FALSE)</f>
        <v>放款服務課</v>
      </c>
      <c r="Y141" s="299">
        <v>44489</v>
      </c>
      <c r="Z141" s="299">
        <v>44477</v>
      </c>
      <c r="AA141" s="299">
        <f>IF(功能_33[[#This Row],[URS交二審]]=0,"",功能_33[[#This Row],[URS交二審]]+7)</f>
        <v>44484</v>
      </c>
      <c r="AB141" s="299">
        <f>IF(功能_33[[#This Row],[URS交二審]]=0,"",功能_33[[#This Row],[URS交二審]]+7)</f>
        <v>44484</v>
      </c>
      <c r="AC141" s="299">
        <v>44489</v>
      </c>
      <c r="AD141" s="299"/>
      <c r="AG141" s="299" t="str">
        <f>IFERROR(IF(VLOOKUP(功能_33[[#This Row],[功能代號]],E:Q,11,FALSE)=0,"",VLOOKUP(功能_33[[#This Row],[功能代號]],E:Q,11,FALSE)),"")</f>
        <v>蔡珮瑜</v>
      </c>
      <c r="AH141" s="299"/>
      <c r="AI141" s="299"/>
      <c r="AJ141" s="292"/>
      <c r="AL141" s="291" t="s">
        <v>3054</v>
      </c>
      <c r="AM141" s="292" t="s">
        <v>3056</v>
      </c>
      <c r="AN141" s="292" t="e">
        <f>VLOOKUP(功能_33[[#This Row],[功能代號]],需二審tmp!A:A,1,FALSE)</f>
        <v>#N/A</v>
      </c>
      <c r="AO141" s="356">
        <v>44489</v>
      </c>
      <c r="AQ141" s="574" t="str">
        <f t="shared" si="15"/>
        <v>5-5</v>
      </c>
      <c r="AR141" s="576" t="str">
        <f t="shared" si="16"/>
        <v/>
      </c>
      <c r="AS141" s="578" t="str">
        <f t="shared" si="17"/>
        <v/>
      </c>
      <c r="AT141" s="580" t="str">
        <f t="shared" si="18"/>
        <v/>
      </c>
      <c r="AU141" s="582" t="str">
        <f t="shared" si="19"/>
        <v/>
      </c>
      <c r="AV141" s="584" t="str">
        <f t="shared" si="20"/>
        <v/>
      </c>
      <c r="AW141" s="662" t="str">
        <f>IFERROR(VLOOKUP(功能_33[[#This Row],[功能代號]],工作表3!C:C,1,FALSE),"未計SIT測試")</f>
        <v>未計SIT測試</v>
      </c>
    </row>
    <row r="142" spans="3:49" ht="13.5" x14ac:dyDescent="0.3">
      <c r="C142" s="292" t="s">
        <v>94</v>
      </c>
      <c r="D142" s="292" t="s">
        <v>2822</v>
      </c>
      <c r="E142" s="291" t="s">
        <v>507</v>
      </c>
      <c r="F142" s="292" t="s">
        <v>508</v>
      </c>
      <c r="G142" s="292"/>
      <c r="H142" s="291" t="s">
        <v>480</v>
      </c>
      <c r="I142" s="291" t="s">
        <v>480</v>
      </c>
      <c r="J142" s="225" t="s">
        <v>481</v>
      </c>
      <c r="K142" s="299">
        <v>44463</v>
      </c>
      <c r="L142" s="299">
        <v>44463</v>
      </c>
      <c r="M142" s="299">
        <f>IFERROR(IF(VLOOKUP(功能_33[[#This Row],[功能代號]],討論項目!A:H,8,FALSE)=0,"",VLOOKUP(功能_33[[#This Row],[功能代號]],討論項目!A:H,8,FALSE)),"")</f>
        <v>44468</v>
      </c>
      <c r="N142" s="291" t="s">
        <v>7</v>
      </c>
      <c r="O142" s="291" t="s">
        <v>11</v>
      </c>
      <c r="P142" s="270" t="s">
        <v>25</v>
      </c>
      <c r="T142" s="291"/>
      <c r="V142" s="291"/>
      <c r="W142" s="291"/>
      <c r="X142" s="292" t="str">
        <f>VLOOKUP(功能_33[[#This Row],[User]],SKL放款!A:G,7,FALSE)</f>
        <v>放款服務課</v>
      </c>
      <c r="Y142" s="299">
        <v>44489</v>
      </c>
      <c r="Z142" s="299">
        <v>44477</v>
      </c>
      <c r="AA142" s="299">
        <f>IF(功能_33[[#This Row],[URS交二審]]=0,"",功能_33[[#This Row],[URS交二審]]+7)</f>
        <v>44484</v>
      </c>
      <c r="AB142" s="299">
        <f>IF(功能_33[[#This Row],[URS交二審]]=0,"",功能_33[[#This Row],[URS交二審]]+7)</f>
        <v>44484</v>
      </c>
      <c r="AC142" s="299">
        <v>44489</v>
      </c>
      <c r="AD142" s="299"/>
      <c r="AG142" s="299" t="str">
        <f>IFERROR(IF(VLOOKUP(功能_33[[#This Row],[功能代號]],E:Q,11,FALSE)=0,"",VLOOKUP(功能_33[[#This Row],[功能代號]],E:Q,11,FALSE)),"")</f>
        <v>蔡珮瑜</v>
      </c>
      <c r="AH142" s="299"/>
      <c r="AI142" s="299"/>
      <c r="AJ142" s="292"/>
      <c r="AK142" s="299"/>
      <c r="AL142" s="291" t="s">
        <v>3054</v>
      </c>
      <c r="AM142" s="292" t="s">
        <v>3056</v>
      </c>
      <c r="AN142" s="292" t="str">
        <f>VLOOKUP(功能_33[[#This Row],[功能代號]],需二審tmp!A:A,1,FALSE)</f>
        <v>L5971</v>
      </c>
      <c r="AO142" s="356">
        <v>44489</v>
      </c>
      <c r="AQ142" s="574" t="str">
        <f t="shared" si="15"/>
        <v>5-5</v>
      </c>
      <c r="AR142" s="576" t="str">
        <f t="shared" si="16"/>
        <v/>
      </c>
      <c r="AS142" s="578" t="str">
        <f t="shared" si="17"/>
        <v/>
      </c>
      <c r="AT142" s="580" t="str">
        <f t="shared" si="18"/>
        <v/>
      </c>
      <c r="AU142" s="582" t="str">
        <f t="shared" si="19"/>
        <v/>
      </c>
      <c r="AV142" s="584" t="str">
        <f t="shared" si="20"/>
        <v/>
      </c>
      <c r="AW142" s="662" t="str">
        <f>IFERROR(VLOOKUP(功能_33[[#This Row],[功能代號]],工作表3!C:C,1,FALSE),"未計SIT測試")</f>
        <v>未計SIT測試</v>
      </c>
    </row>
    <row r="143" spans="3:49" ht="13.5" x14ac:dyDescent="0.3">
      <c r="C143" s="292" t="s">
        <v>94</v>
      </c>
      <c r="D143" s="292" t="s">
        <v>2822</v>
      </c>
      <c r="E143" s="291" t="s">
        <v>509</v>
      </c>
      <c r="F143" s="292" t="s">
        <v>510</v>
      </c>
      <c r="G143" s="292"/>
      <c r="H143" s="291" t="s">
        <v>480</v>
      </c>
      <c r="I143" s="291" t="s">
        <v>480</v>
      </c>
      <c r="J143" s="225" t="s">
        <v>481</v>
      </c>
      <c r="K143" s="299">
        <v>44463</v>
      </c>
      <c r="L143" s="299">
        <v>44463</v>
      </c>
      <c r="M143" s="299">
        <v>44463</v>
      </c>
      <c r="N143" s="291" t="s">
        <v>7</v>
      </c>
      <c r="O143" s="291" t="s">
        <v>11</v>
      </c>
      <c r="P143" s="270" t="s">
        <v>25</v>
      </c>
      <c r="T143" s="291"/>
      <c r="V143" s="291"/>
      <c r="W143" s="291"/>
      <c r="X143" s="292" t="str">
        <f>VLOOKUP(功能_33[[#This Row],[User]],SKL放款!A:G,7,FALSE)</f>
        <v>放款服務課</v>
      </c>
      <c r="Y143" s="299">
        <v>44489</v>
      </c>
      <c r="Z143" s="299">
        <v>44477</v>
      </c>
      <c r="AA143" s="299">
        <f>IF(功能_33[[#This Row],[URS交二審]]=0,"",功能_33[[#This Row],[URS交二審]]+7)</f>
        <v>44484</v>
      </c>
      <c r="AB143" s="299">
        <f>IF(功能_33[[#This Row],[URS交二審]]=0,"",功能_33[[#This Row],[URS交二審]]+7)</f>
        <v>44484</v>
      </c>
      <c r="AC143" s="299">
        <v>44489</v>
      </c>
      <c r="AD143" s="299"/>
      <c r="AG143" s="299" t="str">
        <f>IFERROR(IF(VLOOKUP(功能_33[[#This Row],[功能代號]],E:Q,11,FALSE)=0,"",VLOOKUP(功能_33[[#This Row],[功能代號]],E:Q,11,FALSE)),"")</f>
        <v>蔡珮瑜</v>
      </c>
      <c r="AH143" s="299"/>
      <c r="AI143" s="299"/>
      <c r="AJ143" s="292"/>
      <c r="AK143" s="299"/>
      <c r="AL143" s="291" t="s">
        <v>3054</v>
      </c>
      <c r="AM143" s="292" t="s">
        <v>3056</v>
      </c>
      <c r="AN143" s="292" t="e">
        <f>VLOOKUP(功能_33[[#This Row],[功能代號]],需二審tmp!A:A,1,FALSE)</f>
        <v>#N/A</v>
      </c>
      <c r="AO143" s="356">
        <v>44489</v>
      </c>
      <c r="AQ143" s="574" t="str">
        <f t="shared" si="15"/>
        <v>5-5</v>
      </c>
      <c r="AR143" s="576" t="str">
        <f t="shared" si="16"/>
        <v/>
      </c>
      <c r="AS143" s="578" t="str">
        <f t="shared" si="17"/>
        <v/>
      </c>
      <c r="AT143" s="580" t="str">
        <f t="shared" si="18"/>
        <v/>
      </c>
      <c r="AU143" s="582" t="str">
        <f t="shared" si="19"/>
        <v/>
      </c>
      <c r="AV143" s="584" t="str">
        <f t="shared" si="20"/>
        <v/>
      </c>
      <c r="AW143" s="662" t="str">
        <f>IFERROR(VLOOKUP(功能_33[[#This Row],[功能代號]],工作表3!C:C,1,FALSE),"未計SIT測試")</f>
        <v>未計SIT測試</v>
      </c>
    </row>
    <row r="144" spans="3:49" ht="13.5" x14ac:dyDescent="0.3">
      <c r="C144" s="292" t="s">
        <v>94</v>
      </c>
      <c r="D144" s="292" t="s">
        <v>2822</v>
      </c>
      <c r="E144" s="291" t="s">
        <v>511</v>
      </c>
      <c r="F144" s="292" t="s">
        <v>512</v>
      </c>
      <c r="G144" s="292"/>
      <c r="H144" s="291" t="s">
        <v>480</v>
      </c>
      <c r="I144" s="291" t="s">
        <v>480</v>
      </c>
      <c r="J144" s="225" t="s">
        <v>481</v>
      </c>
      <c r="K144" s="299">
        <v>44466</v>
      </c>
      <c r="L144" s="299">
        <v>44463</v>
      </c>
      <c r="M144" s="299">
        <v>44463</v>
      </c>
      <c r="N144" s="291" t="s">
        <v>7</v>
      </c>
      <c r="O144" s="291" t="s">
        <v>11</v>
      </c>
      <c r="P144" s="270" t="s">
        <v>25</v>
      </c>
      <c r="T144" s="291"/>
      <c r="V144" s="291"/>
      <c r="W144" s="291"/>
      <c r="X144" s="292" t="str">
        <f>VLOOKUP(功能_33[[#This Row],[User]],SKL放款!A:G,7,FALSE)</f>
        <v>放款服務課</v>
      </c>
      <c r="Y144" s="299">
        <v>44489</v>
      </c>
      <c r="Z144" s="299">
        <v>44477</v>
      </c>
      <c r="AA144" s="299">
        <f>IF(功能_33[[#This Row],[URS交二審]]=0,"",功能_33[[#This Row],[URS交二審]]+7)</f>
        <v>44484</v>
      </c>
      <c r="AB144" s="299">
        <f>IF(功能_33[[#This Row],[URS交二審]]=0,"",功能_33[[#This Row],[URS交二審]]+7)</f>
        <v>44484</v>
      </c>
      <c r="AC144" s="299">
        <v>44489</v>
      </c>
      <c r="AD144" s="299"/>
      <c r="AG144" s="299" t="str">
        <f>IFERROR(IF(VLOOKUP(功能_33[[#This Row],[功能代號]],E:Q,11,FALSE)=0,"",VLOOKUP(功能_33[[#This Row],[功能代號]],E:Q,11,FALSE)),"")</f>
        <v>蔡珮瑜</v>
      </c>
      <c r="AH144" s="299"/>
      <c r="AI144" s="299"/>
      <c r="AJ144" s="292"/>
      <c r="AK144" s="299"/>
      <c r="AL144" s="291" t="s">
        <v>3054</v>
      </c>
      <c r="AM144" s="292" t="s">
        <v>3056</v>
      </c>
      <c r="AN144" s="292" t="e">
        <f>VLOOKUP(功能_33[[#This Row],[功能代號]],需二審tmp!A:A,1,FALSE)</f>
        <v>#N/A</v>
      </c>
      <c r="AO144" s="356">
        <v>44489</v>
      </c>
      <c r="AQ144" s="574" t="str">
        <f t="shared" si="15"/>
        <v>5-5</v>
      </c>
      <c r="AR144" s="576" t="str">
        <f t="shared" si="16"/>
        <v/>
      </c>
      <c r="AS144" s="578" t="str">
        <f t="shared" si="17"/>
        <v/>
      </c>
      <c r="AT144" s="580" t="str">
        <f t="shared" si="18"/>
        <v/>
      </c>
      <c r="AU144" s="582" t="str">
        <f t="shared" si="19"/>
        <v/>
      </c>
      <c r="AV144" s="584" t="str">
        <f t="shared" si="20"/>
        <v/>
      </c>
      <c r="AW144" s="662" t="str">
        <f>IFERROR(VLOOKUP(功能_33[[#This Row],[功能代號]],工作表3!C:C,1,FALSE),"未計SIT測試")</f>
        <v>未計SIT測試</v>
      </c>
    </row>
    <row r="145" spans="3:49" ht="13.5" x14ac:dyDescent="0.3">
      <c r="C145" s="292" t="s">
        <v>94</v>
      </c>
      <c r="D145" s="292" t="s">
        <v>2822</v>
      </c>
      <c r="E145" s="291" t="s">
        <v>513</v>
      </c>
      <c r="F145" s="292" t="s">
        <v>514</v>
      </c>
      <c r="G145" s="292"/>
      <c r="H145" s="291" t="s">
        <v>480</v>
      </c>
      <c r="I145" s="291" t="s">
        <v>480</v>
      </c>
      <c r="J145" s="225" t="s">
        <v>481</v>
      </c>
      <c r="K145" s="299">
        <v>44466</v>
      </c>
      <c r="L145" s="299">
        <v>44463</v>
      </c>
      <c r="M145" s="299">
        <v>44463</v>
      </c>
      <c r="N145" s="291" t="s">
        <v>7</v>
      </c>
      <c r="O145" s="291" t="s">
        <v>11</v>
      </c>
      <c r="P145" s="270" t="s">
        <v>25</v>
      </c>
      <c r="T145" s="291"/>
      <c r="V145" s="291"/>
      <c r="W145" s="291"/>
      <c r="X145" s="292" t="str">
        <f>VLOOKUP(功能_33[[#This Row],[User]],SKL放款!A:G,7,FALSE)</f>
        <v>放款服務課</v>
      </c>
      <c r="Y145" s="299">
        <v>44489</v>
      </c>
      <c r="Z145" s="299">
        <v>44477</v>
      </c>
      <c r="AA145" s="299">
        <f>IF(功能_33[[#This Row],[URS交二審]]=0,"",功能_33[[#This Row],[URS交二審]]+7)</f>
        <v>44484</v>
      </c>
      <c r="AB145" s="299">
        <f>IF(功能_33[[#This Row],[URS交二審]]=0,"",功能_33[[#This Row],[URS交二審]]+7)</f>
        <v>44484</v>
      </c>
      <c r="AC145" s="299">
        <v>44489</v>
      </c>
      <c r="AD145" s="299"/>
      <c r="AG145" s="299" t="str">
        <f>IFERROR(IF(VLOOKUP(功能_33[[#This Row],[功能代號]],E:Q,11,FALSE)=0,"",VLOOKUP(功能_33[[#This Row],[功能代號]],E:Q,11,FALSE)),"")</f>
        <v>蔡珮瑜</v>
      </c>
      <c r="AH145" s="299"/>
      <c r="AI145" s="299"/>
      <c r="AJ145" s="292"/>
      <c r="AK145" s="299"/>
      <c r="AL145" s="291" t="s">
        <v>3054</v>
      </c>
      <c r="AM145" s="292" t="s">
        <v>3056</v>
      </c>
      <c r="AN145" s="292" t="e">
        <f>VLOOKUP(功能_33[[#This Row],[功能代號]],需二審tmp!A:A,1,FALSE)</f>
        <v>#N/A</v>
      </c>
      <c r="AO145" s="356">
        <v>44489</v>
      </c>
      <c r="AQ145" s="574" t="str">
        <f t="shared" si="15"/>
        <v>5-5</v>
      </c>
      <c r="AR145" s="576" t="str">
        <f t="shared" si="16"/>
        <v/>
      </c>
      <c r="AS145" s="578" t="str">
        <f t="shared" si="17"/>
        <v/>
      </c>
      <c r="AT145" s="580" t="str">
        <f t="shared" si="18"/>
        <v/>
      </c>
      <c r="AU145" s="582" t="str">
        <f t="shared" si="19"/>
        <v/>
      </c>
      <c r="AV145" s="584" t="str">
        <f t="shared" si="20"/>
        <v/>
      </c>
      <c r="AW145" s="662" t="str">
        <f>IFERROR(VLOOKUP(功能_33[[#This Row],[功能代號]],工作表3!C:C,1,FALSE),"未計SIT測試")</f>
        <v>未計SIT測試</v>
      </c>
    </row>
    <row r="146" spans="3:49" ht="13.5" x14ac:dyDescent="0.3">
      <c r="C146" s="292" t="s">
        <v>94</v>
      </c>
      <c r="D146" s="292" t="s">
        <v>2822</v>
      </c>
      <c r="E146" s="291" t="s">
        <v>515</v>
      </c>
      <c r="F146" s="292" t="s">
        <v>516</v>
      </c>
      <c r="G146" s="292"/>
      <c r="H146" s="291" t="s">
        <v>480</v>
      </c>
      <c r="I146" s="291" t="s">
        <v>480</v>
      </c>
      <c r="J146" s="225" t="s">
        <v>481</v>
      </c>
      <c r="K146" s="299">
        <v>44466</v>
      </c>
      <c r="L146" s="299">
        <v>44463</v>
      </c>
      <c r="M146" s="299">
        <v>44463</v>
      </c>
      <c r="N146" s="291" t="s">
        <v>7</v>
      </c>
      <c r="O146" s="291" t="s">
        <v>11</v>
      </c>
      <c r="P146" s="270" t="s">
        <v>25</v>
      </c>
      <c r="T146" s="291"/>
      <c r="V146" s="291"/>
      <c r="W146" s="291"/>
      <c r="X146" s="292" t="str">
        <f>VLOOKUP(功能_33[[#This Row],[User]],SKL放款!A:G,7,FALSE)</f>
        <v>放款服務課</v>
      </c>
      <c r="Y146" s="299">
        <v>44489</v>
      </c>
      <c r="Z146" s="299">
        <v>44477</v>
      </c>
      <c r="AA146" s="299">
        <f>IF(功能_33[[#This Row],[URS交二審]]=0,"",功能_33[[#This Row],[URS交二審]]+7)</f>
        <v>44484</v>
      </c>
      <c r="AB146" s="299">
        <f>IF(功能_33[[#This Row],[URS交二審]]=0,"",功能_33[[#This Row],[URS交二審]]+7)</f>
        <v>44484</v>
      </c>
      <c r="AC146" s="299">
        <v>44489</v>
      </c>
      <c r="AD146" s="299"/>
      <c r="AG146" s="299" t="str">
        <f>IFERROR(IF(VLOOKUP(功能_33[[#This Row],[功能代號]],E:Q,11,FALSE)=0,"",VLOOKUP(功能_33[[#This Row],[功能代號]],E:Q,11,FALSE)),"")</f>
        <v>蔡珮瑜</v>
      </c>
      <c r="AH146" s="299"/>
      <c r="AI146" s="299"/>
      <c r="AJ146" s="292"/>
      <c r="AK146" s="299"/>
      <c r="AL146" s="291" t="s">
        <v>3054</v>
      </c>
      <c r="AM146" s="292" t="s">
        <v>3056</v>
      </c>
      <c r="AN146" s="292" t="e">
        <f>VLOOKUP(功能_33[[#This Row],[功能代號]],需二審tmp!A:A,1,FALSE)</f>
        <v>#N/A</v>
      </c>
      <c r="AO146" s="356">
        <v>44489</v>
      </c>
      <c r="AQ146" s="574" t="str">
        <f t="shared" si="15"/>
        <v>5-5</v>
      </c>
      <c r="AR146" s="576" t="str">
        <f t="shared" si="16"/>
        <v/>
      </c>
      <c r="AS146" s="578" t="str">
        <f t="shared" si="17"/>
        <v/>
      </c>
      <c r="AT146" s="580" t="str">
        <f t="shared" si="18"/>
        <v/>
      </c>
      <c r="AU146" s="582" t="str">
        <f t="shared" si="19"/>
        <v/>
      </c>
      <c r="AV146" s="584" t="str">
        <f t="shared" si="20"/>
        <v/>
      </c>
      <c r="AW146" s="662" t="str">
        <f>IFERROR(VLOOKUP(功能_33[[#This Row],[功能代號]],工作表3!C:C,1,FALSE),"未計SIT測試")</f>
        <v>未計SIT測試</v>
      </c>
    </row>
    <row r="147" spans="3:49" ht="13.5" x14ac:dyDescent="0.3">
      <c r="C147" s="292" t="s">
        <v>94</v>
      </c>
      <c r="D147" s="292" t="s">
        <v>2822</v>
      </c>
      <c r="E147" s="291" t="s">
        <v>517</v>
      </c>
      <c r="F147" s="292" t="s">
        <v>518</v>
      </c>
      <c r="G147" s="292"/>
      <c r="H147" s="291" t="s">
        <v>480</v>
      </c>
      <c r="I147" s="291" t="s">
        <v>480</v>
      </c>
      <c r="J147" s="225" t="s">
        <v>481</v>
      </c>
      <c r="K147" s="299">
        <v>44466</v>
      </c>
      <c r="L147" s="299">
        <v>44463</v>
      </c>
      <c r="M147" s="299">
        <v>44463</v>
      </c>
      <c r="N147" s="291" t="s">
        <v>7</v>
      </c>
      <c r="O147" s="291" t="s">
        <v>11</v>
      </c>
      <c r="P147" s="270" t="s">
        <v>25</v>
      </c>
      <c r="T147" s="291"/>
      <c r="V147" s="291"/>
      <c r="W147" s="291"/>
      <c r="X147" s="292" t="str">
        <f>VLOOKUP(功能_33[[#This Row],[User]],SKL放款!A:G,7,FALSE)</f>
        <v>放款服務課</v>
      </c>
      <c r="Y147" s="299">
        <v>44489</v>
      </c>
      <c r="Z147" s="299">
        <v>44477</v>
      </c>
      <c r="AA147" s="299">
        <f>IF(功能_33[[#This Row],[URS交二審]]=0,"",功能_33[[#This Row],[URS交二審]]+7)</f>
        <v>44484</v>
      </c>
      <c r="AB147" s="299">
        <f>IF(功能_33[[#This Row],[URS交二審]]=0,"",功能_33[[#This Row],[URS交二審]]+7)</f>
        <v>44484</v>
      </c>
      <c r="AC147" s="299">
        <v>44489</v>
      </c>
      <c r="AD147" s="299"/>
      <c r="AG147" s="299" t="str">
        <f>IFERROR(IF(VLOOKUP(功能_33[[#This Row],[功能代號]],E:Q,11,FALSE)=0,"",VLOOKUP(功能_33[[#This Row],[功能代號]],E:Q,11,FALSE)),"")</f>
        <v>蔡珮瑜</v>
      </c>
      <c r="AH147" s="299"/>
      <c r="AI147" s="299"/>
      <c r="AJ147" s="292"/>
      <c r="AK147" s="299"/>
      <c r="AL147" s="291" t="s">
        <v>3054</v>
      </c>
      <c r="AM147" s="292" t="s">
        <v>3056</v>
      </c>
      <c r="AN147" s="292" t="e">
        <f>VLOOKUP(功能_33[[#This Row],[功能代號]],需二審tmp!A:A,1,FALSE)</f>
        <v>#N/A</v>
      </c>
      <c r="AO147" s="356">
        <v>44489</v>
      </c>
      <c r="AQ147" s="574" t="str">
        <f t="shared" si="15"/>
        <v>5-5</v>
      </c>
      <c r="AR147" s="576" t="str">
        <f t="shared" si="16"/>
        <v/>
      </c>
      <c r="AS147" s="578" t="str">
        <f t="shared" si="17"/>
        <v/>
      </c>
      <c r="AT147" s="580" t="str">
        <f t="shared" si="18"/>
        <v/>
      </c>
      <c r="AU147" s="582" t="str">
        <f t="shared" si="19"/>
        <v/>
      </c>
      <c r="AV147" s="584" t="str">
        <f t="shared" si="20"/>
        <v/>
      </c>
      <c r="AW147" s="662" t="str">
        <f>IFERROR(VLOOKUP(功能_33[[#This Row],[功能代號]],工作表3!C:C,1,FALSE),"未計SIT測試")</f>
        <v>未計SIT測試</v>
      </c>
    </row>
    <row r="148" spans="3:49" ht="13.5" x14ac:dyDescent="0.3">
      <c r="C148" s="292" t="s">
        <v>94</v>
      </c>
      <c r="D148" s="292" t="s">
        <v>2822</v>
      </c>
      <c r="E148" s="291" t="s">
        <v>519</v>
      </c>
      <c r="F148" s="292" t="s">
        <v>520</v>
      </c>
      <c r="G148" s="292"/>
      <c r="H148" s="291" t="s">
        <v>480</v>
      </c>
      <c r="I148" s="291" t="s">
        <v>480</v>
      </c>
      <c r="J148" s="225" t="s">
        <v>481</v>
      </c>
      <c r="K148" s="299">
        <v>44466</v>
      </c>
      <c r="L148" s="299">
        <v>44463</v>
      </c>
      <c r="M148" s="299">
        <v>44463</v>
      </c>
      <c r="N148" s="291" t="s">
        <v>7</v>
      </c>
      <c r="O148" s="291" t="s">
        <v>11</v>
      </c>
      <c r="P148" s="270" t="s">
        <v>25</v>
      </c>
      <c r="T148" s="291"/>
      <c r="V148" s="291"/>
      <c r="W148" s="291"/>
      <c r="X148" s="292" t="str">
        <f>VLOOKUP(功能_33[[#This Row],[User]],SKL放款!A:G,7,FALSE)</f>
        <v>放款服務課</v>
      </c>
      <c r="Y148" s="299">
        <v>44489</v>
      </c>
      <c r="Z148" s="299">
        <v>44477</v>
      </c>
      <c r="AA148" s="299">
        <f>IF(功能_33[[#This Row],[URS交二審]]=0,"",功能_33[[#This Row],[URS交二審]]+7)</f>
        <v>44484</v>
      </c>
      <c r="AB148" s="299">
        <f>IF(功能_33[[#This Row],[URS交二審]]=0,"",功能_33[[#This Row],[URS交二審]]+7)</f>
        <v>44484</v>
      </c>
      <c r="AC148" s="299">
        <v>44489</v>
      </c>
      <c r="AD148" s="299"/>
      <c r="AG148" s="299" t="str">
        <f>IFERROR(IF(VLOOKUP(功能_33[[#This Row],[功能代號]],E:Q,11,FALSE)=0,"",VLOOKUP(功能_33[[#This Row],[功能代號]],E:Q,11,FALSE)),"")</f>
        <v>蔡珮瑜</v>
      </c>
      <c r="AH148" s="299"/>
      <c r="AI148" s="299"/>
      <c r="AJ148" s="292"/>
      <c r="AK148" s="299"/>
      <c r="AL148" s="291" t="s">
        <v>3054</v>
      </c>
      <c r="AM148" s="292" t="s">
        <v>3056</v>
      </c>
      <c r="AN148" s="292" t="e">
        <f>VLOOKUP(功能_33[[#This Row],[功能代號]],需二審tmp!A:A,1,FALSE)</f>
        <v>#N/A</v>
      </c>
      <c r="AO148" s="356">
        <v>44489</v>
      </c>
      <c r="AQ148" s="574" t="str">
        <f t="shared" si="15"/>
        <v>5-5</v>
      </c>
      <c r="AR148" s="576" t="str">
        <f t="shared" si="16"/>
        <v/>
      </c>
      <c r="AS148" s="578" t="str">
        <f t="shared" si="17"/>
        <v/>
      </c>
      <c r="AT148" s="580" t="str">
        <f t="shared" si="18"/>
        <v/>
      </c>
      <c r="AU148" s="582" t="str">
        <f t="shared" si="19"/>
        <v/>
      </c>
      <c r="AV148" s="584" t="str">
        <f t="shared" si="20"/>
        <v/>
      </c>
      <c r="AW148" s="662" t="str">
        <f>IFERROR(VLOOKUP(功能_33[[#This Row],[功能代號]],工作表3!C:C,1,FALSE),"未計SIT測試")</f>
        <v>未計SIT測試</v>
      </c>
    </row>
    <row r="149" spans="3:49" ht="13.5" x14ac:dyDescent="0.3">
      <c r="C149" s="292" t="s">
        <v>94</v>
      </c>
      <c r="D149" s="292" t="s">
        <v>2822</v>
      </c>
      <c r="E149" s="291" t="s">
        <v>521</v>
      </c>
      <c r="F149" s="292" t="s">
        <v>522</v>
      </c>
      <c r="G149" s="292"/>
      <c r="H149" s="291" t="s">
        <v>480</v>
      </c>
      <c r="I149" s="291" t="s">
        <v>480</v>
      </c>
      <c r="J149" s="225" t="s">
        <v>481</v>
      </c>
      <c r="K149" s="299">
        <v>44462</v>
      </c>
      <c r="L149" s="299">
        <v>44462</v>
      </c>
      <c r="M149" s="299">
        <f>IF(功能_33[[#This Row],[URS交二審]]=0,"",功能_33[[#This Row],[URS交二審]]+7)</f>
        <v>44484</v>
      </c>
      <c r="N149" s="291" t="s">
        <v>7</v>
      </c>
      <c r="O149" s="291" t="s">
        <v>11</v>
      </c>
      <c r="P149" s="270" t="s">
        <v>25</v>
      </c>
      <c r="T149" s="291"/>
      <c r="V149" s="291"/>
      <c r="W149" s="291"/>
      <c r="X149" s="292" t="str">
        <f>VLOOKUP(功能_33[[#This Row],[User]],SKL放款!A:G,7,FALSE)</f>
        <v>放款服務課</v>
      </c>
      <c r="Y149" s="299">
        <v>44489</v>
      </c>
      <c r="Z149" s="299">
        <v>44477</v>
      </c>
      <c r="AA149" s="299">
        <f>IF(功能_33[[#This Row],[URS交二審]]=0,"",功能_33[[#This Row],[URS交二審]]+7)</f>
        <v>44484</v>
      </c>
      <c r="AB149" s="299">
        <f>IF(功能_33[[#This Row],[URS交二審]]=0,"",功能_33[[#This Row],[URS交二審]]+7)</f>
        <v>44484</v>
      </c>
      <c r="AC149" s="299">
        <v>44489</v>
      </c>
      <c r="AD149" s="299"/>
      <c r="AG149" s="299" t="str">
        <f>IFERROR(IF(VLOOKUP(功能_33[[#This Row],[功能代號]],E:Q,11,FALSE)=0,"",VLOOKUP(功能_33[[#This Row],[功能代號]],E:Q,11,FALSE)),"")</f>
        <v>蔡珮瑜</v>
      </c>
      <c r="AH149" s="299"/>
      <c r="AI149" s="299"/>
      <c r="AJ149" s="292"/>
      <c r="AL149" s="291" t="s">
        <v>3054</v>
      </c>
      <c r="AM149" s="292" t="s">
        <v>3056</v>
      </c>
      <c r="AN149" s="292" t="e">
        <f>VLOOKUP(功能_33[[#This Row],[功能代號]],需二審tmp!A:A,1,FALSE)</f>
        <v>#N/A</v>
      </c>
      <c r="AO149" s="356">
        <v>44489</v>
      </c>
      <c r="AQ149" s="574" t="str">
        <f t="shared" si="15"/>
        <v>5-5</v>
      </c>
      <c r="AR149" s="576" t="str">
        <f t="shared" si="16"/>
        <v/>
      </c>
      <c r="AS149" s="578" t="str">
        <f t="shared" si="17"/>
        <v/>
      </c>
      <c r="AT149" s="580" t="str">
        <f t="shared" si="18"/>
        <v/>
      </c>
      <c r="AU149" s="582" t="str">
        <f t="shared" si="19"/>
        <v/>
      </c>
      <c r="AV149" s="584" t="str">
        <f t="shared" si="20"/>
        <v/>
      </c>
      <c r="AW149" s="662" t="str">
        <f>IFERROR(VLOOKUP(功能_33[[#This Row],[功能代號]],工作表3!C:C,1,FALSE),"未計SIT測試")</f>
        <v>未計SIT測試</v>
      </c>
    </row>
    <row r="150" spans="3:49" ht="13.5" x14ac:dyDescent="0.3">
      <c r="C150" s="292" t="s">
        <v>94</v>
      </c>
      <c r="D150" s="292" t="s">
        <v>2822</v>
      </c>
      <c r="E150" s="291" t="s">
        <v>523</v>
      </c>
      <c r="F150" s="292" t="s">
        <v>524</v>
      </c>
      <c r="G150" s="292"/>
      <c r="H150" s="291" t="s">
        <v>480</v>
      </c>
      <c r="I150" s="291" t="s">
        <v>480</v>
      </c>
      <c r="J150" s="225" t="s">
        <v>481</v>
      </c>
      <c r="K150" s="299">
        <v>44463</v>
      </c>
      <c r="L150" s="299">
        <v>44463</v>
      </c>
      <c r="M150" s="299">
        <f>IF(功能_33[[#This Row],[URS交二審]]=0,"",功能_33[[#This Row],[URS交二審]]+7)</f>
        <v>44484</v>
      </c>
      <c r="N150" s="291" t="s">
        <v>7</v>
      </c>
      <c r="O150" s="291" t="s">
        <v>11</v>
      </c>
      <c r="P150" s="270" t="s">
        <v>25</v>
      </c>
      <c r="T150" s="291"/>
      <c r="V150" s="291"/>
      <c r="W150" s="291"/>
      <c r="X150" s="292" t="str">
        <f>VLOOKUP(功能_33[[#This Row],[User]],SKL放款!A:G,7,FALSE)</f>
        <v>放款服務課</v>
      </c>
      <c r="Y150" s="299">
        <v>44489</v>
      </c>
      <c r="Z150" s="299">
        <v>44477</v>
      </c>
      <c r="AA150" s="299">
        <f>IF(功能_33[[#This Row],[URS交二審]]=0,"",功能_33[[#This Row],[URS交二審]]+7)</f>
        <v>44484</v>
      </c>
      <c r="AB150" s="299">
        <f>IF(功能_33[[#This Row],[URS交二審]]=0,"",功能_33[[#This Row],[URS交二審]]+7)</f>
        <v>44484</v>
      </c>
      <c r="AC150" s="299">
        <v>44489</v>
      </c>
      <c r="AD150" s="299"/>
      <c r="AG150" s="299" t="str">
        <f>IFERROR(IF(VLOOKUP(功能_33[[#This Row],[功能代號]],E:Q,11,FALSE)=0,"",VLOOKUP(功能_33[[#This Row],[功能代號]],E:Q,11,FALSE)),"")</f>
        <v>蔡珮瑜</v>
      </c>
      <c r="AH150" s="299"/>
      <c r="AI150" s="299"/>
      <c r="AJ150" s="292"/>
      <c r="AL150" s="291" t="s">
        <v>3054</v>
      </c>
      <c r="AM150" s="292" t="s">
        <v>3056</v>
      </c>
      <c r="AN150" s="292" t="e">
        <f>VLOOKUP(功能_33[[#This Row],[功能代號]],需二審tmp!A:A,1,FALSE)</f>
        <v>#N/A</v>
      </c>
      <c r="AO150" s="356">
        <v>44489</v>
      </c>
      <c r="AQ150" s="574" t="str">
        <f t="shared" si="15"/>
        <v>5-5</v>
      </c>
      <c r="AR150" s="576" t="str">
        <f t="shared" si="16"/>
        <v/>
      </c>
      <c r="AS150" s="578" t="str">
        <f t="shared" si="17"/>
        <v/>
      </c>
      <c r="AT150" s="580" t="str">
        <f t="shared" si="18"/>
        <v/>
      </c>
      <c r="AU150" s="582" t="str">
        <f t="shared" si="19"/>
        <v/>
      </c>
      <c r="AV150" s="584" t="str">
        <f t="shared" si="20"/>
        <v/>
      </c>
      <c r="AW150" s="662" t="str">
        <f>IFERROR(VLOOKUP(功能_33[[#This Row],[功能代號]],工作表3!C:C,1,FALSE),"未計SIT測試")</f>
        <v>未計SIT測試</v>
      </c>
    </row>
    <row r="151" spans="3:49" ht="13.5" x14ac:dyDescent="0.3">
      <c r="C151" s="292" t="s">
        <v>94</v>
      </c>
      <c r="D151" s="292" t="s">
        <v>2822</v>
      </c>
      <c r="E151" s="291" t="s">
        <v>525</v>
      </c>
      <c r="F151" s="292" t="s">
        <v>526</v>
      </c>
      <c r="G151" s="292"/>
      <c r="H151" s="291" t="s">
        <v>480</v>
      </c>
      <c r="I151" s="291" t="s">
        <v>480</v>
      </c>
      <c r="J151" s="225" t="s">
        <v>481</v>
      </c>
      <c r="K151" s="299">
        <v>44463</v>
      </c>
      <c r="L151" s="299">
        <v>44463</v>
      </c>
      <c r="M151" s="299">
        <f>IF(功能_33[[#This Row],[URS交二審]]=0,"",功能_33[[#This Row],[URS交二審]]+7)</f>
        <v>44484</v>
      </c>
      <c r="N151" s="291" t="s">
        <v>7</v>
      </c>
      <c r="O151" s="291" t="s">
        <v>11</v>
      </c>
      <c r="P151" s="270" t="s">
        <v>25</v>
      </c>
      <c r="T151" s="291"/>
      <c r="V151" s="291"/>
      <c r="W151" s="291"/>
      <c r="X151" s="292" t="str">
        <f>VLOOKUP(功能_33[[#This Row],[User]],SKL放款!A:G,7,FALSE)</f>
        <v>放款服務課</v>
      </c>
      <c r="Y151" s="299">
        <v>44489</v>
      </c>
      <c r="Z151" s="299">
        <v>44477</v>
      </c>
      <c r="AA151" s="299">
        <f>IF(功能_33[[#This Row],[URS交二審]]=0,"",功能_33[[#This Row],[URS交二審]]+7)</f>
        <v>44484</v>
      </c>
      <c r="AB151" s="299">
        <f>IF(功能_33[[#This Row],[URS交二審]]=0,"",功能_33[[#This Row],[URS交二審]]+7)</f>
        <v>44484</v>
      </c>
      <c r="AC151" s="299">
        <v>44489</v>
      </c>
      <c r="AD151" s="299"/>
      <c r="AG151" s="299" t="str">
        <f>IFERROR(IF(VLOOKUP(功能_33[[#This Row],[功能代號]],E:Q,11,FALSE)=0,"",VLOOKUP(功能_33[[#This Row],[功能代號]],E:Q,11,FALSE)),"")</f>
        <v>蔡珮瑜</v>
      </c>
      <c r="AH151" s="299"/>
      <c r="AI151" s="299"/>
      <c r="AJ151" s="292"/>
      <c r="AL151" s="291" t="s">
        <v>3054</v>
      </c>
      <c r="AM151" s="292" t="s">
        <v>3056</v>
      </c>
      <c r="AN151" s="292" t="str">
        <f>VLOOKUP(功能_33[[#This Row],[功能代號]],需二審tmp!A:A,1,FALSE)</f>
        <v>L5711</v>
      </c>
      <c r="AO151" s="356">
        <v>44489</v>
      </c>
      <c r="AQ151" s="574" t="str">
        <f t="shared" si="15"/>
        <v>5-5</v>
      </c>
      <c r="AR151" s="576" t="str">
        <f t="shared" si="16"/>
        <v/>
      </c>
      <c r="AS151" s="578" t="str">
        <f t="shared" si="17"/>
        <v/>
      </c>
      <c r="AT151" s="580" t="str">
        <f t="shared" si="18"/>
        <v/>
      </c>
      <c r="AU151" s="582" t="str">
        <f t="shared" si="19"/>
        <v/>
      </c>
      <c r="AV151" s="584" t="str">
        <f t="shared" si="20"/>
        <v/>
      </c>
      <c r="AW151" s="662" t="str">
        <f>IFERROR(VLOOKUP(功能_33[[#This Row],[功能代號]],工作表3!C:C,1,FALSE),"未計SIT測試")</f>
        <v>未計SIT測試</v>
      </c>
    </row>
    <row r="152" spans="3:49" ht="13.5" x14ac:dyDescent="0.3">
      <c r="C152" s="292" t="s">
        <v>94</v>
      </c>
      <c r="D152" s="292" t="s">
        <v>2822</v>
      </c>
      <c r="E152" s="291" t="s">
        <v>527</v>
      </c>
      <c r="F152" s="292" t="s">
        <v>528</v>
      </c>
      <c r="G152" s="292"/>
      <c r="H152" s="291" t="s">
        <v>480</v>
      </c>
      <c r="I152" s="291" t="s">
        <v>480</v>
      </c>
      <c r="J152" s="225" t="s">
        <v>481</v>
      </c>
      <c r="K152" s="299">
        <v>44466</v>
      </c>
      <c r="L152" s="299">
        <v>44463</v>
      </c>
      <c r="M152" s="299">
        <v>44463</v>
      </c>
      <c r="N152" s="291" t="s">
        <v>7</v>
      </c>
      <c r="O152" s="291" t="s">
        <v>11</v>
      </c>
      <c r="P152" s="270" t="s">
        <v>25</v>
      </c>
      <c r="T152" s="291"/>
      <c r="V152" s="291"/>
      <c r="W152" s="291"/>
      <c r="X152" s="292" t="str">
        <f>VLOOKUP(功能_33[[#This Row],[User]],SKL放款!A:G,7,FALSE)</f>
        <v>放款服務課</v>
      </c>
      <c r="Y152" s="299">
        <v>44489</v>
      </c>
      <c r="Z152" s="299">
        <v>44477</v>
      </c>
      <c r="AA152" s="299">
        <f>IF(功能_33[[#This Row],[URS交二審]]=0,"",功能_33[[#This Row],[URS交二審]]+7)</f>
        <v>44484</v>
      </c>
      <c r="AB152" s="299">
        <f>IF(功能_33[[#This Row],[URS交二審]]=0,"",功能_33[[#This Row],[URS交二審]]+7)</f>
        <v>44484</v>
      </c>
      <c r="AC152" s="299">
        <v>44489</v>
      </c>
      <c r="AD152" s="299"/>
      <c r="AG152" s="299" t="str">
        <f>IFERROR(IF(VLOOKUP(功能_33[[#This Row],[功能代號]],E:Q,11,FALSE)=0,"",VLOOKUP(功能_33[[#This Row],[功能代號]],E:Q,11,FALSE)),"")</f>
        <v>蔡珮瑜</v>
      </c>
      <c r="AH152" s="299"/>
      <c r="AI152" s="299"/>
      <c r="AJ152" s="292"/>
      <c r="AK152" s="299"/>
      <c r="AL152" s="291" t="s">
        <v>3054</v>
      </c>
      <c r="AM152" s="292" t="s">
        <v>3056</v>
      </c>
      <c r="AN152" s="292" t="e">
        <f>VLOOKUP(功能_33[[#This Row],[功能代號]],需二審tmp!A:A,1,FALSE)</f>
        <v>#N/A</v>
      </c>
      <c r="AO152" s="356">
        <v>44489</v>
      </c>
      <c r="AQ152" s="574" t="str">
        <f t="shared" si="15"/>
        <v>5-5</v>
      </c>
      <c r="AR152" s="576" t="str">
        <f t="shared" si="16"/>
        <v/>
      </c>
      <c r="AS152" s="578" t="str">
        <f t="shared" si="17"/>
        <v/>
      </c>
      <c r="AT152" s="580" t="str">
        <f t="shared" si="18"/>
        <v/>
      </c>
      <c r="AU152" s="582" t="str">
        <f t="shared" si="19"/>
        <v/>
      </c>
      <c r="AV152" s="584" t="str">
        <f t="shared" si="20"/>
        <v/>
      </c>
      <c r="AW152" s="662" t="str">
        <f>IFERROR(VLOOKUP(功能_33[[#This Row],[功能代號]],工作表3!C:C,1,FALSE),"未計SIT測試")</f>
        <v>未計SIT測試</v>
      </c>
    </row>
    <row r="153" spans="3:49" ht="13.5" x14ac:dyDescent="0.3">
      <c r="C153" s="292" t="s">
        <v>94</v>
      </c>
      <c r="D153" s="292" t="s">
        <v>2822</v>
      </c>
      <c r="E153" s="291" t="s">
        <v>529</v>
      </c>
      <c r="F153" s="292" t="s">
        <v>530</v>
      </c>
      <c r="G153" s="292"/>
      <c r="H153" s="291" t="s">
        <v>480</v>
      </c>
      <c r="I153" s="291" t="s">
        <v>480</v>
      </c>
      <c r="J153" s="225" t="s">
        <v>481</v>
      </c>
      <c r="K153" s="299">
        <v>44466</v>
      </c>
      <c r="L153" s="299">
        <v>44463</v>
      </c>
      <c r="M153" s="299">
        <f>IFERROR(IF(VLOOKUP(功能_33[[#This Row],[功能代號]],討論項目!A:H,8,FALSE)=0,"",VLOOKUP(功能_33[[#This Row],[功能代號]],討論項目!A:H,8,FALSE)),"")</f>
        <v>44473</v>
      </c>
      <c r="N153" s="291" t="s">
        <v>7</v>
      </c>
      <c r="O153" s="291" t="s">
        <v>11</v>
      </c>
      <c r="P153" s="270" t="s">
        <v>25</v>
      </c>
      <c r="T153" s="291"/>
      <c r="V153" s="291"/>
      <c r="W153" s="291"/>
      <c r="X153" s="292" t="str">
        <f>VLOOKUP(功能_33[[#This Row],[User]],SKL放款!A:G,7,FALSE)</f>
        <v>放款服務課</v>
      </c>
      <c r="Y153" s="299">
        <v>44489</v>
      </c>
      <c r="Z153" s="299">
        <v>44477</v>
      </c>
      <c r="AA153" s="299">
        <f>IF(功能_33[[#This Row],[URS交二審]]=0,"",功能_33[[#This Row],[URS交二審]]+7)</f>
        <v>44484</v>
      </c>
      <c r="AB153" s="299">
        <f>IF(功能_33[[#This Row],[URS交二審]]=0,"",功能_33[[#This Row],[URS交二審]]+7)</f>
        <v>44484</v>
      </c>
      <c r="AC153" s="299">
        <v>44489</v>
      </c>
      <c r="AD153" s="299"/>
      <c r="AG153" s="299" t="str">
        <f>IFERROR(IF(VLOOKUP(功能_33[[#This Row],[功能代號]],E:Q,11,FALSE)=0,"",VLOOKUP(功能_33[[#This Row],[功能代號]],E:Q,11,FALSE)),"")</f>
        <v>蔡珮瑜</v>
      </c>
      <c r="AH153" s="299"/>
      <c r="AI153" s="299"/>
      <c r="AJ153" s="292"/>
      <c r="AK153" s="299"/>
      <c r="AL153" s="291" t="s">
        <v>3054</v>
      </c>
      <c r="AM153" s="292" t="s">
        <v>3056</v>
      </c>
      <c r="AN153" s="292" t="str">
        <f>VLOOKUP(功能_33[[#This Row],[功能代號]],需二審tmp!A:A,1,FALSE)</f>
        <v>L5709</v>
      </c>
      <c r="AO153" s="356">
        <v>44489</v>
      </c>
      <c r="AQ153" s="574" t="str">
        <f t="shared" si="15"/>
        <v>5-5</v>
      </c>
      <c r="AR153" s="576" t="str">
        <f t="shared" si="16"/>
        <v/>
      </c>
      <c r="AS153" s="578" t="str">
        <f t="shared" si="17"/>
        <v/>
      </c>
      <c r="AT153" s="580" t="str">
        <f t="shared" si="18"/>
        <v/>
      </c>
      <c r="AU153" s="582" t="str">
        <f t="shared" si="19"/>
        <v/>
      </c>
      <c r="AV153" s="584" t="str">
        <f t="shared" si="20"/>
        <v/>
      </c>
      <c r="AW153" s="662" t="str">
        <f>IFERROR(VLOOKUP(功能_33[[#This Row],[功能代號]],工作表3!C:C,1,FALSE),"未計SIT測試")</f>
        <v>未計SIT測試</v>
      </c>
    </row>
    <row r="154" spans="3:49" ht="13.5" x14ac:dyDescent="0.3">
      <c r="C154" s="292" t="s">
        <v>94</v>
      </c>
      <c r="D154" s="292" t="s">
        <v>2822</v>
      </c>
      <c r="E154" s="291" t="s">
        <v>531</v>
      </c>
      <c r="F154" s="292" t="s">
        <v>532</v>
      </c>
      <c r="G154" s="292"/>
      <c r="H154" s="291" t="s">
        <v>480</v>
      </c>
      <c r="I154" s="291" t="s">
        <v>480</v>
      </c>
      <c r="J154" s="225" t="s">
        <v>481</v>
      </c>
      <c r="K154" s="299">
        <v>44466</v>
      </c>
      <c r="L154" s="299">
        <v>44463</v>
      </c>
      <c r="M154" s="299">
        <f>IFERROR(IF(VLOOKUP(功能_33[[#This Row],[功能代號]],討論項目!A:H,8,FALSE)=0,"",VLOOKUP(功能_33[[#This Row],[功能代號]],討論項目!A:H,8,FALSE)),"")</f>
        <v>44473</v>
      </c>
      <c r="N154" s="291" t="s">
        <v>7</v>
      </c>
      <c r="O154" s="291" t="s">
        <v>11</v>
      </c>
      <c r="P154" s="270" t="s">
        <v>25</v>
      </c>
      <c r="T154" s="291"/>
      <c r="V154" s="291"/>
      <c r="W154" s="291"/>
      <c r="X154" s="292" t="str">
        <f>VLOOKUP(功能_33[[#This Row],[User]],SKL放款!A:G,7,FALSE)</f>
        <v>放款服務課</v>
      </c>
      <c r="Y154" s="299">
        <v>44489</v>
      </c>
      <c r="Z154" s="299">
        <v>44477</v>
      </c>
      <c r="AA154" s="299">
        <f>IF(功能_33[[#This Row],[URS交二審]]=0,"",功能_33[[#This Row],[URS交二審]]+7)</f>
        <v>44484</v>
      </c>
      <c r="AB154" s="299">
        <f>IF(功能_33[[#This Row],[URS交二審]]=0,"",功能_33[[#This Row],[URS交二審]]+7)</f>
        <v>44484</v>
      </c>
      <c r="AC154" s="299">
        <v>44489</v>
      </c>
      <c r="AD154" s="299"/>
      <c r="AG154" s="299" t="str">
        <f>IFERROR(IF(VLOOKUP(功能_33[[#This Row],[功能代號]],E:Q,11,FALSE)=0,"",VLOOKUP(功能_33[[#This Row],[功能代號]],E:Q,11,FALSE)),"")</f>
        <v>蔡珮瑜</v>
      </c>
      <c r="AH154" s="299"/>
      <c r="AI154" s="299"/>
      <c r="AJ154" s="292"/>
      <c r="AK154" s="299"/>
      <c r="AL154" s="291" t="s">
        <v>3054</v>
      </c>
      <c r="AM154" s="292" t="s">
        <v>3056</v>
      </c>
      <c r="AN154" s="292" t="str">
        <f>VLOOKUP(功能_33[[#This Row],[功能代號]],需二審tmp!A:A,1,FALSE)</f>
        <v>L5710</v>
      </c>
      <c r="AO154" s="356">
        <v>44489</v>
      </c>
      <c r="AQ154" s="574" t="str">
        <f t="shared" si="15"/>
        <v>5-5</v>
      </c>
      <c r="AR154" s="576" t="str">
        <f t="shared" si="16"/>
        <v/>
      </c>
      <c r="AS154" s="578" t="str">
        <f t="shared" si="17"/>
        <v/>
      </c>
      <c r="AT154" s="580" t="str">
        <f t="shared" si="18"/>
        <v/>
      </c>
      <c r="AU154" s="582" t="str">
        <f t="shared" si="19"/>
        <v/>
      </c>
      <c r="AV154" s="584" t="str">
        <f t="shared" si="20"/>
        <v/>
      </c>
      <c r="AW154" s="662" t="str">
        <f>IFERROR(VLOOKUP(功能_33[[#This Row],[功能代號]],工作表3!C:C,1,FALSE),"未計SIT測試")</f>
        <v>未計SIT測試</v>
      </c>
    </row>
    <row r="155" spans="3:49" ht="13.5" x14ac:dyDescent="0.3">
      <c r="C155" s="292" t="s">
        <v>95</v>
      </c>
      <c r="D155" s="292" t="s">
        <v>2815</v>
      </c>
      <c r="E155" s="291" t="s">
        <v>550</v>
      </c>
      <c r="F155" s="292" t="s">
        <v>551</v>
      </c>
      <c r="G155" s="292"/>
      <c r="H155" s="291" t="s">
        <v>193</v>
      </c>
      <c r="I155" s="291" t="s">
        <v>314</v>
      </c>
      <c r="J155" s="225" t="s">
        <v>3234</v>
      </c>
      <c r="K155" s="299">
        <v>44515</v>
      </c>
      <c r="L155" s="299">
        <v>44466</v>
      </c>
      <c r="M155" s="299">
        <v>44466</v>
      </c>
      <c r="N155" s="291" t="s">
        <v>12</v>
      </c>
      <c r="O155" s="291" t="s">
        <v>11</v>
      </c>
      <c r="T155" s="291"/>
      <c r="V155" s="291"/>
      <c r="W155" s="291"/>
      <c r="X155" s="292" t="str">
        <f>VLOOKUP(功能_33[[#This Row],[User]],SKL放款!A:G,7,FALSE)</f>
        <v>放款服務課</v>
      </c>
      <c r="Y155" s="299">
        <v>44533</v>
      </c>
      <c r="Z155" s="299" t="s">
        <v>195</v>
      </c>
      <c r="AA155" s="299">
        <v>44529</v>
      </c>
      <c r="AB155" s="299">
        <v>44529</v>
      </c>
      <c r="AC155" s="299">
        <v>44550</v>
      </c>
      <c r="AD155" s="299"/>
      <c r="AE155" s="299"/>
      <c r="AF155" s="355"/>
      <c r="AG155" s="299" t="str">
        <f>IFERROR(IF(VLOOKUP(功能_33[[#This Row],[功能代號]],E:Q,11,FALSE)=0,"",VLOOKUP(功能_33[[#This Row],[功能代號]],E:Q,11,FALSE)),"")</f>
        <v>蔡珮瑜</v>
      </c>
      <c r="AH155" s="299"/>
      <c r="AI155" s="299"/>
      <c r="AJ155" s="292"/>
      <c r="AK155" s="299"/>
      <c r="AL155" s="303" t="s">
        <v>552</v>
      </c>
      <c r="AM155" s="304" t="s">
        <v>553</v>
      </c>
      <c r="AN155" s="292" t="e">
        <f>VLOOKUP(功能_33[[#This Row],[功能代號]],需二審tmp!A:A,1,FALSE)</f>
        <v>#N/A</v>
      </c>
      <c r="AO155" s="356">
        <v>44526</v>
      </c>
      <c r="AQ155" s="574" t="str">
        <f t="shared" ref="AQ155:AQ219" si="21">IF(COUNTA(AC155)=1,LEFT(D155,3),"")</f>
        <v>6-6</v>
      </c>
      <c r="AR155" s="576" t="str">
        <f t="shared" ref="AR155:AR219" si="22">IF(AND(COUNTA(L155)=1,COUNTA(M155)=1,COUNTA(Y155)=1,COUNTA(AB155)=1,COUNTA(AC155)=0),LEFT(D155,3),"")</f>
        <v/>
      </c>
      <c r="AS155" s="578" t="str">
        <f t="shared" ref="AS155:AS219" si="23">IF(AND(COUNTA(L155)=1,COUNTA(M155)=1,COUNTA(Y155)=1,COUNTA(AB155)=0,COUNTA(AC155)=0),LEFT(D155,3),"")</f>
        <v/>
      </c>
      <c r="AT155" s="580" t="str">
        <f t="shared" ref="AT155:AT219" si="24">IF(AND(COUNTA(M155)=0,COUNTA(Y155)=1),LEFT(D155,3),"")</f>
        <v/>
      </c>
      <c r="AU155" s="582" t="str">
        <f t="shared" ref="AU155:AU219" si="25">IF(AND(COUNTA(M155)=1,COUNTA(Y155)=0),LEFT(D155,3),"")</f>
        <v/>
      </c>
      <c r="AV155" s="584" t="str">
        <f t="shared" ref="AV155:AV219" si="26">IF(AND(COUNTA(M155)=0,COUNTA(Y155)=0),LEFT(D155,3),"")</f>
        <v/>
      </c>
      <c r="AW155" s="662" t="str">
        <f>IFERROR(VLOOKUP(功能_33[[#This Row],[功能代號]],工作表3!C:C,1,FALSE),"未計SIT測試")</f>
        <v>L6061</v>
      </c>
    </row>
    <row r="156" spans="3:49" ht="13.5" x14ac:dyDescent="0.3">
      <c r="C156" s="292" t="s">
        <v>95</v>
      </c>
      <c r="D156" s="292" t="s">
        <v>2815</v>
      </c>
      <c r="E156" s="291" t="s">
        <v>583</v>
      </c>
      <c r="F156" s="292" t="s">
        <v>584</v>
      </c>
      <c r="G156" s="292"/>
      <c r="H156" s="291" t="s">
        <v>193</v>
      </c>
      <c r="I156" s="291" t="s">
        <v>314</v>
      </c>
      <c r="J156" s="225" t="s">
        <v>3234</v>
      </c>
      <c r="K156" s="299">
        <v>44516</v>
      </c>
      <c r="L156" s="299">
        <v>44467</v>
      </c>
      <c r="M156" s="299">
        <v>44467</v>
      </c>
      <c r="N156" s="291" t="s">
        <v>12</v>
      </c>
      <c r="O156" s="291" t="s">
        <v>567</v>
      </c>
      <c r="T156" s="291"/>
      <c r="V156" s="291"/>
      <c r="W156" s="291"/>
      <c r="X156" s="292" t="str">
        <f>VLOOKUP(功能_33[[#This Row],[User]],SKL放款!A:G,7,FALSE)</f>
        <v>放款審查課</v>
      </c>
      <c r="Y156" s="299">
        <v>44533</v>
      </c>
      <c r="Z156" s="299" t="s">
        <v>195</v>
      </c>
      <c r="AA156" s="299">
        <v>44467</v>
      </c>
      <c r="AB156" s="299">
        <v>44467</v>
      </c>
      <c r="AC156" s="299">
        <v>44550</v>
      </c>
      <c r="AD156" s="299"/>
      <c r="AE156" s="299"/>
      <c r="AF156" s="355"/>
      <c r="AG156" s="299" t="str">
        <f>IFERROR(IF(VLOOKUP(功能_33[[#This Row],[功能代號]],E:Q,11,FALSE)=0,"",VLOOKUP(功能_33[[#This Row],[功能代號]],E:Q,11,FALSE)),"")</f>
        <v>鄧雪美</v>
      </c>
      <c r="AH156" s="299"/>
      <c r="AI156" s="299"/>
      <c r="AJ156" s="292"/>
      <c r="AK156" s="299"/>
      <c r="AL156" s="303" t="s">
        <v>585</v>
      </c>
      <c r="AM156" s="304" t="s">
        <v>586</v>
      </c>
      <c r="AN156" s="292" t="e">
        <f>VLOOKUP(功能_33[[#This Row],[功能代號]],需二審tmp!A:A,1,FALSE)</f>
        <v>#N/A</v>
      </c>
      <c r="AO156" s="356">
        <v>44526</v>
      </c>
      <c r="AQ156" s="574" t="str">
        <f t="shared" si="21"/>
        <v>6-6</v>
      </c>
      <c r="AR156" s="576" t="str">
        <f t="shared" si="22"/>
        <v/>
      </c>
      <c r="AS156" s="578" t="str">
        <f t="shared" si="23"/>
        <v/>
      </c>
      <c r="AT156" s="580" t="str">
        <f t="shared" si="24"/>
        <v/>
      </c>
      <c r="AU156" s="582" t="str">
        <f t="shared" si="25"/>
        <v/>
      </c>
      <c r="AV156" s="584" t="str">
        <f t="shared" si="26"/>
        <v/>
      </c>
      <c r="AW156" s="662" t="str">
        <f>IFERROR(VLOOKUP(功能_33[[#This Row],[功能代號]],工作表3!C:C,1,FALSE),"未計SIT測試")</f>
        <v>L6062</v>
      </c>
    </row>
    <row r="157" spans="3:49" ht="13.5" x14ac:dyDescent="0.3">
      <c r="C157" s="292" t="s">
        <v>95</v>
      </c>
      <c r="D157" s="292" t="s">
        <v>2815</v>
      </c>
      <c r="E157" s="291" t="s">
        <v>565</v>
      </c>
      <c r="F157" s="292" t="s">
        <v>566</v>
      </c>
      <c r="G157" s="292"/>
      <c r="H157" s="291" t="s">
        <v>193</v>
      </c>
      <c r="I157" s="291" t="s">
        <v>314</v>
      </c>
      <c r="J157" s="225" t="s">
        <v>3234</v>
      </c>
      <c r="K157" s="299">
        <v>44516</v>
      </c>
      <c r="L157" s="299">
        <v>44467</v>
      </c>
      <c r="M157" s="299">
        <v>44467</v>
      </c>
      <c r="N157" s="291" t="s">
        <v>12</v>
      </c>
      <c r="O157" s="291" t="s">
        <v>567</v>
      </c>
      <c r="T157" s="291"/>
      <c r="V157" s="291"/>
      <c r="W157" s="291"/>
      <c r="X157" s="292" t="str">
        <f>VLOOKUP(功能_33[[#This Row],[User]],SKL放款!A:G,7,FALSE)</f>
        <v>放款審查課</v>
      </c>
      <c r="Y157" s="299">
        <v>44533</v>
      </c>
      <c r="Z157" s="299" t="s">
        <v>195</v>
      </c>
      <c r="AA157" s="299">
        <v>44467</v>
      </c>
      <c r="AB157" s="299">
        <v>44467</v>
      </c>
      <c r="AC157" s="299">
        <v>44550</v>
      </c>
      <c r="AD157" s="299"/>
      <c r="AE157" s="299"/>
      <c r="AF157" s="355"/>
      <c r="AG157" s="299" t="str">
        <f>IFERROR(IF(VLOOKUP(功能_33[[#This Row],[功能代號]],E:Q,11,FALSE)=0,"",VLOOKUP(功能_33[[#This Row],[功能代號]],E:Q,11,FALSE)),"")</f>
        <v>鄧雪美</v>
      </c>
      <c r="AH157" s="299"/>
      <c r="AI157" s="299"/>
      <c r="AJ157" s="292"/>
      <c r="AK157" s="299"/>
      <c r="AL157" s="303" t="s">
        <v>568</v>
      </c>
      <c r="AM157" s="304" t="s">
        <v>569</v>
      </c>
      <c r="AN157" s="292" t="e">
        <f>VLOOKUP(功能_33[[#This Row],[功能代號]],需二審tmp!A:A,1,FALSE)</f>
        <v>#N/A</v>
      </c>
      <c r="AO157" s="356">
        <v>44526</v>
      </c>
      <c r="AQ157" s="574" t="str">
        <f t="shared" si="21"/>
        <v>6-6</v>
      </c>
      <c r="AR157" s="576" t="str">
        <f t="shared" si="22"/>
        <v/>
      </c>
      <c r="AS157" s="578" t="str">
        <f t="shared" si="23"/>
        <v/>
      </c>
      <c r="AT157" s="580" t="str">
        <f t="shared" si="24"/>
        <v/>
      </c>
      <c r="AU157" s="582" t="str">
        <f t="shared" si="25"/>
        <v/>
      </c>
      <c r="AV157" s="584" t="str">
        <f t="shared" si="26"/>
        <v/>
      </c>
      <c r="AW157" s="662" t="str">
        <f>IFERROR(VLOOKUP(功能_33[[#This Row],[功能代號]],工作表3!C:C,1,FALSE),"未計SIT測試")</f>
        <v>L6063</v>
      </c>
    </row>
    <row r="158" spans="3:49" ht="13.5" x14ac:dyDescent="0.3">
      <c r="C158" s="292" t="s">
        <v>95</v>
      </c>
      <c r="D158" s="292" t="s">
        <v>2812</v>
      </c>
      <c r="E158" s="291" t="s">
        <v>542</v>
      </c>
      <c r="F158" s="292" t="s">
        <v>543</v>
      </c>
      <c r="G158" s="292"/>
      <c r="H158" s="291" t="s">
        <v>193</v>
      </c>
      <c r="I158" s="291" t="s">
        <v>314</v>
      </c>
      <c r="J158" s="225" t="s">
        <v>417</v>
      </c>
      <c r="K158" s="299">
        <v>44515</v>
      </c>
      <c r="L158" s="299">
        <v>44466</v>
      </c>
      <c r="M158" s="299">
        <v>44472</v>
      </c>
      <c r="N158" s="291" t="s">
        <v>12</v>
      </c>
      <c r="O158" s="291" t="s">
        <v>24</v>
      </c>
      <c r="T158" s="291"/>
      <c r="V158" s="291"/>
      <c r="W158" s="291"/>
      <c r="X158" s="292" t="str">
        <f>VLOOKUP(功能_33[[#This Row],[User]],SKL放款!A:G,7,FALSE)</f>
        <v>放款服務課</v>
      </c>
      <c r="Y158" s="299">
        <v>44472</v>
      </c>
      <c r="Z158" s="299" t="s">
        <v>133</v>
      </c>
      <c r="AA158" s="222" t="s">
        <v>3050</v>
      </c>
      <c r="AB158" s="299">
        <v>44539</v>
      </c>
      <c r="AC158" s="299">
        <v>44544</v>
      </c>
      <c r="AD158" s="299"/>
      <c r="AE158" s="299"/>
      <c r="AF158" s="355"/>
      <c r="AG158" s="299" t="str">
        <f>IFERROR(IF(VLOOKUP(功能_33[[#This Row],[功能代號]],E:Q,11,FALSE)=0,"",VLOOKUP(功能_33[[#This Row],[功能代號]],E:Q,11,FALSE)),"")</f>
        <v>邵淑微</v>
      </c>
      <c r="AH158" s="299"/>
      <c r="AI158" s="299"/>
      <c r="AJ158" s="292"/>
      <c r="AK158" s="299"/>
      <c r="AL158" s="291" t="s">
        <v>190</v>
      </c>
      <c r="AN158" s="292" t="str">
        <f>VLOOKUP(功能_33[[#This Row],[功能代號]],需二審tmp!A:A,1,FALSE)</f>
        <v>L6030</v>
      </c>
      <c r="AO158" s="356">
        <v>44526</v>
      </c>
      <c r="AQ158" s="574" t="str">
        <f t="shared" si="21"/>
        <v>6-3</v>
      </c>
      <c r="AR158" s="576" t="str">
        <f t="shared" si="22"/>
        <v/>
      </c>
      <c r="AS158" s="578" t="str">
        <f t="shared" si="23"/>
        <v/>
      </c>
      <c r="AT158" s="580" t="str">
        <f t="shared" si="24"/>
        <v/>
      </c>
      <c r="AU158" s="582" t="str">
        <f t="shared" si="25"/>
        <v/>
      </c>
      <c r="AV158" s="584" t="str">
        <f t="shared" si="26"/>
        <v/>
      </c>
      <c r="AW158" s="662" t="str">
        <f>IFERROR(VLOOKUP(功能_33[[#This Row],[功能代號]],工作表3!C:C,1,FALSE),"未計SIT測試")</f>
        <v>L6030</v>
      </c>
    </row>
    <row r="159" spans="3:49" ht="13.5" x14ac:dyDescent="0.3">
      <c r="C159" s="292" t="s">
        <v>95</v>
      </c>
      <c r="D159" s="292" t="s">
        <v>2812</v>
      </c>
      <c r="E159" s="291" t="s">
        <v>544</v>
      </c>
      <c r="F159" s="292" t="s">
        <v>545</v>
      </c>
      <c r="G159" s="292"/>
      <c r="H159" s="291" t="s">
        <v>193</v>
      </c>
      <c r="I159" s="291" t="s">
        <v>314</v>
      </c>
      <c r="J159" s="225" t="s">
        <v>417</v>
      </c>
      <c r="K159" s="299">
        <v>44515</v>
      </c>
      <c r="L159" s="299">
        <v>44466</v>
      </c>
      <c r="M159" s="299">
        <v>44472</v>
      </c>
      <c r="N159" s="291" t="s">
        <v>12</v>
      </c>
      <c r="O159" s="291" t="s">
        <v>24</v>
      </c>
      <c r="T159" s="291"/>
      <c r="V159" s="291"/>
      <c r="W159" s="291"/>
      <c r="X159" s="292" t="str">
        <f>VLOOKUP(功能_33[[#This Row],[User]],SKL放款!A:G,7,FALSE)</f>
        <v>放款服務課</v>
      </c>
      <c r="Y159" s="299">
        <v>44472</v>
      </c>
      <c r="Z159" s="299" t="s">
        <v>2926</v>
      </c>
      <c r="AA159" s="222" t="s">
        <v>3050</v>
      </c>
      <c r="AB159" s="299">
        <v>44539</v>
      </c>
      <c r="AC159" s="299">
        <v>44544</v>
      </c>
      <c r="AD159" s="299"/>
      <c r="AE159" s="299"/>
      <c r="AF159" s="355"/>
      <c r="AG159" s="299" t="str">
        <f>IFERROR(IF(VLOOKUP(功能_33[[#This Row],[功能代號]],E:Q,11,FALSE)=0,"",VLOOKUP(功能_33[[#This Row],[功能代號]],E:Q,11,FALSE)),"")</f>
        <v>邵淑微</v>
      </c>
      <c r="AH159" s="299"/>
      <c r="AI159" s="299"/>
      <c r="AJ159" s="292"/>
      <c r="AK159" s="299"/>
      <c r="AL159" s="291" t="s">
        <v>190</v>
      </c>
      <c r="AN159" s="292" t="e">
        <f>VLOOKUP(功能_33[[#This Row],[功能代號]],需二審tmp!A:A,1,FALSE)</f>
        <v>#N/A</v>
      </c>
      <c r="AO159" s="356">
        <v>44526</v>
      </c>
      <c r="AQ159" s="574" t="str">
        <f t="shared" si="21"/>
        <v>6-3</v>
      </c>
      <c r="AR159" s="576" t="str">
        <f t="shared" si="22"/>
        <v/>
      </c>
      <c r="AS159" s="578" t="str">
        <f t="shared" si="23"/>
        <v/>
      </c>
      <c r="AT159" s="580" t="str">
        <f t="shared" si="24"/>
        <v/>
      </c>
      <c r="AU159" s="582" t="str">
        <f t="shared" si="25"/>
        <v/>
      </c>
      <c r="AV159" s="584" t="str">
        <f t="shared" si="26"/>
        <v/>
      </c>
      <c r="AW159" s="662" t="str">
        <f>IFERROR(VLOOKUP(功能_33[[#This Row],[功能代號]],工作表3!C:C,1,FALSE),"未計SIT測試")</f>
        <v>L6310</v>
      </c>
    </row>
    <row r="160" spans="3:49" ht="13.5" x14ac:dyDescent="0.3">
      <c r="C160" s="292" t="s">
        <v>95</v>
      </c>
      <c r="D160" s="292" t="s">
        <v>2815</v>
      </c>
      <c r="E160" s="291" t="s">
        <v>546</v>
      </c>
      <c r="F160" s="292" t="s">
        <v>547</v>
      </c>
      <c r="G160" s="292"/>
      <c r="H160" s="291" t="s">
        <v>193</v>
      </c>
      <c r="I160" s="291" t="s">
        <v>314</v>
      </c>
      <c r="J160" s="225" t="s">
        <v>3234</v>
      </c>
      <c r="K160" s="299">
        <v>44515</v>
      </c>
      <c r="L160" s="299">
        <v>44466</v>
      </c>
      <c r="M160" s="299">
        <v>44472</v>
      </c>
      <c r="N160" s="291" t="s">
        <v>8</v>
      </c>
      <c r="O160" s="291" t="s">
        <v>172</v>
      </c>
      <c r="T160" s="291"/>
      <c r="V160" s="291"/>
      <c r="W160" s="291"/>
      <c r="X160" s="292" t="str">
        <f>VLOOKUP(功能_33[[#This Row],[User]],SKL放款!A:G,7,FALSE)</f>
        <v>放款服務課</v>
      </c>
      <c r="Y160" s="299">
        <v>44472</v>
      </c>
      <c r="Z160" s="299" t="s">
        <v>133</v>
      </c>
      <c r="AA160" s="282">
        <v>44544</v>
      </c>
      <c r="AB160" s="282">
        <v>44544</v>
      </c>
      <c r="AC160" s="299">
        <v>44550</v>
      </c>
      <c r="AD160" s="299"/>
      <c r="AE160" s="299"/>
      <c r="AF160" s="355"/>
      <c r="AG160" s="299" t="str">
        <f>IFERROR(IF(VLOOKUP(功能_33[[#This Row],[功能代號]],E:Q,11,FALSE)=0,"",VLOOKUP(功能_33[[#This Row],[功能代號]],E:Q,11,FALSE)),"")</f>
        <v>陳政皓</v>
      </c>
      <c r="AH160" s="299"/>
      <c r="AI160" s="299"/>
      <c r="AJ160" s="292"/>
      <c r="AK160" s="299"/>
      <c r="AL160" s="291" t="s">
        <v>190</v>
      </c>
      <c r="AN160" s="292" t="str">
        <f>VLOOKUP(功能_33[[#This Row],[功能代號]],需二審tmp!A:A,1,FALSE)</f>
        <v>L6064</v>
      </c>
      <c r="AO160" s="356">
        <v>44526</v>
      </c>
      <c r="AQ160" s="574" t="str">
        <f t="shared" si="21"/>
        <v>6-6</v>
      </c>
      <c r="AR160" s="576" t="str">
        <f t="shared" si="22"/>
        <v/>
      </c>
      <c r="AS160" s="578" t="str">
        <f t="shared" si="23"/>
        <v/>
      </c>
      <c r="AT160" s="580" t="str">
        <f t="shared" si="24"/>
        <v/>
      </c>
      <c r="AU160" s="582" t="str">
        <f t="shared" si="25"/>
        <v/>
      </c>
      <c r="AV160" s="584" t="str">
        <f t="shared" si="26"/>
        <v/>
      </c>
      <c r="AW160" s="662" t="str">
        <f>IFERROR(VLOOKUP(功能_33[[#This Row],[功能代號]],工作表3!C:C,1,FALSE),"未計SIT測試")</f>
        <v>L6064</v>
      </c>
    </row>
    <row r="161" spans="3:49" ht="13.5" x14ac:dyDescent="0.3">
      <c r="C161" s="292" t="s">
        <v>95</v>
      </c>
      <c r="D161" s="292" t="s">
        <v>2815</v>
      </c>
      <c r="E161" s="291" t="s">
        <v>592</v>
      </c>
      <c r="F161" s="292" t="s">
        <v>593</v>
      </c>
      <c r="G161" s="292"/>
      <c r="H161" s="291" t="s">
        <v>193</v>
      </c>
      <c r="I161" s="291" t="s">
        <v>314</v>
      </c>
      <c r="J161" s="225" t="s">
        <v>3234</v>
      </c>
      <c r="K161" s="299">
        <v>44516</v>
      </c>
      <c r="L161" s="299">
        <v>44467</v>
      </c>
      <c r="M161" s="299">
        <v>44467</v>
      </c>
      <c r="N161" s="291" t="s">
        <v>8</v>
      </c>
      <c r="O161" s="291" t="s">
        <v>14</v>
      </c>
      <c r="T161" s="291"/>
      <c r="V161" s="291"/>
      <c r="W161" s="291"/>
      <c r="X161" s="292" t="str">
        <f>VLOOKUP(功能_33[[#This Row],[User]],SKL放款!A:G,7,FALSE)</f>
        <v>放款管理課</v>
      </c>
      <c r="Y161" s="299">
        <v>44533</v>
      </c>
      <c r="Z161" s="299" t="s">
        <v>195</v>
      </c>
      <c r="AA161" s="299">
        <v>44530</v>
      </c>
      <c r="AB161" s="299">
        <v>44530</v>
      </c>
      <c r="AC161" s="299">
        <v>44550</v>
      </c>
      <c r="AD161" s="299"/>
      <c r="AE161" s="299"/>
      <c r="AF161" s="355"/>
      <c r="AG161" s="299" t="str">
        <f>IFERROR(IF(VLOOKUP(功能_33[[#This Row],[功能代號]],E:Q,11,FALSE)=0,"",VLOOKUP(功能_33[[#This Row],[功能代號]],E:Q,11,FALSE)),"")</f>
        <v>張舜雯</v>
      </c>
      <c r="AH161" s="299"/>
      <c r="AI161" s="299"/>
      <c r="AJ161" s="292"/>
      <c r="AK161" s="299"/>
      <c r="AL161" s="303" t="s">
        <v>594</v>
      </c>
      <c r="AM161" s="304" t="s">
        <v>595</v>
      </c>
      <c r="AN161" s="292" t="e">
        <f>VLOOKUP(功能_33[[#This Row],[功能代號]],需二審tmp!A:A,1,FALSE)</f>
        <v>#N/A</v>
      </c>
      <c r="AO161" s="356">
        <v>44526</v>
      </c>
      <c r="AQ161" s="574" t="str">
        <f t="shared" si="21"/>
        <v>6-6</v>
      </c>
      <c r="AR161" s="576" t="str">
        <f t="shared" si="22"/>
        <v/>
      </c>
      <c r="AS161" s="578" t="str">
        <f t="shared" si="23"/>
        <v/>
      </c>
      <c r="AT161" s="580" t="str">
        <f t="shared" si="24"/>
        <v/>
      </c>
      <c r="AU161" s="582" t="str">
        <f t="shared" si="25"/>
        <v/>
      </c>
      <c r="AV161" s="584" t="str">
        <f t="shared" si="26"/>
        <v/>
      </c>
      <c r="AW161" s="662" t="str">
        <f>IFERROR(VLOOKUP(功能_33[[#This Row],[功能代號]],工作表3!C:C,1,FALSE),"未計SIT測試")</f>
        <v>L6065</v>
      </c>
    </row>
    <row r="162" spans="3:49" ht="13.5" x14ac:dyDescent="0.3">
      <c r="C162" s="292" t="s">
        <v>95</v>
      </c>
      <c r="D162" s="292" t="s">
        <v>2815</v>
      </c>
      <c r="E162" s="291" t="s">
        <v>597</v>
      </c>
      <c r="F162" s="292" t="s">
        <v>598</v>
      </c>
      <c r="G162" s="292"/>
      <c r="H162" s="291" t="s">
        <v>193</v>
      </c>
      <c r="I162" s="291" t="s">
        <v>314</v>
      </c>
      <c r="J162" s="225" t="s">
        <v>3234</v>
      </c>
      <c r="K162" s="299">
        <v>44516</v>
      </c>
      <c r="L162" s="299">
        <v>44467</v>
      </c>
      <c r="M162" s="299">
        <v>44467</v>
      </c>
      <c r="N162" s="291" t="s">
        <v>8</v>
      </c>
      <c r="O162" s="291" t="s">
        <v>172</v>
      </c>
      <c r="T162" s="291"/>
      <c r="V162" s="291"/>
      <c r="W162" s="291"/>
      <c r="X162" s="292" t="str">
        <f>VLOOKUP(功能_33[[#This Row],[User]],SKL放款!A:G,7,FALSE)</f>
        <v>放款服務課</v>
      </c>
      <c r="Y162" s="299">
        <v>44533</v>
      </c>
      <c r="Z162" s="299" t="s">
        <v>195</v>
      </c>
      <c r="AA162" s="299">
        <v>44529</v>
      </c>
      <c r="AB162" s="299">
        <v>44529</v>
      </c>
      <c r="AC162" s="299">
        <v>44550</v>
      </c>
      <c r="AD162" s="299"/>
      <c r="AE162" s="299"/>
      <c r="AF162" s="355"/>
      <c r="AG162" s="299" t="str">
        <f>IFERROR(IF(VLOOKUP(功能_33[[#This Row],[功能代號]],E:Q,11,FALSE)=0,"",VLOOKUP(功能_33[[#This Row],[功能代號]],E:Q,11,FALSE)),"")</f>
        <v>陳政皓</v>
      </c>
      <c r="AH162" s="299"/>
      <c r="AI162" s="299"/>
      <c r="AJ162" s="292"/>
      <c r="AK162" s="299"/>
      <c r="AL162" s="303" t="s">
        <v>599</v>
      </c>
      <c r="AM162" s="304" t="s">
        <v>600</v>
      </c>
      <c r="AN162" s="292" t="e">
        <f>VLOOKUP(功能_33[[#This Row],[功能代號]],需二審tmp!A:A,1,FALSE)</f>
        <v>#N/A</v>
      </c>
      <c r="AO162" s="356">
        <v>44526</v>
      </c>
      <c r="AQ162" s="574" t="str">
        <f t="shared" si="21"/>
        <v>6-6</v>
      </c>
      <c r="AR162" s="576" t="str">
        <f t="shared" si="22"/>
        <v/>
      </c>
      <c r="AS162" s="578" t="str">
        <f t="shared" si="23"/>
        <v/>
      </c>
      <c r="AT162" s="580" t="str">
        <f t="shared" si="24"/>
        <v/>
      </c>
      <c r="AU162" s="582" t="str">
        <f t="shared" si="25"/>
        <v/>
      </c>
      <c r="AV162" s="584" t="str">
        <f t="shared" si="26"/>
        <v/>
      </c>
      <c r="AW162" s="662" t="str">
        <f>IFERROR(VLOOKUP(功能_33[[#This Row],[功能代號]],工作表3!C:C,1,FALSE),"未計SIT測試")</f>
        <v>L6066</v>
      </c>
    </row>
    <row r="163" spans="3:49" ht="13.5" x14ac:dyDescent="0.3">
      <c r="C163" s="292" t="s">
        <v>95</v>
      </c>
      <c r="D163" s="292" t="s">
        <v>2815</v>
      </c>
      <c r="E163" s="291" t="s">
        <v>572</v>
      </c>
      <c r="F163" s="292" t="s">
        <v>573</v>
      </c>
      <c r="G163" s="292"/>
      <c r="H163" s="291" t="s">
        <v>193</v>
      </c>
      <c r="I163" s="291" t="s">
        <v>314</v>
      </c>
      <c r="J163" s="225" t="s">
        <v>3234</v>
      </c>
      <c r="K163" s="299">
        <v>44516</v>
      </c>
      <c r="L163" s="299">
        <v>44467</v>
      </c>
      <c r="M163" s="299">
        <v>44467</v>
      </c>
      <c r="N163" s="291" t="s">
        <v>8</v>
      </c>
      <c r="O163" s="291" t="s">
        <v>567</v>
      </c>
      <c r="T163" s="291"/>
      <c r="V163" s="291"/>
      <c r="W163" s="291"/>
      <c r="X163" s="292" t="str">
        <f>VLOOKUP(功能_33[[#This Row],[User]],SKL放款!A:G,7,FALSE)</f>
        <v>放款審查課</v>
      </c>
      <c r="Y163" s="299">
        <v>44533</v>
      </c>
      <c r="Z163" s="299" t="s">
        <v>195</v>
      </c>
      <c r="AA163" s="299">
        <v>44467</v>
      </c>
      <c r="AB163" s="299">
        <v>44467</v>
      </c>
      <c r="AC163" s="299">
        <v>44550</v>
      </c>
      <c r="AD163" s="299"/>
      <c r="AE163" s="299"/>
      <c r="AF163" s="355"/>
      <c r="AG163" s="299" t="str">
        <f>IFERROR(IF(VLOOKUP(功能_33[[#This Row],[功能代號]],E:Q,11,FALSE)=0,"",VLOOKUP(功能_33[[#This Row],[功能代號]],E:Q,11,FALSE)),"")</f>
        <v>鄧雪美</v>
      </c>
      <c r="AH163" s="299"/>
      <c r="AI163" s="299"/>
      <c r="AJ163" s="292"/>
      <c r="AK163" s="299"/>
      <c r="AL163" s="303" t="s">
        <v>574</v>
      </c>
      <c r="AM163" s="304" t="s">
        <v>575</v>
      </c>
      <c r="AN163" s="292" t="e">
        <f>VLOOKUP(功能_33[[#This Row],[功能代號]],需二審tmp!A:A,1,FALSE)</f>
        <v>#N/A</v>
      </c>
      <c r="AO163" s="356">
        <v>44526</v>
      </c>
      <c r="AQ163" s="574" t="str">
        <f t="shared" si="21"/>
        <v>6-6</v>
      </c>
      <c r="AR163" s="576" t="str">
        <f t="shared" si="22"/>
        <v/>
      </c>
      <c r="AS163" s="578" t="str">
        <f t="shared" si="23"/>
        <v/>
      </c>
      <c r="AT163" s="580" t="str">
        <f t="shared" si="24"/>
        <v/>
      </c>
      <c r="AU163" s="582" t="str">
        <f t="shared" si="25"/>
        <v/>
      </c>
      <c r="AV163" s="584" t="str">
        <f t="shared" si="26"/>
        <v/>
      </c>
      <c r="AW163" s="662" t="str">
        <f>IFERROR(VLOOKUP(功能_33[[#This Row],[功能代號]],工作表3!C:C,1,FALSE),"未計SIT測試")</f>
        <v>L6067</v>
      </c>
    </row>
    <row r="164" spans="3:49" ht="13.5" x14ac:dyDescent="0.3">
      <c r="C164" s="292" t="s">
        <v>95</v>
      </c>
      <c r="D164" s="498" t="s">
        <v>2815</v>
      </c>
      <c r="E164" s="291" t="s">
        <v>1107</v>
      </c>
      <c r="F164" s="270" t="s">
        <v>1108</v>
      </c>
      <c r="G164" s="292"/>
      <c r="H164" s="291" t="s">
        <v>193</v>
      </c>
      <c r="I164" s="291" t="s">
        <v>314</v>
      </c>
      <c r="J164" s="225" t="s">
        <v>3234</v>
      </c>
      <c r="K164" s="299">
        <v>44529</v>
      </c>
      <c r="L164" s="299">
        <v>44533</v>
      </c>
      <c r="M164" s="299">
        <v>44537</v>
      </c>
      <c r="N164" s="291" t="s">
        <v>12</v>
      </c>
      <c r="O164" s="291" t="s">
        <v>11</v>
      </c>
      <c r="T164" s="291"/>
      <c r="V164" s="291"/>
      <c r="W164" s="291"/>
      <c r="X164" s="292" t="str">
        <f>VLOOKUP(功能_33[[#This Row],[User]],SKL放款!A:G,7,FALSE)</f>
        <v>放款服務課</v>
      </c>
      <c r="Y164" s="299">
        <v>44533</v>
      </c>
      <c r="Z164" s="299" t="s">
        <v>2926</v>
      </c>
      <c r="AA164" s="299"/>
      <c r="AB164" s="299">
        <v>44533</v>
      </c>
      <c r="AC164" s="299">
        <v>44550</v>
      </c>
      <c r="AD164" s="299"/>
      <c r="AE164" s="299"/>
      <c r="AF164" s="355"/>
      <c r="AG164" s="299" t="str">
        <f>IFERROR(IF(VLOOKUP(功能_33[[#This Row],[功能代號]],E:Q,11,FALSE)=0,"",VLOOKUP(功能_33[[#This Row],[功能代號]],E:Q,11,FALSE)),"")</f>
        <v>蔡珮瑜</v>
      </c>
      <c r="AH164" s="299"/>
      <c r="AI164" s="299"/>
      <c r="AJ164" s="292"/>
      <c r="AK164" s="299"/>
      <c r="AL164" s="291" t="s">
        <v>190</v>
      </c>
      <c r="AN164" s="292" t="e">
        <f>VLOOKUP(功能_33[[#This Row],[功能代號]],需二審tmp!A:A,1,FALSE)</f>
        <v>#N/A</v>
      </c>
      <c r="AQ164" s="574" t="str">
        <f t="shared" si="21"/>
        <v>6-6</v>
      </c>
      <c r="AR164" s="576" t="str">
        <f t="shared" si="22"/>
        <v/>
      </c>
      <c r="AS164" s="578" t="str">
        <f t="shared" si="23"/>
        <v/>
      </c>
      <c r="AT164" s="580" t="str">
        <f t="shared" si="24"/>
        <v/>
      </c>
      <c r="AU164" s="582" t="str">
        <f t="shared" si="25"/>
        <v/>
      </c>
      <c r="AV164" s="584" t="str">
        <f t="shared" si="26"/>
        <v/>
      </c>
      <c r="AW164" s="662" t="str">
        <f>IFERROR(VLOOKUP(功能_33[[#This Row],[功能代號]],工作表3!C:C,1,FALSE),"未計SIT測試")</f>
        <v>L6068</v>
      </c>
    </row>
    <row r="165" spans="3:49" ht="13.5" x14ac:dyDescent="0.3">
      <c r="C165" s="292" t="s">
        <v>95</v>
      </c>
      <c r="D165" s="292" t="s">
        <v>2816</v>
      </c>
      <c r="E165" s="291" t="s">
        <v>603</v>
      </c>
      <c r="F165" s="292" t="s">
        <v>604</v>
      </c>
      <c r="G165" s="292"/>
      <c r="H165" s="291" t="s">
        <v>193</v>
      </c>
      <c r="I165" s="291" t="s">
        <v>314</v>
      </c>
      <c r="J165" s="225" t="s">
        <v>3234</v>
      </c>
      <c r="K165" s="299">
        <v>44516</v>
      </c>
      <c r="L165" s="299">
        <v>44467</v>
      </c>
      <c r="M165" s="299">
        <v>44467</v>
      </c>
      <c r="N165" s="291" t="s">
        <v>8</v>
      </c>
      <c r="O165" s="291" t="s">
        <v>172</v>
      </c>
      <c r="T165" s="291"/>
      <c r="V165" s="291"/>
      <c r="W165" s="291"/>
      <c r="X165" s="292" t="str">
        <f>VLOOKUP(功能_33[[#This Row],[User]],SKL放款!A:G,7,FALSE)</f>
        <v>放款服務課</v>
      </c>
      <c r="Y165" s="299">
        <v>44533</v>
      </c>
      <c r="Z165" s="299" t="s">
        <v>195</v>
      </c>
      <c r="AA165" s="299">
        <v>44529</v>
      </c>
      <c r="AB165" s="299">
        <v>44529</v>
      </c>
      <c r="AC165" s="299">
        <v>44550</v>
      </c>
      <c r="AD165" s="299"/>
      <c r="AE165" s="299"/>
      <c r="AF165" s="355"/>
      <c r="AG165" s="299" t="str">
        <f>IFERROR(IF(VLOOKUP(功能_33[[#This Row],[功能代號]],E:Q,11,FALSE)=0,"",VLOOKUP(功能_33[[#This Row],[功能代號]],E:Q,11,FALSE)),"")</f>
        <v>陳政皓</v>
      </c>
      <c r="AH165" s="299"/>
      <c r="AI165" s="299"/>
      <c r="AJ165" s="292"/>
      <c r="AK165" s="299"/>
      <c r="AL165" s="303" t="s">
        <v>605</v>
      </c>
      <c r="AM165" s="304" t="s">
        <v>606</v>
      </c>
      <c r="AN165" s="292" t="e">
        <f>VLOOKUP(功能_33[[#This Row],[功能代號]],需二審tmp!A:A,1,FALSE)</f>
        <v>#N/A</v>
      </c>
      <c r="AO165" s="356">
        <v>44526</v>
      </c>
      <c r="AQ165" s="574" t="str">
        <f t="shared" si="21"/>
        <v>6-7</v>
      </c>
      <c r="AR165" s="576" t="str">
        <f t="shared" si="22"/>
        <v/>
      </c>
      <c r="AS165" s="578" t="str">
        <f t="shared" si="23"/>
        <v/>
      </c>
      <c r="AT165" s="580" t="str">
        <f t="shared" si="24"/>
        <v/>
      </c>
      <c r="AU165" s="582" t="str">
        <f t="shared" si="25"/>
        <v/>
      </c>
      <c r="AV165" s="584" t="str">
        <f t="shared" si="26"/>
        <v/>
      </c>
      <c r="AW165" s="662" t="str">
        <f>IFERROR(VLOOKUP(功能_33[[#This Row],[功能代號]],工作表3!C:C,1,FALSE),"未計SIT測試")</f>
        <v>L6071</v>
      </c>
    </row>
    <row r="166" spans="3:49" ht="13.5" x14ac:dyDescent="0.3">
      <c r="C166" s="292" t="s">
        <v>95</v>
      </c>
      <c r="D166" s="498" t="s">
        <v>2816</v>
      </c>
      <c r="E166" s="291" t="s">
        <v>1117</v>
      </c>
      <c r="F166" s="292" t="s">
        <v>1118</v>
      </c>
      <c r="G166" s="292"/>
      <c r="H166" s="291" t="s">
        <v>193</v>
      </c>
      <c r="I166" s="291" t="s">
        <v>314</v>
      </c>
      <c r="J166" s="225" t="s">
        <v>3234</v>
      </c>
      <c r="K166" s="299">
        <v>44529</v>
      </c>
      <c r="L166" s="299">
        <v>44529</v>
      </c>
      <c r="M166" s="299">
        <v>44537</v>
      </c>
      <c r="N166" s="291" t="s">
        <v>12</v>
      </c>
      <c r="O166" s="291" t="s">
        <v>11</v>
      </c>
      <c r="T166" s="291"/>
      <c r="V166" s="291"/>
      <c r="W166" s="291"/>
      <c r="X166" s="292" t="str">
        <f>VLOOKUP(功能_33[[#This Row],[User]],SKL放款!A:G,7,FALSE)</f>
        <v>放款服務課</v>
      </c>
      <c r="Y166" s="299">
        <v>44533</v>
      </c>
      <c r="Z166" s="299" t="s">
        <v>2926</v>
      </c>
      <c r="AA166" s="299"/>
      <c r="AB166" s="299">
        <v>44529</v>
      </c>
      <c r="AC166" s="299">
        <v>44550</v>
      </c>
      <c r="AD166" s="299"/>
      <c r="AE166" s="299"/>
      <c r="AF166" s="355"/>
      <c r="AG166" s="299" t="str">
        <f>IFERROR(IF(VLOOKUP(功能_33[[#This Row],[功能代號]],E:Q,11,FALSE)=0,"",VLOOKUP(功能_33[[#This Row],[功能代號]],E:Q,11,FALSE)),"")</f>
        <v>蔡珮瑜</v>
      </c>
      <c r="AH166" s="299"/>
      <c r="AI166" s="299"/>
      <c r="AJ166" s="292"/>
      <c r="AK166" s="299"/>
      <c r="AL166" s="303" t="s">
        <v>1119</v>
      </c>
      <c r="AM166" s="304" t="s">
        <v>1120</v>
      </c>
      <c r="AN166" s="292" t="e">
        <f>VLOOKUP(功能_33[[#This Row],[功能代號]],需二審tmp!A:A,1,FALSE)</f>
        <v>#N/A</v>
      </c>
      <c r="AQ166" s="574" t="str">
        <f t="shared" si="21"/>
        <v>6-7</v>
      </c>
      <c r="AR166" s="576" t="str">
        <f t="shared" si="22"/>
        <v/>
      </c>
      <c r="AS166" s="578" t="str">
        <f t="shared" si="23"/>
        <v/>
      </c>
      <c r="AT166" s="580" t="str">
        <f t="shared" si="24"/>
        <v/>
      </c>
      <c r="AU166" s="582" t="str">
        <f t="shared" si="25"/>
        <v/>
      </c>
      <c r="AV166" s="584" t="str">
        <f t="shared" si="26"/>
        <v/>
      </c>
      <c r="AW166" s="662" t="str">
        <f>IFERROR(VLOOKUP(功能_33[[#This Row],[功能代號]],工作表3!C:C,1,FALSE),"未計SIT測試")</f>
        <v>L6072</v>
      </c>
    </row>
    <row r="167" spans="3:49" ht="13.5" x14ac:dyDescent="0.3">
      <c r="C167" s="292" t="s">
        <v>95</v>
      </c>
      <c r="D167" s="292" t="s">
        <v>2816</v>
      </c>
      <c r="E167" s="291" t="s">
        <v>608</v>
      </c>
      <c r="F167" s="292" t="s">
        <v>609</v>
      </c>
      <c r="G167" s="292"/>
      <c r="H167" s="291" t="s">
        <v>193</v>
      </c>
      <c r="I167" s="291" t="s">
        <v>314</v>
      </c>
      <c r="J167" s="225" t="s">
        <v>3234</v>
      </c>
      <c r="K167" s="299">
        <v>44516</v>
      </c>
      <c r="L167" s="299">
        <v>44467</v>
      </c>
      <c r="M167" s="299">
        <v>44467</v>
      </c>
      <c r="N167" s="291" t="s">
        <v>12</v>
      </c>
      <c r="O167" s="291" t="s">
        <v>172</v>
      </c>
      <c r="T167" s="291"/>
      <c r="V167" s="291"/>
      <c r="W167" s="291"/>
      <c r="X167" s="292" t="str">
        <f>VLOOKUP(功能_33[[#This Row],[User]],SKL放款!A:G,7,FALSE)</f>
        <v>放款服務課</v>
      </c>
      <c r="Y167" s="299">
        <v>44533</v>
      </c>
      <c r="Z167" s="299" t="s">
        <v>195</v>
      </c>
      <c r="AA167" s="299">
        <v>44529</v>
      </c>
      <c r="AB167" s="299">
        <v>44529</v>
      </c>
      <c r="AC167" s="299">
        <v>44550</v>
      </c>
      <c r="AD167" s="299"/>
      <c r="AE167" s="299"/>
      <c r="AF167" s="355"/>
      <c r="AG167" s="299" t="str">
        <f>IFERROR(IF(VLOOKUP(功能_33[[#This Row],[功能代號]],E:Q,11,FALSE)=0,"",VLOOKUP(功能_33[[#This Row],[功能代號]],E:Q,11,FALSE)),"")</f>
        <v>陳政皓</v>
      </c>
      <c r="AH167" s="299"/>
      <c r="AI167" s="299"/>
      <c r="AJ167" s="292"/>
      <c r="AK167" s="299"/>
      <c r="AL167" s="303" t="s">
        <v>610</v>
      </c>
      <c r="AM167" s="304" t="s">
        <v>611</v>
      </c>
      <c r="AN167" s="292" t="e">
        <f>VLOOKUP(功能_33[[#This Row],[功能代號]],需二審tmp!A:A,1,FALSE)</f>
        <v>#N/A</v>
      </c>
      <c r="AO167" s="356">
        <v>44526</v>
      </c>
      <c r="AQ167" s="574" t="str">
        <f t="shared" si="21"/>
        <v>6-7</v>
      </c>
      <c r="AR167" s="576" t="str">
        <f t="shared" si="22"/>
        <v/>
      </c>
      <c r="AS167" s="578" t="str">
        <f t="shared" si="23"/>
        <v/>
      </c>
      <c r="AT167" s="580" t="str">
        <f t="shared" si="24"/>
        <v/>
      </c>
      <c r="AU167" s="582" t="str">
        <f t="shared" si="25"/>
        <v/>
      </c>
      <c r="AV167" s="584" t="str">
        <f t="shared" si="26"/>
        <v/>
      </c>
      <c r="AW167" s="662" t="str">
        <f>IFERROR(VLOOKUP(功能_33[[#This Row],[功能代號]],工作表3!C:C,1,FALSE),"未計SIT測試")</f>
        <v>L6073</v>
      </c>
    </row>
    <row r="168" spans="3:49" ht="13.5" x14ac:dyDescent="0.3">
      <c r="C168" s="292" t="s">
        <v>95</v>
      </c>
      <c r="D168" s="292" t="s">
        <v>2816</v>
      </c>
      <c r="E168" s="291" t="s">
        <v>588</v>
      </c>
      <c r="F168" s="292" t="s">
        <v>589</v>
      </c>
      <c r="G168" s="292"/>
      <c r="H168" s="291" t="s">
        <v>193</v>
      </c>
      <c r="I168" s="291" t="s">
        <v>314</v>
      </c>
      <c r="J168" s="225" t="s">
        <v>3234</v>
      </c>
      <c r="K168" s="299">
        <v>44516</v>
      </c>
      <c r="L168" s="299">
        <v>44467</v>
      </c>
      <c r="M168" s="299">
        <v>44472</v>
      </c>
      <c r="N168" s="291" t="s">
        <v>12</v>
      </c>
      <c r="O168" s="291" t="s">
        <v>567</v>
      </c>
      <c r="T168" s="291"/>
      <c r="V168" s="291"/>
      <c r="W168" s="291"/>
      <c r="X168" s="292" t="str">
        <f>VLOOKUP(功能_33[[#This Row],[User]],SKL放款!A:G,7,FALSE)</f>
        <v>放款審查課</v>
      </c>
      <c r="Y168" s="299">
        <v>44472</v>
      </c>
      <c r="Z168" s="299" t="s">
        <v>133</v>
      </c>
      <c r="AA168" s="282">
        <v>44544</v>
      </c>
      <c r="AB168" s="282">
        <v>44544</v>
      </c>
      <c r="AC168" s="299">
        <v>44550</v>
      </c>
      <c r="AD168" s="299"/>
      <c r="AE168" s="299"/>
      <c r="AF168" s="355"/>
      <c r="AG168" s="299" t="str">
        <f>IFERROR(IF(VLOOKUP(功能_33[[#This Row],[功能代號]],E:Q,11,FALSE)=0,"",VLOOKUP(功能_33[[#This Row],[功能代號]],E:Q,11,FALSE)),"")</f>
        <v>鄧雪美</v>
      </c>
      <c r="AH168" s="299"/>
      <c r="AI168" s="299"/>
      <c r="AJ168" s="292"/>
      <c r="AK168" s="299"/>
      <c r="AL168" s="303" t="s">
        <v>580</v>
      </c>
      <c r="AM168" s="304" t="s">
        <v>581</v>
      </c>
      <c r="AN168" s="292" t="str">
        <f>VLOOKUP(功能_33[[#This Row],[功能代號]],需二審tmp!A:A,1,FALSE)</f>
        <v>L6074</v>
      </c>
      <c r="AO168" s="356">
        <v>44526</v>
      </c>
      <c r="AQ168" s="574" t="str">
        <f t="shared" si="21"/>
        <v>6-7</v>
      </c>
      <c r="AR168" s="576" t="str">
        <f t="shared" si="22"/>
        <v/>
      </c>
      <c r="AS168" s="578" t="str">
        <f t="shared" si="23"/>
        <v/>
      </c>
      <c r="AT168" s="580" t="str">
        <f t="shared" si="24"/>
        <v/>
      </c>
      <c r="AU168" s="582" t="str">
        <f t="shared" si="25"/>
        <v/>
      </c>
      <c r="AV168" s="584" t="str">
        <f t="shared" si="26"/>
        <v/>
      </c>
      <c r="AW168" s="662" t="str">
        <f>IFERROR(VLOOKUP(功能_33[[#This Row],[功能代號]],工作表3!C:C,1,FALSE),"未計SIT測試")</f>
        <v>L6074</v>
      </c>
    </row>
    <row r="169" spans="3:49" ht="13.5" x14ac:dyDescent="0.3">
      <c r="C169" s="292" t="s">
        <v>95</v>
      </c>
      <c r="D169" s="292" t="s">
        <v>2816</v>
      </c>
      <c r="E169" s="291" t="s">
        <v>578</v>
      </c>
      <c r="F169" s="292" t="s">
        <v>579</v>
      </c>
      <c r="G169" s="292"/>
      <c r="H169" s="291" t="s">
        <v>193</v>
      </c>
      <c r="I169" s="291" t="s">
        <v>314</v>
      </c>
      <c r="J169" s="225" t="s">
        <v>3234</v>
      </c>
      <c r="K169" s="299">
        <v>44516</v>
      </c>
      <c r="L169" s="299">
        <v>44467</v>
      </c>
      <c r="M169" s="299">
        <v>44472</v>
      </c>
      <c r="N169" s="291" t="s">
        <v>12</v>
      </c>
      <c r="O169" s="291" t="s">
        <v>567</v>
      </c>
      <c r="T169" s="291"/>
      <c r="V169" s="291"/>
      <c r="W169" s="291"/>
      <c r="X169" s="292" t="str">
        <f>VLOOKUP(功能_33[[#This Row],[User]],SKL放款!A:G,7,FALSE)</f>
        <v>放款審查課</v>
      </c>
      <c r="Y169" s="299">
        <v>44472</v>
      </c>
      <c r="Z169" s="299" t="s">
        <v>133</v>
      </c>
      <c r="AA169" s="282">
        <v>44544</v>
      </c>
      <c r="AB169" s="282">
        <v>44544</v>
      </c>
      <c r="AC169" s="299">
        <v>44550</v>
      </c>
      <c r="AD169" s="299"/>
      <c r="AE169" s="299"/>
      <c r="AF169" s="355"/>
      <c r="AG169" s="299" t="str">
        <f>IFERROR(IF(VLOOKUP(功能_33[[#This Row],[功能代號]],E:Q,11,FALSE)=0,"",VLOOKUP(功能_33[[#This Row],[功能代號]],E:Q,11,FALSE)),"")</f>
        <v>鄧雪美</v>
      </c>
      <c r="AH169" s="299"/>
      <c r="AI169" s="299"/>
      <c r="AJ169" s="292"/>
      <c r="AK169" s="299"/>
      <c r="AL169" s="303" t="s">
        <v>580</v>
      </c>
      <c r="AM169" s="304" t="s">
        <v>581</v>
      </c>
      <c r="AN169" s="292" t="str">
        <f>VLOOKUP(功能_33[[#This Row],[功能代號]],需二審tmp!A:A,1,FALSE)</f>
        <v>L6075</v>
      </c>
      <c r="AO169" s="356">
        <v>44526</v>
      </c>
      <c r="AQ169" s="574" t="str">
        <f t="shared" si="21"/>
        <v>6-7</v>
      </c>
      <c r="AR169" s="576" t="str">
        <f t="shared" si="22"/>
        <v/>
      </c>
      <c r="AS169" s="578" t="str">
        <f t="shared" si="23"/>
        <v/>
      </c>
      <c r="AT169" s="580" t="str">
        <f t="shared" si="24"/>
        <v/>
      </c>
      <c r="AU169" s="582" t="str">
        <f t="shared" si="25"/>
        <v/>
      </c>
      <c r="AV169" s="584" t="str">
        <f t="shared" si="26"/>
        <v/>
      </c>
      <c r="AW169" s="662" t="str">
        <f>IFERROR(VLOOKUP(功能_33[[#This Row],[功能代號]],工作表3!C:C,1,FALSE),"未計SIT測試")</f>
        <v>L6075</v>
      </c>
    </row>
    <row r="170" spans="3:49" ht="13.5" x14ac:dyDescent="0.3">
      <c r="C170" s="292" t="s">
        <v>95</v>
      </c>
      <c r="D170" s="292" t="s">
        <v>2816</v>
      </c>
      <c r="E170" s="291" t="s">
        <v>556</v>
      </c>
      <c r="F170" s="292" t="s">
        <v>557</v>
      </c>
      <c r="G170" s="292"/>
      <c r="H170" s="291" t="s">
        <v>193</v>
      </c>
      <c r="I170" s="291" t="s">
        <v>314</v>
      </c>
      <c r="J170" s="225" t="s">
        <v>3234</v>
      </c>
      <c r="K170" s="299">
        <v>44515</v>
      </c>
      <c r="L170" s="299">
        <v>44466</v>
      </c>
      <c r="M170" s="299">
        <v>44466</v>
      </c>
      <c r="N170" s="291" t="s">
        <v>12</v>
      </c>
      <c r="O170" s="291" t="s">
        <v>11</v>
      </c>
      <c r="T170" s="291"/>
      <c r="V170" s="291"/>
      <c r="W170" s="291"/>
      <c r="X170" s="292" t="str">
        <f>VLOOKUP(功能_33[[#This Row],[User]],SKL放款!A:G,7,FALSE)</f>
        <v>放款服務課</v>
      </c>
      <c r="Y170" s="299">
        <v>44533</v>
      </c>
      <c r="Z170" s="299" t="s">
        <v>195</v>
      </c>
      <c r="AA170" s="299">
        <v>44529</v>
      </c>
      <c r="AB170" s="299">
        <v>44529</v>
      </c>
      <c r="AC170" s="299">
        <v>44550</v>
      </c>
      <c r="AD170" s="299"/>
      <c r="AE170" s="299"/>
      <c r="AF170" s="355"/>
      <c r="AG170" s="299" t="str">
        <f>IFERROR(IF(VLOOKUP(功能_33[[#This Row],[功能代號]],E:Q,11,FALSE)=0,"",VLOOKUP(功能_33[[#This Row],[功能代號]],E:Q,11,FALSE)),"")</f>
        <v>蔡珮瑜</v>
      </c>
      <c r="AH170" s="299"/>
      <c r="AI170" s="299"/>
      <c r="AJ170" s="292"/>
      <c r="AK170" s="299"/>
      <c r="AL170" s="303" t="s">
        <v>558</v>
      </c>
      <c r="AM170" s="304" t="s">
        <v>559</v>
      </c>
      <c r="AN170" s="292" t="e">
        <f>VLOOKUP(功能_33[[#This Row],[功能代號]],需二審tmp!A:A,1,FALSE)</f>
        <v>#N/A</v>
      </c>
      <c r="AO170" s="356">
        <v>44526</v>
      </c>
      <c r="AQ170" s="574" t="str">
        <f t="shared" si="21"/>
        <v>6-7</v>
      </c>
      <c r="AR170" s="576" t="str">
        <f t="shared" si="22"/>
        <v/>
      </c>
      <c r="AS170" s="578" t="str">
        <f t="shared" si="23"/>
        <v/>
      </c>
      <c r="AT170" s="580" t="str">
        <f t="shared" si="24"/>
        <v/>
      </c>
      <c r="AU170" s="582" t="str">
        <f t="shared" si="25"/>
        <v/>
      </c>
      <c r="AV170" s="584" t="str">
        <f t="shared" si="26"/>
        <v/>
      </c>
      <c r="AW170" s="662" t="str">
        <f>IFERROR(VLOOKUP(功能_33[[#This Row],[功能代號]],工作表3!C:C,1,FALSE),"未計SIT測試")</f>
        <v>L6077</v>
      </c>
    </row>
    <row r="171" spans="3:49" ht="13.5" x14ac:dyDescent="0.3">
      <c r="C171" s="292" t="s">
        <v>95</v>
      </c>
      <c r="D171" s="292" t="s">
        <v>2816</v>
      </c>
      <c r="E171" s="291" t="s">
        <v>561</v>
      </c>
      <c r="F171" s="292" t="s">
        <v>562</v>
      </c>
      <c r="G171" s="292"/>
      <c r="H171" s="291" t="s">
        <v>193</v>
      </c>
      <c r="I171" s="291" t="s">
        <v>314</v>
      </c>
      <c r="J171" s="225" t="s">
        <v>3234</v>
      </c>
      <c r="K171" s="299">
        <v>44515</v>
      </c>
      <c r="L171" s="299">
        <v>44466</v>
      </c>
      <c r="M171" s="299">
        <v>44466</v>
      </c>
      <c r="N171" s="291" t="s">
        <v>7</v>
      </c>
      <c r="O171" s="291" t="s">
        <v>11</v>
      </c>
      <c r="T171" s="291"/>
      <c r="V171" s="291"/>
      <c r="W171" s="291"/>
      <c r="X171" s="292" t="str">
        <f>VLOOKUP(功能_33[[#This Row],[User]],SKL放款!A:G,7,FALSE)</f>
        <v>放款服務課</v>
      </c>
      <c r="Y171" s="299">
        <v>44533</v>
      </c>
      <c r="Z171" s="299" t="s">
        <v>195</v>
      </c>
      <c r="AA171" s="299">
        <v>44529</v>
      </c>
      <c r="AB171" s="299">
        <v>44529</v>
      </c>
      <c r="AC171" s="299">
        <v>44550</v>
      </c>
      <c r="AD171" s="299"/>
      <c r="AE171" s="299"/>
      <c r="AF171" s="355"/>
      <c r="AG171" s="299" t="str">
        <f>IFERROR(IF(VLOOKUP(功能_33[[#This Row],[功能代號]],E:Q,11,FALSE)=0,"",VLOOKUP(功能_33[[#This Row],[功能代號]],E:Q,11,FALSE)),"")</f>
        <v>蔡珮瑜</v>
      </c>
      <c r="AH171" s="299"/>
      <c r="AI171" s="299"/>
      <c r="AJ171" s="292"/>
      <c r="AK171" s="299"/>
      <c r="AL171" s="291" t="s">
        <v>190</v>
      </c>
      <c r="AN171" s="292" t="e">
        <f>VLOOKUP(功能_33[[#This Row],[功能代號]],需二審tmp!A:A,1,FALSE)</f>
        <v>#N/A</v>
      </c>
      <c r="AO171" s="356">
        <v>44526</v>
      </c>
      <c r="AQ171" s="574" t="str">
        <f t="shared" si="21"/>
        <v>6-7</v>
      </c>
      <c r="AR171" s="576" t="str">
        <f t="shared" si="22"/>
        <v/>
      </c>
      <c r="AS171" s="578" t="str">
        <f t="shared" si="23"/>
        <v/>
      </c>
      <c r="AT171" s="580" t="str">
        <f t="shared" si="24"/>
        <v/>
      </c>
      <c r="AU171" s="582" t="str">
        <f t="shared" si="25"/>
        <v/>
      </c>
      <c r="AV171" s="584" t="str">
        <f t="shared" si="26"/>
        <v/>
      </c>
      <c r="AW171" s="662" t="str">
        <f>IFERROR(VLOOKUP(功能_33[[#This Row],[功能代號]],工作表3!C:C,1,FALSE),"未計SIT測試")</f>
        <v>L6078</v>
      </c>
    </row>
    <row r="172" spans="3:49" ht="13.5" x14ac:dyDescent="0.3">
      <c r="C172" s="292" t="s">
        <v>95</v>
      </c>
      <c r="D172" s="292" t="s">
        <v>2816</v>
      </c>
      <c r="E172" s="291" t="s">
        <v>614</v>
      </c>
      <c r="F172" s="292" t="s">
        <v>615</v>
      </c>
      <c r="G172" s="292"/>
      <c r="H172" s="291" t="s">
        <v>193</v>
      </c>
      <c r="I172" s="291" t="s">
        <v>314</v>
      </c>
      <c r="J172" s="225" t="s">
        <v>3234</v>
      </c>
      <c r="K172" s="299">
        <v>44516</v>
      </c>
      <c r="L172" s="299">
        <v>44467</v>
      </c>
      <c r="M172" s="299">
        <v>44467</v>
      </c>
      <c r="N172" s="291" t="s">
        <v>12</v>
      </c>
      <c r="O172" s="291" t="s">
        <v>172</v>
      </c>
      <c r="T172" s="291"/>
      <c r="V172" s="291"/>
      <c r="W172" s="291"/>
      <c r="X172" s="292" t="str">
        <f>VLOOKUP(功能_33[[#This Row],[User]],SKL放款!A:G,7,FALSE)</f>
        <v>放款服務課</v>
      </c>
      <c r="Y172" s="299">
        <v>44533</v>
      </c>
      <c r="Z172" s="299" t="s">
        <v>195</v>
      </c>
      <c r="AA172" s="299">
        <v>44529</v>
      </c>
      <c r="AB172" s="299">
        <v>44529</v>
      </c>
      <c r="AC172" s="299">
        <v>44550</v>
      </c>
      <c r="AD172" s="299"/>
      <c r="AE172" s="299"/>
      <c r="AF172" s="355"/>
      <c r="AG172" s="299" t="str">
        <f>IFERROR(IF(VLOOKUP(功能_33[[#This Row],[功能代號]],E:Q,11,FALSE)=0,"",VLOOKUP(功能_33[[#This Row],[功能代號]],E:Q,11,FALSE)),"")</f>
        <v>陳政皓</v>
      </c>
      <c r="AH172" s="299"/>
      <c r="AI172" s="299"/>
      <c r="AJ172" s="292"/>
      <c r="AK172" s="299"/>
      <c r="AL172" s="303" t="s">
        <v>616</v>
      </c>
      <c r="AM172" s="304" t="s">
        <v>617</v>
      </c>
      <c r="AN172" s="292" t="e">
        <f>VLOOKUP(功能_33[[#This Row],[功能代號]],需二審tmp!A:A,1,FALSE)</f>
        <v>#N/A</v>
      </c>
      <c r="AO172" s="356">
        <v>44526</v>
      </c>
      <c r="AQ172" s="574" t="str">
        <f t="shared" si="21"/>
        <v>6-7</v>
      </c>
      <c r="AR172" s="576" t="str">
        <f t="shared" si="22"/>
        <v/>
      </c>
      <c r="AS172" s="578" t="str">
        <f t="shared" si="23"/>
        <v/>
      </c>
      <c r="AT172" s="580" t="str">
        <f t="shared" si="24"/>
        <v/>
      </c>
      <c r="AU172" s="582" t="str">
        <f t="shared" si="25"/>
        <v/>
      </c>
      <c r="AV172" s="584" t="str">
        <f t="shared" si="26"/>
        <v/>
      </c>
      <c r="AW172" s="662" t="str">
        <f>IFERROR(VLOOKUP(功能_33[[#This Row],[功能代號]],工作表3!C:C,1,FALSE),"未計SIT測試")</f>
        <v>L6079</v>
      </c>
    </row>
    <row r="173" spans="3:49" ht="13.5" x14ac:dyDescent="0.3">
      <c r="C173" s="292" t="s">
        <v>95</v>
      </c>
      <c r="D173" s="498" t="s">
        <v>2816</v>
      </c>
      <c r="E173" s="291" t="s">
        <v>1046</v>
      </c>
      <c r="F173" s="292" t="s">
        <v>1047</v>
      </c>
      <c r="G173" s="292"/>
      <c r="H173" s="291" t="s">
        <v>193</v>
      </c>
      <c r="I173" s="291" t="s">
        <v>314</v>
      </c>
      <c r="J173" s="225" t="s">
        <v>3234</v>
      </c>
      <c r="K173" s="299">
        <v>44397</v>
      </c>
      <c r="L173" s="299">
        <v>44397</v>
      </c>
      <c r="M173" s="299">
        <v>44398</v>
      </c>
      <c r="N173" s="291" t="s">
        <v>8</v>
      </c>
      <c r="O173" s="291" t="s">
        <v>535</v>
      </c>
      <c r="T173" s="291"/>
      <c r="V173" s="291"/>
      <c r="W173" s="291"/>
      <c r="X173" s="292" t="str">
        <f>VLOOKUP(功能_33[[#This Row],[User]],SKL放款!A:G,7,FALSE)</f>
        <v>放款推展課</v>
      </c>
      <c r="Y173" s="299">
        <v>44533</v>
      </c>
      <c r="Z173" s="299" t="s">
        <v>195</v>
      </c>
      <c r="AA173" s="299">
        <v>44397</v>
      </c>
      <c r="AB173" s="299">
        <v>44397</v>
      </c>
      <c r="AC173" s="299">
        <v>44550</v>
      </c>
      <c r="AD173" s="299"/>
      <c r="AE173" s="299"/>
      <c r="AF173" s="355"/>
      <c r="AG173" s="299" t="str">
        <f>IFERROR(IF(VLOOKUP(功能_33[[#This Row],[功能代號]],E:Q,11,FALSE)=0,"",VLOOKUP(功能_33[[#This Row],[功能代號]],E:Q,11,FALSE)),"")</f>
        <v>張淑遠</v>
      </c>
      <c r="AH173" s="299"/>
      <c r="AI173" s="299"/>
      <c r="AJ173" s="292"/>
      <c r="AK173" s="299">
        <v>44397</v>
      </c>
      <c r="AL173" s="291" t="s">
        <v>190</v>
      </c>
      <c r="AN173" s="292" t="e">
        <f>VLOOKUP(功能_33[[#This Row],[功能代號]],需二審tmp!A:A,1,FALSE)</f>
        <v>#N/A</v>
      </c>
      <c r="AO173" s="356">
        <v>44526</v>
      </c>
      <c r="AQ173" s="574" t="str">
        <f t="shared" si="21"/>
        <v>6-7</v>
      </c>
      <c r="AR173" s="576" t="str">
        <f t="shared" si="22"/>
        <v/>
      </c>
      <c r="AS173" s="578" t="str">
        <f t="shared" si="23"/>
        <v/>
      </c>
      <c r="AT173" s="580" t="str">
        <f t="shared" si="24"/>
        <v/>
      </c>
      <c r="AU173" s="582" t="str">
        <f t="shared" si="25"/>
        <v/>
      </c>
      <c r="AV173" s="584" t="str">
        <f t="shared" si="26"/>
        <v/>
      </c>
      <c r="AW173" s="662" t="str">
        <f>IFERROR(VLOOKUP(功能_33[[#This Row],[功能代號]],工作表3!C:C,1,FALSE),"未計SIT測試")</f>
        <v>L6081</v>
      </c>
    </row>
    <row r="174" spans="3:49" ht="13.5" x14ac:dyDescent="0.3">
      <c r="C174" s="292" t="s">
        <v>95</v>
      </c>
      <c r="D174" s="292" t="s">
        <v>2816</v>
      </c>
      <c r="E174" s="291" t="s">
        <v>1010</v>
      </c>
      <c r="F174" s="292" t="s">
        <v>1011</v>
      </c>
      <c r="G174" s="292"/>
      <c r="H174" s="291" t="s">
        <v>193</v>
      </c>
      <c r="I174" s="291" t="s">
        <v>314</v>
      </c>
      <c r="J174" s="225" t="s">
        <v>3234</v>
      </c>
      <c r="K174" s="299">
        <v>44396</v>
      </c>
      <c r="L174" s="299">
        <v>44396</v>
      </c>
      <c r="M174" s="299">
        <v>44402</v>
      </c>
      <c r="N174" s="291" t="s">
        <v>12</v>
      </c>
      <c r="O174" s="270" t="s">
        <v>3168</v>
      </c>
      <c r="Q174" s="291">
        <v>1</v>
      </c>
      <c r="R174" s="291" t="s">
        <v>1012</v>
      </c>
      <c r="T174" s="291"/>
      <c r="V174" s="291"/>
      <c r="W174" s="291"/>
      <c r="X174" s="292" t="e">
        <f>VLOOKUP(功能_33[[#This Row],[User]],SKL放款!A:G,7,FALSE)</f>
        <v>#N/A</v>
      </c>
      <c r="Y174" s="299">
        <v>44402</v>
      </c>
      <c r="Z174" s="299" t="s">
        <v>133</v>
      </c>
      <c r="AA174" s="282">
        <v>44550</v>
      </c>
      <c r="AB174" s="299">
        <v>44550</v>
      </c>
      <c r="AC174" s="299">
        <v>44550</v>
      </c>
      <c r="AD174" s="299"/>
      <c r="AE174" s="299"/>
      <c r="AF174" s="355"/>
      <c r="AG174" s="299" t="str">
        <f>IFERROR(IF(VLOOKUP(功能_33[[#This Row],[功能代號]],E:Q,11,FALSE)=0,"",VLOOKUP(功能_33[[#This Row],[功能代號]],E:Q,11,FALSE)),"")</f>
        <v>李珮君(張淑遠)</v>
      </c>
      <c r="AH174" s="299"/>
      <c r="AI174" s="299"/>
      <c r="AJ174" s="292"/>
      <c r="AK174" s="299">
        <v>44396</v>
      </c>
      <c r="AL174" s="303" t="s">
        <v>1013</v>
      </c>
      <c r="AM174" s="304" t="s">
        <v>1014</v>
      </c>
      <c r="AN174" s="292" t="str">
        <f>VLOOKUP(功能_33[[#This Row],[功能代號]],需二審tmp!A:A,1,FALSE)</f>
        <v>L6082</v>
      </c>
      <c r="AO174" s="356">
        <v>44526</v>
      </c>
      <c r="AQ174" s="574" t="str">
        <f t="shared" si="21"/>
        <v>6-7</v>
      </c>
      <c r="AR174" s="576" t="str">
        <f t="shared" si="22"/>
        <v/>
      </c>
      <c r="AS174" s="578" t="str">
        <f t="shared" si="23"/>
        <v/>
      </c>
      <c r="AT174" s="580" t="str">
        <f t="shared" si="24"/>
        <v/>
      </c>
      <c r="AU174" s="582" t="str">
        <f t="shared" si="25"/>
        <v/>
      </c>
      <c r="AV174" s="584" t="str">
        <f t="shared" si="26"/>
        <v/>
      </c>
      <c r="AW174" s="662" t="str">
        <f>IFERROR(VLOOKUP(功能_33[[#This Row],[功能代號]],工作表3!C:C,1,FALSE),"未計SIT測試")</f>
        <v>L6082</v>
      </c>
    </row>
    <row r="175" spans="3:49" ht="13.5" x14ac:dyDescent="0.3">
      <c r="C175" s="292" t="s">
        <v>95</v>
      </c>
      <c r="D175" s="498" t="s">
        <v>2816</v>
      </c>
      <c r="E175" s="291" t="s">
        <v>1038</v>
      </c>
      <c r="F175" s="292" t="s">
        <v>1039</v>
      </c>
      <c r="G175" s="292"/>
      <c r="H175" s="291" t="s">
        <v>193</v>
      </c>
      <c r="I175" s="291" t="s">
        <v>314</v>
      </c>
      <c r="J175" s="225" t="s">
        <v>3234</v>
      </c>
      <c r="K175" s="299">
        <v>44398</v>
      </c>
      <c r="L175" s="299">
        <v>44398</v>
      </c>
      <c r="M175" s="299">
        <v>44402</v>
      </c>
      <c r="N175" s="291" t="s">
        <v>12</v>
      </c>
      <c r="O175" s="291" t="s">
        <v>535</v>
      </c>
      <c r="T175" s="291"/>
      <c r="V175" s="291"/>
      <c r="W175" s="291"/>
      <c r="X175" s="292" t="str">
        <f>VLOOKUP(功能_33[[#This Row],[User]],SKL放款!A:G,7,FALSE)</f>
        <v>放款推展課</v>
      </c>
      <c r="Y175" s="299">
        <v>44402</v>
      </c>
      <c r="Z175" s="299" t="s">
        <v>195</v>
      </c>
      <c r="AA175" s="299">
        <v>44398</v>
      </c>
      <c r="AB175" s="299">
        <v>44398</v>
      </c>
      <c r="AC175" s="299">
        <v>44550</v>
      </c>
      <c r="AD175" s="299"/>
      <c r="AE175" s="299"/>
      <c r="AF175" s="355"/>
      <c r="AG175" s="299" t="str">
        <f>IFERROR(IF(VLOOKUP(功能_33[[#This Row],[功能代號]],E:Q,11,FALSE)=0,"",VLOOKUP(功能_33[[#This Row],[功能代號]],E:Q,11,FALSE)),"")</f>
        <v>張淑遠</v>
      </c>
      <c r="AH175" s="299"/>
      <c r="AI175" s="299"/>
      <c r="AJ175" s="292"/>
      <c r="AK175" s="299">
        <v>44398</v>
      </c>
      <c r="AL175" s="291" t="s">
        <v>190</v>
      </c>
      <c r="AN175" s="292" t="e">
        <f>VLOOKUP(功能_33[[#This Row],[功能代號]],需二審tmp!A:A,1,FALSE)</f>
        <v>#N/A</v>
      </c>
      <c r="AO175" s="356">
        <v>44526</v>
      </c>
      <c r="AQ175" s="574" t="str">
        <f t="shared" si="21"/>
        <v>6-7</v>
      </c>
      <c r="AR175" s="576" t="str">
        <f t="shared" si="22"/>
        <v/>
      </c>
      <c r="AS175" s="578" t="str">
        <f t="shared" si="23"/>
        <v/>
      </c>
      <c r="AT175" s="580" t="str">
        <f t="shared" si="24"/>
        <v/>
      </c>
      <c r="AU175" s="582" t="str">
        <f t="shared" si="25"/>
        <v/>
      </c>
      <c r="AV175" s="584" t="str">
        <f t="shared" si="26"/>
        <v/>
      </c>
      <c r="AW175" s="662" t="str">
        <f>IFERROR(VLOOKUP(功能_33[[#This Row],[功能代號]],工作表3!C:C,1,FALSE),"未計SIT測試")</f>
        <v>L6084</v>
      </c>
    </row>
    <row r="176" spans="3:49" ht="13.5" x14ac:dyDescent="0.3">
      <c r="C176" s="292" t="s">
        <v>95</v>
      </c>
      <c r="D176" s="292" t="s">
        <v>2816</v>
      </c>
      <c r="E176" s="291" t="s">
        <v>533</v>
      </c>
      <c r="F176" s="292" t="s">
        <v>534</v>
      </c>
      <c r="G176" s="292"/>
      <c r="H176" s="291" t="s">
        <v>193</v>
      </c>
      <c r="I176" s="291" t="s">
        <v>314</v>
      </c>
      <c r="J176" s="225" t="s">
        <v>3234</v>
      </c>
      <c r="K176" s="299">
        <v>44515</v>
      </c>
      <c r="L176" s="299">
        <v>44466</v>
      </c>
      <c r="M176" s="299">
        <f>IFERROR(IF(VLOOKUP(功能_33[[#This Row],[功能代號]],討論項目!A:H,8,FALSE)=0,"",VLOOKUP(功能_33[[#This Row],[功能代號]],討論項目!A:H,8,FALSE)),"")</f>
        <v>44475</v>
      </c>
      <c r="N176" s="291" t="s">
        <v>12</v>
      </c>
      <c r="O176" s="291" t="s">
        <v>13</v>
      </c>
      <c r="P176" s="270" t="s">
        <v>535</v>
      </c>
      <c r="T176" s="291"/>
      <c r="V176" s="291"/>
      <c r="W176" s="291"/>
      <c r="X176" s="292" t="str">
        <f>VLOOKUP(功能_33[[#This Row],[User]],SKL放款!A:G,7,FALSE)</f>
        <v>放款推展課</v>
      </c>
      <c r="Y176" s="299">
        <v>44533</v>
      </c>
      <c r="Z176" s="299">
        <v>44533</v>
      </c>
      <c r="AA176" s="299">
        <v>44533</v>
      </c>
      <c r="AB176" s="299">
        <v>44533</v>
      </c>
      <c r="AC176" s="299">
        <v>44550</v>
      </c>
      <c r="AD176" s="299"/>
      <c r="AE176" s="299"/>
      <c r="AF176" s="355"/>
      <c r="AG176" s="299" t="str">
        <f>IFERROR(IF(VLOOKUP(功能_33[[#This Row],[功能代號]],E:Q,11,FALSE)=0,"",VLOOKUP(功能_33[[#This Row],[功能代號]],E:Q,11,FALSE)),"")</f>
        <v>李珮君</v>
      </c>
      <c r="AH176" s="299"/>
      <c r="AI176" s="299"/>
      <c r="AJ176" s="292"/>
      <c r="AK176" s="299"/>
      <c r="AL176" s="303" t="s">
        <v>536</v>
      </c>
      <c r="AM176" s="304" t="s">
        <v>537</v>
      </c>
      <c r="AN176" s="292" t="str">
        <f>VLOOKUP(功能_33[[#This Row],[功能代號]],需二審tmp!A:A,1,FALSE)</f>
        <v>L6085</v>
      </c>
      <c r="AO176" s="356">
        <v>44526</v>
      </c>
      <c r="AQ176" s="574" t="str">
        <f t="shared" si="21"/>
        <v>6-7</v>
      </c>
      <c r="AR176" s="576" t="str">
        <f t="shared" si="22"/>
        <v/>
      </c>
      <c r="AS176" s="578" t="str">
        <f t="shared" si="23"/>
        <v/>
      </c>
      <c r="AT176" s="580" t="str">
        <f t="shared" si="24"/>
        <v/>
      </c>
      <c r="AU176" s="582" t="str">
        <f t="shared" si="25"/>
        <v/>
      </c>
      <c r="AV176" s="584" t="str">
        <f t="shared" si="26"/>
        <v/>
      </c>
      <c r="AW176" s="662" t="str">
        <f>IFERROR(VLOOKUP(功能_33[[#This Row],[功能代號]],工作表3!C:C,1,FALSE),"未計SIT測試")</f>
        <v>L6085</v>
      </c>
    </row>
    <row r="177" spans="1:49" ht="13.5" x14ac:dyDescent="0.3">
      <c r="C177" s="292" t="s">
        <v>95</v>
      </c>
      <c r="D177" s="292" t="s">
        <v>2816</v>
      </c>
      <c r="E177" s="291" t="s">
        <v>540</v>
      </c>
      <c r="F177" s="292" t="s">
        <v>541</v>
      </c>
      <c r="G177" s="292"/>
      <c r="H177" s="291" t="s">
        <v>193</v>
      </c>
      <c r="I177" s="291" t="s">
        <v>314</v>
      </c>
      <c r="J177" s="225" t="s">
        <v>3234</v>
      </c>
      <c r="K177" s="299">
        <v>44515</v>
      </c>
      <c r="L177" s="299">
        <v>44466</v>
      </c>
      <c r="M177" s="299">
        <f>IFERROR(IF(VLOOKUP(功能_33[[#This Row],[功能代號]],討論項目!A:H,8,FALSE)=0,"",VLOOKUP(功能_33[[#This Row],[功能代號]],討論項目!A:H,8,FALSE)),"")</f>
        <v>44475</v>
      </c>
      <c r="N177" s="291" t="s">
        <v>12</v>
      </c>
      <c r="O177" s="291" t="s">
        <v>13</v>
      </c>
      <c r="P177" s="270" t="s">
        <v>535</v>
      </c>
      <c r="T177" s="291"/>
      <c r="V177" s="291"/>
      <c r="W177" s="291"/>
      <c r="X177" s="292" t="str">
        <f>VLOOKUP(功能_33[[#This Row],[User]],SKL放款!A:G,7,FALSE)</f>
        <v>放款推展課</v>
      </c>
      <c r="Y177" s="299">
        <v>44533</v>
      </c>
      <c r="Z177" s="299">
        <v>44533</v>
      </c>
      <c r="AA177" s="299">
        <v>44533</v>
      </c>
      <c r="AB177" s="299">
        <v>44533</v>
      </c>
      <c r="AC177" s="299">
        <v>44550</v>
      </c>
      <c r="AD177" s="299"/>
      <c r="AE177" s="299"/>
      <c r="AF177" s="355"/>
      <c r="AG177" s="299" t="str">
        <f>IFERROR(IF(VLOOKUP(功能_33[[#This Row],[功能代號]],E:Q,11,FALSE)=0,"",VLOOKUP(功能_33[[#This Row],[功能代號]],E:Q,11,FALSE)),"")</f>
        <v>李珮君</v>
      </c>
      <c r="AH177" s="299"/>
      <c r="AI177" s="299"/>
      <c r="AJ177" s="292"/>
      <c r="AK177" s="299"/>
      <c r="AL177" s="291" t="s">
        <v>190</v>
      </c>
      <c r="AN177" s="292" t="str">
        <f>VLOOKUP(功能_33[[#This Row],[功能代號]],需二審tmp!A:A,1,FALSE)</f>
        <v>L6086</v>
      </c>
      <c r="AO177" s="356">
        <v>44526</v>
      </c>
      <c r="AQ177" s="574" t="str">
        <f t="shared" si="21"/>
        <v>6-7</v>
      </c>
      <c r="AR177" s="576" t="str">
        <f t="shared" si="22"/>
        <v/>
      </c>
      <c r="AS177" s="578" t="str">
        <f t="shared" si="23"/>
        <v/>
      </c>
      <c r="AT177" s="580" t="str">
        <f t="shared" si="24"/>
        <v/>
      </c>
      <c r="AU177" s="582" t="str">
        <f t="shared" si="25"/>
        <v/>
      </c>
      <c r="AV177" s="584" t="str">
        <f t="shared" si="26"/>
        <v/>
      </c>
      <c r="AW177" s="662" t="str">
        <f>IFERROR(VLOOKUP(功能_33[[#This Row],[功能代號]],工作表3!C:C,1,FALSE),"未計SIT測試")</f>
        <v>L6086</v>
      </c>
    </row>
    <row r="178" spans="1:49" ht="13.5" x14ac:dyDescent="0.3">
      <c r="C178" s="292" t="s">
        <v>95</v>
      </c>
      <c r="D178" s="292" t="s">
        <v>2815</v>
      </c>
      <c r="E178" s="291" t="s">
        <v>554</v>
      </c>
      <c r="F178" s="292" t="s">
        <v>555</v>
      </c>
      <c r="G178" s="292"/>
      <c r="H178" s="291" t="s">
        <v>193</v>
      </c>
      <c r="I178" s="291" t="s">
        <v>314</v>
      </c>
      <c r="J178" s="225" t="s">
        <v>3234</v>
      </c>
      <c r="K178" s="299">
        <v>44515</v>
      </c>
      <c r="L178" s="299">
        <v>44466</v>
      </c>
      <c r="M178" s="299">
        <v>44466</v>
      </c>
      <c r="N178" s="291" t="s">
        <v>12</v>
      </c>
      <c r="O178" s="291" t="s">
        <v>11</v>
      </c>
      <c r="T178" s="291"/>
      <c r="V178" s="291"/>
      <c r="W178" s="291"/>
      <c r="X178" s="292" t="str">
        <f>VLOOKUP(功能_33[[#This Row],[User]],SKL放款!A:G,7,FALSE)</f>
        <v>放款服務課</v>
      </c>
      <c r="Y178" s="299">
        <v>44533</v>
      </c>
      <c r="Z178" s="299" t="s">
        <v>195</v>
      </c>
      <c r="AA178" s="299">
        <v>44529</v>
      </c>
      <c r="AB178" s="299">
        <v>44529</v>
      </c>
      <c r="AC178" s="299">
        <v>44550</v>
      </c>
      <c r="AD178" s="299"/>
      <c r="AE178" s="299"/>
      <c r="AF178" s="355"/>
      <c r="AG178" s="299" t="str">
        <f>IFERROR(IF(VLOOKUP(功能_33[[#This Row],[功能代號]],E:Q,11,FALSE)=0,"",VLOOKUP(功能_33[[#This Row],[功能代號]],E:Q,11,FALSE)),"")</f>
        <v>蔡珮瑜</v>
      </c>
      <c r="AH178" s="299"/>
      <c r="AI178" s="299"/>
      <c r="AJ178" s="292"/>
      <c r="AK178" s="299"/>
      <c r="AL178" s="303" t="s">
        <v>552</v>
      </c>
      <c r="AM178" s="304" t="s">
        <v>553</v>
      </c>
      <c r="AN178" s="292" t="e">
        <f>VLOOKUP(功能_33[[#This Row],[功能代號]],需二審tmp!A:A,1,FALSE)</f>
        <v>#N/A</v>
      </c>
      <c r="AO178" s="356">
        <v>44526</v>
      </c>
      <c r="AQ178" s="574" t="str">
        <f t="shared" si="21"/>
        <v>6-6</v>
      </c>
      <c r="AR178" s="576" t="str">
        <f t="shared" si="22"/>
        <v/>
      </c>
      <c r="AS178" s="578" t="str">
        <f t="shared" si="23"/>
        <v/>
      </c>
      <c r="AT178" s="580" t="str">
        <f t="shared" si="24"/>
        <v/>
      </c>
      <c r="AU178" s="582" t="str">
        <f t="shared" si="25"/>
        <v/>
      </c>
      <c r="AV178" s="584" t="str">
        <f t="shared" si="26"/>
        <v/>
      </c>
      <c r="AW178" s="662" t="str">
        <f>IFERROR(VLOOKUP(功能_33[[#This Row],[功能代號]],工作表3!C:C,1,FALSE),"未計SIT測試")</f>
        <v>L6601</v>
      </c>
    </row>
    <row r="179" spans="1:49" ht="13.5" x14ac:dyDescent="0.3">
      <c r="C179" s="292" t="s">
        <v>95</v>
      </c>
      <c r="D179" s="292" t="s">
        <v>2815</v>
      </c>
      <c r="E179" s="291" t="s">
        <v>587</v>
      </c>
      <c r="F179" s="292" t="s">
        <v>586</v>
      </c>
      <c r="G179" s="292"/>
      <c r="H179" s="291" t="s">
        <v>193</v>
      </c>
      <c r="I179" s="291" t="s">
        <v>314</v>
      </c>
      <c r="J179" s="225" t="s">
        <v>3234</v>
      </c>
      <c r="K179" s="299">
        <v>44516</v>
      </c>
      <c r="L179" s="299">
        <v>44467</v>
      </c>
      <c r="M179" s="299">
        <v>44467</v>
      </c>
      <c r="N179" s="291" t="s">
        <v>12</v>
      </c>
      <c r="O179" s="291" t="s">
        <v>567</v>
      </c>
      <c r="T179" s="291"/>
      <c r="V179" s="291"/>
      <c r="W179" s="291"/>
      <c r="X179" s="292" t="str">
        <f>VLOOKUP(功能_33[[#This Row],[User]],SKL放款!A:G,7,FALSE)</f>
        <v>放款審查課</v>
      </c>
      <c r="Y179" s="299">
        <v>44533</v>
      </c>
      <c r="Z179" s="299" t="s">
        <v>195</v>
      </c>
      <c r="AA179" s="299">
        <v>44467</v>
      </c>
      <c r="AB179" s="299">
        <v>44467</v>
      </c>
      <c r="AC179" s="299">
        <v>44550</v>
      </c>
      <c r="AD179" s="299"/>
      <c r="AE179" s="299"/>
      <c r="AF179" s="355"/>
      <c r="AG179" s="299" t="str">
        <f>IFERROR(IF(VLOOKUP(功能_33[[#This Row],[功能代號]],E:Q,11,FALSE)=0,"",VLOOKUP(功能_33[[#This Row],[功能代號]],E:Q,11,FALSE)),"")</f>
        <v>鄧雪美</v>
      </c>
      <c r="AH179" s="299"/>
      <c r="AI179" s="299"/>
      <c r="AJ179" s="292"/>
      <c r="AK179" s="299"/>
      <c r="AL179" s="303" t="s">
        <v>585</v>
      </c>
      <c r="AM179" s="304" t="s">
        <v>586</v>
      </c>
      <c r="AN179" s="292" t="e">
        <f>VLOOKUP(功能_33[[#This Row],[功能代號]],需二審tmp!A:A,1,FALSE)</f>
        <v>#N/A</v>
      </c>
      <c r="AO179" s="356">
        <v>44526</v>
      </c>
      <c r="AQ179" s="574" t="str">
        <f t="shared" si="21"/>
        <v>6-6</v>
      </c>
      <c r="AR179" s="576" t="str">
        <f t="shared" si="22"/>
        <v/>
      </c>
      <c r="AS179" s="578" t="str">
        <f t="shared" si="23"/>
        <v/>
      </c>
      <c r="AT179" s="580" t="str">
        <f t="shared" si="24"/>
        <v/>
      </c>
      <c r="AU179" s="582" t="str">
        <f t="shared" si="25"/>
        <v/>
      </c>
      <c r="AV179" s="584" t="str">
        <f t="shared" si="26"/>
        <v/>
      </c>
      <c r="AW179" s="662" t="str">
        <f>IFERROR(VLOOKUP(功能_33[[#This Row],[功能代號]],工作表3!C:C,1,FALSE),"未計SIT測試")</f>
        <v>L6602</v>
      </c>
    </row>
    <row r="180" spans="1:49" ht="13.5" x14ac:dyDescent="0.3">
      <c r="C180" s="292" t="s">
        <v>95</v>
      </c>
      <c r="D180" s="292" t="s">
        <v>2815</v>
      </c>
      <c r="E180" s="291" t="s">
        <v>570</v>
      </c>
      <c r="F180" s="292" t="s">
        <v>571</v>
      </c>
      <c r="G180" s="292"/>
      <c r="H180" s="291" t="s">
        <v>193</v>
      </c>
      <c r="I180" s="291" t="s">
        <v>314</v>
      </c>
      <c r="J180" s="225" t="s">
        <v>3234</v>
      </c>
      <c r="K180" s="299">
        <v>44516</v>
      </c>
      <c r="L180" s="299">
        <v>44467</v>
      </c>
      <c r="M180" s="299">
        <v>44467</v>
      </c>
      <c r="N180" s="291" t="s">
        <v>12</v>
      </c>
      <c r="O180" s="291" t="s">
        <v>567</v>
      </c>
      <c r="T180" s="291"/>
      <c r="V180" s="291"/>
      <c r="W180" s="291"/>
      <c r="X180" s="292" t="str">
        <f>VLOOKUP(功能_33[[#This Row],[User]],SKL放款!A:G,7,FALSE)</f>
        <v>放款審查課</v>
      </c>
      <c r="Y180" s="299">
        <v>44533</v>
      </c>
      <c r="Z180" s="299" t="s">
        <v>195</v>
      </c>
      <c r="AA180" s="299">
        <v>44467</v>
      </c>
      <c r="AB180" s="299">
        <v>44467</v>
      </c>
      <c r="AC180" s="299">
        <v>44550</v>
      </c>
      <c r="AD180" s="299"/>
      <c r="AE180" s="299"/>
      <c r="AF180" s="355"/>
      <c r="AG180" s="299" t="str">
        <f>IFERROR(IF(VLOOKUP(功能_33[[#This Row],[功能代號]],E:Q,11,FALSE)=0,"",VLOOKUP(功能_33[[#This Row],[功能代號]],E:Q,11,FALSE)),"")</f>
        <v>鄧雪美</v>
      </c>
      <c r="AH180" s="299"/>
      <c r="AI180" s="299"/>
      <c r="AJ180" s="292"/>
      <c r="AK180" s="299"/>
      <c r="AL180" s="303" t="s">
        <v>568</v>
      </c>
      <c r="AM180" s="304" t="s">
        <v>569</v>
      </c>
      <c r="AN180" s="292" t="e">
        <f>VLOOKUP(功能_33[[#This Row],[功能代號]],需二審tmp!A:A,1,FALSE)</f>
        <v>#N/A</v>
      </c>
      <c r="AO180" s="356">
        <v>44526</v>
      </c>
      <c r="AQ180" s="574" t="str">
        <f t="shared" si="21"/>
        <v>6-6</v>
      </c>
      <c r="AR180" s="576" t="str">
        <f t="shared" si="22"/>
        <v/>
      </c>
      <c r="AS180" s="578" t="str">
        <f t="shared" si="23"/>
        <v/>
      </c>
      <c r="AT180" s="580" t="str">
        <f t="shared" si="24"/>
        <v/>
      </c>
      <c r="AU180" s="582" t="str">
        <f t="shared" si="25"/>
        <v/>
      </c>
      <c r="AV180" s="584" t="str">
        <f t="shared" si="26"/>
        <v/>
      </c>
      <c r="AW180" s="662" t="str">
        <f>IFERROR(VLOOKUP(功能_33[[#This Row],[功能代號]],工作表3!C:C,1,FALSE),"未計SIT測試")</f>
        <v>L6603</v>
      </c>
    </row>
    <row r="181" spans="1:49" ht="13.5" x14ac:dyDescent="0.3">
      <c r="C181" s="292" t="s">
        <v>95</v>
      </c>
      <c r="D181" s="292" t="s">
        <v>2815</v>
      </c>
      <c r="E181" s="291" t="s">
        <v>548</v>
      </c>
      <c r="F181" s="292" t="s">
        <v>549</v>
      </c>
      <c r="G181" s="292"/>
      <c r="H181" s="291" t="s">
        <v>193</v>
      </c>
      <c r="I181" s="291" t="s">
        <v>314</v>
      </c>
      <c r="J181" s="225" t="s">
        <v>3234</v>
      </c>
      <c r="K181" s="299">
        <v>44515</v>
      </c>
      <c r="L181" s="299">
        <v>44466</v>
      </c>
      <c r="M181" s="299">
        <v>44472</v>
      </c>
      <c r="N181" s="291" t="s">
        <v>8</v>
      </c>
      <c r="O181" s="291" t="s">
        <v>172</v>
      </c>
      <c r="T181" s="291"/>
      <c r="V181" s="291"/>
      <c r="W181" s="291"/>
      <c r="X181" s="292" t="str">
        <f>VLOOKUP(功能_33[[#This Row],[User]],SKL放款!A:G,7,FALSE)</f>
        <v>放款服務課</v>
      </c>
      <c r="Y181" s="299">
        <v>44472</v>
      </c>
      <c r="Z181" s="299" t="s">
        <v>133</v>
      </c>
      <c r="AA181" s="282">
        <v>44544</v>
      </c>
      <c r="AB181" s="282">
        <v>44544</v>
      </c>
      <c r="AC181" s="299">
        <v>44550</v>
      </c>
      <c r="AD181" s="299"/>
      <c r="AE181" s="299"/>
      <c r="AF181" s="355"/>
      <c r="AG181" s="299" t="str">
        <f>IFERROR(IF(VLOOKUP(功能_33[[#This Row],[功能代號]],E:Q,11,FALSE)=0,"",VLOOKUP(功能_33[[#This Row],[功能代號]],E:Q,11,FALSE)),"")</f>
        <v>陳政皓</v>
      </c>
      <c r="AH181" s="299"/>
      <c r="AI181" s="299"/>
      <c r="AJ181" s="292"/>
      <c r="AK181" s="299"/>
      <c r="AL181" s="291" t="s">
        <v>190</v>
      </c>
      <c r="AN181" s="292" t="str">
        <f>VLOOKUP(功能_33[[#This Row],[功能代號]],需二審tmp!A:A,1,FALSE)</f>
        <v>L6604</v>
      </c>
      <c r="AO181" s="356">
        <v>44526</v>
      </c>
      <c r="AQ181" s="574" t="str">
        <f t="shared" si="21"/>
        <v>6-6</v>
      </c>
      <c r="AR181" s="576" t="str">
        <f t="shared" si="22"/>
        <v/>
      </c>
      <c r="AS181" s="578" t="str">
        <f t="shared" si="23"/>
        <v/>
      </c>
      <c r="AT181" s="580" t="str">
        <f t="shared" si="24"/>
        <v/>
      </c>
      <c r="AU181" s="582" t="str">
        <f t="shared" si="25"/>
        <v/>
      </c>
      <c r="AV181" s="584" t="str">
        <f t="shared" si="26"/>
        <v/>
      </c>
      <c r="AW181" s="662" t="str">
        <f>IFERROR(VLOOKUP(功能_33[[#This Row],[功能代號]],工作表3!C:C,1,FALSE),"未計SIT測試")</f>
        <v>L6604</v>
      </c>
    </row>
    <row r="182" spans="1:49" ht="13.5" x14ac:dyDescent="0.3">
      <c r="C182" s="292" t="s">
        <v>95</v>
      </c>
      <c r="D182" s="292" t="s">
        <v>2815</v>
      </c>
      <c r="E182" s="291" t="s">
        <v>596</v>
      </c>
      <c r="F182" s="292" t="s">
        <v>595</v>
      </c>
      <c r="G182" s="292"/>
      <c r="H182" s="291" t="s">
        <v>193</v>
      </c>
      <c r="I182" s="291" t="s">
        <v>314</v>
      </c>
      <c r="J182" s="225" t="s">
        <v>3234</v>
      </c>
      <c r="K182" s="299">
        <v>44516</v>
      </c>
      <c r="L182" s="299">
        <v>44467</v>
      </c>
      <c r="M182" s="299">
        <v>44472</v>
      </c>
      <c r="N182" s="291" t="s">
        <v>8</v>
      </c>
      <c r="O182" s="291" t="s">
        <v>14</v>
      </c>
      <c r="T182" s="291"/>
      <c r="V182" s="291"/>
      <c r="W182" s="291"/>
      <c r="X182" s="292" t="str">
        <f>VLOOKUP(功能_33[[#This Row],[User]],SKL放款!A:G,7,FALSE)</f>
        <v>放款管理課</v>
      </c>
      <c r="Y182" s="299">
        <v>44472</v>
      </c>
      <c r="Z182" s="299" t="s">
        <v>133</v>
      </c>
      <c r="AA182" s="299">
        <v>44530</v>
      </c>
      <c r="AB182" s="299">
        <v>44530</v>
      </c>
      <c r="AC182" s="299">
        <v>44550</v>
      </c>
      <c r="AD182" s="299"/>
      <c r="AE182" s="299"/>
      <c r="AF182" s="355"/>
      <c r="AG182" s="299" t="str">
        <f>IFERROR(IF(VLOOKUP(功能_33[[#This Row],[功能代號]],E:Q,11,FALSE)=0,"",VLOOKUP(功能_33[[#This Row],[功能代號]],E:Q,11,FALSE)),"")</f>
        <v>張舜雯</v>
      </c>
      <c r="AH182" s="299"/>
      <c r="AI182" s="299"/>
      <c r="AJ182" s="292"/>
      <c r="AK182" s="299"/>
      <c r="AL182" s="303" t="s">
        <v>594</v>
      </c>
      <c r="AM182" s="304" t="s">
        <v>595</v>
      </c>
      <c r="AN182" s="292" t="str">
        <f>VLOOKUP(功能_33[[#This Row],[功能代號]],需二審tmp!A:A,1,FALSE)</f>
        <v>L6605</v>
      </c>
      <c r="AO182" s="356">
        <v>44526</v>
      </c>
      <c r="AQ182" s="574" t="str">
        <f t="shared" si="21"/>
        <v>6-6</v>
      </c>
      <c r="AR182" s="576" t="str">
        <f t="shared" si="22"/>
        <v/>
      </c>
      <c r="AS182" s="578" t="str">
        <f t="shared" si="23"/>
        <v/>
      </c>
      <c r="AT182" s="580" t="str">
        <f t="shared" si="24"/>
        <v/>
      </c>
      <c r="AU182" s="582" t="str">
        <f t="shared" si="25"/>
        <v/>
      </c>
      <c r="AV182" s="584" t="str">
        <f t="shared" si="26"/>
        <v/>
      </c>
      <c r="AW182" s="662" t="str">
        <f>IFERROR(VLOOKUP(功能_33[[#This Row],[功能代號]],工作表3!C:C,1,FALSE),"未計SIT測試")</f>
        <v>L6605</v>
      </c>
    </row>
    <row r="183" spans="1:49" ht="13.5" x14ac:dyDescent="0.3">
      <c r="C183" s="292" t="s">
        <v>95</v>
      </c>
      <c r="D183" s="292" t="s">
        <v>2815</v>
      </c>
      <c r="E183" s="291" t="s">
        <v>601</v>
      </c>
      <c r="F183" s="292" t="s">
        <v>602</v>
      </c>
      <c r="G183" s="292"/>
      <c r="H183" s="291" t="s">
        <v>193</v>
      </c>
      <c r="I183" s="291" t="s">
        <v>314</v>
      </c>
      <c r="J183" s="225" t="s">
        <v>3234</v>
      </c>
      <c r="K183" s="299">
        <v>44516</v>
      </c>
      <c r="L183" s="299">
        <v>44467</v>
      </c>
      <c r="M183" s="299">
        <v>44467</v>
      </c>
      <c r="N183" s="291" t="s">
        <v>8</v>
      </c>
      <c r="O183" s="291" t="s">
        <v>172</v>
      </c>
      <c r="T183" s="291"/>
      <c r="V183" s="291"/>
      <c r="W183" s="291"/>
      <c r="X183" s="292" t="str">
        <f>VLOOKUP(功能_33[[#This Row],[User]],SKL放款!A:G,7,FALSE)</f>
        <v>放款服務課</v>
      </c>
      <c r="Y183" s="299">
        <v>44533</v>
      </c>
      <c r="Z183" s="299" t="s">
        <v>195</v>
      </c>
      <c r="AA183" s="299">
        <v>44529</v>
      </c>
      <c r="AB183" s="299">
        <v>44529</v>
      </c>
      <c r="AC183" s="299">
        <v>44550</v>
      </c>
      <c r="AD183" s="299"/>
      <c r="AE183" s="299"/>
      <c r="AF183" s="355"/>
      <c r="AG183" s="299" t="str">
        <f>IFERROR(IF(VLOOKUP(功能_33[[#This Row],[功能代號]],E:Q,11,FALSE)=0,"",VLOOKUP(功能_33[[#This Row],[功能代號]],E:Q,11,FALSE)),"")</f>
        <v>陳政皓</v>
      </c>
      <c r="AH183" s="299"/>
      <c r="AI183" s="299"/>
      <c r="AJ183" s="292"/>
      <c r="AK183" s="299"/>
      <c r="AL183" s="303" t="s">
        <v>599</v>
      </c>
      <c r="AM183" s="304" t="s">
        <v>600</v>
      </c>
      <c r="AN183" s="292" t="e">
        <f>VLOOKUP(功能_33[[#This Row],[功能代號]],需二審tmp!A:A,1,FALSE)</f>
        <v>#N/A</v>
      </c>
      <c r="AO183" s="356">
        <v>44526</v>
      </c>
      <c r="AQ183" s="574" t="str">
        <f t="shared" si="21"/>
        <v>6-6</v>
      </c>
      <c r="AR183" s="576" t="str">
        <f t="shared" si="22"/>
        <v/>
      </c>
      <c r="AS183" s="578" t="str">
        <f t="shared" si="23"/>
        <v/>
      </c>
      <c r="AT183" s="580" t="str">
        <f t="shared" si="24"/>
        <v/>
      </c>
      <c r="AU183" s="582" t="str">
        <f t="shared" si="25"/>
        <v/>
      </c>
      <c r="AV183" s="584" t="str">
        <f t="shared" si="26"/>
        <v/>
      </c>
      <c r="AW183" s="662" t="str">
        <f>IFERROR(VLOOKUP(功能_33[[#This Row],[功能代號]],工作表3!C:C,1,FALSE),"未計SIT測試")</f>
        <v>L6606</v>
      </c>
    </row>
    <row r="184" spans="1:49" ht="13.5" x14ac:dyDescent="0.3">
      <c r="C184" s="292" t="s">
        <v>95</v>
      </c>
      <c r="D184" s="292" t="s">
        <v>2815</v>
      </c>
      <c r="E184" s="291" t="s">
        <v>576</v>
      </c>
      <c r="F184" s="292" t="s">
        <v>577</v>
      </c>
      <c r="G184" s="292"/>
      <c r="H184" s="291" t="s">
        <v>193</v>
      </c>
      <c r="I184" s="291" t="s">
        <v>314</v>
      </c>
      <c r="J184" s="225" t="s">
        <v>3234</v>
      </c>
      <c r="K184" s="299">
        <v>44516</v>
      </c>
      <c r="L184" s="299">
        <v>44467</v>
      </c>
      <c r="M184" s="299">
        <v>44467</v>
      </c>
      <c r="N184" s="291" t="s">
        <v>8</v>
      </c>
      <c r="O184" s="291" t="s">
        <v>567</v>
      </c>
      <c r="T184" s="291"/>
      <c r="V184" s="291"/>
      <c r="W184" s="291"/>
      <c r="X184" s="292" t="str">
        <f>VLOOKUP(功能_33[[#This Row],[User]],SKL放款!A:G,7,FALSE)</f>
        <v>放款審查課</v>
      </c>
      <c r="Y184" s="299">
        <v>44533</v>
      </c>
      <c r="Z184" s="299" t="s">
        <v>195</v>
      </c>
      <c r="AA184" s="299">
        <v>44467</v>
      </c>
      <c r="AB184" s="299">
        <v>44467</v>
      </c>
      <c r="AC184" s="299">
        <v>44550</v>
      </c>
      <c r="AD184" s="299"/>
      <c r="AE184" s="299"/>
      <c r="AF184" s="355"/>
      <c r="AG184" s="299" t="str">
        <f>IFERROR(IF(VLOOKUP(功能_33[[#This Row],[功能代號]],E:Q,11,FALSE)=0,"",VLOOKUP(功能_33[[#This Row],[功能代號]],E:Q,11,FALSE)),"")</f>
        <v>鄧雪美</v>
      </c>
      <c r="AH184" s="299"/>
      <c r="AI184" s="299"/>
      <c r="AJ184" s="292"/>
      <c r="AK184" s="299"/>
      <c r="AL184" s="303" t="s">
        <v>574</v>
      </c>
      <c r="AM184" s="304" t="s">
        <v>575</v>
      </c>
      <c r="AN184" s="292" t="e">
        <f>VLOOKUP(功能_33[[#This Row],[功能代號]],需二審tmp!A:A,1,FALSE)</f>
        <v>#N/A</v>
      </c>
      <c r="AO184" s="356">
        <v>44526</v>
      </c>
      <c r="AQ184" s="574" t="str">
        <f t="shared" si="21"/>
        <v>6-6</v>
      </c>
      <c r="AR184" s="576" t="str">
        <f t="shared" si="22"/>
        <v/>
      </c>
      <c r="AS184" s="578" t="str">
        <f t="shared" si="23"/>
        <v/>
      </c>
      <c r="AT184" s="580" t="str">
        <f t="shared" si="24"/>
        <v/>
      </c>
      <c r="AU184" s="582" t="str">
        <f t="shared" si="25"/>
        <v/>
      </c>
      <c r="AV184" s="584" t="str">
        <f t="shared" si="26"/>
        <v/>
      </c>
      <c r="AW184" s="662" t="str">
        <f>IFERROR(VLOOKUP(功能_33[[#This Row],[功能代號]],工作表3!C:C,1,FALSE),"未計SIT測試")</f>
        <v>L6607</v>
      </c>
    </row>
    <row r="185" spans="1:49" ht="13.5" x14ac:dyDescent="0.3">
      <c r="C185" s="292" t="s">
        <v>95</v>
      </c>
      <c r="D185" s="498" t="s">
        <v>2815</v>
      </c>
      <c r="E185" s="291" t="s">
        <v>1109</v>
      </c>
      <c r="F185" s="270" t="s">
        <v>1110</v>
      </c>
      <c r="G185" s="292"/>
      <c r="H185" s="291" t="s">
        <v>193</v>
      </c>
      <c r="I185" s="291" t="s">
        <v>314</v>
      </c>
      <c r="J185" s="225" t="s">
        <v>3234</v>
      </c>
      <c r="K185" s="299">
        <v>44529</v>
      </c>
      <c r="L185" s="299">
        <v>44533</v>
      </c>
      <c r="M185" s="299">
        <v>44537</v>
      </c>
      <c r="N185" s="291" t="s">
        <v>12</v>
      </c>
      <c r="O185" s="291" t="s">
        <v>11</v>
      </c>
      <c r="T185" s="291"/>
      <c r="V185" s="291"/>
      <c r="W185" s="291"/>
      <c r="X185" s="292" t="str">
        <f>VLOOKUP(功能_33[[#This Row],[User]],SKL放款!A:G,7,FALSE)</f>
        <v>放款服務課</v>
      </c>
      <c r="Y185" s="299">
        <v>44533</v>
      </c>
      <c r="Z185" s="299" t="s">
        <v>2926</v>
      </c>
      <c r="AA185" s="299"/>
      <c r="AB185" s="299">
        <v>44533</v>
      </c>
      <c r="AC185" s="299">
        <v>44550</v>
      </c>
      <c r="AD185" s="299"/>
      <c r="AE185" s="299"/>
      <c r="AF185" s="355"/>
      <c r="AG185" s="299" t="str">
        <f>IFERROR(IF(VLOOKUP(功能_33[[#This Row],[功能代號]],E:Q,11,FALSE)=0,"",VLOOKUP(功能_33[[#This Row],[功能代號]],E:Q,11,FALSE)),"")</f>
        <v>蔡珮瑜</v>
      </c>
      <c r="AH185" s="299"/>
      <c r="AI185" s="299"/>
      <c r="AJ185" s="292"/>
      <c r="AK185" s="299"/>
      <c r="AL185" s="291" t="s">
        <v>190</v>
      </c>
      <c r="AN185" s="292" t="str">
        <f>VLOOKUP(功能_33[[#This Row],[功能代號]],需二審tmp!A:A,1,FALSE)</f>
        <v>L6608</v>
      </c>
      <c r="AQ185" s="574" t="str">
        <f t="shared" si="21"/>
        <v>6-6</v>
      </c>
      <c r="AR185" s="576" t="str">
        <f t="shared" si="22"/>
        <v/>
      </c>
      <c r="AS185" s="578" t="str">
        <f t="shared" si="23"/>
        <v/>
      </c>
      <c r="AT185" s="580" t="str">
        <f t="shared" si="24"/>
        <v/>
      </c>
      <c r="AU185" s="582" t="str">
        <f t="shared" si="25"/>
        <v/>
      </c>
      <c r="AV185" s="584" t="str">
        <f t="shared" si="26"/>
        <v/>
      </c>
      <c r="AW185" s="662" t="str">
        <f>IFERROR(VLOOKUP(功能_33[[#This Row],[功能代號]],工作表3!C:C,1,FALSE),"未計SIT測試")</f>
        <v>L6608</v>
      </c>
    </row>
    <row r="186" spans="1:49" ht="13.5" x14ac:dyDescent="0.3">
      <c r="C186" s="292" t="s">
        <v>95</v>
      </c>
      <c r="D186" s="292" t="s">
        <v>2816</v>
      </c>
      <c r="E186" s="291" t="s">
        <v>607</v>
      </c>
      <c r="F186" s="292" t="s">
        <v>606</v>
      </c>
      <c r="G186" s="292"/>
      <c r="H186" s="291" t="s">
        <v>193</v>
      </c>
      <c r="I186" s="291" t="s">
        <v>314</v>
      </c>
      <c r="J186" s="225" t="s">
        <v>3234</v>
      </c>
      <c r="K186" s="299">
        <v>44516</v>
      </c>
      <c r="L186" s="299">
        <v>44467</v>
      </c>
      <c r="M186" s="299">
        <v>44467</v>
      </c>
      <c r="N186" s="291" t="s">
        <v>12</v>
      </c>
      <c r="O186" s="291" t="s">
        <v>172</v>
      </c>
      <c r="T186" s="291"/>
      <c r="V186" s="291"/>
      <c r="W186" s="291"/>
      <c r="X186" s="292" t="str">
        <f>VLOOKUP(功能_33[[#This Row],[User]],SKL放款!A:G,7,FALSE)</f>
        <v>放款服務課</v>
      </c>
      <c r="Y186" s="299">
        <v>44533</v>
      </c>
      <c r="Z186" s="299" t="s">
        <v>195</v>
      </c>
      <c r="AA186" s="299">
        <v>44529</v>
      </c>
      <c r="AB186" s="299">
        <v>44529</v>
      </c>
      <c r="AC186" s="299">
        <v>44550</v>
      </c>
      <c r="AD186" s="299"/>
      <c r="AE186" s="299"/>
      <c r="AF186" s="355"/>
      <c r="AG186" s="299" t="str">
        <f>IFERROR(IF(VLOOKUP(功能_33[[#This Row],[功能代號]],E:Q,11,FALSE)=0,"",VLOOKUP(功能_33[[#This Row],[功能代號]],E:Q,11,FALSE)),"")</f>
        <v>陳政皓</v>
      </c>
      <c r="AH186" s="299"/>
      <c r="AI186" s="299"/>
      <c r="AJ186" s="292"/>
      <c r="AK186" s="299"/>
      <c r="AL186" s="303" t="s">
        <v>605</v>
      </c>
      <c r="AM186" s="304" t="s">
        <v>606</v>
      </c>
      <c r="AN186" s="292" t="e">
        <f>VLOOKUP(功能_33[[#This Row],[功能代號]],需二審tmp!A:A,1,FALSE)</f>
        <v>#N/A</v>
      </c>
      <c r="AO186" s="356">
        <v>44526</v>
      </c>
      <c r="AQ186" s="574" t="str">
        <f t="shared" si="21"/>
        <v>6-7</v>
      </c>
      <c r="AR186" s="576" t="str">
        <f t="shared" si="22"/>
        <v/>
      </c>
      <c r="AS186" s="578" t="str">
        <f t="shared" si="23"/>
        <v/>
      </c>
      <c r="AT186" s="580" t="str">
        <f t="shared" si="24"/>
        <v/>
      </c>
      <c r="AU186" s="582" t="str">
        <f t="shared" si="25"/>
        <v/>
      </c>
      <c r="AV186" s="584" t="str">
        <f t="shared" si="26"/>
        <v/>
      </c>
      <c r="AW186" s="662" t="str">
        <f>IFERROR(VLOOKUP(功能_33[[#This Row],[功能代號]],工作表3!C:C,1,FALSE),"未計SIT測試")</f>
        <v>L6701</v>
      </c>
    </row>
    <row r="187" spans="1:49" ht="13.5" x14ac:dyDescent="0.3">
      <c r="C187" s="292" t="s">
        <v>95</v>
      </c>
      <c r="D187" s="498" t="s">
        <v>2816</v>
      </c>
      <c r="E187" s="291" t="s">
        <v>1121</v>
      </c>
      <c r="F187" s="292" t="s">
        <v>1120</v>
      </c>
      <c r="G187" s="292"/>
      <c r="H187" s="291" t="s">
        <v>193</v>
      </c>
      <c r="I187" s="291" t="s">
        <v>314</v>
      </c>
      <c r="J187" s="225" t="s">
        <v>3234</v>
      </c>
      <c r="K187" s="299">
        <v>44529</v>
      </c>
      <c r="L187" s="299">
        <v>44529</v>
      </c>
      <c r="M187" s="299">
        <v>44537</v>
      </c>
      <c r="N187" s="291" t="s">
        <v>12</v>
      </c>
      <c r="O187" s="291" t="s">
        <v>11</v>
      </c>
      <c r="T187" s="291"/>
      <c r="V187" s="291"/>
      <c r="W187" s="291"/>
      <c r="X187" s="292" t="str">
        <f>VLOOKUP(功能_33[[#This Row],[User]],SKL放款!A:G,7,FALSE)</f>
        <v>放款服務課</v>
      </c>
      <c r="Y187" s="299">
        <v>44533</v>
      </c>
      <c r="Z187" s="299" t="s">
        <v>2926</v>
      </c>
      <c r="AA187" s="299"/>
      <c r="AB187" s="299">
        <v>44529</v>
      </c>
      <c r="AC187" s="299">
        <v>44550</v>
      </c>
      <c r="AD187" s="299"/>
      <c r="AE187" s="299"/>
      <c r="AF187" s="355"/>
      <c r="AG187" s="299" t="str">
        <f>IFERROR(IF(VLOOKUP(功能_33[[#This Row],[功能代號]],E:Q,11,FALSE)=0,"",VLOOKUP(功能_33[[#This Row],[功能代號]],E:Q,11,FALSE)),"")</f>
        <v>蔡珮瑜</v>
      </c>
      <c r="AH187" s="299"/>
      <c r="AI187" s="299"/>
      <c r="AJ187" s="292"/>
      <c r="AK187" s="299"/>
      <c r="AL187" s="303" t="s">
        <v>1119</v>
      </c>
      <c r="AM187" s="304" t="s">
        <v>1120</v>
      </c>
      <c r="AN187" s="292" t="e">
        <f>VLOOKUP(功能_33[[#This Row],[功能代號]],需二審tmp!A:A,1,FALSE)</f>
        <v>#N/A</v>
      </c>
      <c r="AQ187" s="574" t="str">
        <f t="shared" si="21"/>
        <v>6-7</v>
      </c>
      <c r="AR187" s="576" t="str">
        <f t="shared" si="22"/>
        <v/>
      </c>
      <c r="AS187" s="578" t="str">
        <f t="shared" si="23"/>
        <v/>
      </c>
      <c r="AT187" s="580" t="str">
        <f t="shared" si="24"/>
        <v/>
      </c>
      <c r="AU187" s="582" t="str">
        <f t="shared" si="25"/>
        <v/>
      </c>
      <c r="AV187" s="584" t="str">
        <f t="shared" si="26"/>
        <v/>
      </c>
      <c r="AW187" s="662" t="str">
        <f>IFERROR(VLOOKUP(功能_33[[#This Row],[功能代號]],工作表3!C:C,1,FALSE),"未計SIT測試")</f>
        <v>L6702</v>
      </c>
    </row>
    <row r="188" spans="1:49" ht="13.5" x14ac:dyDescent="0.3">
      <c r="C188" s="292" t="s">
        <v>95</v>
      </c>
      <c r="D188" s="230" t="s">
        <v>2814</v>
      </c>
      <c r="E188" s="291" t="s">
        <v>620</v>
      </c>
      <c r="F188" s="292" t="s">
        <v>621</v>
      </c>
      <c r="G188" s="292"/>
      <c r="H188" s="291" t="s">
        <v>193</v>
      </c>
      <c r="I188" s="291" t="s">
        <v>314</v>
      </c>
      <c r="J188" s="225" t="s">
        <v>417</v>
      </c>
      <c r="K188" s="299">
        <v>44516</v>
      </c>
      <c r="L188" s="299">
        <v>44467</v>
      </c>
      <c r="M188" s="299">
        <v>44472</v>
      </c>
      <c r="N188" s="291" t="s">
        <v>12</v>
      </c>
      <c r="O188" s="291" t="s">
        <v>172</v>
      </c>
      <c r="T188" s="291"/>
      <c r="V188" s="291"/>
      <c r="W188" s="291"/>
      <c r="X188" s="292" t="str">
        <f>VLOOKUP(功能_33[[#This Row],[User]],SKL放款!A:G,7,FALSE)</f>
        <v>放款服務課</v>
      </c>
      <c r="Y188" s="299">
        <v>44472</v>
      </c>
      <c r="Z188" s="299" t="s">
        <v>133</v>
      </c>
      <c r="AA188" s="282">
        <v>44544</v>
      </c>
      <c r="AB188" s="282">
        <v>44544</v>
      </c>
      <c r="AC188" s="299">
        <v>44544</v>
      </c>
      <c r="AD188" s="299"/>
      <c r="AE188" s="299"/>
      <c r="AF188" s="355"/>
      <c r="AG188" s="299" t="str">
        <f>IFERROR(IF(VLOOKUP(功能_33[[#This Row],[功能代號]],E:Q,11,FALSE)=0,"",VLOOKUP(功能_33[[#This Row],[功能代號]],E:Q,11,FALSE)),"")</f>
        <v>陳政皓</v>
      </c>
      <c r="AH188" s="299"/>
      <c r="AI188" s="299"/>
      <c r="AJ188" s="292"/>
      <c r="AK188" s="299"/>
      <c r="AL188" s="291" t="s">
        <v>190</v>
      </c>
      <c r="AM188" s="304"/>
      <c r="AN188" s="292" t="str">
        <f>VLOOKUP(功能_33[[#This Row],[功能代號]],需二審tmp!A:A,1,FALSE)</f>
        <v>L6052</v>
      </c>
      <c r="AO188" s="356">
        <v>44526</v>
      </c>
      <c r="AQ188" s="574" t="str">
        <f t="shared" si="21"/>
        <v>6-5</v>
      </c>
      <c r="AR188" s="576" t="str">
        <f t="shared" si="22"/>
        <v/>
      </c>
      <c r="AS188" s="578" t="str">
        <f t="shared" si="23"/>
        <v/>
      </c>
      <c r="AT188" s="580" t="str">
        <f t="shared" si="24"/>
        <v/>
      </c>
      <c r="AU188" s="582" t="str">
        <f t="shared" si="25"/>
        <v/>
      </c>
      <c r="AV188" s="584" t="str">
        <f t="shared" si="26"/>
        <v/>
      </c>
      <c r="AW188" s="662" t="str">
        <f>IFERROR(VLOOKUP(功能_33[[#This Row],[功能代號]],工作表3!C:C,1,FALSE),"未計SIT測試")</f>
        <v>L6052</v>
      </c>
    </row>
    <row r="189" spans="1:49" ht="13.5" x14ac:dyDescent="0.3">
      <c r="C189" s="292" t="s">
        <v>95</v>
      </c>
      <c r="D189" s="230" t="s">
        <v>2814</v>
      </c>
      <c r="E189" s="291" t="s">
        <v>622</v>
      </c>
      <c r="F189" s="292" t="s">
        <v>623</v>
      </c>
      <c r="G189" s="292"/>
      <c r="H189" s="291" t="s">
        <v>193</v>
      </c>
      <c r="I189" s="291" t="s">
        <v>314</v>
      </c>
      <c r="J189" s="225" t="s">
        <v>417</v>
      </c>
      <c r="K189" s="299">
        <v>44516</v>
      </c>
      <c r="L189" s="299">
        <v>44467</v>
      </c>
      <c r="M189" s="299">
        <v>44472</v>
      </c>
      <c r="N189" s="291" t="s">
        <v>12</v>
      </c>
      <c r="O189" s="291" t="s">
        <v>172</v>
      </c>
      <c r="T189" s="291"/>
      <c r="V189" s="291"/>
      <c r="W189" s="291"/>
      <c r="X189" s="292" t="str">
        <f>VLOOKUP(功能_33[[#This Row],[User]],SKL放款!A:G,7,FALSE)</f>
        <v>放款服務課</v>
      </c>
      <c r="Y189" s="299">
        <v>44472</v>
      </c>
      <c r="Z189" s="299" t="s">
        <v>133</v>
      </c>
      <c r="AA189" s="282">
        <v>44544</v>
      </c>
      <c r="AB189" s="282">
        <v>44544</v>
      </c>
      <c r="AC189" s="299">
        <v>44544</v>
      </c>
      <c r="AD189" s="299"/>
      <c r="AE189" s="299"/>
      <c r="AF189" s="355"/>
      <c r="AG189" s="299" t="str">
        <f>IFERROR(IF(VLOOKUP(功能_33[[#This Row],[功能代號]],E:Q,11,FALSE)=0,"",VLOOKUP(功能_33[[#This Row],[功能代號]],E:Q,11,FALSE)),"")</f>
        <v>陳政皓</v>
      </c>
      <c r="AH189" s="299"/>
      <c r="AI189" s="299"/>
      <c r="AJ189" s="292"/>
      <c r="AK189" s="299"/>
      <c r="AL189" s="291" t="s">
        <v>190</v>
      </c>
      <c r="AN189" s="292" t="str">
        <f>VLOOKUP(功能_33[[#This Row],[功能代號]],需二審tmp!A:A,1,FALSE)</f>
        <v>L6502</v>
      </c>
      <c r="AO189" s="356">
        <v>44526</v>
      </c>
      <c r="AQ189" s="574" t="str">
        <f t="shared" si="21"/>
        <v>6-5</v>
      </c>
      <c r="AR189" s="576" t="str">
        <f t="shared" si="22"/>
        <v/>
      </c>
      <c r="AS189" s="578" t="str">
        <f t="shared" si="23"/>
        <v/>
      </c>
      <c r="AT189" s="580" t="str">
        <f t="shared" si="24"/>
        <v/>
      </c>
      <c r="AU189" s="582" t="str">
        <f t="shared" si="25"/>
        <v/>
      </c>
      <c r="AV189" s="584" t="str">
        <f t="shared" si="26"/>
        <v/>
      </c>
      <c r="AW189" s="662" t="str">
        <f>IFERROR(VLOOKUP(功能_33[[#This Row],[功能代號]],工作表3!C:C,1,FALSE),"未計SIT測試")</f>
        <v>L6502</v>
      </c>
    </row>
    <row r="190" spans="1:49" ht="13.5" x14ac:dyDescent="0.3">
      <c r="A190" s="634"/>
      <c r="B190" s="423"/>
      <c r="C190" s="292" t="s">
        <v>95</v>
      </c>
      <c r="D190" s="498" t="s">
        <v>2816</v>
      </c>
      <c r="E190" s="291" t="s">
        <v>3235</v>
      </c>
      <c r="F190" s="281" t="s">
        <v>167</v>
      </c>
      <c r="G190" s="281" t="s">
        <v>3239</v>
      </c>
      <c r="H190" s="291" t="s">
        <v>136</v>
      </c>
      <c r="I190" s="291" t="s">
        <v>137</v>
      </c>
      <c r="J190" s="225" t="s">
        <v>3234</v>
      </c>
      <c r="K190" s="299">
        <v>44399</v>
      </c>
      <c r="L190" s="299">
        <v>44400</v>
      </c>
      <c r="M190" s="299">
        <v>44412</v>
      </c>
      <c r="N190" s="660" t="s">
        <v>10</v>
      </c>
      <c r="O190" s="660" t="s">
        <v>11</v>
      </c>
      <c r="T190" s="291"/>
      <c r="V190" s="291"/>
      <c r="W190" s="291"/>
      <c r="X190" s="423" t="s">
        <v>1429</v>
      </c>
      <c r="Y190" s="299">
        <v>44470</v>
      </c>
      <c r="Z190" s="299">
        <v>44463</v>
      </c>
      <c r="AA190" s="282">
        <v>44468</v>
      </c>
      <c r="AB190" s="283">
        <v>44468</v>
      </c>
      <c r="AC190" s="283">
        <v>44550</v>
      </c>
      <c r="AD190" s="283" t="s">
        <v>7</v>
      </c>
      <c r="AE190" s="283">
        <v>44483.56527777778</v>
      </c>
      <c r="AF190" s="283">
        <v>44487.745833333327</v>
      </c>
      <c r="AG190" s="283" t="s">
        <v>11</v>
      </c>
      <c r="AH190" s="283"/>
      <c r="AI190" s="283"/>
      <c r="AJ190" s="423"/>
      <c r="AL190" s="660" t="s">
        <v>168</v>
      </c>
      <c r="AM190" s="423" t="s">
        <v>169</v>
      </c>
      <c r="AN190" s="423" t="e">
        <f>VLOOKUP(功能_33[[#This Row],[功能代號]],需二審tmp!A:A,1,FALSE)</f>
        <v>#N/A</v>
      </c>
      <c r="AO190" s="356">
        <v>44526</v>
      </c>
      <c r="AQ190" s="635" t="str">
        <f>IF(COUNTA(AC190)=1,LEFT(D190,3),"")</f>
        <v>6-7</v>
      </c>
      <c r="AR190" s="576" t="str">
        <f>IF(AND(COUNTA(L190)=1,COUNTA(M190)=1,COUNTA(Y190)=1,COUNTA(AB190)=1,COUNTA(AC190)=0),LEFT(D190,3),"")</f>
        <v/>
      </c>
      <c r="AS190" s="578" t="str">
        <f>IF(AND(COUNTA(L190)=1,COUNTA(M190)=1,COUNTA(Y190)=1,COUNTA(AB190)=0,COUNTA(AC190)=0),LEFT(D190,3),"")</f>
        <v/>
      </c>
      <c r="AT190" s="580" t="str">
        <f>IF(AND(COUNTA(M190)=0,COUNTA(Y190)=1),LEFT(D190,3),"")</f>
        <v/>
      </c>
      <c r="AU190" s="582" t="str">
        <f>IF(AND(COUNTA(M190)=1,COUNTA(Y190)=0),LEFT(D190,3),"")</f>
        <v/>
      </c>
      <c r="AV190" s="584" t="str">
        <f>IF(AND(COUNTA(M190)=0,COUNTA(Y190)=0),LEFT(D190,3),"")</f>
        <v/>
      </c>
      <c r="AW190" s="662" t="str">
        <f>IFERROR(VLOOKUP(功能_33[[#This Row],[功能代號]],工作表3!C:C,1,FALSE),"未計SIT測試")</f>
        <v>L6088</v>
      </c>
    </row>
    <row r="191" spans="1:49" ht="13.5" x14ac:dyDescent="0.3">
      <c r="C191" s="292" t="s">
        <v>93</v>
      </c>
      <c r="D191" s="292" t="s">
        <v>624</v>
      </c>
      <c r="E191" s="227" t="s">
        <v>625</v>
      </c>
      <c r="F191" s="292" t="s">
        <v>626</v>
      </c>
      <c r="G191" s="292"/>
      <c r="H191" s="291" t="s">
        <v>193</v>
      </c>
      <c r="I191" s="291" t="s">
        <v>2774</v>
      </c>
      <c r="J191" s="225" t="s">
        <v>2959</v>
      </c>
      <c r="K191" s="299">
        <v>44468</v>
      </c>
      <c r="L191" s="299">
        <v>44468</v>
      </c>
      <c r="M191" s="299">
        <v>44533</v>
      </c>
      <c r="N191" s="291" t="s">
        <v>12</v>
      </c>
      <c r="O191" s="291" t="s">
        <v>24</v>
      </c>
      <c r="T191" s="291"/>
      <c r="V191" s="291"/>
      <c r="W191" s="291"/>
      <c r="X191" s="292" t="str">
        <f>VLOOKUP(功能_33[[#This Row],[User]],SKL放款!A:G,7,FALSE)</f>
        <v>放款服務課</v>
      </c>
      <c r="Y191" s="299">
        <v>44533</v>
      </c>
      <c r="Z191" s="299" t="s">
        <v>2733</v>
      </c>
      <c r="AA191" s="299">
        <v>44531</v>
      </c>
      <c r="AB191" s="299">
        <v>44531</v>
      </c>
      <c r="AC191" s="299">
        <v>44539</v>
      </c>
      <c r="AD191" s="299"/>
      <c r="AE191" s="299"/>
      <c r="AF191" s="355"/>
      <c r="AG191" s="299" t="str">
        <f>IFERROR(IF(VLOOKUP(功能_33[[#This Row],[功能代號]],E:Q,11,FALSE)=0,"",VLOOKUP(功能_33[[#This Row],[功能代號]],E:Q,11,FALSE)),"")</f>
        <v>邵淑微</v>
      </c>
      <c r="AH191" s="299"/>
      <c r="AI191" s="299"/>
      <c r="AJ191" s="292"/>
      <c r="AK191" s="299"/>
      <c r="AL191" s="291" t="s">
        <v>3001</v>
      </c>
      <c r="AM191" s="291" t="s">
        <v>2976</v>
      </c>
      <c r="AN191" s="292" t="str">
        <f>VLOOKUP(功能_33[[#This Row],[功能代號]],需二審tmp!A:A,1,FALSE)</f>
        <v>L4500</v>
      </c>
      <c r="AO191" s="356">
        <v>44533</v>
      </c>
      <c r="AQ191" s="574" t="str">
        <f t="shared" si="21"/>
        <v>4-5</v>
      </c>
      <c r="AR191" s="576" t="str">
        <f t="shared" si="22"/>
        <v/>
      </c>
      <c r="AS191" s="578" t="str">
        <f t="shared" si="23"/>
        <v/>
      </c>
      <c r="AT191" s="580" t="str">
        <f t="shared" si="24"/>
        <v/>
      </c>
      <c r="AU191" s="582" t="str">
        <f t="shared" si="25"/>
        <v/>
      </c>
      <c r="AV191" s="584" t="str">
        <f t="shared" si="26"/>
        <v/>
      </c>
      <c r="AW191" s="662" t="str">
        <f>IFERROR(VLOOKUP(功能_33[[#This Row],[功能代號]],工作表3!C:C,1,FALSE),"未計SIT測試")</f>
        <v>未計SIT測試</v>
      </c>
    </row>
    <row r="192" spans="1:49" ht="13.5" x14ac:dyDescent="0.3">
      <c r="C192" s="292" t="s">
        <v>93</v>
      </c>
      <c r="D192" s="292" t="s">
        <v>624</v>
      </c>
      <c r="E192" s="227" t="s">
        <v>627</v>
      </c>
      <c r="F192" s="292" t="s">
        <v>628</v>
      </c>
      <c r="G192" s="292"/>
      <c r="H192" s="291" t="s">
        <v>193</v>
      </c>
      <c r="I192" s="291" t="s">
        <v>2774</v>
      </c>
      <c r="J192" s="225" t="s">
        <v>2959</v>
      </c>
      <c r="K192" s="299">
        <v>44468</v>
      </c>
      <c r="L192" s="299">
        <v>44468</v>
      </c>
      <c r="M192" s="299">
        <v>44533</v>
      </c>
      <c r="N192" s="291" t="s">
        <v>12</v>
      </c>
      <c r="O192" s="291" t="s">
        <v>24</v>
      </c>
      <c r="T192" s="291"/>
      <c r="V192" s="291"/>
      <c r="W192" s="291"/>
      <c r="X192" s="292" t="str">
        <f>VLOOKUP(功能_33[[#This Row],[User]],SKL放款!A:G,7,FALSE)</f>
        <v>放款服務課</v>
      </c>
      <c r="Y192" s="299">
        <v>44533</v>
      </c>
      <c r="Z192" s="299" t="s">
        <v>195</v>
      </c>
      <c r="AA192" s="299">
        <v>44531</v>
      </c>
      <c r="AB192" s="299">
        <v>44531</v>
      </c>
      <c r="AC192" s="299">
        <v>44539</v>
      </c>
      <c r="AD192" s="299"/>
      <c r="AE192" s="299"/>
      <c r="AF192" s="355"/>
      <c r="AG192" s="299" t="str">
        <f>IFERROR(IF(VLOOKUP(功能_33[[#This Row],[功能代號]],E:Q,11,FALSE)=0,"",VLOOKUP(功能_33[[#This Row],[功能代號]],E:Q,11,FALSE)),"")</f>
        <v>邵淑微</v>
      </c>
      <c r="AH192" s="299"/>
      <c r="AI192" s="299"/>
      <c r="AJ192" s="292"/>
      <c r="AK192" s="299"/>
      <c r="AL192" s="227" t="s">
        <v>2989</v>
      </c>
      <c r="AM192" s="292" t="s">
        <v>2990</v>
      </c>
      <c r="AN192" s="292" t="e">
        <f>VLOOKUP(功能_33[[#This Row],[功能代號]],需二審tmp!A:A,1,FALSE)</f>
        <v>#N/A</v>
      </c>
      <c r="AO192" s="356">
        <v>44533</v>
      </c>
      <c r="AQ192" s="574" t="str">
        <f t="shared" si="21"/>
        <v>4-5</v>
      </c>
      <c r="AR192" s="576" t="str">
        <f t="shared" si="22"/>
        <v/>
      </c>
      <c r="AS192" s="578" t="str">
        <f t="shared" si="23"/>
        <v/>
      </c>
      <c r="AT192" s="580" t="str">
        <f t="shared" si="24"/>
        <v/>
      </c>
      <c r="AU192" s="582" t="str">
        <f t="shared" si="25"/>
        <v/>
      </c>
      <c r="AV192" s="584" t="str">
        <f t="shared" si="26"/>
        <v/>
      </c>
      <c r="AW192" s="662" t="str">
        <f>IFERROR(VLOOKUP(功能_33[[#This Row],[功能代號]],工作表3!C:C,1,FALSE),"未計SIT測試")</f>
        <v>未計SIT測試</v>
      </c>
    </row>
    <row r="193" spans="1:49" ht="40.5" x14ac:dyDescent="0.3">
      <c r="C193" s="292" t="s">
        <v>93</v>
      </c>
      <c r="D193" s="292" t="s">
        <v>624</v>
      </c>
      <c r="E193" s="227" t="s">
        <v>629</v>
      </c>
      <c r="F193" s="292" t="s">
        <v>630</v>
      </c>
      <c r="G193" s="292"/>
      <c r="H193" s="291" t="s">
        <v>193</v>
      </c>
      <c r="I193" s="291" t="s">
        <v>2774</v>
      </c>
      <c r="J193" s="225" t="s">
        <v>2959</v>
      </c>
      <c r="K193" s="299">
        <v>44468</v>
      </c>
      <c r="L193" s="299">
        <v>44468</v>
      </c>
      <c r="M193" s="299">
        <v>44533</v>
      </c>
      <c r="N193" s="291" t="s">
        <v>12</v>
      </c>
      <c r="O193" s="291" t="s">
        <v>24</v>
      </c>
      <c r="T193" s="291"/>
      <c r="V193" s="291"/>
      <c r="W193" s="291"/>
      <c r="X193" s="292" t="str">
        <f>VLOOKUP(功能_33[[#This Row],[User]],SKL放款!A:G,7,FALSE)</f>
        <v>放款服務課</v>
      </c>
      <c r="Y193" s="299">
        <v>44533</v>
      </c>
      <c r="Z193" s="299" t="s">
        <v>133</v>
      </c>
      <c r="AA193" s="299">
        <v>44531</v>
      </c>
      <c r="AB193" s="299">
        <v>44531</v>
      </c>
      <c r="AC193" s="299">
        <v>44539</v>
      </c>
      <c r="AD193" s="299"/>
      <c r="AE193" s="299"/>
      <c r="AF193" s="355"/>
      <c r="AG193" s="299" t="str">
        <f>IFERROR(IF(VLOOKUP(功能_33[[#This Row],[功能代號]],E:Q,11,FALSE)=0,"",VLOOKUP(功能_33[[#This Row],[功能代號]],E:Q,11,FALSE)),"")</f>
        <v>邵淑微</v>
      </c>
      <c r="AH193" s="299"/>
      <c r="AI193" s="299"/>
      <c r="AJ193" s="292"/>
      <c r="AK193" s="299"/>
      <c r="AL193" s="308" t="s">
        <v>2991</v>
      </c>
      <c r="AM193" s="219" t="s">
        <v>2992</v>
      </c>
      <c r="AN193" s="292" t="str">
        <f>VLOOKUP(功能_33[[#This Row],[功能代號]],需二審tmp!A:A,1,FALSE)</f>
        <v>L4510</v>
      </c>
      <c r="AO193" s="356">
        <v>44533</v>
      </c>
      <c r="AQ193" s="574" t="str">
        <f t="shared" si="21"/>
        <v>4-5</v>
      </c>
      <c r="AR193" s="576" t="str">
        <f t="shared" si="22"/>
        <v/>
      </c>
      <c r="AS193" s="578" t="str">
        <f t="shared" si="23"/>
        <v/>
      </c>
      <c r="AT193" s="580" t="str">
        <f t="shared" si="24"/>
        <v/>
      </c>
      <c r="AU193" s="582" t="str">
        <f t="shared" si="25"/>
        <v/>
      </c>
      <c r="AV193" s="584" t="str">
        <f t="shared" si="26"/>
        <v/>
      </c>
      <c r="AW193" s="662" t="str">
        <f>IFERROR(VLOOKUP(功能_33[[#This Row],[功能代號]],工作表3!C:C,1,FALSE),"未計SIT測試")</f>
        <v>未計SIT測試</v>
      </c>
    </row>
    <row r="194" spans="1:49" ht="13.5" x14ac:dyDescent="0.3">
      <c r="C194" s="292" t="s">
        <v>93</v>
      </c>
      <c r="D194" s="292" t="s">
        <v>624</v>
      </c>
      <c r="E194" s="227" t="s">
        <v>631</v>
      </c>
      <c r="F194" s="292" t="s">
        <v>632</v>
      </c>
      <c r="G194" s="292"/>
      <c r="H194" s="291" t="s">
        <v>193</v>
      </c>
      <c r="I194" s="291" t="s">
        <v>2774</v>
      </c>
      <c r="J194" s="225" t="s">
        <v>2959</v>
      </c>
      <c r="K194" s="299">
        <v>44468</v>
      </c>
      <c r="L194" s="299">
        <v>44468</v>
      </c>
      <c r="M194" s="299">
        <v>44533</v>
      </c>
      <c r="N194" s="291" t="s">
        <v>12</v>
      </c>
      <c r="O194" s="291" t="s">
        <v>24</v>
      </c>
      <c r="T194" s="291"/>
      <c r="V194" s="291"/>
      <c r="W194" s="291"/>
      <c r="X194" s="292" t="str">
        <f>VLOOKUP(功能_33[[#This Row],[User]],SKL放款!A:G,7,FALSE)</f>
        <v>放款服務課</v>
      </c>
      <c r="Y194" s="299">
        <v>44533</v>
      </c>
      <c r="Z194" s="299" t="s">
        <v>195</v>
      </c>
      <c r="AA194" s="299">
        <v>44531</v>
      </c>
      <c r="AB194" s="299">
        <v>44531</v>
      </c>
      <c r="AC194" s="299">
        <v>44539</v>
      </c>
      <c r="AD194" s="299"/>
      <c r="AE194" s="299"/>
      <c r="AF194" s="355"/>
      <c r="AG194" s="299" t="str">
        <f>IFERROR(IF(VLOOKUP(功能_33[[#This Row],[功能代號]],E:Q,11,FALSE)=0,"",VLOOKUP(功能_33[[#This Row],[功能代號]],E:Q,11,FALSE)),"")</f>
        <v>邵淑微</v>
      </c>
      <c r="AH194" s="299"/>
      <c r="AI194" s="299"/>
      <c r="AJ194" s="292"/>
      <c r="AK194" s="299"/>
      <c r="AL194" s="227" t="s">
        <v>2993</v>
      </c>
      <c r="AM194" s="292" t="s">
        <v>2994</v>
      </c>
      <c r="AN194" s="292" t="e">
        <f>VLOOKUP(功能_33[[#This Row],[功能代號]],需二審tmp!A:A,1,FALSE)</f>
        <v>#N/A</v>
      </c>
      <c r="AO194" s="356">
        <v>44533</v>
      </c>
      <c r="AQ194" s="574" t="str">
        <f t="shared" si="21"/>
        <v>4-5</v>
      </c>
      <c r="AR194" s="576" t="str">
        <f t="shared" si="22"/>
        <v/>
      </c>
      <c r="AS194" s="578" t="str">
        <f t="shared" si="23"/>
        <v/>
      </c>
      <c r="AT194" s="580" t="str">
        <f t="shared" si="24"/>
        <v/>
      </c>
      <c r="AU194" s="582" t="str">
        <f t="shared" si="25"/>
        <v/>
      </c>
      <c r="AV194" s="584" t="str">
        <f t="shared" si="26"/>
        <v/>
      </c>
      <c r="AW194" s="662" t="str">
        <f>IFERROR(VLOOKUP(功能_33[[#This Row],[功能代號]],工作表3!C:C,1,FALSE),"未計SIT測試")</f>
        <v>未計SIT測試</v>
      </c>
    </row>
    <row r="195" spans="1:49" ht="13.5" x14ac:dyDescent="0.3">
      <c r="C195" s="292" t="s">
        <v>93</v>
      </c>
      <c r="D195" s="292" t="s">
        <v>624</v>
      </c>
      <c r="E195" s="227" t="s">
        <v>633</v>
      </c>
      <c r="F195" s="292" t="s">
        <v>634</v>
      </c>
      <c r="G195" s="292"/>
      <c r="H195" s="291" t="s">
        <v>193</v>
      </c>
      <c r="I195" s="291" t="s">
        <v>2774</v>
      </c>
      <c r="J195" s="225" t="s">
        <v>2959</v>
      </c>
      <c r="K195" s="299">
        <v>44468</v>
      </c>
      <c r="L195" s="299">
        <v>44468</v>
      </c>
      <c r="M195" s="299">
        <v>44533</v>
      </c>
      <c r="N195" s="291" t="s">
        <v>12</v>
      </c>
      <c r="O195" s="291" t="s">
        <v>24</v>
      </c>
      <c r="T195" s="291"/>
      <c r="V195" s="291"/>
      <c r="W195" s="291"/>
      <c r="X195" s="292" t="str">
        <f>VLOOKUP(功能_33[[#This Row],[User]],SKL放款!A:G,7,FALSE)</f>
        <v>放款服務課</v>
      </c>
      <c r="Y195" s="299">
        <v>44533</v>
      </c>
      <c r="Z195" s="299" t="s">
        <v>195</v>
      </c>
      <c r="AA195" s="299">
        <v>44531</v>
      </c>
      <c r="AB195" s="299">
        <v>44531</v>
      </c>
      <c r="AC195" s="299">
        <v>44539</v>
      </c>
      <c r="AD195" s="299"/>
      <c r="AE195" s="299"/>
      <c r="AF195" s="355"/>
      <c r="AG195" s="299" t="str">
        <f>IFERROR(IF(VLOOKUP(功能_33[[#This Row],[功能代號]],E:Q,11,FALSE)=0,"",VLOOKUP(功能_33[[#This Row],[功能代號]],E:Q,11,FALSE)),"")</f>
        <v>邵淑微</v>
      </c>
      <c r="AH195" s="299"/>
      <c r="AI195" s="299"/>
      <c r="AJ195" s="292"/>
      <c r="AK195" s="299"/>
      <c r="AL195" s="227" t="s">
        <v>2995</v>
      </c>
      <c r="AM195" s="292" t="s">
        <v>2996</v>
      </c>
      <c r="AN195" s="292" t="e">
        <f>VLOOKUP(功能_33[[#This Row],[功能代號]],需二審tmp!A:A,1,FALSE)</f>
        <v>#N/A</v>
      </c>
      <c r="AO195" s="356">
        <v>44533</v>
      </c>
      <c r="AQ195" s="574" t="str">
        <f t="shared" si="21"/>
        <v>4-5</v>
      </c>
      <c r="AR195" s="576" t="str">
        <f t="shared" si="22"/>
        <v/>
      </c>
      <c r="AS195" s="578" t="str">
        <f t="shared" si="23"/>
        <v/>
      </c>
      <c r="AT195" s="580" t="str">
        <f t="shared" si="24"/>
        <v/>
      </c>
      <c r="AU195" s="582" t="str">
        <f t="shared" si="25"/>
        <v/>
      </c>
      <c r="AV195" s="584" t="str">
        <f t="shared" si="26"/>
        <v/>
      </c>
      <c r="AW195" s="662" t="str">
        <f>IFERROR(VLOOKUP(功能_33[[#This Row],[功能代號]],工作表3!C:C,1,FALSE),"未計SIT測試")</f>
        <v>未計SIT測試</v>
      </c>
    </row>
    <row r="196" spans="1:49" ht="40.5" x14ac:dyDescent="0.3">
      <c r="C196" s="292" t="s">
        <v>93</v>
      </c>
      <c r="D196" s="292" t="s">
        <v>624</v>
      </c>
      <c r="E196" s="227" t="s">
        <v>635</v>
      </c>
      <c r="F196" s="292" t="s">
        <v>636</v>
      </c>
      <c r="G196" s="292"/>
      <c r="H196" s="291" t="s">
        <v>193</v>
      </c>
      <c r="I196" s="291" t="s">
        <v>2774</v>
      </c>
      <c r="J196" s="225" t="s">
        <v>2959</v>
      </c>
      <c r="K196" s="299">
        <v>44468</v>
      </c>
      <c r="L196" s="299">
        <v>44468</v>
      </c>
      <c r="M196" s="299">
        <v>44533</v>
      </c>
      <c r="N196" s="291" t="s">
        <v>12</v>
      </c>
      <c r="O196" s="291" t="s">
        <v>24</v>
      </c>
      <c r="T196" s="291"/>
      <c r="V196" s="291"/>
      <c r="W196" s="291"/>
      <c r="X196" s="292" t="str">
        <f>VLOOKUP(功能_33[[#This Row],[User]],SKL放款!A:G,7,FALSE)</f>
        <v>放款服務課</v>
      </c>
      <c r="Y196" s="299">
        <v>44533</v>
      </c>
      <c r="Z196" s="299" t="s">
        <v>133</v>
      </c>
      <c r="AA196" s="299">
        <v>44531</v>
      </c>
      <c r="AB196" s="299">
        <v>44531</v>
      </c>
      <c r="AC196" s="299">
        <v>44539</v>
      </c>
      <c r="AD196" s="299"/>
      <c r="AE196" s="299"/>
      <c r="AF196" s="355"/>
      <c r="AG196" s="299" t="str">
        <f>IFERROR(IF(VLOOKUP(功能_33[[#This Row],[功能代號]],E:Q,11,FALSE)=0,"",VLOOKUP(功能_33[[#This Row],[功能代號]],E:Q,11,FALSE)),"")</f>
        <v>邵淑微</v>
      </c>
      <c r="AH196" s="299"/>
      <c r="AI196" s="299"/>
      <c r="AJ196" s="292"/>
      <c r="AK196" s="299"/>
      <c r="AL196" s="308" t="s">
        <v>2997</v>
      </c>
      <c r="AM196" s="219" t="s">
        <v>2998</v>
      </c>
      <c r="AN196" s="292" t="str">
        <f>VLOOKUP(功能_33[[#This Row],[功能代號]],需二審tmp!A:A,1,FALSE)</f>
        <v>L4511</v>
      </c>
      <c r="AO196" s="356">
        <v>44533</v>
      </c>
      <c r="AQ196" s="574" t="str">
        <f t="shared" si="21"/>
        <v>4-5</v>
      </c>
      <c r="AR196" s="576" t="str">
        <f t="shared" si="22"/>
        <v/>
      </c>
      <c r="AS196" s="578" t="str">
        <f t="shared" si="23"/>
        <v/>
      </c>
      <c r="AT196" s="580" t="str">
        <f t="shared" si="24"/>
        <v/>
      </c>
      <c r="AU196" s="582" t="str">
        <f t="shared" si="25"/>
        <v/>
      </c>
      <c r="AV196" s="584" t="str">
        <f t="shared" si="26"/>
        <v/>
      </c>
      <c r="AW196" s="662" t="str">
        <f>IFERROR(VLOOKUP(功能_33[[#This Row],[功能代號]],工作表3!C:C,1,FALSE),"未計SIT測試")</f>
        <v>未計SIT測試</v>
      </c>
    </row>
    <row r="197" spans="1:49" ht="94.5" x14ac:dyDescent="0.3">
      <c r="C197" s="292" t="s">
        <v>93</v>
      </c>
      <c r="D197" s="292" t="s">
        <v>410</v>
      </c>
      <c r="E197" s="291" t="s">
        <v>637</v>
      </c>
      <c r="F197" s="292" t="s">
        <v>638</v>
      </c>
      <c r="G197" s="292"/>
      <c r="H197" s="291" t="s">
        <v>193</v>
      </c>
      <c r="I197" s="291" t="s">
        <v>2774</v>
      </c>
      <c r="J197" s="225" t="s">
        <v>2959</v>
      </c>
      <c r="K197" s="299">
        <v>44469</v>
      </c>
      <c r="L197" s="299">
        <v>44468</v>
      </c>
      <c r="M197" s="299">
        <v>44523</v>
      </c>
      <c r="N197" s="291" t="s">
        <v>8</v>
      </c>
      <c r="O197" s="291" t="s">
        <v>11</v>
      </c>
      <c r="T197" s="291"/>
      <c r="V197" s="291"/>
      <c r="W197" s="291"/>
      <c r="X197" s="292" t="str">
        <f>VLOOKUP(功能_33[[#This Row],[User]],SKL放款!A:G,7,FALSE)</f>
        <v>放款服務課</v>
      </c>
      <c r="Y197" s="299">
        <v>44533</v>
      </c>
      <c r="Z197" s="299" t="s">
        <v>133</v>
      </c>
      <c r="AA197" s="299">
        <v>44523</v>
      </c>
      <c r="AB197" s="299">
        <v>44525</v>
      </c>
      <c r="AC197" s="299">
        <v>44539</v>
      </c>
      <c r="AD197" s="299"/>
      <c r="AE197" s="299"/>
      <c r="AF197" s="355"/>
      <c r="AG197" s="299" t="str">
        <f>IFERROR(IF(VLOOKUP(功能_33[[#This Row],[功能代號]],E:Q,11,FALSE)=0,"",VLOOKUP(功能_33[[#This Row],[功能代號]],E:Q,11,FALSE)),"")</f>
        <v>蔡珮瑜</v>
      </c>
      <c r="AH197" s="299"/>
      <c r="AI197" s="299"/>
      <c r="AJ197" s="292"/>
      <c r="AK197" s="224" t="s">
        <v>639</v>
      </c>
      <c r="AL197" s="308" t="s">
        <v>3012</v>
      </c>
      <c r="AM197" s="219" t="s">
        <v>3013</v>
      </c>
      <c r="AN197" s="292" t="str">
        <f>VLOOKUP(功能_33[[#This Row],[功能代號]],需二審tmp!A:A,1,FALSE)</f>
        <v>L4200</v>
      </c>
      <c r="AO197" s="356">
        <v>44523</v>
      </c>
      <c r="AQ197" s="574" t="str">
        <f t="shared" si="21"/>
        <v>4-2</v>
      </c>
      <c r="AR197" s="576" t="str">
        <f t="shared" si="22"/>
        <v/>
      </c>
      <c r="AS197" s="578" t="str">
        <f t="shared" si="23"/>
        <v/>
      </c>
      <c r="AT197" s="580" t="str">
        <f t="shared" si="24"/>
        <v/>
      </c>
      <c r="AU197" s="582" t="str">
        <f t="shared" si="25"/>
        <v/>
      </c>
      <c r="AV197" s="584" t="str">
        <f t="shared" si="26"/>
        <v/>
      </c>
      <c r="AW197" s="662" t="str">
        <f>IFERROR(VLOOKUP(功能_33[[#This Row],[功能代號]],工作表3!C:C,1,FALSE),"未計SIT測試")</f>
        <v>L4200</v>
      </c>
    </row>
    <row r="198" spans="1:49" ht="27" x14ac:dyDescent="0.3">
      <c r="A198" s="604">
        <v>44558</v>
      </c>
      <c r="C198" s="292" t="s">
        <v>93</v>
      </c>
      <c r="D198" s="292" t="s">
        <v>624</v>
      </c>
      <c r="E198" s="227" t="s">
        <v>640</v>
      </c>
      <c r="F198" s="292" t="s">
        <v>641</v>
      </c>
      <c r="G198" s="292"/>
      <c r="H198" s="291" t="s">
        <v>193</v>
      </c>
      <c r="I198" s="291" t="s">
        <v>2774</v>
      </c>
      <c r="J198" s="225" t="s">
        <v>3241</v>
      </c>
      <c r="K198" s="299">
        <v>44473</v>
      </c>
      <c r="L198" s="299">
        <v>44468</v>
      </c>
      <c r="M198" s="228">
        <v>44550</v>
      </c>
      <c r="N198" s="291" t="s">
        <v>12</v>
      </c>
      <c r="O198" s="291" t="s">
        <v>24</v>
      </c>
      <c r="T198" s="291"/>
      <c r="V198" s="291"/>
      <c r="W198" s="291"/>
      <c r="X198" s="292" t="str">
        <f>VLOOKUP(功能_33[[#This Row],[User]],SKL放款!A:G,7,FALSE)</f>
        <v>放款服務課</v>
      </c>
      <c r="Y198" s="228">
        <v>44550</v>
      </c>
      <c r="Z198" s="299" t="s">
        <v>133</v>
      </c>
      <c r="AA198" s="299">
        <v>44531</v>
      </c>
      <c r="AB198" s="299">
        <v>44531</v>
      </c>
      <c r="AC198" s="299">
        <v>44550</v>
      </c>
      <c r="AD198" s="299"/>
      <c r="AE198" s="299"/>
      <c r="AF198" s="355"/>
      <c r="AG198" s="299" t="str">
        <f>IFERROR(IF(VLOOKUP(功能_33[[#This Row],[功能代號]],E:Q,11,FALSE)=0,"",VLOOKUP(功能_33[[#This Row],[功能代號]],E:Q,11,FALSE)),"")</f>
        <v>邵淑微</v>
      </c>
      <c r="AH198" s="299"/>
      <c r="AI198" s="299"/>
      <c r="AJ198" s="292"/>
      <c r="AK198" s="299"/>
      <c r="AL198" s="220" t="s">
        <v>2999</v>
      </c>
      <c r="AM198" s="292" t="s">
        <v>3000</v>
      </c>
      <c r="AN198" s="292" t="str">
        <f>VLOOKUP(功能_33[[#This Row],[功能代號]],需二審tmp!A:A,1,FALSE)</f>
        <v>L4520</v>
      </c>
      <c r="AQ198" s="574" t="str">
        <f t="shared" si="21"/>
        <v>4-5</v>
      </c>
      <c r="AR198" s="576" t="str">
        <f t="shared" si="22"/>
        <v/>
      </c>
      <c r="AS198" s="578" t="str">
        <f t="shared" si="23"/>
        <v/>
      </c>
      <c r="AT198" s="580" t="str">
        <f t="shared" si="24"/>
        <v/>
      </c>
      <c r="AU198" s="582" t="str">
        <f t="shared" si="25"/>
        <v/>
      </c>
      <c r="AV198" s="584" t="str">
        <f t="shared" si="26"/>
        <v/>
      </c>
      <c r="AW198" s="662" t="str">
        <f>IFERROR(VLOOKUP(功能_33[[#This Row],[功能代號]],工作表3!C:C,1,FALSE),"未計SIT測試")</f>
        <v>未計SIT測試</v>
      </c>
    </row>
    <row r="199" spans="1:49" ht="13.5" x14ac:dyDescent="0.3">
      <c r="C199" s="292" t="s">
        <v>93</v>
      </c>
      <c r="D199" s="292" t="s">
        <v>642</v>
      </c>
      <c r="E199" s="291" t="s">
        <v>643</v>
      </c>
      <c r="F199" s="292" t="s">
        <v>644</v>
      </c>
      <c r="G199" s="292"/>
      <c r="H199" s="291" t="s">
        <v>193</v>
      </c>
      <c r="I199" s="291" t="s">
        <v>2774</v>
      </c>
      <c r="J199" s="225" t="s">
        <v>2959</v>
      </c>
      <c r="K199" s="299">
        <v>44473</v>
      </c>
      <c r="L199" s="299">
        <v>44468</v>
      </c>
      <c r="M199" s="299">
        <v>44379</v>
      </c>
      <c r="N199" s="291" t="s">
        <v>8</v>
      </c>
      <c r="O199" s="291" t="s">
        <v>24</v>
      </c>
      <c r="T199" s="291"/>
      <c r="V199" s="291"/>
      <c r="W199" s="291"/>
      <c r="X199" s="292" t="str">
        <f>VLOOKUP(功能_33[[#This Row],[User]],SKL放款!A:G,7,FALSE)</f>
        <v>放款服務課</v>
      </c>
      <c r="Y199" s="299">
        <v>44533</v>
      </c>
      <c r="Z199" s="299" t="s">
        <v>195</v>
      </c>
      <c r="AA199" s="299">
        <v>44531</v>
      </c>
      <c r="AB199" s="299">
        <v>44531</v>
      </c>
      <c r="AC199" s="299">
        <v>44539</v>
      </c>
      <c r="AD199" s="299"/>
      <c r="AE199" s="299"/>
      <c r="AF199" s="355"/>
      <c r="AG199" s="299" t="str">
        <f>IFERROR(IF(VLOOKUP(功能_33[[#This Row],[功能代號]],E:Q,11,FALSE)=0,"",VLOOKUP(功能_33[[#This Row],[功能代號]],E:Q,11,FALSE)),"")</f>
        <v>邵淑微</v>
      </c>
      <c r="AH199" s="299"/>
      <c r="AI199" s="299"/>
      <c r="AJ199" s="292"/>
      <c r="AK199" s="299"/>
      <c r="AL199" s="291" t="s">
        <v>2976</v>
      </c>
      <c r="AM199" s="291" t="s">
        <v>2976</v>
      </c>
      <c r="AN199" s="292" t="e">
        <f>VLOOKUP(功能_33[[#This Row],[功能代號]],需二審tmp!A:A,1,FALSE)</f>
        <v>#N/A</v>
      </c>
      <c r="AO199" s="356">
        <v>44523</v>
      </c>
      <c r="AQ199" s="574" t="str">
        <f t="shared" si="21"/>
        <v>4-5</v>
      </c>
      <c r="AR199" s="576" t="str">
        <f t="shared" si="22"/>
        <v/>
      </c>
      <c r="AS199" s="578" t="str">
        <f t="shared" si="23"/>
        <v/>
      </c>
      <c r="AT199" s="580" t="str">
        <f t="shared" si="24"/>
        <v/>
      </c>
      <c r="AU199" s="582" t="str">
        <f t="shared" si="25"/>
        <v/>
      </c>
      <c r="AV199" s="584" t="str">
        <f t="shared" si="26"/>
        <v/>
      </c>
      <c r="AW199" s="662" t="str">
        <f>IFERROR(VLOOKUP(功能_33[[#This Row],[功能代號]],工作表3!C:C,1,FALSE),"未計SIT測試")</f>
        <v>未計SIT測試</v>
      </c>
    </row>
    <row r="200" spans="1:49" ht="13.5" x14ac:dyDescent="0.3">
      <c r="C200" s="292" t="s">
        <v>93</v>
      </c>
      <c r="D200" s="292" t="s">
        <v>410</v>
      </c>
      <c r="E200" s="291" t="s">
        <v>645</v>
      </c>
      <c r="F200" s="292" t="s">
        <v>646</v>
      </c>
      <c r="G200" s="292"/>
      <c r="H200" s="291" t="s">
        <v>193</v>
      </c>
      <c r="I200" s="291" t="s">
        <v>2774</v>
      </c>
      <c r="J200" s="225" t="s">
        <v>2959</v>
      </c>
      <c r="K200" s="299">
        <v>44470</v>
      </c>
      <c r="L200" s="299">
        <v>44470</v>
      </c>
      <c r="M200" s="299">
        <v>44523</v>
      </c>
      <c r="N200" s="291" t="s">
        <v>8</v>
      </c>
      <c r="O200" s="291" t="s">
        <v>24</v>
      </c>
      <c r="T200" s="291"/>
      <c r="V200" s="291"/>
      <c r="W200" s="291"/>
      <c r="X200" s="292" t="str">
        <f>VLOOKUP(功能_33[[#This Row],[User]],SKL放款!A:G,7,FALSE)</f>
        <v>放款服務課</v>
      </c>
      <c r="Y200" s="299">
        <v>44533</v>
      </c>
      <c r="Z200" s="299">
        <v>44524</v>
      </c>
      <c r="AA200" s="299">
        <v>44524</v>
      </c>
      <c r="AB200" s="299">
        <v>44524</v>
      </c>
      <c r="AC200" s="299">
        <v>44539</v>
      </c>
      <c r="AD200" s="299"/>
      <c r="AE200" s="299"/>
      <c r="AF200" s="355"/>
      <c r="AG200" s="299" t="str">
        <f>IFERROR(IF(VLOOKUP(功能_33[[#This Row],[功能代號]],E:Q,11,FALSE)=0,"",VLOOKUP(功能_33[[#This Row],[功能代號]],E:Q,11,FALSE)),"")</f>
        <v>邵淑微</v>
      </c>
      <c r="AH200" s="299"/>
      <c r="AI200" s="299"/>
      <c r="AJ200" s="292"/>
      <c r="AK200" s="299"/>
      <c r="AL200" s="291" t="s">
        <v>2976</v>
      </c>
      <c r="AM200" s="291" t="s">
        <v>2976</v>
      </c>
      <c r="AN200" s="292" t="e">
        <f>VLOOKUP(功能_33[[#This Row],[功能代號]],需二審tmp!A:A,1,FALSE)</f>
        <v>#N/A</v>
      </c>
      <c r="AO200" s="356">
        <v>44523</v>
      </c>
      <c r="AQ200" s="574" t="str">
        <f t="shared" si="21"/>
        <v>4-2</v>
      </c>
      <c r="AR200" s="576" t="str">
        <f t="shared" si="22"/>
        <v/>
      </c>
      <c r="AS200" s="578" t="str">
        <f t="shared" si="23"/>
        <v/>
      </c>
      <c r="AT200" s="580" t="str">
        <f t="shared" si="24"/>
        <v/>
      </c>
      <c r="AU200" s="582" t="str">
        <f t="shared" si="25"/>
        <v/>
      </c>
      <c r="AV200" s="584" t="str">
        <f t="shared" si="26"/>
        <v/>
      </c>
      <c r="AW200" s="662" t="str">
        <f>IFERROR(VLOOKUP(功能_33[[#This Row],[功能代號]],工作表3!C:C,1,FALSE),"未計SIT測試")</f>
        <v>L4205</v>
      </c>
    </row>
    <row r="201" spans="1:49" ht="121.5" x14ac:dyDescent="0.3">
      <c r="C201" s="292" t="s">
        <v>93</v>
      </c>
      <c r="D201" s="292" t="s">
        <v>410</v>
      </c>
      <c r="E201" s="291" t="s">
        <v>647</v>
      </c>
      <c r="F201" s="292" t="s">
        <v>648</v>
      </c>
      <c r="G201" s="292"/>
      <c r="H201" s="291" t="s">
        <v>193</v>
      </c>
      <c r="I201" s="291" t="s">
        <v>2774</v>
      </c>
      <c r="J201" s="225" t="s">
        <v>2959</v>
      </c>
      <c r="K201" s="299">
        <v>44469</v>
      </c>
      <c r="L201" s="261">
        <v>44484</v>
      </c>
      <c r="M201" s="299">
        <v>44523</v>
      </c>
      <c r="N201" s="291" t="s">
        <v>8</v>
      </c>
      <c r="O201" s="291" t="s">
        <v>11</v>
      </c>
      <c r="P201" s="270" t="s">
        <v>23</v>
      </c>
      <c r="T201" s="291"/>
      <c r="V201" s="291"/>
      <c r="W201" s="291"/>
      <c r="X201" s="292" t="str">
        <f>VLOOKUP(功能_33[[#This Row],[User]],SKL放款!A:G,7,FALSE)</f>
        <v>放款服務課</v>
      </c>
      <c r="Y201" s="299">
        <v>44533</v>
      </c>
      <c r="Z201" s="299" t="s">
        <v>133</v>
      </c>
      <c r="AA201" s="299">
        <v>44523</v>
      </c>
      <c r="AB201" s="299">
        <v>44525</v>
      </c>
      <c r="AC201" s="299">
        <v>44539</v>
      </c>
      <c r="AD201" s="299"/>
      <c r="AE201" s="299"/>
      <c r="AF201" s="355"/>
      <c r="AG201" s="299" t="str">
        <f>IFERROR(IF(VLOOKUP(功能_33[[#This Row],[功能代號]],E:Q,11,FALSE)=0,"",VLOOKUP(功能_33[[#This Row],[功能代號]],E:Q,11,FALSE)),"")</f>
        <v>蔡珮瑜</v>
      </c>
      <c r="AH201" s="299"/>
      <c r="AI201" s="299"/>
      <c r="AJ201" s="292"/>
      <c r="AK201" s="224" t="s">
        <v>649</v>
      </c>
      <c r="AL201" s="308" t="s">
        <v>3014</v>
      </c>
      <c r="AM201" s="219" t="s">
        <v>3015</v>
      </c>
      <c r="AN201" s="292" t="str">
        <f>VLOOKUP(功能_33[[#This Row],[功能代號]],需二審tmp!A:A,1,FALSE)</f>
        <v>L4002</v>
      </c>
      <c r="AO201" s="356">
        <v>44523</v>
      </c>
      <c r="AQ201" s="574" t="str">
        <f t="shared" si="21"/>
        <v>4-2</v>
      </c>
      <c r="AR201" s="576" t="str">
        <f t="shared" si="22"/>
        <v/>
      </c>
      <c r="AS201" s="578" t="str">
        <f t="shared" si="23"/>
        <v/>
      </c>
      <c r="AT201" s="580" t="str">
        <f t="shared" si="24"/>
        <v/>
      </c>
      <c r="AU201" s="582" t="str">
        <f t="shared" si="25"/>
        <v/>
      </c>
      <c r="AV201" s="584" t="str">
        <f t="shared" si="26"/>
        <v/>
      </c>
      <c r="AW201" s="662" t="str">
        <f>IFERROR(VLOOKUP(功能_33[[#This Row],[功能代號]],工作表3!C:C,1,FALSE),"未計SIT測試")</f>
        <v>L4002</v>
      </c>
    </row>
    <row r="202" spans="1:49" ht="13.5" x14ac:dyDescent="0.3">
      <c r="C202" s="292" t="s">
        <v>93</v>
      </c>
      <c r="D202" s="292" t="s">
        <v>410</v>
      </c>
      <c r="E202" s="291" t="s">
        <v>650</v>
      </c>
      <c r="F202" s="292" t="s">
        <v>651</v>
      </c>
      <c r="G202" s="292"/>
      <c r="H202" s="291" t="s">
        <v>193</v>
      </c>
      <c r="I202" s="291" t="s">
        <v>2774</v>
      </c>
      <c r="J202" s="225" t="s">
        <v>2959</v>
      </c>
      <c r="K202" s="299">
        <v>44469</v>
      </c>
      <c r="L202" s="299">
        <v>44484</v>
      </c>
      <c r="M202" s="299">
        <v>44523</v>
      </c>
      <c r="N202" s="291" t="s">
        <v>8</v>
      </c>
      <c r="O202" s="291" t="s">
        <v>22</v>
      </c>
      <c r="T202" s="291"/>
      <c r="V202" s="291"/>
      <c r="W202" s="291"/>
      <c r="X202" s="292" t="str">
        <f>VLOOKUP(功能_33[[#This Row],[User]],SKL放款!A:G,7,FALSE)</f>
        <v>放款服務課</v>
      </c>
      <c r="Y202" s="299">
        <v>44533</v>
      </c>
      <c r="Z202" s="299" t="s">
        <v>195</v>
      </c>
      <c r="AA202" s="299">
        <v>44523</v>
      </c>
      <c r="AB202" s="299">
        <v>44525</v>
      </c>
      <c r="AC202" s="299">
        <v>44539</v>
      </c>
      <c r="AD202" s="299"/>
      <c r="AE202" s="299"/>
      <c r="AF202" s="355"/>
      <c r="AG202" s="299" t="str">
        <f>IFERROR(IF(VLOOKUP(功能_33[[#This Row],[功能代號]],E:Q,11,FALSE)=0,"",VLOOKUP(功能_33[[#This Row],[功能代號]],E:Q,11,FALSE)),"")</f>
        <v>許慧玉</v>
      </c>
      <c r="AH202" s="299"/>
      <c r="AI202" s="299"/>
      <c r="AJ202" s="292"/>
      <c r="AK202" s="299"/>
      <c r="AL202" s="291" t="s">
        <v>2976</v>
      </c>
      <c r="AM202" s="291" t="s">
        <v>2976</v>
      </c>
      <c r="AN202" s="292" t="e">
        <f>VLOOKUP(功能_33[[#This Row],[功能代號]],需二審tmp!A:A,1,FALSE)</f>
        <v>#N/A</v>
      </c>
      <c r="AO202" s="356">
        <v>44523</v>
      </c>
      <c r="AQ202" s="574" t="str">
        <f t="shared" si="21"/>
        <v>4-2</v>
      </c>
      <c r="AR202" s="576" t="str">
        <f t="shared" si="22"/>
        <v/>
      </c>
      <c r="AS202" s="578" t="str">
        <f t="shared" si="23"/>
        <v/>
      </c>
      <c r="AT202" s="580" t="str">
        <f t="shared" si="24"/>
        <v/>
      </c>
      <c r="AU202" s="582" t="str">
        <f t="shared" si="25"/>
        <v/>
      </c>
      <c r="AV202" s="584" t="str">
        <f t="shared" si="26"/>
        <v/>
      </c>
      <c r="AW202" s="662" t="str">
        <f>IFERROR(VLOOKUP(功能_33[[#This Row],[功能代號]],工作表3!C:C,1,FALSE),"未計SIT測試")</f>
        <v>L420A</v>
      </c>
    </row>
    <row r="203" spans="1:49" ht="13.5" x14ac:dyDescent="0.3">
      <c r="C203" s="292" t="s">
        <v>93</v>
      </c>
      <c r="D203" s="292" t="s">
        <v>410</v>
      </c>
      <c r="E203" s="291" t="s">
        <v>652</v>
      </c>
      <c r="F203" s="292" t="s">
        <v>653</v>
      </c>
      <c r="G203" s="292"/>
      <c r="H203" s="291" t="s">
        <v>193</v>
      </c>
      <c r="I203" s="291" t="s">
        <v>2774</v>
      </c>
      <c r="J203" s="225" t="s">
        <v>2959</v>
      </c>
      <c r="K203" s="299">
        <v>44469</v>
      </c>
      <c r="L203" s="299">
        <v>44484</v>
      </c>
      <c r="M203" s="299">
        <v>44523</v>
      </c>
      <c r="N203" s="291" t="s">
        <v>8</v>
      </c>
      <c r="O203" s="291" t="s">
        <v>22</v>
      </c>
      <c r="T203" s="291"/>
      <c r="V203" s="291"/>
      <c r="W203" s="291"/>
      <c r="X203" s="292" t="str">
        <f>VLOOKUP(功能_33[[#This Row],[User]],SKL放款!A:G,7,FALSE)</f>
        <v>放款服務課</v>
      </c>
      <c r="Y203" s="299">
        <v>44533</v>
      </c>
      <c r="Z203" s="299" t="s">
        <v>195</v>
      </c>
      <c r="AA203" s="299">
        <v>44523</v>
      </c>
      <c r="AB203" s="299">
        <v>44525</v>
      </c>
      <c r="AC203" s="299">
        <v>44539</v>
      </c>
      <c r="AD203" s="299"/>
      <c r="AE203" s="299"/>
      <c r="AF203" s="355"/>
      <c r="AG203" s="299" t="str">
        <f>IFERROR(IF(VLOOKUP(功能_33[[#This Row],[功能代號]],E:Q,11,FALSE)=0,"",VLOOKUP(功能_33[[#This Row],[功能代號]],E:Q,11,FALSE)),"")</f>
        <v>許慧玉</v>
      </c>
      <c r="AH203" s="299"/>
      <c r="AI203" s="299"/>
      <c r="AJ203" s="292"/>
      <c r="AK203" s="299"/>
      <c r="AL203" s="291" t="s">
        <v>2976</v>
      </c>
      <c r="AM203" s="291" t="s">
        <v>2976</v>
      </c>
      <c r="AN203" s="292" t="e">
        <f>VLOOKUP(功能_33[[#This Row],[功能代號]],需二審tmp!A:A,1,FALSE)</f>
        <v>#N/A</v>
      </c>
      <c r="AO203" s="356">
        <v>44523</v>
      </c>
      <c r="AQ203" s="574" t="str">
        <f t="shared" si="21"/>
        <v>4-2</v>
      </c>
      <c r="AR203" s="576" t="str">
        <f t="shared" si="22"/>
        <v/>
      </c>
      <c r="AS203" s="578" t="str">
        <f t="shared" si="23"/>
        <v/>
      </c>
      <c r="AT203" s="580" t="str">
        <f t="shared" si="24"/>
        <v/>
      </c>
      <c r="AU203" s="582" t="str">
        <f t="shared" si="25"/>
        <v/>
      </c>
      <c r="AV203" s="584" t="str">
        <f t="shared" si="26"/>
        <v/>
      </c>
      <c r="AW203" s="662" t="str">
        <f>IFERROR(VLOOKUP(功能_33[[#This Row],[功能代號]],工作表3!C:C,1,FALSE),"未計SIT測試")</f>
        <v>L420B</v>
      </c>
    </row>
    <row r="204" spans="1:49" ht="27" x14ac:dyDescent="0.3">
      <c r="C204" s="292" t="s">
        <v>93</v>
      </c>
      <c r="D204" s="292" t="s">
        <v>410</v>
      </c>
      <c r="E204" s="291" t="s">
        <v>654</v>
      </c>
      <c r="F204" s="292" t="s">
        <v>655</v>
      </c>
      <c r="G204" s="292"/>
      <c r="H204" s="291" t="s">
        <v>193</v>
      </c>
      <c r="I204" s="291" t="s">
        <v>2774</v>
      </c>
      <c r="J204" s="225" t="s">
        <v>2959</v>
      </c>
      <c r="K204" s="299">
        <v>44469</v>
      </c>
      <c r="L204" s="299">
        <v>44484</v>
      </c>
      <c r="M204" s="299">
        <v>44523</v>
      </c>
      <c r="N204" s="291" t="s">
        <v>8</v>
      </c>
      <c r="O204" s="291" t="s">
        <v>11</v>
      </c>
      <c r="P204" s="270" t="s">
        <v>23</v>
      </c>
      <c r="T204" s="291"/>
      <c r="V204" s="291"/>
      <c r="W204" s="291"/>
      <c r="X204" s="292" t="str">
        <f>VLOOKUP(功能_33[[#This Row],[User]],SKL放款!A:G,7,FALSE)</f>
        <v>放款服務課</v>
      </c>
      <c r="Y204" s="299">
        <v>44533</v>
      </c>
      <c r="Z204" s="299" t="s">
        <v>133</v>
      </c>
      <c r="AA204" s="299">
        <v>44523</v>
      </c>
      <c r="AB204" s="299">
        <v>44525</v>
      </c>
      <c r="AC204" s="299">
        <v>44539</v>
      </c>
      <c r="AD204" s="299"/>
      <c r="AE204" s="299"/>
      <c r="AF204" s="355"/>
      <c r="AG204" s="299" t="str">
        <f>IFERROR(IF(VLOOKUP(功能_33[[#This Row],[功能代號]],E:Q,11,FALSE)=0,"",VLOOKUP(功能_33[[#This Row],[功能代號]],E:Q,11,FALSE)),"")</f>
        <v>蔡珮瑜</v>
      </c>
      <c r="AH204" s="299"/>
      <c r="AI204" s="299"/>
      <c r="AJ204" s="292"/>
      <c r="AK204" s="224" t="s">
        <v>649</v>
      </c>
      <c r="AL204" s="308" t="s">
        <v>3010</v>
      </c>
      <c r="AM204" s="219" t="s">
        <v>3011</v>
      </c>
      <c r="AN204" s="292" t="str">
        <f>VLOOKUP(功能_33[[#This Row],[功能代號]],需二審tmp!A:A,1,FALSE)</f>
        <v>L4920</v>
      </c>
      <c r="AO204" s="356">
        <v>44523</v>
      </c>
      <c r="AQ204" s="574" t="str">
        <f t="shared" si="21"/>
        <v>4-2</v>
      </c>
      <c r="AR204" s="576" t="str">
        <f t="shared" si="22"/>
        <v/>
      </c>
      <c r="AS204" s="578" t="str">
        <f t="shared" si="23"/>
        <v/>
      </c>
      <c r="AT204" s="580" t="str">
        <f t="shared" si="24"/>
        <v/>
      </c>
      <c r="AU204" s="582" t="str">
        <f t="shared" si="25"/>
        <v/>
      </c>
      <c r="AV204" s="584" t="str">
        <f t="shared" si="26"/>
        <v/>
      </c>
      <c r="AW204" s="662" t="str">
        <f>IFERROR(VLOOKUP(功能_33[[#This Row],[功能代號]],工作表3!C:C,1,FALSE),"未計SIT測試")</f>
        <v>L4920</v>
      </c>
    </row>
    <row r="205" spans="1:49" ht="13.5" x14ac:dyDescent="0.3">
      <c r="C205" s="292" t="s">
        <v>93</v>
      </c>
      <c r="D205" s="292" t="s">
        <v>410</v>
      </c>
      <c r="E205" s="291" t="s">
        <v>656</v>
      </c>
      <c r="F205" s="292" t="s">
        <v>657</v>
      </c>
      <c r="G205" s="292"/>
      <c r="H205" s="291" t="s">
        <v>193</v>
      </c>
      <c r="I205" s="291" t="s">
        <v>2774</v>
      </c>
      <c r="J205" s="225" t="s">
        <v>2959</v>
      </c>
      <c r="K205" s="299">
        <v>44469</v>
      </c>
      <c r="L205" s="299">
        <v>44484</v>
      </c>
      <c r="M205" s="299">
        <v>44523</v>
      </c>
      <c r="N205" s="291" t="s">
        <v>8</v>
      </c>
      <c r="O205" s="291" t="s">
        <v>11</v>
      </c>
      <c r="T205" s="291"/>
      <c r="V205" s="291"/>
      <c r="W205" s="291"/>
      <c r="X205" s="292" t="str">
        <f>VLOOKUP(功能_33[[#This Row],[User]],SKL放款!A:G,7,FALSE)</f>
        <v>放款服務課</v>
      </c>
      <c r="Y205" s="299">
        <v>44533</v>
      </c>
      <c r="Z205" s="299" t="s">
        <v>133</v>
      </c>
      <c r="AA205" s="299">
        <v>44523</v>
      </c>
      <c r="AB205" s="299">
        <v>44525</v>
      </c>
      <c r="AC205" s="299">
        <v>44539</v>
      </c>
      <c r="AD205" s="299"/>
      <c r="AE205" s="299"/>
      <c r="AF205" s="355"/>
      <c r="AG205" s="299" t="str">
        <f>IFERROR(IF(VLOOKUP(功能_33[[#This Row],[功能代號]],E:Q,11,FALSE)=0,"",VLOOKUP(功能_33[[#This Row],[功能代號]],E:Q,11,FALSE)),"")</f>
        <v>蔡珮瑜</v>
      </c>
      <c r="AH205" s="299"/>
      <c r="AI205" s="299"/>
      <c r="AJ205" s="292"/>
      <c r="AK205" s="224" t="s">
        <v>649</v>
      </c>
      <c r="AL205" s="291" t="s">
        <v>2976</v>
      </c>
      <c r="AM205" s="291" t="s">
        <v>2976</v>
      </c>
      <c r="AN205" s="292" t="str">
        <f>VLOOKUP(功能_33[[#This Row],[功能代號]],需二審tmp!A:A,1,FALSE)</f>
        <v>L4925</v>
      </c>
      <c r="AO205" s="356">
        <v>44523</v>
      </c>
      <c r="AQ205" s="574" t="str">
        <f t="shared" si="21"/>
        <v>4-2</v>
      </c>
      <c r="AR205" s="576" t="str">
        <f t="shared" si="22"/>
        <v/>
      </c>
      <c r="AS205" s="578" t="str">
        <f t="shared" si="23"/>
        <v/>
      </c>
      <c r="AT205" s="580" t="str">
        <f t="shared" si="24"/>
        <v/>
      </c>
      <c r="AU205" s="582" t="str">
        <f t="shared" si="25"/>
        <v/>
      </c>
      <c r="AV205" s="584" t="str">
        <f t="shared" si="26"/>
        <v/>
      </c>
      <c r="AW205" s="662" t="str">
        <f>IFERROR(VLOOKUP(功能_33[[#This Row],[功能代號]],工作表3!C:C,1,FALSE),"未計SIT測試")</f>
        <v>L4925</v>
      </c>
    </row>
    <row r="206" spans="1:49" ht="13.5" x14ac:dyDescent="0.3">
      <c r="C206" s="292" t="s">
        <v>93</v>
      </c>
      <c r="D206" s="292" t="s">
        <v>410</v>
      </c>
      <c r="E206" s="291" t="s">
        <v>658</v>
      </c>
      <c r="F206" s="292" t="s">
        <v>659</v>
      </c>
      <c r="G206" s="292"/>
      <c r="H206" s="291" t="s">
        <v>193</v>
      </c>
      <c r="I206" s="291" t="s">
        <v>2774</v>
      </c>
      <c r="J206" s="225" t="s">
        <v>2959</v>
      </c>
      <c r="K206" s="299">
        <v>44469</v>
      </c>
      <c r="L206" s="299">
        <v>44484</v>
      </c>
      <c r="M206" s="299">
        <v>44523</v>
      </c>
      <c r="N206" s="291" t="s">
        <v>8</v>
      </c>
      <c r="O206" s="291" t="s">
        <v>23</v>
      </c>
      <c r="T206" s="291"/>
      <c r="V206" s="291"/>
      <c r="W206" s="291"/>
      <c r="X206" s="292" t="str">
        <f>VLOOKUP(功能_33[[#This Row],[User]],SKL放款!A:G,7,FALSE)</f>
        <v>放款服務課</v>
      </c>
      <c r="Y206" s="299">
        <v>44533</v>
      </c>
      <c r="Z206" s="299" t="s">
        <v>133</v>
      </c>
      <c r="AA206" s="299">
        <v>44523</v>
      </c>
      <c r="AB206" s="299">
        <v>44525</v>
      </c>
      <c r="AC206" s="299">
        <v>44539</v>
      </c>
      <c r="AD206" s="299"/>
      <c r="AE206" s="299"/>
      <c r="AF206" s="355"/>
      <c r="AG206" s="299" t="str">
        <f>IFERROR(IF(VLOOKUP(功能_33[[#This Row],[功能代號]],E:Q,11,FALSE)=0,"",VLOOKUP(功能_33[[#This Row],[功能代號]],E:Q,11,FALSE)),"")</f>
        <v>宋郁宏</v>
      </c>
      <c r="AH206" s="299"/>
      <c r="AI206" s="299"/>
      <c r="AJ206" s="292"/>
      <c r="AK206" s="299"/>
      <c r="AL206" s="291" t="s">
        <v>2976</v>
      </c>
      <c r="AM206" s="291" t="s">
        <v>2976</v>
      </c>
      <c r="AN206" s="292" t="str">
        <f>VLOOKUP(功能_33[[#This Row],[功能代號]],需二審tmp!A:A,1,FALSE)</f>
        <v>L4930</v>
      </c>
      <c r="AO206" s="356">
        <v>44523</v>
      </c>
      <c r="AQ206" s="574" t="str">
        <f t="shared" si="21"/>
        <v>4-2</v>
      </c>
      <c r="AR206" s="576" t="str">
        <f t="shared" si="22"/>
        <v/>
      </c>
      <c r="AS206" s="578" t="str">
        <f t="shared" si="23"/>
        <v/>
      </c>
      <c r="AT206" s="580" t="str">
        <f t="shared" si="24"/>
        <v/>
      </c>
      <c r="AU206" s="582" t="str">
        <f t="shared" si="25"/>
        <v/>
      </c>
      <c r="AV206" s="584" t="str">
        <f t="shared" si="26"/>
        <v/>
      </c>
      <c r="AW206" s="662" t="str">
        <f>IFERROR(VLOOKUP(功能_33[[#This Row],[功能代號]],工作表3!C:C,1,FALSE),"未計SIT測試")</f>
        <v>L4930</v>
      </c>
    </row>
    <row r="207" spans="1:49" ht="13.5" x14ac:dyDescent="0.3">
      <c r="C207" s="292" t="s">
        <v>93</v>
      </c>
      <c r="D207" s="292" t="s">
        <v>410</v>
      </c>
      <c r="E207" s="291" t="s">
        <v>660</v>
      </c>
      <c r="F207" s="292" t="s">
        <v>661</v>
      </c>
      <c r="G207" s="292"/>
      <c r="H207" s="291" t="s">
        <v>193</v>
      </c>
      <c r="I207" s="291" t="s">
        <v>2774</v>
      </c>
      <c r="J207" s="225" t="s">
        <v>2959</v>
      </c>
      <c r="K207" s="299">
        <v>44469</v>
      </c>
      <c r="L207" s="299">
        <v>44484</v>
      </c>
      <c r="M207" s="299">
        <v>44523</v>
      </c>
      <c r="N207" s="291" t="s">
        <v>8</v>
      </c>
      <c r="O207" s="291" t="s">
        <v>22</v>
      </c>
      <c r="T207" s="291"/>
      <c r="V207" s="291"/>
      <c r="W207" s="291"/>
      <c r="X207" s="292" t="str">
        <f>VLOOKUP(功能_33[[#This Row],[User]],SKL放款!A:G,7,FALSE)</f>
        <v>放款服務課</v>
      </c>
      <c r="Y207" s="299">
        <v>44533</v>
      </c>
      <c r="Z207" s="299" t="s">
        <v>195</v>
      </c>
      <c r="AA207" s="299">
        <v>44523</v>
      </c>
      <c r="AB207" s="299">
        <v>44525</v>
      </c>
      <c r="AC207" s="299">
        <v>44539</v>
      </c>
      <c r="AD207" s="299"/>
      <c r="AE207" s="299"/>
      <c r="AF207" s="355"/>
      <c r="AG207" s="299" t="str">
        <f>IFERROR(IF(VLOOKUP(功能_33[[#This Row],[功能代號]],E:Q,11,FALSE)=0,"",VLOOKUP(功能_33[[#This Row],[功能代號]],E:Q,11,FALSE)),"")</f>
        <v>許慧玉</v>
      </c>
      <c r="AH207" s="299"/>
      <c r="AI207" s="299"/>
      <c r="AJ207" s="292"/>
      <c r="AK207" s="299"/>
      <c r="AL207" s="291" t="s">
        <v>2976</v>
      </c>
      <c r="AM207" s="291" t="s">
        <v>2976</v>
      </c>
      <c r="AN207" s="292" t="e">
        <f>VLOOKUP(功能_33[[#This Row],[功能代號]],需二審tmp!A:A,1,FALSE)</f>
        <v>#N/A</v>
      </c>
      <c r="AO207" s="356">
        <v>44523</v>
      </c>
      <c r="AQ207" s="574" t="str">
        <f t="shared" si="21"/>
        <v>4-2</v>
      </c>
      <c r="AR207" s="576" t="str">
        <f t="shared" si="22"/>
        <v/>
      </c>
      <c r="AS207" s="578" t="str">
        <f t="shared" si="23"/>
        <v/>
      </c>
      <c r="AT207" s="580" t="str">
        <f t="shared" si="24"/>
        <v/>
      </c>
      <c r="AU207" s="582" t="str">
        <f t="shared" si="25"/>
        <v/>
      </c>
      <c r="AV207" s="584" t="str">
        <f t="shared" si="26"/>
        <v/>
      </c>
      <c r="AW207" s="662" t="str">
        <f>IFERROR(VLOOKUP(功能_33[[#This Row],[功能代號]],工作表3!C:C,1,FALSE),"未計SIT測試")</f>
        <v>L4202</v>
      </c>
    </row>
    <row r="208" spans="1:49" ht="13.5" x14ac:dyDescent="0.3">
      <c r="C208" s="292" t="s">
        <v>93</v>
      </c>
      <c r="D208" s="292" t="s">
        <v>410</v>
      </c>
      <c r="E208" s="291" t="s">
        <v>662</v>
      </c>
      <c r="F208" s="292" t="s">
        <v>663</v>
      </c>
      <c r="G208" s="292"/>
      <c r="H208" s="291" t="s">
        <v>193</v>
      </c>
      <c r="I208" s="291" t="s">
        <v>2774</v>
      </c>
      <c r="J208" s="225" t="s">
        <v>2959</v>
      </c>
      <c r="K208" s="299">
        <v>44469</v>
      </c>
      <c r="L208" s="299">
        <v>44484</v>
      </c>
      <c r="M208" s="299">
        <v>44523</v>
      </c>
      <c r="N208" s="291" t="s">
        <v>8</v>
      </c>
      <c r="O208" s="291" t="s">
        <v>23</v>
      </c>
      <c r="T208" s="291"/>
      <c r="V208" s="291"/>
      <c r="W208" s="291"/>
      <c r="X208" s="292" t="str">
        <f>VLOOKUP(功能_33[[#This Row],[User]],SKL放款!A:G,7,FALSE)</f>
        <v>放款服務課</v>
      </c>
      <c r="Y208" s="299">
        <v>44533</v>
      </c>
      <c r="Z208" s="299" t="s">
        <v>195</v>
      </c>
      <c r="AA208" s="299">
        <v>44523</v>
      </c>
      <c r="AB208" s="299">
        <v>44525</v>
      </c>
      <c r="AC208" s="299">
        <v>44539</v>
      </c>
      <c r="AD208" s="299"/>
      <c r="AE208" s="299"/>
      <c r="AF208" s="355"/>
      <c r="AG208" s="299" t="str">
        <f>IFERROR(IF(VLOOKUP(功能_33[[#This Row],[功能代號]],E:Q,11,FALSE)=0,"",VLOOKUP(功能_33[[#This Row],[功能代號]],E:Q,11,FALSE)),"")</f>
        <v>宋郁宏</v>
      </c>
      <c r="AH208" s="299"/>
      <c r="AI208" s="299"/>
      <c r="AJ208" s="292"/>
      <c r="AK208" s="299"/>
      <c r="AL208" s="291" t="s">
        <v>2976</v>
      </c>
      <c r="AM208" s="291" t="s">
        <v>2976</v>
      </c>
      <c r="AN208" s="292" t="e">
        <f>VLOOKUP(功能_33[[#This Row],[功能代號]],需二審tmp!A:A,1,FALSE)</f>
        <v>#N/A</v>
      </c>
      <c r="AO208" s="356">
        <v>44523</v>
      </c>
      <c r="AQ208" s="574" t="str">
        <f t="shared" si="21"/>
        <v>4-2</v>
      </c>
      <c r="AR208" s="576" t="str">
        <f t="shared" si="22"/>
        <v/>
      </c>
      <c r="AS208" s="578" t="str">
        <f t="shared" si="23"/>
        <v/>
      </c>
      <c r="AT208" s="580" t="str">
        <f t="shared" si="24"/>
        <v/>
      </c>
      <c r="AU208" s="582" t="str">
        <f t="shared" si="25"/>
        <v/>
      </c>
      <c r="AV208" s="584" t="str">
        <f t="shared" si="26"/>
        <v/>
      </c>
      <c r="AW208" s="662" t="str">
        <f>IFERROR(VLOOKUP(功能_33[[#This Row],[功能代號]],工作表3!C:C,1,FALSE),"未計SIT測試")</f>
        <v>L4203</v>
      </c>
    </row>
    <row r="209" spans="1:49" ht="135" x14ac:dyDescent="0.3">
      <c r="A209" s="604">
        <v>44554</v>
      </c>
      <c r="C209" s="292" t="s">
        <v>93</v>
      </c>
      <c r="D209" s="292" t="s">
        <v>465</v>
      </c>
      <c r="E209" s="291" t="s">
        <v>664</v>
      </c>
      <c r="F209" s="292" t="s">
        <v>665</v>
      </c>
      <c r="G209" s="292"/>
      <c r="H209" s="291" t="s">
        <v>193</v>
      </c>
      <c r="I209" s="291" t="s">
        <v>2774</v>
      </c>
      <c r="J209" s="225" t="s">
        <v>3241</v>
      </c>
      <c r="K209" s="299">
        <v>44469</v>
      </c>
      <c r="L209" s="299">
        <v>44484</v>
      </c>
      <c r="M209" s="228">
        <v>44550</v>
      </c>
      <c r="N209" s="291" t="s">
        <v>8</v>
      </c>
      <c r="O209" s="291" t="s">
        <v>22</v>
      </c>
      <c r="P209" s="270" t="s">
        <v>468</v>
      </c>
      <c r="T209" s="291"/>
      <c r="V209" s="291"/>
      <c r="W209" s="291"/>
      <c r="X209" s="292" t="str">
        <f>VLOOKUP(功能_33[[#This Row],[User]],SKL放款!A:G,7,FALSE)</f>
        <v>放款服務課</v>
      </c>
      <c r="Y209" s="228">
        <v>44550</v>
      </c>
      <c r="Z209" s="299" t="s">
        <v>133</v>
      </c>
      <c r="AA209" s="299">
        <v>44523</v>
      </c>
      <c r="AB209" s="299">
        <v>44525</v>
      </c>
      <c r="AC209" s="299">
        <v>44550</v>
      </c>
      <c r="AD209" s="299"/>
      <c r="AE209" s="299"/>
      <c r="AF209" s="355"/>
      <c r="AG209" s="299" t="str">
        <f>IFERROR(IF(VLOOKUP(功能_33[[#This Row],[功能代號]],E:Q,11,FALSE)=0,"",VLOOKUP(功能_33[[#This Row],[功能代號]],E:Q,11,FALSE)),"")</f>
        <v>許慧玉</v>
      </c>
      <c r="AH209" s="299"/>
      <c r="AI209" s="299"/>
      <c r="AJ209" s="292"/>
      <c r="AK209" s="299"/>
      <c r="AL209" s="308" t="s">
        <v>3016</v>
      </c>
      <c r="AM209" s="219" t="s">
        <v>3017</v>
      </c>
      <c r="AN209" s="292" t="str">
        <f>VLOOKUP(功能_33[[#This Row],[功能代號]],需二審tmp!A:A,1,FALSE)</f>
        <v>L4454</v>
      </c>
      <c r="AQ209" s="574" t="str">
        <f t="shared" si="21"/>
        <v>4-4</v>
      </c>
      <c r="AR209" s="576" t="str">
        <f t="shared" si="22"/>
        <v/>
      </c>
      <c r="AS209" s="578" t="str">
        <f t="shared" si="23"/>
        <v/>
      </c>
      <c r="AT209" s="580" t="str">
        <f t="shared" si="24"/>
        <v/>
      </c>
      <c r="AU209" s="582" t="str">
        <f t="shared" si="25"/>
        <v/>
      </c>
      <c r="AV209" s="584" t="str">
        <f t="shared" si="26"/>
        <v/>
      </c>
      <c r="AW209" s="662" t="str">
        <f>IFERROR(VLOOKUP(功能_33[[#This Row],[功能代號]],工作表3!C:C,1,FALSE),"未計SIT測試")</f>
        <v>L4454</v>
      </c>
    </row>
    <row r="210" spans="1:49" ht="13.5" x14ac:dyDescent="0.3">
      <c r="C210" s="292" t="s">
        <v>93</v>
      </c>
      <c r="D210" s="292" t="s">
        <v>465</v>
      </c>
      <c r="E210" s="291" t="s">
        <v>666</v>
      </c>
      <c r="F210" s="292" t="s">
        <v>667</v>
      </c>
      <c r="G210" s="224" t="s">
        <v>668</v>
      </c>
      <c r="H210" s="291" t="s">
        <v>193</v>
      </c>
      <c r="I210" s="291" t="s">
        <v>2774</v>
      </c>
      <c r="J210" s="225" t="s">
        <v>2959</v>
      </c>
      <c r="K210" s="299">
        <v>44469</v>
      </c>
      <c r="L210" s="299">
        <v>44484</v>
      </c>
      <c r="M210" s="299">
        <v>44523</v>
      </c>
      <c r="N210" s="291" t="s">
        <v>8</v>
      </c>
      <c r="O210" s="291" t="s">
        <v>22</v>
      </c>
      <c r="P210" s="270" t="s">
        <v>468</v>
      </c>
      <c r="T210" s="291"/>
      <c r="V210" s="291"/>
      <c r="W210" s="291"/>
      <c r="X210" s="292" t="str">
        <f>VLOOKUP(功能_33[[#This Row],[User]],SKL放款!A:G,7,FALSE)</f>
        <v>放款服務課</v>
      </c>
      <c r="Y210" s="299">
        <v>44533</v>
      </c>
      <c r="Z210" s="299">
        <v>44523</v>
      </c>
      <c r="AA210" s="299">
        <v>44523</v>
      </c>
      <c r="AB210" s="299">
        <v>44525</v>
      </c>
      <c r="AC210" s="299">
        <v>44539</v>
      </c>
      <c r="AD210" s="299"/>
      <c r="AE210" s="299"/>
      <c r="AF210" s="355"/>
      <c r="AG210" s="299" t="str">
        <f>IFERROR(IF(VLOOKUP(功能_33[[#This Row],[功能代號]],E:Q,11,FALSE)=0,"",VLOOKUP(功能_33[[#This Row],[功能代號]],E:Q,11,FALSE)),"")</f>
        <v>許慧玉</v>
      </c>
      <c r="AH210" s="299"/>
      <c r="AI210" s="299"/>
      <c r="AJ210" s="292"/>
      <c r="AK210" s="299"/>
      <c r="AL210" s="291" t="s">
        <v>2987</v>
      </c>
      <c r="AM210" s="291" t="s">
        <v>2976</v>
      </c>
      <c r="AN210" s="292" t="e">
        <f>VLOOKUP(功能_33[[#This Row],[功能代號]],需二審tmp!A:A,1,FALSE)</f>
        <v>#N/A</v>
      </c>
      <c r="AO210" s="356">
        <v>44523</v>
      </c>
      <c r="AQ210" s="574" t="str">
        <f t="shared" si="21"/>
        <v>4-4</v>
      </c>
      <c r="AR210" s="576" t="str">
        <f t="shared" si="22"/>
        <v/>
      </c>
      <c r="AS210" s="578" t="str">
        <f t="shared" si="23"/>
        <v/>
      </c>
      <c r="AT210" s="580" t="str">
        <f t="shared" si="24"/>
        <v/>
      </c>
      <c r="AU210" s="582" t="str">
        <f t="shared" si="25"/>
        <v/>
      </c>
      <c r="AV210" s="584" t="str">
        <f t="shared" si="26"/>
        <v/>
      </c>
      <c r="AW210" s="662" t="str">
        <f>IFERROR(VLOOKUP(功能_33[[#This Row],[功能代號]],工作表3!C:C,1,FALSE),"未計SIT測試")</f>
        <v>L4455</v>
      </c>
    </row>
    <row r="211" spans="1:49" ht="13.5" x14ac:dyDescent="0.3">
      <c r="B211" s="292">
        <v>1</v>
      </c>
      <c r="C211" s="292" t="s">
        <v>92</v>
      </c>
      <c r="D211" s="359" t="s">
        <v>2835</v>
      </c>
      <c r="E211" s="291" t="s">
        <v>669</v>
      </c>
      <c r="F211" s="292" t="s">
        <v>670</v>
      </c>
      <c r="G211" s="292"/>
      <c r="H211" s="291" t="s">
        <v>193</v>
      </c>
      <c r="I211" s="291" t="s">
        <v>194</v>
      </c>
      <c r="J211" s="225" t="s">
        <v>3058</v>
      </c>
      <c r="K211" s="299">
        <v>44491</v>
      </c>
      <c r="L211" s="299">
        <v>44491</v>
      </c>
      <c r="M211" s="299">
        <v>44537</v>
      </c>
      <c r="N211" s="291" t="s">
        <v>8</v>
      </c>
      <c r="O211" s="291" t="s">
        <v>11</v>
      </c>
      <c r="T211" s="291"/>
      <c r="V211" s="291"/>
      <c r="W211" s="291"/>
      <c r="X211" s="292" t="str">
        <f>VLOOKUP(功能_33[[#This Row],[User]],SKL放款!A:G,7,FALSE)</f>
        <v>放款服務課</v>
      </c>
      <c r="Y211" s="299">
        <v>44496</v>
      </c>
      <c r="Z211" s="299">
        <v>44512</v>
      </c>
      <c r="AA211" s="299">
        <v>44496</v>
      </c>
      <c r="AB211" s="299">
        <v>44496</v>
      </c>
      <c r="AC211" s="222" t="s">
        <v>3059</v>
      </c>
      <c r="AD211" s="299" t="s">
        <v>196</v>
      </c>
      <c r="AE211" s="299"/>
      <c r="AF211" s="355"/>
      <c r="AG211" s="299" t="str">
        <f>IFERROR(IF(VLOOKUP(功能_33[[#This Row],[功能代號]],E:Q,11,FALSE)=0,"",VLOOKUP(功能_33[[#This Row],[功能代號]],E:Q,11,FALSE)),"")</f>
        <v>蔡珮瑜</v>
      </c>
      <c r="AH211" s="299"/>
      <c r="AI211" s="299"/>
      <c r="AJ211" s="292"/>
      <c r="AK211" s="299"/>
      <c r="AL211" s="291">
        <v>310</v>
      </c>
      <c r="AM211" s="292" t="s">
        <v>671</v>
      </c>
      <c r="AN211" s="292" t="str">
        <f>VLOOKUP(功能_33[[#This Row],[功能代號]],需二審tmp!A:A,1,FALSE)</f>
        <v>L3911</v>
      </c>
      <c r="AO211" s="356">
        <v>44512</v>
      </c>
      <c r="AQ211" s="574" t="str">
        <f t="shared" si="21"/>
        <v>3-3</v>
      </c>
      <c r="AR211" s="576" t="str">
        <f t="shared" si="22"/>
        <v/>
      </c>
      <c r="AS211" s="578" t="str">
        <f t="shared" si="23"/>
        <v/>
      </c>
      <c r="AT211" s="580" t="str">
        <f t="shared" si="24"/>
        <v/>
      </c>
      <c r="AU211" s="582" t="str">
        <f t="shared" si="25"/>
        <v/>
      </c>
      <c r="AV211" s="584" t="str">
        <f t="shared" si="26"/>
        <v/>
      </c>
      <c r="AW211" s="662" t="str">
        <f>IFERROR(VLOOKUP(功能_33[[#This Row],[功能代號]],工作表3!C:C,1,FALSE),"未計SIT測試")</f>
        <v>未計SIT測試</v>
      </c>
    </row>
    <row r="212" spans="1:49" ht="13.5" x14ac:dyDescent="0.3">
      <c r="C212" s="292" t="s">
        <v>92</v>
      </c>
      <c r="D212" s="359" t="s">
        <v>2835</v>
      </c>
      <c r="E212" s="291" t="s">
        <v>2793</v>
      </c>
      <c r="F212" s="292" t="s">
        <v>2794</v>
      </c>
      <c r="G212" s="292" t="s">
        <v>2792</v>
      </c>
      <c r="H212" s="291" t="s">
        <v>193</v>
      </c>
      <c r="I212" s="291" t="s">
        <v>194</v>
      </c>
      <c r="J212" s="225" t="s">
        <v>3058</v>
      </c>
      <c r="K212" s="299">
        <v>44491</v>
      </c>
      <c r="L212" s="299">
        <v>44491</v>
      </c>
      <c r="M212" s="299">
        <v>44537</v>
      </c>
      <c r="N212" s="291" t="s">
        <v>8</v>
      </c>
      <c r="O212" s="291" t="s">
        <v>11</v>
      </c>
      <c r="T212" s="291"/>
      <c r="V212" s="291"/>
      <c r="W212" s="291"/>
      <c r="X212" s="292" t="str">
        <f>VLOOKUP(功能_33[[#This Row],[User]],SKL放款!A:G,7,FALSE)</f>
        <v>放款服務課</v>
      </c>
      <c r="Y212" s="299">
        <v>44533</v>
      </c>
      <c r="Z212" s="299">
        <v>44512</v>
      </c>
      <c r="AA212" s="299">
        <v>44496</v>
      </c>
      <c r="AB212" s="299">
        <v>44496</v>
      </c>
      <c r="AC212" s="299">
        <v>44539</v>
      </c>
      <c r="AD212" s="299" t="s">
        <v>196</v>
      </c>
      <c r="AE212" s="299"/>
      <c r="AF212" s="355"/>
      <c r="AG212" s="299" t="str">
        <f>IFERROR(IF(VLOOKUP(功能_33[[#This Row],[功能代號]],E:Q,11,FALSE)=0,"",VLOOKUP(功能_33[[#This Row],[功能代號]],E:Q,11,FALSE)),"")</f>
        <v>蔡珮瑜</v>
      </c>
      <c r="AH212" s="299"/>
      <c r="AI212" s="299"/>
      <c r="AJ212" s="292"/>
      <c r="AK212" s="299"/>
      <c r="AL212" s="291">
        <v>310</v>
      </c>
      <c r="AM212" s="292" t="s">
        <v>671</v>
      </c>
      <c r="AN212" s="292" t="e">
        <f>VLOOKUP(功能_33[[#This Row],[功能代號]],需二審tmp!A:A,1,FALSE)</f>
        <v>#N/A</v>
      </c>
      <c r="AQ212" s="574" t="str">
        <f t="shared" si="21"/>
        <v>3-3</v>
      </c>
      <c r="AR212" s="576" t="str">
        <f t="shared" si="22"/>
        <v/>
      </c>
      <c r="AS212" s="578" t="str">
        <f t="shared" si="23"/>
        <v/>
      </c>
      <c r="AT212" s="580" t="str">
        <f t="shared" si="24"/>
        <v/>
      </c>
      <c r="AU212" s="582" t="str">
        <f t="shared" si="25"/>
        <v/>
      </c>
      <c r="AV212" s="584" t="str">
        <f t="shared" si="26"/>
        <v/>
      </c>
      <c r="AW212" s="662" t="str">
        <f>IFERROR(VLOOKUP(功能_33[[#This Row],[功能代號]],工作表3!C:C,1,FALSE),"未計SIT測試")</f>
        <v>未計SIT測試</v>
      </c>
    </row>
    <row r="213" spans="1:49" ht="13.5" x14ac:dyDescent="0.3">
      <c r="B213" s="292">
        <v>1</v>
      </c>
      <c r="C213" s="292" t="s">
        <v>92</v>
      </c>
      <c r="D213" s="359" t="s">
        <v>2835</v>
      </c>
      <c r="E213" s="291" t="s">
        <v>672</v>
      </c>
      <c r="F213" s="292" t="s">
        <v>673</v>
      </c>
      <c r="G213" s="224" t="s">
        <v>674</v>
      </c>
      <c r="H213" s="291" t="s">
        <v>193</v>
      </c>
      <c r="I213" s="291" t="s">
        <v>194</v>
      </c>
      <c r="J213" s="225" t="s">
        <v>310</v>
      </c>
      <c r="K213" s="299">
        <v>44491</v>
      </c>
      <c r="L213" s="299">
        <v>44491</v>
      </c>
      <c r="M213" s="299">
        <f>IFERROR(IF(VLOOKUP(功能_33[[#This Row],[功能代號]],討論項目!A:H,8,FALSE)=0,"",VLOOKUP(功能_33[[#This Row],[功能代號]],討論項目!A:H,8,FALSE)),"")</f>
        <v>44510</v>
      </c>
      <c r="N213" s="291" t="s">
        <v>8</v>
      </c>
      <c r="O213" s="291" t="s">
        <v>11</v>
      </c>
      <c r="T213" s="291"/>
      <c r="V213" s="291"/>
      <c r="W213" s="291"/>
      <c r="X213" s="292" t="str">
        <f>VLOOKUP(功能_33[[#This Row],[User]],SKL放款!A:G,7,FALSE)</f>
        <v>放款服務課</v>
      </c>
      <c r="Y213" s="299">
        <v>44496</v>
      </c>
      <c r="Z213" s="299">
        <v>44512</v>
      </c>
      <c r="AA213" s="299">
        <v>44496</v>
      </c>
      <c r="AB213" s="299">
        <v>44496</v>
      </c>
      <c r="AC213" s="299">
        <v>44512</v>
      </c>
      <c r="AD213" s="299" t="s">
        <v>196</v>
      </c>
      <c r="AE213" s="299"/>
      <c r="AF213" s="355"/>
      <c r="AG213" s="299" t="str">
        <f>IFERROR(IF(VLOOKUP(功能_33[[#This Row],[功能代號]],E:Q,11,FALSE)=0,"",VLOOKUP(功能_33[[#This Row],[功能代號]],E:Q,11,FALSE)),"")</f>
        <v>蔡珮瑜</v>
      </c>
      <c r="AH213" s="299"/>
      <c r="AI213" s="299"/>
      <c r="AJ213" s="292"/>
      <c r="AL213" s="291" t="s">
        <v>190</v>
      </c>
      <c r="AN213" s="292" t="str">
        <f>VLOOKUP(功能_33[[#This Row],[功能代號]],需二審tmp!A:A,1,FALSE)</f>
        <v>L3913</v>
      </c>
      <c r="AO213" s="356">
        <v>44512</v>
      </c>
      <c r="AQ213" s="574" t="str">
        <f t="shared" si="21"/>
        <v>3-3</v>
      </c>
      <c r="AR213" s="576" t="str">
        <f t="shared" si="22"/>
        <v/>
      </c>
      <c r="AS213" s="578" t="str">
        <f t="shared" si="23"/>
        <v/>
      </c>
      <c r="AT213" s="580" t="str">
        <f t="shared" si="24"/>
        <v/>
      </c>
      <c r="AU213" s="582" t="str">
        <f t="shared" si="25"/>
        <v/>
      </c>
      <c r="AV213" s="584" t="str">
        <f t="shared" si="26"/>
        <v/>
      </c>
      <c r="AW213" s="662" t="str">
        <f>IFERROR(VLOOKUP(功能_33[[#This Row],[功能代號]],工作表3!C:C,1,FALSE),"未計SIT測試")</f>
        <v>L3913</v>
      </c>
    </row>
    <row r="214" spans="1:49" ht="27" x14ac:dyDescent="0.3">
      <c r="C214" s="292" t="s">
        <v>93</v>
      </c>
      <c r="D214" s="292" t="s">
        <v>410</v>
      </c>
      <c r="E214" s="291" t="s">
        <v>675</v>
      </c>
      <c r="F214" s="292" t="s">
        <v>676</v>
      </c>
      <c r="G214" s="292"/>
      <c r="H214" s="291" t="s">
        <v>193</v>
      </c>
      <c r="I214" s="291" t="s">
        <v>2774</v>
      </c>
      <c r="J214" s="225" t="s">
        <v>2959</v>
      </c>
      <c r="K214" s="299">
        <v>44474</v>
      </c>
      <c r="L214" s="299">
        <v>44481</v>
      </c>
      <c r="M214" s="299">
        <v>44523</v>
      </c>
      <c r="N214" s="291" t="s">
        <v>8</v>
      </c>
      <c r="O214" s="291" t="s">
        <v>11</v>
      </c>
      <c r="P214" s="270" t="s">
        <v>23</v>
      </c>
      <c r="T214" s="291"/>
      <c r="V214" s="291"/>
      <c r="W214" s="291"/>
      <c r="X214" s="292" t="str">
        <f>VLOOKUP(功能_33[[#This Row],[User]],SKL放款!A:G,7,FALSE)</f>
        <v>放款服務課</v>
      </c>
      <c r="Y214" s="299">
        <v>44533</v>
      </c>
      <c r="Z214" s="299" t="s">
        <v>133</v>
      </c>
      <c r="AA214" s="299">
        <v>44523</v>
      </c>
      <c r="AB214" s="299">
        <v>44525</v>
      </c>
      <c r="AC214" s="299">
        <v>44539</v>
      </c>
      <c r="AD214" s="299"/>
      <c r="AE214" s="299"/>
      <c r="AF214" s="355"/>
      <c r="AG214" s="299" t="str">
        <f>IFERROR(IF(VLOOKUP(功能_33[[#This Row],[功能代號]],E:Q,11,FALSE)=0,"",VLOOKUP(功能_33[[#This Row],[功能代號]],E:Q,11,FALSE)),"")</f>
        <v>蔡珮瑜</v>
      </c>
      <c r="AH214" s="299"/>
      <c r="AI214" s="299"/>
      <c r="AJ214" s="292"/>
      <c r="AK214" s="299"/>
      <c r="AL214" s="308" t="s">
        <v>3004</v>
      </c>
      <c r="AM214" s="292" t="s">
        <v>3005</v>
      </c>
      <c r="AN214" s="292" t="str">
        <f>VLOOKUP(功能_33[[#This Row],[功能代號]],需二審tmp!A:A,1,FALSE)</f>
        <v>L4210</v>
      </c>
      <c r="AO214" s="356">
        <v>44523</v>
      </c>
      <c r="AQ214" s="574" t="str">
        <f t="shared" si="21"/>
        <v>4-2</v>
      </c>
      <c r="AR214" s="576" t="str">
        <f t="shared" si="22"/>
        <v/>
      </c>
      <c r="AS214" s="578" t="str">
        <f t="shared" si="23"/>
        <v/>
      </c>
      <c r="AT214" s="580" t="str">
        <f t="shared" si="24"/>
        <v/>
      </c>
      <c r="AU214" s="582" t="str">
        <f t="shared" si="25"/>
        <v/>
      </c>
      <c r="AV214" s="584" t="str">
        <f t="shared" si="26"/>
        <v/>
      </c>
      <c r="AW214" s="662" t="str">
        <f>IFERROR(VLOOKUP(功能_33[[#This Row],[功能代號]],工作表3!C:C,1,FALSE),"未計SIT測試")</f>
        <v>L4210</v>
      </c>
    </row>
    <row r="215" spans="1:49" ht="13.5" x14ac:dyDescent="0.3">
      <c r="C215" s="292" t="s">
        <v>93</v>
      </c>
      <c r="D215" s="292" t="s">
        <v>410</v>
      </c>
      <c r="E215" s="291" t="s">
        <v>677</v>
      </c>
      <c r="F215" s="292" t="s">
        <v>678</v>
      </c>
      <c r="G215" s="292"/>
      <c r="H215" s="291" t="s">
        <v>193</v>
      </c>
      <c r="I215" s="291" t="s">
        <v>2774</v>
      </c>
      <c r="J215" s="225" t="s">
        <v>2959</v>
      </c>
      <c r="K215" s="299">
        <v>44474</v>
      </c>
      <c r="L215" s="299">
        <v>44481</v>
      </c>
      <c r="M215" s="299">
        <v>44523</v>
      </c>
      <c r="N215" s="291" t="s">
        <v>8</v>
      </c>
      <c r="O215" s="291" t="s">
        <v>11</v>
      </c>
      <c r="T215" s="291"/>
      <c r="V215" s="291"/>
      <c r="W215" s="291"/>
      <c r="X215" s="292" t="str">
        <f>VLOOKUP(功能_33[[#This Row],[User]],SKL放款!A:G,7,FALSE)</f>
        <v>放款服務課</v>
      </c>
      <c r="Y215" s="299">
        <v>44533</v>
      </c>
      <c r="Z215" s="299" t="s">
        <v>195</v>
      </c>
      <c r="AA215" s="299">
        <v>44523</v>
      </c>
      <c r="AB215" s="299">
        <v>44525</v>
      </c>
      <c r="AC215" s="299">
        <v>44539</v>
      </c>
      <c r="AD215" s="299"/>
      <c r="AE215" s="299"/>
      <c r="AF215" s="355"/>
      <c r="AG215" s="299" t="str">
        <f>IFERROR(IF(VLOOKUP(功能_33[[#This Row],[功能代號]],E:Q,11,FALSE)=0,"",VLOOKUP(功能_33[[#This Row],[功能代號]],E:Q,11,FALSE)),"")</f>
        <v>蔡珮瑜</v>
      </c>
      <c r="AH215" s="299"/>
      <c r="AI215" s="299"/>
      <c r="AJ215" s="292"/>
      <c r="AK215" s="299"/>
      <c r="AL215" s="291" t="s">
        <v>2976</v>
      </c>
      <c r="AM215" s="291" t="s">
        <v>2976</v>
      </c>
      <c r="AN215" s="292" t="e">
        <f>VLOOKUP(功能_33[[#This Row],[功能代號]],需二審tmp!A:A,1,FALSE)</f>
        <v>#N/A</v>
      </c>
      <c r="AO215" s="356">
        <v>44523</v>
      </c>
      <c r="AQ215" s="574" t="str">
        <f t="shared" si="21"/>
        <v>4-2</v>
      </c>
      <c r="AR215" s="576" t="str">
        <f t="shared" si="22"/>
        <v/>
      </c>
      <c r="AS215" s="578" t="str">
        <f t="shared" si="23"/>
        <v/>
      </c>
      <c r="AT215" s="580" t="str">
        <f t="shared" si="24"/>
        <v/>
      </c>
      <c r="AU215" s="582" t="str">
        <f t="shared" si="25"/>
        <v/>
      </c>
      <c r="AV215" s="584" t="str">
        <f t="shared" si="26"/>
        <v/>
      </c>
      <c r="AW215" s="662" t="str">
        <f>IFERROR(VLOOKUP(功能_33[[#This Row],[功能代號]],工作表3!C:C,1,FALSE),"未計SIT測試")</f>
        <v>L4921</v>
      </c>
    </row>
    <row r="216" spans="1:49" ht="40.5" x14ac:dyDescent="0.3">
      <c r="B216" s="423"/>
      <c r="C216" s="292" t="s">
        <v>93</v>
      </c>
      <c r="D216" s="292" t="s">
        <v>410</v>
      </c>
      <c r="E216" s="291" t="s">
        <v>679</v>
      </c>
      <c r="F216" s="292" t="s">
        <v>680</v>
      </c>
      <c r="G216" s="292"/>
      <c r="H216" s="291" t="s">
        <v>193</v>
      </c>
      <c r="I216" s="291" t="s">
        <v>2774</v>
      </c>
      <c r="J216" s="225" t="s">
        <v>2959</v>
      </c>
      <c r="K216" s="299">
        <v>44474</v>
      </c>
      <c r="L216" s="299">
        <v>44481</v>
      </c>
      <c r="M216" s="299">
        <v>44523</v>
      </c>
      <c r="N216" s="291" t="s">
        <v>8</v>
      </c>
      <c r="O216" s="291" t="s">
        <v>23</v>
      </c>
      <c r="T216" s="291"/>
      <c r="V216" s="291"/>
      <c r="W216" s="291"/>
      <c r="X216" s="292" t="str">
        <f>VLOOKUP(功能_33[[#This Row],[User]],SKL放款!A:G,7,FALSE)</f>
        <v>放款服務課</v>
      </c>
      <c r="Y216" s="299">
        <v>44533</v>
      </c>
      <c r="Z216" s="299" t="s">
        <v>133</v>
      </c>
      <c r="AA216" s="299">
        <v>44523</v>
      </c>
      <c r="AB216" s="299">
        <v>44525</v>
      </c>
      <c r="AC216" s="299">
        <v>44539</v>
      </c>
      <c r="AD216" s="299"/>
      <c r="AE216" s="299"/>
      <c r="AF216" s="355"/>
      <c r="AG216" s="299" t="str">
        <f>IFERROR(IF(VLOOKUP(功能_33[[#This Row],[功能代號]],E:Q,11,FALSE)=0,"",VLOOKUP(功能_33[[#This Row],[功能代號]],E:Q,11,FALSE)),"")</f>
        <v>宋郁宏</v>
      </c>
      <c r="AH216" s="299"/>
      <c r="AI216" s="299"/>
      <c r="AJ216" s="292"/>
      <c r="AK216" s="299"/>
      <c r="AL216" s="308" t="s">
        <v>3006</v>
      </c>
      <c r="AM216" s="219" t="s">
        <v>3007</v>
      </c>
      <c r="AN216" s="292" t="str">
        <f>VLOOKUP(功能_33[[#This Row],[功能代號]],需二審tmp!A:A,1,FALSE)</f>
        <v>L4201</v>
      </c>
      <c r="AO216" s="356">
        <v>44523</v>
      </c>
      <c r="AQ216" s="574" t="str">
        <f t="shared" si="21"/>
        <v>4-2</v>
      </c>
      <c r="AR216" s="576" t="str">
        <f t="shared" si="22"/>
        <v/>
      </c>
      <c r="AS216" s="578" t="str">
        <f t="shared" si="23"/>
        <v/>
      </c>
      <c r="AT216" s="580" t="str">
        <f t="shared" si="24"/>
        <v/>
      </c>
      <c r="AU216" s="582" t="str">
        <f t="shared" si="25"/>
        <v/>
      </c>
      <c r="AV216" s="584" t="str">
        <f t="shared" si="26"/>
        <v/>
      </c>
      <c r="AW216" s="662" t="str">
        <f>IFERROR(VLOOKUP(功能_33[[#This Row],[功能代號]],工作表3!C:C,1,FALSE),"未計SIT測試")</f>
        <v>L4201</v>
      </c>
    </row>
    <row r="217" spans="1:49" ht="27" x14ac:dyDescent="0.3">
      <c r="A217" s="604">
        <v>44552</v>
      </c>
      <c r="C217" s="292" t="s">
        <v>93</v>
      </c>
      <c r="D217" s="292" t="s">
        <v>410</v>
      </c>
      <c r="E217" s="291" t="s">
        <v>2782</v>
      </c>
      <c r="F217" s="292" t="s">
        <v>2789</v>
      </c>
      <c r="G217" s="292" t="s">
        <v>2790</v>
      </c>
      <c r="H217" s="291" t="s">
        <v>193</v>
      </c>
      <c r="I217" s="291" t="s">
        <v>2774</v>
      </c>
      <c r="J217" s="225" t="s">
        <v>3241</v>
      </c>
      <c r="K217" s="299">
        <v>44474</v>
      </c>
      <c r="L217" s="299">
        <v>44481</v>
      </c>
      <c r="M217" s="228">
        <v>44550</v>
      </c>
      <c r="N217" s="291" t="s">
        <v>8</v>
      </c>
      <c r="O217" s="291" t="s">
        <v>23</v>
      </c>
      <c r="T217" s="291"/>
      <c r="V217" s="291"/>
      <c r="W217" s="291"/>
      <c r="X217" s="292" t="str">
        <f>VLOOKUP(功能_33[[#This Row],[User]],SKL放款!A:G,7,FALSE)</f>
        <v>放款服務課</v>
      </c>
      <c r="Y217" s="228">
        <v>44550</v>
      </c>
      <c r="Z217" s="299" t="s">
        <v>2791</v>
      </c>
      <c r="AA217" s="299">
        <v>44523</v>
      </c>
      <c r="AB217" s="299">
        <v>44525</v>
      </c>
      <c r="AC217" s="299">
        <v>44550</v>
      </c>
      <c r="AD217" s="299"/>
      <c r="AE217" s="299"/>
      <c r="AF217" s="355"/>
      <c r="AG217" s="299" t="str">
        <f>IFERROR(IF(VLOOKUP(功能_33[[#This Row],[功能代號]],E:Q,11,FALSE)=0,"",VLOOKUP(功能_33[[#This Row],[功能代號]],E:Q,11,FALSE)),"")</f>
        <v>宋郁宏</v>
      </c>
      <c r="AH217" s="299"/>
      <c r="AI217" s="299"/>
      <c r="AJ217" s="292"/>
      <c r="AK217" s="299"/>
      <c r="AL217" s="308" t="s">
        <v>3032</v>
      </c>
      <c r="AM217" s="219" t="s">
        <v>3031</v>
      </c>
      <c r="AN217" s="292" t="e">
        <f>VLOOKUP(功能_33[[#This Row],[功能代號]],需二審tmp!A:A,1,FALSE)</f>
        <v>#N/A</v>
      </c>
      <c r="AQ217" s="574" t="str">
        <f t="shared" si="21"/>
        <v>4-2</v>
      </c>
      <c r="AR217" s="576" t="str">
        <f t="shared" si="22"/>
        <v/>
      </c>
      <c r="AS217" s="578" t="str">
        <f t="shared" si="23"/>
        <v/>
      </c>
      <c r="AT217" s="580" t="str">
        <f t="shared" si="24"/>
        <v/>
      </c>
      <c r="AU217" s="582" t="str">
        <f t="shared" si="25"/>
        <v/>
      </c>
      <c r="AV217" s="584" t="str">
        <f t="shared" si="26"/>
        <v/>
      </c>
      <c r="AW217" s="662" t="str">
        <f>IFERROR(VLOOKUP(功能_33[[#This Row],[功能代號]],工作表3!C:C,1,FALSE),"未計SIT測試")</f>
        <v>L4211</v>
      </c>
    </row>
    <row r="218" spans="1:49" ht="13.5" x14ac:dyDescent="0.3">
      <c r="C218" s="292" t="s">
        <v>93</v>
      </c>
      <c r="D218" s="292" t="s">
        <v>410</v>
      </c>
      <c r="E218" s="291" t="s">
        <v>681</v>
      </c>
      <c r="F218" s="292" t="s">
        <v>682</v>
      </c>
      <c r="G218" s="292"/>
      <c r="H218" s="291" t="s">
        <v>193</v>
      </c>
      <c r="I218" s="291" t="s">
        <v>2774</v>
      </c>
      <c r="J218" s="225" t="s">
        <v>2959</v>
      </c>
      <c r="K218" s="299">
        <v>44474</v>
      </c>
      <c r="L218" s="299">
        <v>44482</v>
      </c>
      <c r="M218" s="299">
        <v>44523</v>
      </c>
      <c r="N218" s="291" t="s">
        <v>8</v>
      </c>
      <c r="O218" s="291" t="s">
        <v>11</v>
      </c>
      <c r="T218" s="291"/>
      <c r="V218" s="291"/>
      <c r="W218" s="291"/>
      <c r="X218" s="292" t="str">
        <f>VLOOKUP(功能_33[[#This Row],[User]],SKL放款!A:G,7,FALSE)</f>
        <v>放款服務課</v>
      </c>
      <c r="Y218" s="299">
        <v>44533</v>
      </c>
      <c r="Z218" s="299" t="s">
        <v>195</v>
      </c>
      <c r="AA218" s="299">
        <v>44523</v>
      </c>
      <c r="AB218" s="299">
        <v>44525</v>
      </c>
      <c r="AC218" s="299">
        <v>44539</v>
      </c>
      <c r="AD218" s="299"/>
      <c r="AE218" s="299"/>
      <c r="AF218" s="355"/>
      <c r="AG218" s="299" t="str">
        <f>IFERROR(IF(VLOOKUP(功能_33[[#This Row],[功能代號]],E:Q,11,FALSE)=0,"",VLOOKUP(功能_33[[#This Row],[功能代號]],E:Q,11,FALSE)),"")</f>
        <v>蔡珮瑜</v>
      </c>
      <c r="AH218" s="299"/>
      <c r="AI218" s="299"/>
      <c r="AJ218" s="292"/>
      <c r="AK218" s="299"/>
      <c r="AL218" s="291" t="s">
        <v>2976</v>
      </c>
      <c r="AM218" s="291" t="s">
        <v>2976</v>
      </c>
      <c r="AN218" s="292" t="e">
        <f>VLOOKUP(功能_33[[#This Row],[功能代號]],需二審tmp!A:A,1,FALSE)</f>
        <v>#N/A</v>
      </c>
      <c r="AO218" s="356">
        <v>44523</v>
      </c>
      <c r="AQ218" s="574" t="str">
        <f t="shared" si="21"/>
        <v>4-2</v>
      </c>
      <c r="AR218" s="576" t="str">
        <f t="shared" si="22"/>
        <v/>
      </c>
      <c r="AS218" s="578" t="str">
        <f t="shared" si="23"/>
        <v/>
      </c>
      <c r="AT218" s="580" t="str">
        <f t="shared" si="24"/>
        <v/>
      </c>
      <c r="AU218" s="582" t="str">
        <f t="shared" si="25"/>
        <v/>
      </c>
      <c r="AV218" s="584" t="str">
        <f t="shared" si="26"/>
        <v/>
      </c>
      <c r="AW218" s="662" t="str">
        <f>IFERROR(VLOOKUP(功能_33[[#This Row],[功能代號]],工作表3!C:C,1,FALSE),"未計SIT測試")</f>
        <v>L492A</v>
      </c>
    </row>
    <row r="219" spans="1:49" ht="27" x14ac:dyDescent="0.3">
      <c r="A219" s="604">
        <v>44554</v>
      </c>
      <c r="C219" s="292" t="s">
        <v>93</v>
      </c>
      <c r="D219" s="292" t="s">
        <v>419</v>
      </c>
      <c r="E219" s="291" t="s">
        <v>683</v>
      </c>
      <c r="F219" s="292" t="s">
        <v>684</v>
      </c>
      <c r="G219" s="292"/>
      <c r="H219" s="291" t="s">
        <v>193</v>
      </c>
      <c r="I219" s="291" t="s">
        <v>2774</v>
      </c>
      <c r="J219" s="225" t="s">
        <v>3241</v>
      </c>
      <c r="K219" s="299">
        <v>44474</v>
      </c>
      <c r="L219" s="299">
        <v>44481</v>
      </c>
      <c r="M219" s="228">
        <v>44550</v>
      </c>
      <c r="N219" s="291" t="s">
        <v>8</v>
      </c>
      <c r="O219" s="291" t="s">
        <v>24</v>
      </c>
      <c r="P219" s="270" t="s">
        <v>23</v>
      </c>
      <c r="T219" s="291"/>
      <c r="V219" s="291"/>
      <c r="W219" s="291"/>
      <c r="X219" s="292" t="str">
        <f>VLOOKUP(功能_33[[#This Row],[User]],SKL放款!A:G,7,FALSE)</f>
        <v>放款服務課</v>
      </c>
      <c r="Y219" s="228">
        <v>44550</v>
      </c>
      <c r="Z219" s="299" t="s">
        <v>133</v>
      </c>
      <c r="AA219" s="299">
        <v>44525</v>
      </c>
      <c r="AB219" s="299">
        <v>44524</v>
      </c>
      <c r="AC219" s="299">
        <v>44550</v>
      </c>
      <c r="AD219" s="299"/>
      <c r="AE219" s="299"/>
      <c r="AF219" s="355"/>
      <c r="AG219" s="299" t="str">
        <f>IFERROR(IF(VLOOKUP(功能_33[[#This Row],[功能代號]],E:Q,11,FALSE)=0,"",VLOOKUP(功能_33[[#This Row],[功能代號]],E:Q,11,FALSE)),"")</f>
        <v>邵淑微</v>
      </c>
      <c r="AH219" s="299"/>
      <c r="AI219" s="299"/>
      <c r="AJ219" s="292"/>
      <c r="AK219" s="299"/>
      <c r="AL219" s="308" t="s">
        <v>3008</v>
      </c>
      <c r="AM219" s="292" t="s">
        <v>3009</v>
      </c>
      <c r="AN219" s="292" t="str">
        <f>VLOOKUP(功能_33[[#This Row],[功能代號]],需二審tmp!A:A,1,FALSE)</f>
        <v>L4702</v>
      </c>
      <c r="AQ219" s="574" t="str">
        <f t="shared" si="21"/>
        <v>4-7</v>
      </c>
      <c r="AR219" s="576" t="str">
        <f t="shared" si="22"/>
        <v/>
      </c>
      <c r="AS219" s="578" t="str">
        <f t="shared" si="23"/>
        <v/>
      </c>
      <c r="AT219" s="580" t="str">
        <f t="shared" si="24"/>
        <v/>
      </c>
      <c r="AU219" s="582" t="str">
        <f t="shared" si="25"/>
        <v/>
      </c>
      <c r="AV219" s="584" t="str">
        <f t="shared" si="26"/>
        <v/>
      </c>
      <c r="AW219" s="662" t="str">
        <f>IFERROR(VLOOKUP(功能_33[[#This Row],[功能代號]],工作表3!C:C,1,FALSE),"未計SIT測試")</f>
        <v>L4702</v>
      </c>
    </row>
    <row r="220" spans="1:49" ht="27" x14ac:dyDescent="0.3">
      <c r="C220" s="292" t="s">
        <v>93</v>
      </c>
      <c r="D220" s="292" t="s">
        <v>419</v>
      </c>
      <c r="E220" s="291" t="s">
        <v>685</v>
      </c>
      <c r="F220" s="292" t="s">
        <v>686</v>
      </c>
      <c r="G220" s="292"/>
      <c r="H220" s="291" t="s">
        <v>193</v>
      </c>
      <c r="I220" s="291" t="s">
        <v>2774</v>
      </c>
      <c r="J220" s="225" t="s">
        <v>2959</v>
      </c>
      <c r="K220" s="299">
        <v>44474</v>
      </c>
      <c r="L220" s="299">
        <v>44481</v>
      </c>
      <c r="M220" s="299">
        <v>44533</v>
      </c>
      <c r="N220" s="291" t="s">
        <v>8</v>
      </c>
      <c r="O220" s="291" t="s">
        <v>24</v>
      </c>
      <c r="P220" s="270" t="s">
        <v>23</v>
      </c>
      <c r="T220" s="291"/>
      <c r="V220" s="291"/>
      <c r="W220" s="291"/>
      <c r="X220" s="292" t="str">
        <f>VLOOKUP(功能_33[[#This Row],[User]],SKL放款!A:G,7,FALSE)</f>
        <v>放款服務課</v>
      </c>
      <c r="Y220" s="299">
        <v>44533</v>
      </c>
      <c r="Z220" s="299" t="s">
        <v>133</v>
      </c>
      <c r="AA220" s="299">
        <v>44525</v>
      </c>
      <c r="AB220" s="299">
        <v>44524</v>
      </c>
      <c r="AC220" s="299">
        <v>44539</v>
      </c>
      <c r="AD220" s="299"/>
      <c r="AE220" s="299"/>
      <c r="AF220" s="355"/>
      <c r="AG220" s="299" t="str">
        <f>IFERROR(IF(VLOOKUP(功能_33[[#This Row],[功能代號]],E:Q,11,FALSE)=0,"",VLOOKUP(功能_33[[#This Row],[功能代號]],E:Q,11,FALSE)),"")</f>
        <v>邵淑微</v>
      </c>
      <c r="AH220" s="299"/>
      <c r="AI220" s="299"/>
      <c r="AJ220" s="292"/>
      <c r="AK220" s="299"/>
      <c r="AL220" s="308" t="s">
        <v>3008</v>
      </c>
      <c r="AM220" s="292" t="s">
        <v>3009</v>
      </c>
      <c r="AN220" s="292" t="str">
        <f>VLOOKUP(功能_33[[#This Row],[功能代號]],需二審tmp!A:A,1,FALSE)</f>
        <v>L4703</v>
      </c>
      <c r="AO220" s="356">
        <v>44523</v>
      </c>
      <c r="AQ220" s="574" t="str">
        <f t="shared" ref="AQ220:AQ284" si="27">IF(COUNTA(AC220)=1,LEFT(D220,3),"")</f>
        <v>4-7</v>
      </c>
      <c r="AR220" s="576" t="str">
        <f t="shared" ref="AR220:AR284" si="28">IF(AND(COUNTA(L220)=1,COUNTA(M220)=1,COUNTA(Y220)=1,COUNTA(AB220)=1,COUNTA(AC220)=0),LEFT(D220,3),"")</f>
        <v/>
      </c>
      <c r="AS220" s="578" t="str">
        <f t="shared" ref="AS220:AS284" si="29">IF(AND(COUNTA(L220)=1,COUNTA(M220)=1,COUNTA(Y220)=1,COUNTA(AB220)=0,COUNTA(AC220)=0),LEFT(D220,3),"")</f>
        <v/>
      </c>
      <c r="AT220" s="580" t="str">
        <f t="shared" ref="AT220:AT284" si="30">IF(AND(COUNTA(M220)=0,COUNTA(Y220)=1),LEFT(D220,3),"")</f>
        <v/>
      </c>
      <c r="AU220" s="582" t="str">
        <f t="shared" ref="AU220:AU284" si="31">IF(AND(COUNTA(M220)=1,COUNTA(Y220)=0),LEFT(D220,3),"")</f>
        <v/>
      </c>
      <c r="AV220" s="584" t="str">
        <f t="shared" ref="AV220:AV284" si="32">IF(AND(COUNTA(M220)=0,COUNTA(Y220)=0),LEFT(D220,3),"")</f>
        <v/>
      </c>
      <c r="AW220" s="662" t="str">
        <f>IFERROR(VLOOKUP(功能_33[[#This Row],[功能代號]],工作表3!C:C,1,FALSE),"未計SIT測試")</f>
        <v>L4703</v>
      </c>
    </row>
    <row r="221" spans="1:49" ht="13.5" x14ac:dyDescent="0.3">
      <c r="B221" s="292">
        <v>1</v>
      </c>
      <c r="C221" s="292" t="s">
        <v>92</v>
      </c>
      <c r="D221" s="292" t="s">
        <v>2832</v>
      </c>
      <c r="E221" s="291" t="s">
        <v>687</v>
      </c>
      <c r="F221" s="292" t="s">
        <v>688</v>
      </c>
      <c r="G221" s="292"/>
      <c r="H221" s="291" t="s">
        <v>193</v>
      </c>
      <c r="I221" s="291" t="s">
        <v>194</v>
      </c>
      <c r="J221" s="225" t="s">
        <v>3058</v>
      </c>
      <c r="K221" s="299">
        <v>44475</v>
      </c>
      <c r="L221" s="299">
        <v>44482</v>
      </c>
      <c r="M221" s="299">
        <v>44482</v>
      </c>
      <c r="N221" s="291" t="s">
        <v>8</v>
      </c>
      <c r="O221" s="291" t="s">
        <v>11</v>
      </c>
      <c r="T221" s="291"/>
      <c r="V221" s="291"/>
      <c r="W221" s="291"/>
      <c r="X221" s="292" t="str">
        <f>VLOOKUP(功能_33[[#This Row],[User]],SKL放款!A:G,7,FALSE)</f>
        <v>放款服務課</v>
      </c>
      <c r="Y221" s="299">
        <v>44496</v>
      </c>
      <c r="Z221" s="299" t="s">
        <v>195</v>
      </c>
      <c r="AA221" s="299">
        <v>44496</v>
      </c>
      <c r="AB221" s="299">
        <v>44496</v>
      </c>
      <c r="AC221" s="222" t="s">
        <v>3059</v>
      </c>
      <c r="AD221" s="299" t="s">
        <v>196</v>
      </c>
      <c r="AE221" s="299"/>
      <c r="AF221" s="355"/>
      <c r="AG221" s="299" t="str">
        <f>IFERROR(IF(VLOOKUP(功能_33[[#This Row],[功能代號]],E:Q,11,FALSE)=0,"",VLOOKUP(功能_33[[#This Row],[功能代號]],E:Q,11,FALSE)),"")</f>
        <v>蔡珮瑜</v>
      </c>
      <c r="AH221" s="299"/>
      <c r="AI221" s="299"/>
      <c r="AJ221" s="292"/>
      <c r="AK221" s="299"/>
      <c r="AL221" s="291">
        <v>330</v>
      </c>
      <c r="AM221" s="292" t="s">
        <v>689</v>
      </c>
      <c r="AN221" s="292" t="e">
        <f>VLOOKUP(功能_33[[#This Row],[功能代號]],需二審tmp!A:A,1,FALSE)</f>
        <v>#N/A</v>
      </c>
      <c r="AO221" s="356">
        <v>44512</v>
      </c>
      <c r="AQ221" s="574" t="str">
        <f t="shared" si="27"/>
        <v>3-1</v>
      </c>
      <c r="AR221" s="576" t="str">
        <f t="shared" si="28"/>
        <v/>
      </c>
      <c r="AS221" s="578" t="str">
        <f t="shared" si="29"/>
        <v/>
      </c>
      <c r="AT221" s="580" t="str">
        <f t="shared" si="30"/>
        <v/>
      </c>
      <c r="AU221" s="582" t="str">
        <f t="shared" si="31"/>
        <v/>
      </c>
      <c r="AV221" s="584" t="str">
        <f t="shared" si="32"/>
        <v/>
      </c>
      <c r="AW221" s="662" t="str">
        <f>IFERROR(VLOOKUP(功能_33[[#This Row],[功能代號]],工作表3!C:C,1,FALSE),"未計SIT測試")</f>
        <v>L3921</v>
      </c>
    </row>
    <row r="222" spans="1:49" ht="13.5" x14ac:dyDescent="0.3">
      <c r="B222" s="292">
        <v>1</v>
      </c>
      <c r="C222" s="292" t="s">
        <v>92</v>
      </c>
      <c r="D222" s="292" t="s">
        <v>2832</v>
      </c>
      <c r="E222" s="291" t="s">
        <v>690</v>
      </c>
      <c r="F222" s="292" t="s">
        <v>691</v>
      </c>
      <c r="G222" s="292"/>
      <c r="H222" s="291" t="s">
        <v>193</v>
      </c>
      <c r="I222" s="291" t="s">
        <v>194</v>
      </c>
      <c r="J222" s="225" t="s">
        <v>310</v>
      </c>
      <c r="K222" s="299">
        <v>44475</v>
      </c>
      <c r="L222" s="299">
        <v>44482</v>
      </c>
      <c r="M222" s="299">
        <v>44482</v>
      </c>
      <c r="N222" s="291" t="s">
        <v>8</v>
      </c>
      <c r="O222" s="291" t="s">
        <v>11</v>
      </c>
      <c r="P222" s="270" t="s">
        <v>18</v>
      </c>
      <c r="T222" s="291"/>
      <c r="V222" s="291"/>
      <c r="W222" s="291"/>
      <c r="X222" s="292" t="str">
        <f>VLOOKUP(功能_33[[#This Row],[User]],SKL放款!A:G,7,FALSE)</f>
        <v>放款服務課</v>
      </c>
      <c r="Y222" s="299">
        <v>44496</v>
      </c>
      <c r="Z222" s="299" t="s">
        <v>195</v>
      </c>
      <c r="AA222" s="299">
        <v>44496</v>
      </c>
      <c r="AB222" s="299">
        <v>44496</v>
      </c>
      <c r="AC222" s="299">
        <v>44512</v>
      </c>
      <c r="AD222" s="299" t="s">
        <v>196</v>
      </c>
      <c r="AE222" s="299"/>
      <c r="AF222" s="355"/>
      <c r="AG222" s="299" t="str">
        <f>IFERROR(IF(VLOOKUP(功能_33[[#This Row],[功能代號]],E:Q,11,FALSE)=0,"",VLOOKUP(功能_33[[#This Row],[功能代號]],E:Q,11,FALSE)),"")</f>
        <v>蔡珮瑜</v>
      </c>
      <c r="AH222" s="299"/>
      <c r="AI222" s="299"/>
      <c r="AJ222" s="292"/>
      <c r="AK222" s="224" t="s">
        <v>692</v>
      </c>
      <c r="AL222" s="291">
        <v>340</v>
      </c>
      <c r="AM222" s="292" t="s">
        <v>693</v>
      </c>
      <c r="AN222" s="292" t="e">
        <f>VLOOKUP(功能_33[[#This Row],[功能代號]],需二審tmp!A:A,1,FALSE)</f>
        <v>#N/A</v>
      </c>
      <c r="AO222" s="356">
        <v>44512</v>
      </c>
      <c r="AQ222" s="574" t="str">
        <f t="shared" si="27"/>
        <v>3-1</v>
      </c>
      <c r="AR222" s="576" t="str">
        <f t="shared" si="28"/>
        <v/>
      </c>
      <c r="AS222" s="578" t="str">
        <f t="shared" si="29"/>
        <v/>
      </c>
      <c r="AT222" s="580" t="str">
        <f t="shared" si="30"/>
        <v/>
      </c>
      <c r="AU222" s="582" t="str">
        <f t="shared" si="31"/>
        <v/>
      </c>
      <c r="AV222" s="584" t="str">
        <f t="shared" si="32"/>
        <v/>
      </c>
      <c r="AW222" s="662" t="str">
        <f>IFERROR(VLOOKUP(功能_33[[#This Row],[功能代號]],工作表3!C:C,1,FALSE),"未計SIT測試")</f>
        <v>未計SIT測試</v>
      </c>
    </row>
    <row r="223" spans="1:49" ht="13.5" x14ac:dyDescent="0.3">
      <c r="B223" s="292">
        <v>1</v>
      </c>
      <c r="C223" s="292" t="s">
        <v>92</v>
      </c>
      <c r="D223" s="292" t="s">
        <v>2832</v>
      </c>
      <c r="E223" s="291" t="s">
        <v>694</v>
      </c>
      <c r="F223" s="292" t="s">
        <v>695</v>
      </c>
      <c r="G223" s="292"/>
      <c r="H223" s="291" t="s">
        <v>193</v>
      </c>
      <c r="I223" s="291" t="s">
        <v>194</v>
      </c>
      <c r="J223" s="225" t="s">
        <v>310</v>
      </c>
      <c r="K223" s="299">
        <v>44475</v>
      </c>
      <c r="L223" s="299">
        <v>44482</v>
      </c>
      <c r="M223" s="299">
        <v>44482</v>
      </c>
      <c r="N223" s="291" t="s">
        <v>8</v>
      </c>
      <c r="O223" s="291" t="s">
        <v>11</v>
      </c>
      <c r="T223" s="291"/>
      <c r="V223" s="291"/>
      <c r="W223" s="291"/>
      <c r="X223" s="292" t="str">
        <f>VLOOKUP(功能_33[[#This Row],[User]],SKL放款!A:G,7,FALSE)</f>
        <v>放款服務課</v>
      </c>
      <c r="Y223" s="299">
        <v>44496</v>
      </c>
      <c r="Z223" s="299" t="s">
        <v>195</v>
      </c>
      <c r="AA223" s="299">
        <v>44496</v>
      </c>
      <c r="AB223" s="299">
        <v>44496</v>
      </c>
      <c r="AC223" s="299">
        <v>44512</v>
      </c>
      <c r="AD223" s="299" t="s">
        <v>196</v>
      </c>
      <c r="AE223" s="299"/>
      <c r="AF223" s="355"/>
      <c r="AG223" s="299" t="str">
        <f>IFERROR(IF(VLOOKUP(功能_33[[#This Row],[功能代號]],E:Q,11,FALSE)=0,"",VLOOKUP(功能_33[[#This Row],[功能代號]],E:Q,11,FALSE)),"")</f>
        <v>蔡珮瑜</v>
      </c>
      <c r="AH223" s="299"/>
      <c r="AI223" s="299"/>
      <c r="AJ223" s="292"/>
      <c r="AK223" s="299"/>
      <c r="AL223" s="291">
        <v>345</v>
      </c>
      <c r="AM223" s="292" t="s">
        <v>696</v>
      </c>
      <c r="AN223" s="292" t="e">
        <f>VLOOKUP(功能_33[[#This Row],[功能代號]],需二審tmp!A:A,1,FALSE)</f>
        <v>#N/A</v>
      </c>
      <c r="AO223" s="356">
        <v>44512</v>
      </c>
      <c r="AQ223" s="574" t="str">
        <f t="shared" si="27"/>
        <v>3-1</v>
      </c>
      <c r="AR223" s="576" t="str">
        <f t="shared" si="28"/>
        <v/>
      </c>
      <c r="AS223" s="578" t="str">
        <f t="shared" si="29"/>
        <v/>
      </c>
      <c r="AT223" s="580" t="str">
        <f t="shared" si="30"/>
        <v/>
      </c>
      <c r="AU223" s="582" t="str">
        <f t="shared" si="31"/>
        <v/>
      </c>
      <c r="AV223" s="584" t="str">
        <f t="shared" si="32"/>
        <v/>
      </c>
      <c r="AW223" s="662" t="str">
        <f>IFERROR(VLOOKUP(功能_33[[#This Row],[功能代號]],工作表3!C:C,1,FALSE),"未計SIT測試")</f>
        <v>未計SIT測試</v>
      </c>
    </row>
    <row r="224" spans="1:49" ht="13.5" x14ac:dyDescent="0.3">
      <c r="B224" s="292">
        <v>1</v>
      </c>
      <c r="C224" s="292" t="s">
        <v>92</v>
      </c>
      <c r="D224" s="292" t="s">
        <v>2832</v>
      </c>
      <c r="E224" s="291" t="s">
        <v>697</v>
      </c>
      <c r="F224" s="292" t="s">
        <v>698</v>
      </c>
      <c r="G224" s="292"/>
      <c r="H224" s="291" t="s">
        <v>193</v>
      </c>
      <c r="I224" s="291" t="s">
        <v>194</v>
      </c>
      <c r="J224" s="225" t="s">
        <v>310</v>
      </c>
      <c r="K224" s="299">
        <v>44475</v>
      </c>
      <c r="L224" s="299">
        <v>44487</v>
      </c>
      <c r="M224" s="299">
        <v>44487</v>
      </c>
      <c r="N224" s="291" t="s">
        <v>7</v>
      </c>
      <c r="O224" s="291" t="s">
        <v>24</v>
      </c>
      <c r="P224" s="270" t="s">
        <v>14</v>
      </c>
      <c r="T224" s="291"/>
      <c r="V224" s="291"/>
      <c r="W224" s="291"/>
      <c r="X224" s="292" t="str">
        <f>VLOOKUP(功能_33[[#This Row],[User]],SKL放款!A:G,7,FALSE)</f>
        <v>放款服務課</v>
      </c>
      <c r="Y224" s="299">
        <v>44496</v>
      </c>
      <c r="Z224" s="299" t="s">
        <v>195</v>
      </c>
      <c r="AA224" s="299">
        <v>44496</v>
      </c>
      <c r="AB224" s="299">
        <v>44496</v>
      </c>
      <c r="AC224" s="299">
        <v>44512</v>
      </c>
      <c r="AD224" s="299" t="s">
        <v>196</v>
      </c>
      <c r="AE224" s="299"/>
      <c r="AF224" s="355"/>
      <c r="AG224" s="299" t="str">
        <f>IFERROR(IF(VLOOKUP(功能_33[[#This Row],[功能代號]],E:Q,11,FALSE)=0,"",VLOOKUP(功能_33[[#This Row],[功能代號]],E:Q,11,FALSE)),"")</f>
        <v>邵淑微</v>
      </c>
      <c r="AH224" s="299"/>
      <c r="AI224" s="299"/>
      <c r="AJ224" s="292"/>
      <c r="AK224" s="299"/>
      <c r="AL224" s="291">
        <v>365</v>
      </c>
      <c r="AM224" s="292" t="s">
        <v>699</v>
      </c>
      <c r="AN224" s="292" t="e">
        <f>VLOOKUP(功能_33[[#This Row],[功能代號]],需二審tmp!A:A,1,FALSE)</f>
        <v>#N/A</v>
      </c>
      <c r="AO224" s="356">
        <v>44512</v>
      </c>
      <c r="AQ224" s="574" t="str">
        <f t="shared" si="27"/>
        <v>3-1</v>
      </c>
      <c r="AR224" s="576" t="str">
        <f t="shared" si="28"/>
        <v/>
      </c>
      <c r="AS224" s="578" t="str">
        <f t="shared" si="29"/>
        <v/>
      </c>
      <c r="AT224" s="580" t="str">
        <f t="shared" si="30"/>
        <v/>
      </c>
      <c r="AU224" s="582" t="str">
        <f t="shared" si="31"/>
        <v/>
      </c>
      <c r="AV224" s="584" t="str">
        <f t="shared" si="32"/>
        <v/>
      </c>
      <c r="AW224" s="662" t="str">
        <f>IFERROR(VLOOKUP(功能_33[[#This Row],[功能代號]],工作表3!C:C,1,FALSE),"未計SIT測試")</f>
        <v>未計SIT測試</v>
      </c>
    </row>
    <row r="225" spans="1:49" ht="13.5" x14ac:dyDescent="0.3">
      <c r="B225" s="292">
        <v>1</v>
      </c>
      <c r="C225" s="292" t="s">
        <v>92</v>
      </c>
      <c r="D225" s="292" t="s">
        <v>2832</v>
      </c>
      <c r="E225" s="291" t="s">
        <v>700</v>
      </c>
      <c r="F225" s="292" t="s">
        <v>701</v>
      </c>
      <c r="G225" s="292"/>
      <c r="H225" s="291" t="s">
        <v>193</v>
      </c>
      <c r="I225" s="291" t="s">
        <v>194</v>
      </c>
      <c r="J225" s="225" t="s">
        <v>310</v>
      </c>
      <c r="K225" s="299">
        <v>44475</v>
      </c>
      <c r="L225" s="299">
        <v>44482</v>
      </c>
      <c r="M225" s="299">
        <v>44482</v>
      </c>
      <c r="N225" s="291" t="s">
        <v>8</v>
      </c>
      <c r="O225" s="291" t="s">
        <v>11</v>
      </c>
      <c r="T225" s="291"/>
      <c r="V225" s="291"/>
      <c r="W225" s="291"/>
      <c r="X225" s="292" t="str">
        <f>VLOOKUP(功能_33[[#This Row],[User]],SKL放款!A:G,7,FALSE)</f>
        <v>放款服務課</v>
      </c>
      <c r="Y225" s="299">
        <v>44496</v>
      </c>
      <c r="Z225" s="299" t="s">
        <v>195</v>
      </c>
      <c r="AA225" s="299">
        <v>44496</v>
      </c>
      <c r="AB225" s="299">
        <v>44496</v>
      </c>
      <c r="AC225" s="299">
        <v>44512</v>
      </c>
      <c r="AD225" s="299" t="s">
        <v>196</v>
      </c>
      <c r="AE225" s="299"/>
      <c r="AF225" s="355"/>
      <c r="AG225" s="299" t="str">
        <f>IFERROR(IF(VLOOKUP(功能_33[[#This Row],[功能代號]],E:Q,11,FALSE)=0,"",VLOOKUP(功能_33[[#This Row],[功能代號]],E:Q,11,FALSE)),"")</f>
        <v>蔡珮瑜</v>
      </c>
      <c r="AH225" s="299"/>
      <c r="AI225" s="299"/>
      <c r="AJ225" s="292"/>
      <c r="AK225" s="299"/>
      <c r="AL225" s="291">
        <v>370</v>
      </c>
      <c r="AM225" s="292" t="s">
        <v>702</v>
      </c>
      <c r="AN225" s="292" t="e">
        <f>VLOOKUP(功能_33[[#This Row],[功能代號]],需二審tmp!A:A,1,FALSE)</f>
        <v>#N/A</v>
      </c>
      <c r="AO225" s="356">
        <v>44512</v>
      </c>
      <c r="AQ225" s="574" t="str">
        <f t="shared" si="27"/>
        <v>3-1</v>
      </c>
      <c r="AR225" s="576" t="str">
        <f t="shared" si="28"/>
        <v/>
      </c>
      <c r="AS225" s="578" t="str">
        <f t="shared" si="29"/>
        <v/>
      </c>
      <c r="AT225" s="580" t="str">
        <f t="shared" si="30"/>
        <v/>
      </c>
      <c r="AU225" s="582" t="str">
        <f t="shared" si="31"/>
        <v/>
      </c>
      <c r="AV225" s="584" t="str">
        <f t="shared" si="32"/>
        <v/>
      </c>
      <c r="AW225" s="662" t="str">
        <f>IFERROR(VLOOKUP(功能_33[[#This Row],[功能代號]],工作表3!C:C,1,FALSE),"未計SIT測試")</f>
        <v>未計SIT測試</v>
      </c>
    </row>
    <row r="226" spans="1:49" ht="13.5" x14ac:dyDescent="0.3">
      <c r="B226" s="292">
        <v>1</v>
      </c>
      <c r="C226" s="292" t="s">
        <v>92</v>
      </c>
      <c r="D226" s="292" t="s">
        <v>2832</v>
      </c>
      <c r="E226" s="291" t="s">
        <v>703</v>
      </c>
      <c r="F226" s="292" t="s">
        <v>704</v>
      </c>
      <c r="G226" s="292"/>
      <c r="H226" s="291" t="s">
        <v>193</v>
      </c>
      <c r="I226" s="291" t="s">
        <v>194</v>
      </c>
      <c r="J226" s="225" t="s">
        <v>310</v>
      </c>
      <c r="K226" s="299">
        <v>44475</v>
      </c>
      <c r="L226" s="299">
        <v>44482</v>
      </c>
      <c r="M226" s="299">
        <f>IFERROR(IF(VLOOKUP(功能_33[[#This Row],[功能代號]],討論項目!A:H,8,FALSE)=0,"",VLOOKUP(功能_33[[#This Row],[功能代號]],討論項目!A:H,8,FALSE)),"")</f>
        <v>44510</v>
      </c>
      <c r="N226" s="291" t="s">
        <v>8</v>
      </c>
      <c r="O226" s="291" t="s">
        <v>11</v>
      </c>
      <c r="T226" s="291"/>
      <c r="V226" s="291"/>
      <c r="W226" s="291"/>
      <c r="X226" s="292" t="str">
        <f>VLOOKUP(功能_33[[#This Row],[User]],SKL放款!A:G,7,FALSE)</f>
        <v>放款服務課</v>
      </c>
      <c r="Y226" s="299">
        <v>44496</v>
      </c>
      <c r="Z226" s="299">
        <v>44512</v>
      </c>
      <c r="AA226" s="299">
        <v>44496</v>
      </c>
      <c r="AB226" s="299">
        <v>44496</v>
      </c>
      <c r="AC226" s="299">
        <v>44512</v>
      </c>
      <c r="AD226" s="299" t="s">
        <v>196</v>
      </c>
      <c r="AE226" s="299"/>
      <c r="AF226" s="355"/>
      <c r="AG226" s="299" t="str">
        <f>IFERROR(IF(VLOOKUP(功能_33[[#This Row],[功能代號]],E:Q,11,FALSE)=0,"",VLOOKUP(功能_33[[#This Row],[功能代號]],E:Q,11,FALSE)),"")</f>
        <v>蔡珮瑜</v>
      </c>
      <c r="AH226" s="299"/>
      <c r="AI226" s="299"/>
      <c r="AJ226" s="292"/>
      <c r="AK226" s="299"/>
      <c r="AL226" s="291">
        <v>375</v>
      </c>
      <c r="AM226" s="292" t="s">
        <v>705</v>
      </c>
      <c r="AN226" s="292" t="str">
        <f>VLOOKUP(功能_33[[#This Row],[功能代號]],需二審tmp!A:A,1,FALSE)</f>
        <v>L3926</v>
      </c>
      <c r="AO226" s="356">
        <v>44512</v>
      </c>
      <c r="AQ226" s="574" t="str">
        <f t="shared" si="27"/>
        <v>3-1</v>
      </c>
      <c r="AR226" s="576" t="str">
        <f t="shared" si="28"/>
        <v/>
      </c>
      <c r="AS226" s="578" t="str">
        <f t="shared" si="29"/>
        <v/>
      </c>
      <c r="AT226" s="580" t="str">
        <f t="shared" si="30"/>
        <v/>
      </c>
      <c r="AU226" s="582" t="str">
        <f t="shared" si="31"/>
        <v/>
      </c>
      <c r="AV226" s="584" t="str">
        <f t="shared" si="32"/>
        <v/>
      </c>
      <c r="AW226" s="662" t="str">
        <f>IFERROR(VLOOKUP(功能_33[[#This Row],[功能代號]],工作表3!C:C,1,FALSE),"未計SIT測試")</f>
        <v>未計SIT測試</v>
      </c>
    </row>
    <row r="227" spans="1:49" ht="13.5" x14ac:dyDescent="0.3">
      <c r="B227" s="292">
        <v>1</v>
      </c>
      <c r="C227" s="292" t="s">
        <v>92</v>
      </c>
      <c r="D227" s="359" t="s">
        <v>2835</v>
      </c>
      <c r="E227" s="291" t="s">
        <v>706</v>
      </c>
      <c r="F227" s="292" t="s">
        <v>707</v>
      </c>
      <c r="G227" s="292"/>
      <c r="H227" s="291" t="s">
        <v>193</v>
      </c>
      <c r="I227" s="291" t="s">
        <v>194</v>
      </c>
      <c r="J227" s="225" t="s">
        <v>310</v>
      </c>
      <c r="K227" s="299">
        <v>44475</v>
      </c>
      <c r="L227" s="299">
        <v>44482</v>
      </c>
      <c r="M227" s="299">
        <v>44482</v>
      </c>
      <c r="N227" s="291" t="s">
        <v>8</v>
      </c>
      <c r="O227" s="291" t="s">
        <v>11</v>
      </c>
      <c r="T227" s="291"/>
      <c r="V227" s="291"/>
      <c r="W227" s="291"/>
      <c r="X227" s="292" t="str">
        <f>VLOOKUP(功能_33[[#This Row],[User]],SKL放款!A:G,7,FALSE)</f>
        <v>放款服務課</v>
      </c>
      <c r="Y227" s="299">
        <v>44496</v>
      </c>
      <c r="Z227" s="299" t="s">
        <v>195</v>
      </c>
      <c r="AA227" s="299">
        <v>44496</v>
      </c>
      <c r="AB227" s="299">
        <v>44496</v>
      </c>
      <c r="AC227" s="299">
        <v>44512</v>
      </c>
      <c r="AD227" s="299" t="s">
        <v>196</v>
      </c>
      <c r="AE227" s="299"/>
      <c r="AF227" s="355"/>
      <c r="AG227" s="299" t="str">
        <f>IFERROR(IF(VLOOKUP(功能_33[[#This Row],[功能代號]],E:Q,11,FALSE)=0,"",VLOOKUP(功能_33[[#This Row],[功能代號]],E:Q,11,FALSE)),"")</f>
        <v>蔡珮瑜</v>
      </c>
      <c r="AH227" s="299"/>
      <c r="AI227" s="299"/>
      <c r="AJ227" s="292"/>
      <c r="AK227" s="299"/>
      <c r="AL227" s="291" t="s">
        <v>190</v>
      </c>
      <c r="AN227" s="292" t="e">
        <f>VLOOKUP(功能_33[[#This Row],[功能代號]],需二審tmp!A:A,1,FALSE)</f>
        <v>#N/A</v>
      </c>
      <c r="AO227" s="356">
        <v>44512</v>
      </c>
      <c r="AQ227" s="574" t="str">
        <f t="shared" si="27"/>
        <v>3-3</v>
      </c>
      <c r="AR227" s="576" t="str">
        <f t="shared" si="28"/>
        <v/>
      </c>
      <c r="AS227" s="578" t="str">
        <f t="shared" si="29"/>
        <v/>
      </c>
      <c r="AT227" s="580" t="str">
        <f t="shared" si="30"/>
        <v/>
      </c>
      <c r="AU227" s="582" t="str">
        <f t="shared" si="31"/>
        <v/>
      </c>
      <c r="AV227" s="584" t="str">
        <f t="shared" si="32"/>
        <v/>
      </c>
      <c r="AW227" s="662" t="str">
        <f>IFERROR(VLOOKUP(功能_33[[#This Row],[功能代號]],工作表3!C:C,1,FALSE),"未計SIT測試")</f>
        <v>未計SIT測試</v>
      </c>
    </row>
    <row r="228" spans="1:49" ht="13.5" x14ac:dyDescent="0.3">
      <c r="B228" s="292">
        <v>1</v>
      </c>
      <c r="C228" s="292" t="s">
        <v>92</v>
      </c>
      <c r="D228" s="359" t="s">
        <v>2835</v>
      </c>
      <c r="E228" s="291" t="s">
        <v>708</v>
      </c>
      <c r="F228" s="292" t="s">
        <v>709</v>
      </c>
      <c r="G228" s="292"/>
      <c r="H228" s="291" t="s">
        <v>193</v>
      </c>
      <c r="I228" s="291" t="s">
        <v>194</v>
      </c>
      <c r="J228" s="225" t="s">
        <v>310</v>
      </c>
      <c r="K228" s="299">
        <v>44475</v>
      </c>
      <c r="L228" s="299">
        <v>44482</v>
      </c>
      <c r="M228" s="299">
        <f>IFERROR(IF(VLOOKUP(功能_33[[#This Row],[功能代號]],討論項目!A:H,8,FALSE)=0,"",VLOOKUP(功能_33[[#This Row],[功能代號]],討論項目!A:H,8,FALSE)),"")</f>
        <v>44510</v>
      </c>
      <c r="N228" s="291" t="s">
        <v>8</v>
      </c>
      <c r="O228" s="291" t="s">
        <v>11</v>
      </c>
      <c r="P228" s="270" t="s">
        <v>23</v>
      </c>
      <c r="T228" s="291"/>
      <c r="V228" s="291"/>
      <c r="W228" s="291"/>
      <c r="X228" s="292" t="str">
        <f>VLOOKUP(功能_33[[#This Row],[User]],SKL放款!A:G,7,FALSE)</f>
        <v>放款服務課</v>
      </c>
      <c r="Y228" s="299">
        <v>44496</v>
      </c>
      <c r="Z228" s="299">
        <v>44512</v>
      </c>
      <c r="AA228" s="299">
        <v>44496</v>
      </c>
      <c r="AB228" s="299">
        <v>44496</v>
      </c>
      <c r="AC228" s="299">
        <v>44512</v>
      </c>
      <c r="AD228" s="299" t="s">
        <v>196</v>
      </c>
      <c r="AE228" s="299"/>
      <c r="AF228" s="355"/>
      <c r="AG228" s="299" t="str">
        <f>IFERROR(IF(VLOOKUP(功能_33[[#This Row],[功能代號]],E:Q,11,FALSE)=0,"",VLOOKUP(功能_33[[#This Row],[功能代號]],E:Q,11,FALSE)),"")</f>
        <v>蔡珮瑜</v>
      </c>
      <c r="AH228" s="299"/>
      <c r="AI228" s="299"/>
      <c r="AJ228" s="292"/>
      <c r="AK228" s="299"/>
      <c r="AL228" s="291" t="s">
        <v>190</v>
      </c>
      <c r="AN228" s="292" t="str">
        <f>VLOOKUP(功能_33[[#This Row],[功能代號]],需二審tmp!A:A,1,FALSE)</f>
        <v>L3130</v>
      </c>
      <c r="AO228" s="356">
        <v>44512</v>
      </c>
      <c r="AQ228" s="574" t="str">
        <f t="shared" si="27"/>
        <v>3-3</v>
      </c>
      <c r="AR228" s="576" t="str">
        <f t="shared" si="28"/>
        <v/>
      </c>
      <c r="AS228" s="578" t="str">
        <f t="shared" si="29"/>
        <v/>
      </c>
      <c r="AT228" s="580" t="str">
        <f t="shared" si="30"/>
        <v/>
      </c>
      <c r="AU228" s="582" t="str">
        <f t="shared" si="31"/>
        <v/>
      </c>
      <c r="AV228" s="584" t="str">
        <f t="shared" si="32"/>
        <v/>
      </c>
      <c r="AW228" s="662" t="str">
        <f>IFERROR(VLOOKUP(功能_33[[#This Row],[功能代號]],工作表3!C:C,1,FALSE),"未計SIT測試")</f>
        <v>未計SIT測試</v>
      </c>
    </row>
    <row r="229" spans="1:49" ht="13.5" x14ac:dyDescent="0.3">
      <c r="B229" s="292">
        <v>1</v>
      </c>
      <c r="C229" s="292" t="s">
        <v>92</v>
      </c>
      <c r="D229" s="359" t="s">
        <v>2835</v>
      </c>
      <c r="E229" s="291" t="s">
        <v>710</v>
      </c>
      <c r="F229" s="292" t="s">
        <v>711</v>
      </c>
      <c r="G229" s="292"/>
      <c r="H229" s="291" t="s">
        <v>193</v>
      </c>
      <c r="I229" s="291" t="s">
        <v>194</v>
      </c>
      <c r="J229" s="225" t="s">
        <v>310</v>
      </c>
      <c r="K229" s="299">
        <v>44475</v>
      </c>
      <c r="L229" s="299">
        <v>44482</v>
      </c>
      <c r="M229" s="299">
        <v>44482</v>
      </c>
      <c r="N229" s="291" t="s">
        <v>8</v>
      </c>
      <c r="O229" s="291" t="s">
        <v>11</v>
      </c>
      <c r="T229" s="291"/>
      <c r="V229" s="291"/>
      <c r="W229" s="291"/>
      <c r="X229" s="292" t="str">
        <f>VLOOKUP(功能_33[[#This Row],[User]],SKL放款!A:G,7,FALSE)</f>
        <v>放款服務課</v>
      </c>
      <c r="Y229" s="299">
        <v>44496</v>
      </c>
      <c r="Z229" s="299">
        <v>44512</v>
      </c>
      <c r="AA229" s="299">
        <v>44496</v>
      </c>
      <c r="AB229" s="299">
        <v>44496</v>
      </c>
      <c r="AC229" s="299">
        <v>44512</v>
      </c>
      <c r="AD229" s="299" t="s">
        <v>196</v>
      </c>
      <c r="AE229" s="299"/>
      <c r="AF229" s="355"/>
      <c r="AG229" s="299" t="str">
        <f>IFERROR(IF(VLOOKUP(功能_33[[#This Row],[功能代號]],E:Q,11,FALSE)=0,"",VLOOKUP(功能_33[[#This Row],[功能代號]],E:Q,11,FALSE)),"")</f>
        <v>蔡珮瑜</v>
      </c>
      <c r="AH229" s="299"/>
      <c r="AI229" s="299"/>
      <c r="AJ229" s="292"/>
      <c r="AK229" s="299"/>
      <c r="AL229" s="291">
        <v>331</v>
      </c>
      <c r="AM229" s="292" t="s">
        <v>712</v>
      </c>
      <c r="AN229" s="292" t="str">
        <f>VLOOKUP(功能_33[[#This Row],[功能代號]],需二審tmp!A:A,1,FALSE)</f>
        <v>L3200</v>
      </c>
      <c r="AO229" s="356">
        <v>44512</v>
      </c>
      <c r="AQ229" s="574" t="str">
        <f t="shared" si="27"/>
        <v>3-3</v>
      </c>
      <c r="AR229" s="576" t="str">
        <f t="shared" si="28"/>
        <v/>
      </c>
      <c r="AS229" s="578" t="str">
        <f t="shared" si="29"/>
        <v/>
      </c>
      <c r="AT229" s="580" t="str">
        <f t="shared" si="30"/>
        <v/>
      </c>
      <c r="AU229" s="582" t="str">
        <f t="shared" si="31"/>
        <v/>
      </c>
      <c r="AV229" s="584" t="str">
        <f t="shared" si="32"/>
        <v/>
      </c>
      <c r="AW229" s="662" t="str">
        <f>IFERROR(VLOOKUP(功能_33[[#This Row],[功能代號]],工作表3!C:C,1,FALSE),"未計SIT測試")</f>
        <v>未計SIT測試</v>
      </c>
    </row>
    <row r="230" spans="1:49" ht="13.5" x14ac:dyDescent="0.3">
      <c r="B230" s="292">
        <v>1</v>
      </c>
      <c r="C230" s="292" t="s">
        <v>92</v>
      </c>
      <c r="D230" s="359" t="s">
        <v>2835</v>
      </c>
      <c r="E230" s="291" t="s">
        <v>713</v>
      </c>
      <c r="F230" s="292" t="s">
        <v>714</v>
      </c>
      <c r="G230" s="292"/>
      <c r="H230" s="291" t="s">
        <v>193</v>
      </c>
      <c r="I230" s="291" t="s">
        <v>194</v>
      </c>
      <c r="J230" s="225" t="s">
        <v>310</v>
      </c>
      <c r="K230" s="299">
        <v>44475</v>
      </c>
      <c r="L230" s="299">
        <v>44482</v>
      </c>
      <c r="M230" s="299">
        <f>IFERROR(IF(VLOOKUP(功能_33[[#This Row],[功能代號]],討論項目!A:H,8,FALSE)=0,"",VLOOKUP(功能_33[[#This Row],[功能代號]],討論項目!A:H,8,FALSE)),"")</f>
        <v>44487</v>
      </c>
      <c r="N230" s="291" t="s">
        <v>8</v>
      </c>
      <c r="O230" s="291" t="s">
        <v>24</v>
      </c>
      <c r="P230" s="270" t="s">
        <v>14</v>
      </c>
      <c r="T230" s="291"/>
      <c r="V230" s="291"/>
      <c r="W230" s="291"/>
      <c r="X230" s="292" t="str">
        <f>VLOOKUP(功能_33[[#This Row],[User]],SKL放款!A:G,7,FALSE)</f>
        <v>放款服務課</v>
      </c>
      <c r="Y230" s="299">
        <v>44496</v>
      </c>
      <c r="Z230" s="299">
        <v>44512</v>
      </c>
      <c r="AA230" s="299">
        <v>44496</v>
      </c>
      <c r="AB230" s="299">
        <v>44496</v>
      </c>
      <c r="AC230" s="299">
        <v>44512</v>
      </c>
      <c r="AD230" s="299" t="s">
        <v>196</v>
      </c>
      <c r="AE230" s="299"/>
      <c r="AF230" s="355"/>
      <c r="AG230" s="299" t="str">
        <f>IFERROR(IF(VLOOKUP(功能_33[[#This Row],[功能代號]],E:Q,11,FALSE)=0,"",VLOOKUP(功能_33[[#This Row],[功能代號]],E:Q,11,FALSE)),"")</f>
        <v>邵淑微</v>
      </c>
      <c r="AH230" s="299"/>
      <c r="AI230" s="299"/>
      <c r="AJ230" s="292"/>
      <c r="AK230" s="224" t="s">
        <v>715</v>
      </c>
      <c r="AL230" s="291" t="s">
        <v>190</v>
      </c>
      <c r="AN230" s="292" t="str">
        <f>VLOOKUP(功能_33[[#This Row],[功能代號]],需二審tmp!A:A,1,FALSE)</f>
        <v>L3230</v>
      </c>
      <c r="AO230" s="356">
        <v>44512</v>
      </c>
      <c r="AQ230" s="574" t="str">
        <f t="shared" si="27"/>
        <v>3-3</v>
      </c>
      <c r="AR230" s="576" t="str">
        <f t="shared" si="28"/>
        <v/>
      </c>
      <c r="AS230" s="578" t="str">
        <f t="shared" si="29"/>
        <v/>
      </c>
      <c r="AT230" s="580" t="str">
        <f t="shared" si="30"/>
        <v/>
      </c>
      <c r="AU230" s="582" t="str">
        <f t="shared" si="31"/>
        <v/>
      </c>
      <c r="AV230" s="584" t="str">
        <f t="shared" si="32"/>
        <v/>
      </c>
      <c r="AW230" s="662" t="str">
        <f>IFERROR(VLOOKUP(功能_33[[#This Row],[功能代號]],工作表3!C:C,1,FALSE),"未計SIT測試")</f>
        <v>L3230</v>
      </c>
    </row>
    <row r="231" spans="1:49" ht="13.5" x14ac:dyDescent="0.3">
      <c r="C231" s="292" t="s">
        <v>92</v>
      </c>
      <c r="D231" s="359" t="s">
        <v>2835</v>
      </c>
      <c r="E231" s="291" t="s">
        <v>2795</v>
      </c>
      <c r="F231" s="292" t="s">
        <v>2796</v>
      </c>
      <c r="G231" s="292" t="s">
        <v>2797</v>
      </c>
      <c r="H231" s="291" t="s">
        <v>193</v>
      </c>
      <c r="I231" s="291" t="s">
        <v>194</v>
      </c>
      <c r="J231" s="225" t="s">
        <v>3058</v>
      </c>
      <c r="K231" s="299">
        <v>44475</v>
      </c>
      <c r="L231" s="299">
        <v>44482</v>
      </c>
      <c r="M231" s="299">
        <v>44537</v>
      </c>
      <c r="N231" s="291" t="s">
        <v>8</v>
      </c>
      <c r="O231" s="291" t="s">
        <v>24</v>
      </c>
      <c r="P231" s="270" t="s">
        <v>14</v>
      </c>
      <c r="T231" s="291"/>
      <c r="V231" s="291"/>
      <c r="W231" s="291"/>
      <c r="X231" s="292" t="str">
        <f>VLOOKUP(功能_33[[#This Row],[User]],SKL放款!A:G,7,FALSE)</f>
        <v>放款服務課</v>
      </c>
      <c r="Y231" s="299">
        <v>44533</v>
      </c>
      <c r="Z231" s="299">
        <v>44512</v>
      </c>
      <c r="AA231" s="299">
        <v>44496</v>
      </c>
      <c r="AB231" s="299">
        <v>44496</v>
      </c>
      <c r="AC231" s="299">
        <v>44539</v>
      </c>
      <c r="AD231" s="299" t="s">
        <v>196</v>
      </c>
      <c r="AE231" s="299"/>
      <c r="AF231" s="355"/>
      <c r="AG231" s="299" t="str">
        <f>IFERROR(IF(VLOOKUP(功能_33[[#This Row],[功能代號]],E:Q,11,FALSE)=0,"",VLOOKUP(功能_33[[#This Row],[功能代號]],E:Q,11,FALSE)),"")</f>
        <v>邵淑微</v>
      </c>
      <c r="AH231" s="299"/>
      <c r="AI231" s="299"/>
      <c r="AJ231" s="292"/>
      <c r="AK231" s="224" t="s">
        <v>715</v>
      </c>
      <c r="AL231" s="291" t="s">
        <v>190</v>
      </c>
      <c r="AN231" s="292" t="e">
        <f>VLOOKUP(功能_33[[#This Row],[功能代號]],需二審tmp!A:A,1,FALSE)</f>
        <v>#N/A</v>
      </c>
      <c r="AQ231" s="574" t="str">
        <f t="shared" si="27"/>
        <v>3-3</v>
      </c>
      <c r="AR231" s="576" t="str">
        <f t="shared" si="28"/>
        <v/>
      </c>
      <c r="AS231" s="578" t="str">
        <f t="shared" si="29"/>
        <v/>
      </c>
      <c r="AT231" s="580" t="str">
        <f t="shared" si="30"/>
        <v/>
      </c>
      <c r="AU231" s="582" t="str">
        <f t="shared" si="31"/>
        <v/>
      </c>
      <c r="AV231" s="584" t="str">
        <f t="shared" si="32"/>
        <v/>
      </c>
      <c r="AW231" s="662" t="str">
        <f>IFERROR(VLOOKUP(功能_33[[#This Row],[功能代號]],工作表3!C:C,1,FALSE),"未計SIT測試")</f>
        <v>未計SIT測試</v>
      </c>
    </row>
    <row r="232" spans="1:49" ht="13.5" x14ac:dyDescent="0.3">
      <c r="B232" s="292">
        <v>1</v>
      </c>
      <c r="C232" s="292" t="s">
        <v>92</v>
      </c>
      <c r="D232" s="359" t="s">
        <v>2836</v>
      </c>
      <c r="E232" s="291" t="s">
        <v>716</v>
      </c>
      <c r="F232" s="292" t="s">
        <v>717</v>
      </c>
      <c r="G232" s="292"/>
      <c r="H232" s="291" t="s">
        <v>193</v>
      </c>
      <c r="I232" s="291" t="s">
        <v>194</v>
      </c>
      <c r="J232" s="225" t="s">
        <v>310</v>
      </c>
      <c r="K232" s="299">
        <v>44475</v>
      </c>
      <c r="L232" s="299">
        <v>44487</v>
      </c>
      <c r="M232" s="299">
        <v>44487</v>
      </c>
      <c r="N232" s="291" t="s">
        <v>12</v>
      </c>
      <c r="O232" s="291" t="s">
        <v>24</v>
      </c>
      <c r="T232" s="291"/>
      <c r="V232" s="291"/>
      <c r="W232" s="291"/>
      <c r="X232" s="292" t="str">
        <f>VLOOKUP(功能_33[[#This Row],[User]],SKL放款!A:G,7,FALSE)</f>
        <v>放款服務課</v>
      </c>
      <c r="Y232" s="299">
        <v>44496</v>
      </c>
      <c r="Z232" s="299" t="s">
        <v>195</v>
      </c>
      <c r="AA232" s="299">
        <v>44496</v>
      </c>
      <c r="AB232" s="299">
        <v>44496</v>
      </c>
      <c r="AC232" s="299">
        <v>44512</v>
      </c>
      <c r="AD232" s="299" t="s">
        <v>196</v>
      </c>
      <c r="AE232" s="299"/>
      <c r="AF232" s="355"/>
      <c r="AG232" s="299" t="str">
        <f>IFERROR(IF(VLOOKUP(功能_33[[#This Row],[功能代號]],E:Q,11,FALSE)=0,"",VLOOKUP(功能_33[[#This Row],[功能代號]],E:Q,11,FALSE)),"")</f>
        <v>邵淑微</v>
      </c>
      <c r="AH232" s="299"/>
      <c r="AI232" s="299"/>
      <c r="AJ232" s="292"/>
      <c r="AK232" s="299"/>
      <c r="AL232" s="291">
        <v>341</v>
      </c>
      <c r="AM232" s="292" t="s">
        <v>718</v>
      </c>
      <c r="AN232" s="292" t="e">
        <f>VLOOKUP(功能_33[[#This Row],[功能代號]],需二審tmp!A:A,1,FALSE)</f>
        <v>#N/A</v>
      </c>
      <c r="AO232" s="356">
        <v>44512</v>
      </c>
      <c r="AQ232" s="574" t="str">
        <f t="shared" si="27"/>
        <v>3-4</v>
      </c>
      <c r="AR232" s="576" t="str">
        <f t="shared" si="28"/>
        <v/>
      </c>
      <c r="AS232" s="578" t="str">
        <f t="shared" si="29"/>
        <v/>
      </c>
      <c r="AT232" s="580" t="str">
        <f t="shared" si="30"/>
        <v/>
      </c>
      <c r="AU232" s="582" t="str">
        <f t="shared" si="31"/>
        <v/>
      </c>
      <c r="AV232" s="584" t="str">
        <f t="shared" si="32"/>
        <v/>
      </c>
      <c r="AW232" s="662" t="str">
        <f>IFERROR(VLOOKUP(功能_33[[#This Row],[功能代號]],工作表3!C:C,1,FALSE),"未計SIT測試")</f>
        <v>未計SIT測試</v>
      </c>
    </row>
    <row r="233" spans="1:49" ht="13.5" x14ac:dyDescent="0.3">
      <c r="B233" s="292">
        <v>1</v>
      </c>
      <c r="C233" s="292" t="s">
        <v>92</v>
      </c>
      <c r="D233" s="359" t="s">
        <v>2836</v>
      </c>
      <c r="E233" s="291" t="s">
        <v>719</v>
      </c>
      <c r="F233" s="292" t="s">
        <v>720</v>
      </c>
      <c r="G233" s="292"/>
      <c r="H233" s="291" t="s">
        <v>193</v>
      </c>
      <c r="I233" s="291" t="s">
        <v>194</v>
      </c>
      <c r="J233" s="225" t="s">
        <v>310</v>
      </c>
      <c r="K233" s="299">
        <v>44475</v>
      </c>
      <c r="L233" s="299">
        <v>44482</v>
      </c>
      <c r="M233" s="299">
        <v>44482</v>
      </c>
      <c r="N233" s="291" t="s">
        <v>12</v>
      </c>
      <c r="O233" s="291" t="s">
        <v>11</v>
      </c>
      <c r="P233" s="270" t="s">
        <v>18</v>
      </c>
      <c r="T233" s="291"/>
      <c r="V233" s="291"/>
      <c r="W233" s="291"/>
      <c r="X233" s="292" t="str">
        <f>VLOOKUP(功能_33[[#This Row],[User]],SKL放款!A:G,7,FALSE)</f>
        <v>放款服務課</v>
      </c>
      <c r="Y233" s="299">
        <v>44496</v>
      </c>
      <c r="Z233" s="299" t="s">
        <v>195</v>
      </c>
      <c r="AA233" s="299">
        <v>44496</v>
      </c>
      <c r="AB233" s="299">
        <v>44496</v>
      </c>
      <c r="AC233" s="299">
        <v>44512</v>
      </c>
      <c r="AD233" s="299" t="s">
        <v>196</v>
      </c>
      <c r="AE233" s="299"/>
      <c r="AF233" s="355"/>
      <c r="AG233" s="299" t="str">
        <f>IFERROR(IF(VLOOKUP(功能_33[[#This Row],[功能代號]],E:Q,11,FALSE)=0,"",VLOOKUP(功能_33[[#This Row],[功能代號]],E:Q,11,FALSE)),"")</f>
        <v>蔡珮瑜</v>
      </c>
      <c r="AH233" s="299"/>
      <c r="AI233" s="299"/>
      <c r="AJ233" s="292"/>
      <c r="AK233" s="224" t="s">
        <v>692</v>
      </c>
      <c r="AL233" s="291">
        <v>342</v>
      </c>
      <c r="AM233" s="292" t="s">
        <v>720</v>
      </c>
      <c r="AN233" s="292" t="e">
        <f>VLOOKUP(功能_33[[#This Row],[功能代號]],需二審tmp!A:A,1,FALSE)</f>
        <v>#N/A</v>
      </c>
      <c r="AO233" s="356">
        <v>44512</v>
      </c>
      <c r="AQ233" s="574" t="str">
        <f t="shared" si="27"/>
        <v>3-4</v>
      </c>
      <c r="AR233" s="576" t="str">
        <f t="shared" si="28"/>
        <v/>
      </c>
      <c r="AS233" s="578" t="str">
        <f t="shared" si="29"/>
        <v/>
      </c>
      <c r="AT233" s="580" t="str">
        <f t="shared" si="30"/>
        <v/>
      </c>
      <c r="AU233" s="582" t="str">
        <f t="shared" si="31"/>
        <v/>
      </c>
      <c r="AV233" s="584" t="str">
        <f t="shared" si="32"/>
        <v/>
      </c>
      <c r="AW233" s="662" t="str">
        <f>IFERROR(VLOOKUP(功能_33[[#This Row],[功能代號]],工作表3!C:C,1,FALSE),"未計SIT測試")</f>
        <v>未計SIT測試</v>
      </c>
    </row>
    <row r="234" spans="1:49" ht="13.5" x14ac:dyDescent="0.3">
      <c r="B234" s="292">
        <v>1</v>
      </c>
      <c r="C234" s="292" t="s">
        <v>92</v>
      </c>
      <c r="D234" s="359" t="s">
        <v>2835</v>
      </c>
      <c r="E234" s="291" t="s">
        <v>721</v>
      </c>
      <c r="F234" s="292" t="s">
        <v>722</v>
      </c>
      <c r="G234" s="292"/>
      <c r="H234" s="291" t="s">
        <v>193</v>
      </c>
      <c r="I234" s="291" t="s">
        <v>194</v>
      </c>
      <c r="J234" s="225" t="s">
        <v>310</v>
      </c>
      <c r="K234" s="299">
        <v>44475</v>
      </c>
      <c r="L234" s="299">
        <v>44482</v>
      </c>
      <c r="M234" s="299">
        <f>IFERROR(IF(VLOOKUP(功能_33[[#This Row],[功能代號]],討論項目!A:H,8,FALSE)=0,"",VLOOKUP(功能_33[[#This Row],[功能代號]],討論項目!A:H,8,FALSE)),"")</f>
        <v>44510</v>
      </c>
      <c r="N234" s="291" t="s">
        <v>8</v>
      </c>
      <c r="O234" s="291" t="s">
        <v>24</v>
      </c>
      <c r="P234" s="270" t="s">
        <v>14</v>
      </c>
      <c r="T234" s="291"/>
      <c r="V234" s="291"/>
      <c r="W234" s="291"/>
      <c r="X234" s="292" t="str">
        <f>VLOOKUP(功能_33[[#This Row],[User]],SKL放款!A:G,7,FALSE)</f>
        <v>放款服務課</v>
      </c>
      <c r="Y234" s="299">
        <v>44496</v>
      </c>
      <c r="Z234" s="299">
        <v>44512</v>
      </c>
      <c r="AA234" s="299">
        <v>44496</v>
      </c>
      <c r="AB234" s="299">
        <v>44496</v>
      </c>
      <c r="AC234" s="299">
        <v>44512</v>
      </c>
      <c r="AD234" s="299" t="s">
        <v>196</v>
      </c>
      <c r="AE234" s="299"/>
      <c r="AF234" s="355"/>
      <c r="AG234" s="299" t="str">
        <f>IFERROR(IF(VLOOKUP(功能_33[[#This Row],[功能代號]],E:Q,11,FALSE)=0,"",VLOOKUP(功能_33[[#This Row],[功能代號]],E:Q,11,FALSE)),"")</f>
        <v>邵淑微</v>
      </c>
      <c r="AH234" s="299"/>
      <c r="AI234" s="299"/>
      <c r="AJ234" s="292"/>
      <c r="AK234" s="224" t="s">
        <v>692</v>
      </c>
      <c r="AL234" s="291">
        <v>632</v>
      </c>
      <c r="AM234" s="292" t="s">
        <v>722</v>
      </c>
      <c r="AN234" s="292" t="str">
        <f>VLOOKUP(功能_33[[#This Row],[功能代號]],需二審tmp!A:A,1,FALSE)</f>
        <v>L3731</v>
      </c>
      <c r="AO234" s="356">
        <v>44512</v>
      </c>
      <c r="AQ234" s="574" t="str">
        <f t="shared" si="27"/>
        <v>3-3</v>
      </c>
      <c r="AR234" s="576" t="str">
        <f t="shared" si="28"/>
        <v/>
      </c>
      <c r="AS234" s="578" t="str">
        <f t="shared" si="29"/>
        <v/>
      </c>
      <c r="AT234" s="580" t="str">
        <f t="shared" si="30"/>
        <v/>
      </c>
      <c r="AU234" s="582" t="str">
        <f t="shared" si="31"/>
        <v/>
      </c>
      <c r="AV234" s="584" t="str">
        <f t="shared" si="32"/>
        <v/>
      </c>
      <c r="AW234" s="662" t="str">
        <f>IFERROR(VLOOKUP(功能_33[[#This Row],[功能代號]],工作表3!C:C,1,FALSE),"未計SIT測試")</f>
        <v>未計SIT測試</v>
      </c>
    </row>
    <row r="235" spans="1:49" ht="13.5" x14ac:dyDescent="0.3">
      <c r="A235" s="634"/>
      <c r="B235" s="423"/>
      <c r="C235" s="292" t="s">
        <v>95</v>
      </c>
      <c r="D235" s="292" t="s">
        <v>2837</v>
      </c>
      <c r="E235" s="291" t="s">
        <v>3236</v>
      </c>
      <c r="F235" s="281" t="s">
        <v>3237</v>
      </c>
      <c r="G235" s="292" t="s">
        <v>3233</v>
      </c>
      <c r="H235" s="291" t="s">
        <v>193</v>
      </c>
      <c r="I235" s="291" t="s">
        <v>194</v>
      </c>
      <c r="J235" s="225" t="s">
        <v>3238</v>
      </c>
      <c r="K235" s="299">
        <v>44475</v>
      </c>
      <c r="L235" s="299">
        <v>44482</v>
      </c>
      <c r="M235" s="299" t="str">
        <f>IFERROR(IF(VLOOKUP(功能_33[[#This Row],[功能代號]],討論項目!A:H,8,FALSE)=0,"",VLOOKUP(功能_33[[#This Row],[功能代號]],討論項目!A:H,8,FALSE)),"")</f>
        <v/>
      </c>
      <c r="N235" s="291" t="s">
        <v>8</v>
      </c>
      <c r="O235" s="270" t="s">
        <v>14</v>
      </c>
      <c r="T235" s="291"/>
      <c r="V235" s="291"/>
      <c r="W235" s="291"/>
      <c r="X235" s="423" t="str">
        <f>VLOOKUP(功能_33[[#This Row],[User]],SKL放款!A:G,7,FALSE)</f>
        <v>放款管理課</v>
      </c>
      <c r="Y235" s="299">
        <v>44496</v>
      </c>
      <c r="Z235" s="299">
        <v>44512</v>
      </c>
      <c r="AA235" s="299">
        <v>44496</v>
      </c>
      <c r="AB235" s="299">
        <v>44496</v>
      </c>
      <c r="AC235" s="299">
        <v>44512</v>
      </c>
      <c r="AD235" s="283"/>
      <c r="AE235" s="283"/>
      <c r="AF235" s="283"/>
      <c r="AG235" s="283" t="str">
        <f>IFERROR(IF(VLOOKUP(功能_33[[#This Row],[功能代號]],E:Q,11,FALSE)=0,"",VLOOKUP(功能_33[[#This Row],[功能代號]],E:Q,11,FALSE)),"")</f>
        <v>張舜雯</v>
      </c>
      <c r="AH235" s="283"/>
      <c r="AI235" s="283"/>
      <c r="AJ235" s="423"/>
      <c r="AL235" s="660" t="s">
        <v>2976</v>
      </c>
      <c r="AM235" s="423"/>
      <c r="AN235" s="423" t="e">
        <f>VLOOKUP(功能_33[[#This Row],[功能代號]],需二審tmp!A:A,1,FALSE)</f>
        <v>#N/A</v>
      </c>
      <c r="AQ235" s="635" t="str">
        <f>IF(COUNTA(AC235)=1,LEFT(D235,3),"")</f>
        <v>6-8</v>
      </c>
      <c r="AR235" s="576" t="str">
        <f>IF(AND(COUNTA(L235)=1,COUNTA(M235)=1,COUNTA(Y235)=1,COUNTA(AB235)=1,COUNTA(AC235)=0),LEFT(D235,3),"")</f>
        <v/>
      </c>
      <c r="AS235" s="578" t="str">
        <f>IF(AND(COUNTA(L235)=1,COUNTA(M235)=1,COUNTA(Y235)=1,COUNTA(AB235)=0,COUNTA(AC235)=0),LEFT(D235,3),"")</f>
        <v/>
      </c>
      <c r="AT235" s="580" t="str">
        <f>IF(AND(COUNTA(M235)=0,COUNTA(Y235)=1),LEFT(D235,3),"")</f>
        <v/>
      </c>
      <c r="AU235" s="582" t="str">
        <f>IF(AND(COUNTA(M235)=1,COUNTA(Y235)=0),LEFT(D235,3),"")</f>
        <v/>
      </c>
      <c r="AV235" s="584" t="str">
        <f>IF(AND(COUNTA(M235)=0,COUNTA(Y235)=0),LEFT(D235,3),"")</f>
        <v/>
      </c>
      <c r="AW235" s="662" t="str">
        <f>IFERROR(VLOOKUP(功能_33[[#This Row],[功能代號]],工作表3!C:C,1,FALSE),"未計SIT測試")</f>
        <v>未計SIT測試</v>
      </c>
    </row>
    <row r="236" spans="1:49" ht="13.5" x14ac:dyDescent="0.3">
      <c r="B236" s="292">
        <v>1</v>
      </c>
      <c r="C236" s="292" t="s">
        <v>92</v>
      </c>
      <c r="D236" s="359" t="s">
        <v>2835</v>
      </c>
      <c r="E236" s="291" t="s">
        <v>723</v>
      </c>
      <c r="F236" s="292" t="s">
        <v>724</v>
      </c>
      <c r="G236" s="292"/>
      <c r="H236" s="291" t="s">
        <v>193</v>
      </c>
      <c r="I236" s="291" t="s">
        <v>194</v>
      </c>
      <c r="J236" s="225" t="s">
        <v>310</v>
      </c>
      <c r="K236" s="299">
        <v>44475</v>
      </c>
      <c r="L236" s="299">
        <v>44482</v>
      </c>
      <c r="M236" s="299">
        <v>44482</v>
      </c>
      <c r="N236" s="291" t="s">
        <v>12</v>
      </c>
      <c r="O236" s="291" t="s">
        <v>11</v>
      </c>
      <c r="T236" s="291"/>
      <c r="V236" s="291"/>
      <c r="W236" s="291"/>
      <c r="X236" s="292" t="str">
        <f>VLOOKUP(功能_33[[#This Row],[User]],SKL放款!A:G,7,FALSE)</f>
        <v>放款服務課</v>
      </c>
      <c r="Y236" s="299">
        <v>44496</v>
      </c>
      <c r="Z236" s="299" t="s">
        <v>195</v>
      </c>
      <c r="AA236" s="299">
        <v>44496</v>
      </c>
      <c r="AB236" s="299">
        <v>44496</v>
      </c>
      <c r="AC236" s="299">
        <v>44512</v>
      </c>
      <c r="AD236" s="299" t="s">
        <v>196</v>
      </c>
      <c r="AE236" s="299"/>
      <c r="AF236" s="355"/>
      <c r="AG236" s="299" t="str">
        <f>IFERROR(IF(VLOOKUP(功能_33[[#This Row],[功能代號]],E:Q,11,FALSE)=0,"",VLOOKUP(功能_33[[#This Row],[功能代號]],E:Q,11,FALSE)),"")</f>
        <v>蔡珮瑜</v>
      </c>
      <c r="AH236" s="299"/>
      <c r="AI236" s="299"/>
      <c r="AJ236" s="292"/>
      <c r="AK236" s="299"/>
      <c r="AL236" s="291">
        <v>346</v>
      </c>
      <c r="AM236" s="292" t="s">
        <v>725</v>
      </c>
      <c r="AN236" s="292" t="e">
        <f>VLOOKUP(功能_33[[#This Row],[功能代號]],需二審tmp!A:A,1,FALSE)</f>
        <v>#N/A</v>
      </c>
      <c r="AO236" s="356">
        <v>44512</v>
      </c>
      <c r="AQ236" s="574" t="str">
        <f t="shared" si="27"/>
        <v>3-3</v>
      </c>
      <c r="AR236" s="576" t="str">
        <f t="shared" si="28"/>
        <v/>
      </c>
      <c r="AS236" s="578" t="str">
        <f t="shared" si="29"/>
        <v/>
      </c>
      <c r="AT236" s="580" t="str">
        <f t="shared" si="30"/>
        <v/>
      </c>
      <c r="AU236" s="582" t="str">
        <f t="shared" si="31"/>
        <v/>
      </c>
      <c r="AV236" s="584" t="str">
        <f t="shared" si="32"/>
        <v/>
      </c>
      <c r="AW236" s="662" t="str">
        <f>IFERROR(VLOOKUP(功能_33[[#This Row],[功能代號]],工作表3!C:C,1,FALSE),"未計SIT測試")</f>
        <v>未計SIT測試</v>
      </c>
    </row>
    <row r="237" spans="1:49" ht="13.5" x14ac:dyDescent="0.3">
      <c r="B237" s="292">
        <v>1</v>
      </c>
      <c r="C237" s="292" t="s">
        <v>92</v>
      </c>
      <c r="D237" s="359" t="s">
        <v>2835</v>
      </c>
      <c r="E237" s="291" t="s">
        <v>726</v>
      </c>
      <c r="F237" s="292" t="s">
        <v>727</v>
      </c>
      <c r="G237" s="292"/>
      <c r="H237" s="291" t="s">
        <v>193</v>
      </c>
      <c r="I237" s="291" t="s">
        <v>194</v>
      </c>
      <c r="J237" s="225" t="s">
        <v>310</v>
      </c>
      <c r="K237" s="299">
        <v>44475</v>
      </c>
      <c r="L237" s="299">
        <v>44482</v>
      </c>
      <c r="M237" s="299">
        <v>44482</v>
      </c>
      <c r="N237" s="291" t="s">
        <v>12</v>
      </c>
      <c r="O237" s="291" t="s">
        <v>11</v>
      </c>
      <c r="T237" s="291"/>
      <c r="V237" s="291"/>
      <c r="W237" s="291"/>
      <c r="X237" s="292" t="str">
        <f>VLOOKUP(功能_33[[#This Row],[User]],SKL放款!A:G,7,FALSE)</f>
        <v>放款服務課</v>
      </c>
      <c r="Y237" s="299">
        <v>44496</v>
      </c>
      <c r="Z237" s="299" t="s">
        <v>195</v>
      </c>
      <c r="AA237" s="299">
        <v>44496</v>
      </c>
      <c r="AB237" s="299">
        <v>44496</v>
      </c>
      <c r="AC237" s="299">
        <v>44512</v>
      </c>
      <c r="AD237" s="299" t="s">
        <v>196</v>
      </c>
      <c r="AE237" s="299"/>
      <c r="AF237" s="355"/>
      <c r="AG237" s="299" t="str">
        <f>IFERROR(IF(VLOOKUP(功能_33[[#This Row],[功能代號]],E:Q,11,FALSE)=0,"",VLOOKUP(功能_33[[#This Row],[功能代號]],E:Q,11,FALSE)),"")</f>
        <v>蔡珮瑜</v>
      </c>
      <c r="AH237" s="299"/>
      <c r="AI237" s="299"/>
      <c r="AJ237" s="292"/>
      <c r="AK237" s="299"/>
      <c r="AL237" s="291">
        <v>347</v>
      </c>
      <c r="AM237" s="292" t="s">
        <v>728</v>
      </c>
      <c r="AN237" s="292" t="e">
        <f>VLOOKUP(功能_33[[#This Row],[功能代號]],需二審tmp!A:A,1,FALSE)</f>
        <v>#N/A</v>
      </c>
      <c r="AO237" s="356">
        <v>44512</v>
      </c>
      <c r="AQ237" s="574" t="str">
        <f t="shared" si="27"/>
        <v>3-3</v>
      </c>
      <c r="AR237" s="576" t="str">
        <f t="shared" si="28"/>
        <v/>
      </c>
      <c r="AS237" s="578" t="str">
        <f t="shared" si="29"/>
        <v/>
      </c>
      <c r="AT237" s="580" t="str">
        <f t="shared" si="30"/>
        <v/>
      </c>
      <c r="AU237" s="582" t="str">
        <f t="shared" si="31"/>
        <v/>
      </c>
      <c r="AV237" s="584" t="str">
        <f t="shared" si="32"/>
        <v/>
      </c>
      <c r="AW237" s="662" t="str">
        <f>IFERROR(VLOOKUP(功能_33[[#This Row],[功能代號]],工作表3!C:C,1,FALSE),"未計SIT測試")</f>
        <v>未計SIT測試</v>
      </c>
    </row>
    <row r="238" spans="1:49" ht="13.5" x14ac:dyDescent="0.3">
      <c r="C238" s="292" t="s">
        <v>91</v>
      </c>
      <c r="D238" s="292" t="s">
        <v>2842</v>
      </c>
      <c r="E238" s="291" t="s">
        <v>729</v>
      </c>
      <c r="F238" s="292" t="s">
        <v>730</v>
      </c>
      <c r="G238" s="292"/>
      <c r="H238" s="291" t="s">
        <v>193</v>
      </c>
      <c r="I238" s="291" t="s">
        <v>203</v>
      </c>
      <c r="J238" s="225" t="s">
        <v>2955</v>
      </c>
      <c r="K238" s="299">
        <v>44475</v>
      </c>
      <c r="L238" s="299">
        <v>44475</v>
      </c>
      <c r="M238" s="299">
        <v>44536</v>
      </c>
      <c r="N238" s="291" t="s">
        <v>7</v>
      </c>
      <c r="O238" s="291" t="s">
        <v>14</v>
      </c>
      <c r="T238" s="291"/>
      <c r="V238" s="291"/>
      <c r="W238" s="291"/>
      <c r="X238" s="292" t="str">
        <f>VLOOKUP(功能_33[[#This Row],[User]],SKL放款!A:G,7,FALSE)</f>
        <v>放款管理課</v>
      </c>
      <c r="Y238" s="299">
        <v>44533</v>
      </c>
      <c r="Z238" s="299" t="s">
        <v>195</v>
      </c>
      <c r="AA238" s="299">
        <v>44477</v>
      </c>
      <c r="AB238" s="299">
        <v>44477</v>
      </c>
      <c r="AC238" s="299">
        <v>44539</v>
      </c>
      <c r="AD238" s="299" t="s">
        <v>196</v>
      </c>
      <c r="AE238" s="299"/>
      <c r="AF238" s="355"/>
      <c r="AG238" s="299" t="str">
        <f>IFERROR(IF(VLOOKUP(功能_33[[#This Row],[功能代號]],E:Q,11,FALSE)=0,"",VLOOKUP(功能_33[[#This Row],[功能代號]],E:Q,11,FALSE)),"")</f>
        <v>張舜雯</v>
      </c>
      <c r="AH238" s="299"/>
      <c r="AI238" s="299"/>
      <c r="AJ238" s="292"/>
      <c r="AK238" s="299"/>
      <c r="AL238" s="291">
        <v>226</v>
      </c>
      <c r="AM238" s="292" t="s">
        <v>731</v>
      </c>
      <c r="AN238" s="292" t="e">
        <f>VLOOKUP(功能_33[[#This Row],[功能代號]],需二審tmp!A:A,1,FALSE)</f>
        <v>#N/A</v>
      </c>
      <c r="AO238" s="356">
        <v>44523</v>
      </c>
      <c r="AQ238" s="574" t="str">
        <f t="shared" si="27"/>
        <v>2-5</v>
      </c>
      <c r="AR238" s="576" t="str">
        <f t="shared" si="28"/>
        <v/>
      </c>
      <c r="AS238" s="578" t="str">
        <f t="shared" si="29"/>
        <v/>
      </c>
      <c r="AT238" s="580" t="str">
        <f t="shared" si="30"/>
        <v/>
      </c>
      <c r="AU238" s="582" t="str">
        <f t="shared" si="31"/>
        <v/>
      </c>
      <c r="AV238" s="584" t="str">
        <f t="shared" si="32"/>
        <v/>
      </c>
      <c r="AW238" s="662" t="str">
        <f>IFERROR(VLOOKUP(功能_33[[#This Row],[功能代號]],工作表3!C:C,1,FALSE),"未計SIT測試")</f>
        <v>L2603</v>
      </c>
    </row>
    <row r="239" spans="1:49" ht="13.5" x14ac:dyDescent="0.3">
      <c r="C239" s="292" t="s">
        <v>91</v>
      </c>
      <c r="D239" s="292" t="s">
        <v>2842</v>
      </c>
      <c r="E239" s="291" t="s">
        <v>732</v>
      </c>
      <c r="F239" s="292" t="s">
        <v>733</v>
      </c>
      <c r="G239" s="292"/>
      <c r="H239" s="291" t="s">
        <v>193</v>
      </c>
      <c r="I239" s="291" t="s">
        <v>203</v>
      </c>
      <c r="J239" s="225" t="s">
        <v>2955</v>
      </c>
      <c r="K239" s="299">
        <v>44482</v>
      </c>
      <c r="L239" s="299">
        <v>44475</v>
      </c>
      <c r="M239" s="299">
        <f>IFERROR(IF(VLOOKUP(功能_33[[#This Row],[功能代號]],討論項目!A:H,8,FALSE)=0,"",VLOOKUP(功能_33[[#This Row],[功能代號]],討論項目!A:H,8,FALSE)),"")</f>
        <v>44475</v>
      </c>
      <c r="N239" s="291" t="s">
        <v>7</v>
      </c>
      <c r="O239" s="291" t="s">
        <v>14</v>
      </c>
      <c r="T239" s="291"/>
      <c r="V239" s="291"/>
      <c r="W239" s="291"/>
      <c r="X239" s="292" t="str">
        <f>VLOOKUP(功能_33[[#This Row],[User]],SKL放款!A:G,7,FALSE)</f>
        <v>放款管理課</v>
      </c>
      <c r="Y239" s="299">
        <v>44533</v>
      </c>
      <c r="Z239" s="299" t="s">
        <v>133</v>
      </c>
      <c r="AA239" s="299">
        <v>44530</v>
      </c>
      <c r="AB239" s="299">
        <v>44530</v>
      </c>
      <c r="AC239" s="299">
        <v>44539</v>
      </c>
      <c r="AD239" s="299"/>
      <c r="AE239" s="299"/>
      <c r="AF239" s="355"/>
      <c r="AG239" s="299" t="str">
        <f>IFERROR(IF(VLOOKUP(功能_33[[#This Row],[功能代號]],E:Q,11,FALSE)=0,"",VLOOKUP(功能_33[[#This Row],[功能代號]],E:Q,11,FALSE)),"")</f>
        <v>張舜雯</v>
      </c>
      <c r="AH239" s="299"/>
      <c r="AI239" s="299"/>
      <c r="AJ239" s="292"/>
      <c r="AK239" s="299"/>
      <c r="AL239" s="291">
        <v>226</v>
      </c>
      <c r="AM239" s="292" t="s">
        <v>734</v>
      </c>
      <c r="AN239" s="292" t="str">
        <f>VLOOKUP(功能_33[[#This Row],[功能代號]],需二審tmp!A:A,1,FALSE)</f>
        <v>L2078</v>
      </c>
      <c r="AO239" s="356">
        <v>44523</v>
      </c>
      <c r="AQ239" s="574" t="str">
        <f t="shared" si="27"/>
        <v>2-5</v>
      </c>
      <c r="AR239" s="576" t="str">
        <f t="shared" si="28"/>
        <v/>
      </c>
      <c r="AS239" s="578" t="str">
        <f t="shared" si="29"/>
        <v/>
      </c>
      <c r="AT239" s="580" t="str">
        <f t="shared" si="30"/>
        <v/>
      </c>
      <c r="AU239" s="582" t="str">
        <f t="shared" si="31"/>
        <v/>
      </c>
      <c r="AV239" s="584" t="str">
        <f t="shared" si="32"/>
        <v/>
      </c>
      <c r="AW239" s="662" t="str">
        <f>IFERROR(VLOOKUP(功能_33[[#This Row],[功能代號]],工作表3!C:C,1,FALSE),"未計SIT測試")</f>
        <v>L2078</v>
      </c>
    </row>
    <row r="240" spans="1:49" ht="13.5" x14ac:dyDescent="0.3">
      <c r="C240" s="292" t="s">
        <v>91</v>
      </c>
      <c r="D240" s="292" t="s">
        <v>2842</v>
      </c>
      <c r="E240" s="291" t="s">
        <v>735</v>
      </c>
      <c r="F240" s="292" t="s">
        <v>736</v>
      </c>
      <c r="G240" s="292"/>
      <c r="H240" s="291" t="s">
        <v>193</v>
      </c>
      <c r="I240" s="291" t="s">
        <v>203</v>
      </c>
      <c r="J240" s="225" t="s">
        <v>2955</v>
      </c>
      <c r="K240" s="299">
        <v>44482</v>
      </c>
      <c r="L240" s="299">
        <v>44475</v>
      </c>
      <c r="M240" s="299">
        <v>44536</v>
      </c>
      <c r="N240" s="291" t="s">
        <v>7</v>
      </c>
      <c r="O240" s="291" t="s">
        <v>14</v>
      </c>
      <c r="T240" s="291"/>
      <c r="V240" s="291"/>
      <c r="W240" s="291"/>
      <c r="X240" s="292" t="str">
        <f>VLOOKUP(功能_33[[#This Row],[User]],SKL放款!A:G,7,FALSE)</f>
        <v>放款管理課</v>
      </c>
      <c r="Y240" s="299">
        <v>44533</v>
      </c>
      <c r="Z240" s="299" t="s">
        <v>195</v>
      </c>
      <c r="AA240" s="299">
        <v>44477</v>
      </c>
      <c r="AB240" s="299">
        <v>44477</v>
      </c>
      <c r="AC240" s="299">
        <v>44539</v>
      </c>
      <c r="AD240" s="299" t="s">
        <v>196</v>
      </c>
      <c r="AE240" s="299"/>
      <c r="AF240" s="355"/>
      <c r="AG240" s="299" t="str">
        <f>IFERROR(IF(VLOOKUP(功能_33[[#This Row],[功能代號]],E:Q,11,FALSE)=0,"",VLOOKUP(功能_33[[#This Row],[功能代號]],E:Q,11,FALSE)),"")</f>
        <v>張舜雯</v>
      </c>
      <c r="AH240" s="299"/>
      <c r="AI240" s="299"/>
      <c r="AJ240" s="292"/>
      <c r="AK240" s="299"/>
      <c r="AL240" s="291">
        <v>226</v>
      </c>
      <c r="AM240" s="292" t="s">
        <v>737</v>
      </c>
      <c r="AN240" s="292" t="e">
        <f>VLOOKUP(功能_33[[#This Row],[功能代號]],需二審tmp!A:A,1,FALSE)</f>
        <v>#N/A</v>
      </c>
      <c r="AO240" s="356">
        <v>44523</v>
      </c>
      <c r="AQ240" s="574" t="str">
        <f t="shared" si="27"/>
        <v>2-5</v>
      </c>
      <c r="AR240" s="576" t="str">
        <f t="shared" si="28"/>
        <v/>
      </c>
      <c r="AS240" s="578" t="str">
        <f t="shared" si="29"/>
        <v/>
      </c>
      <c r="AT240" s="580" t="str">
        <f t="shared" si="30"/>
        <v/>
      </c>
      <c r="AU240" s="582" t="str">
        <f t="shared" si="31"/>
        <v/>
      </c>
      <c r="AV240" s="584" t="str">
        <f t="shared" si="32"/>
        <v/>
      </c>
      <c r="AW240" s="662" t="str">
        <f>IFERROR(VLOOKUP(功能_33[[#This Row],[功能代號]],工作表3!C:C,1,FALSE),"未計SIT測試")</f>
        <v>L2601</v>
      </c>
    </row>
    <row r="241" spans="2:49" ht="13.5" x14ac:dyDescent="0.3">
      <c r="C241" s="292" t="s">
        <v>91</v>
      </c>
      <c r="D241" s="292" t="s">
        <v>2842</v>
      </c>
      <c r="E241" s="291" t="s">
        <v>738</v>
      </c>
      <c r="F241" s="292" t="s">
        <v>739</v>
      </c>
      <c r="G241" s="292"/>
      <c r="H241" s="291" t="s">
        <v>193</v>
      </c>
      <c r="I241" s="291" t="s">
        <v>203</v>
      </c>
      <c r="J241" s="225" t="s">
        <v>2955</v>
      </c>
      <c r="K241" s="299">
        <v>44482</v>
      </c>
      <c r="L241" s="299">
        <v>44475</v>
      </c>
      <c r="M241" s="299">
        <v>44536</v>
      </c>
      <c r="N241" s="291" t="s">
        <v>7</v>
      </c>
      <c r="O241" s="291" t="s">
        <v>14</v>
      </c>
      <c r="T241" s="291"/>
      <c r="V241" s="291"/>
      <c r="W241" s="291"/>
      <c r="X241" s="292" t="str">
        <f>VLOOKUP(功能_33[[#This Row],[User]],SKL放款!A:G,7,FALSE)</f>
        <v>放款管理課</v>
      </c>
      <c r="Y241" s="299">
        <v>44533</v>
      </c>
      <c r="Z241" s="299" t="s">
        <v>195</v>
      </c>
      <c r="AA241" s="299">
        <v>44477</v>
      </c>
      <c r="AB241" s="299">
        <v>44477</v>
      </c>
      <c r="AC241" s="299">
        <v>44539</v>
      </c>
      <c r="AD241" s="299" t="s">
        <v>196</v>
      </c>
      <c r="AE241" s="299"/>
      <c r="AF241" s="355"/>
      <c r="AG241" s="299" t="str">
        <f>IFERROR(IF(VLOOKUP(功能_33[[#This Row],[功能代號]],E:Q,11,FALSE)=0,"",VLOOKUP(功能_33[[#This Row],[功能代號]],E:Q,11,FALSE)),"")</f>
        <v>張舜雯</v>
      </c>
      <c r="AH241" s="299"/>
      <c r="AI241" s="299"/>
      <c r="AJ241" s="292"/>
      <c r="AK241" s="299"/>
      <c r="AL241" s="291">
        <v>226</v>
      </c>
      <c r="AM241" s="292" t="s">
        <v>740</v>
      </c>
      <c r="AN241" s="292" t="e">
        <f>VLOOKUP(功能_33[[#This Row],[功能代號]],需二審tmp!A:A,1,FALSE)</f>
        <v>#N/A</v>
      </c>
      <c r="AO241" s="356">
        <v>44523</v>
      </c>
      <c r="AQ241" s="574" t="str">
        <f t="shared" si="27"/>
        <v>2-5</v>
      </c>
      <c r="AR241" s="576" t="str">
        <f t="shared" si="28"/>
        <v/>
      </c>
      <c r="AS241" s="578" t="str">
        <f t="shared" si="29"/>
        <v/>
      </c>
      <c r="AT241" s="580" t="str">
        <f t="shared" si="30"/>
        <v/>
      </c>
      <c r="AU241" s="582" t="str">
        <f t="shared" si="31"/>
        <v/>
      </c>
      <c r="AV241" s="584" t="str">
        <f t="shared" si="32"/>
        <v/>
      </c>
      <c r="AW241" s="662" t="str">
        <f>IFERROR(VLOOKUP(功能_33[[#This Row],[功能代號]],工作表3!C:C,1,FALSE),"未計SIT測試")</f>
        <v>L2602</v>
      </c>
    </row>
    <row r="242" spans="2:49" ht="13.5" x14ac:dyDescent="0.3">
      <c r="C242" s="292" t="s">
        <v>91</v>
      </c>
      <c r="D242" s="292" t="s">
        <v>2842</v>
      </c>
      <c r="E242" s="291" t="s">
        <v>741</v>
      </c>
      <c r="F242" s="292" t="s">
        <v>742</v>
      </c>
      <c r="G242" s="292"/>
      <c r="H242" s="291" t="s">
        <v>193</v>
      </c>
      <c r="I242" s="291" t="s">
        <v>203</v>
      </c>
      <c r="J242" s="225" t="s">
        <v>2955</v>
      </c>
      <c r="K242" s="299">
        <v>44482</v>
      </c>
      <c r="L242" s="299">
        <v>44475</v>
      </c>
      <c r="M242" s="299">
        <v>44536</v>
      </c>
      <c r="N242" s="291" t="s">
        <v>7</v>
      </c>
      <c r="O242" s="291" t="s">
        <v>14</v>
      </c>
      <c r="T242" s="291"/>
      <c r="V242" s="291"/>
      <c r="W242" s="291"/>
      <c r="X242" s="292" t="str">
        <f>VLOOKUP(功能_33[[#This Row],[User]],SKL放款!A:G,7,FALSE)</f>
        <v>放款管理課</v>
      </c>
      <c r="Y242" s="299">
        <v>44533</v>
      </c>
      <c r="Z242" s="299" t="s">
        <v>195</v>
      </c>
      <c r="AA242" s="299">
        <v>44477</v>
      </c>
      <c r="AB242" s="299">
        <v>44477</v>
      </c>
      <c r="AC242" s="299">
        <v>44539</v>
      </c>
      <c r="AD242" s="299" t="s">
        <v>196</v>
      </c>
      <c r="AE242" s="299"/>
      <c r="AF242" s="355"/>
      <c r="AG242" s="299" t="str">
        <f>IFERROR(IF(VLOOKUP(功能_33[[#This Row],[功能代號]],E:Q,11,FALSE)=0,"",VLOOKUP(功能_33[[#This Row],[功能代號]],E:Q,11,FALSE)),"")</f>
        <v>張舜雯</v>
      </c>
      <c r="AH242" s="299"/>
      <c r="AI242" s="299"/>
      <c r="AJ242" s="292"/>
      <c r="AK242" s="299"/>
      <c r="AL242" s="291">
        <v>226</v>
      </c>
      <c r="AM242" s="292" t="s">
        <v>743</v>
      </c>
      <c r="AN242" s="292" t="e">
        <f>VLOOKUP(功能_33[[#This Row],[功能代號]],需二審tmp!A:A,1,FALSE)</f>
        <v>#N/A</v>
      </c>
      <c r="AO242" s="356">
        <v>44523</v>
      </c>
      <c r="AQ242" s="574" t="str">
        <f t="shared" si="27"/>
        <v>2-5</v>
      </c>
      <c r="AR242" s="576" t="str">
        <f t="shared" si="28"/>
        <v/>
      </c>
      <c r="AS242" s="578" t="str">
        <f t="shared" si="29"/>
        <v/>
      </c>
      <c r="AT242" s="580" t="str">
        <f t="shared" si="30"/>
        <v/>
      </c>
      <c r="AU242" s="582" t="str">
        <f t="shared" si="31"/>
        <v/>
      </c>
      <c r="AV242" s="584" t="str">
        <f t="shared" si="32"/>
        <v/>
      </c>
      <c r="AW242" s="662" t="str">
        <f>IFERROR(VLOOKUP(功能_33[[#This Row],[功能代號]],工作表3!C:C,1,FALSE),"未計SIT測試")</f>
        <v>L2941</v>
      </c>
    </row>
    <row r="243" spans="2:49" ht="13.5" x14ac:dyDescent="0.3">
      <c r="C243" s="292" t="s">
        <v>91</v>
      </c>
      <c r="D243" s="292" t="s">
        <v>2842</v>
      </c>
      <c r="E243" s="291" t="s">
        <v>744</v>
      </c>
      <c r="F243" s="292" t="s">
        <v>745</v>
      </c>
      <c r="G243" s="292"/>
      <c r="H243" s="291" t="s">
        <v>193</v>
      </c>
      <c r="I243" s="291" t="s">
        <v>203</v>
      </c>
      <c r="J243" s="225" t="s">
        <v>2955</v>
      </c>
      <c r="K243" s="299">
        <v>44482</v>
      </c>
      <c r="L243" s="299">
        <v>44475</v>
      </c>
      <c r="M243" s="299">
        <v>44536</v>
      </c>
      <c r="N243" s="291" t="s">
        <v>7</v>
      </c>
      <c r="O243" s="291" t="s">
        <v>14</v>
      </c>
      <c r="T243" s="291"/>
      <c r="V243" s="291"/>
      <c r="W243" s="291"/>
      <c r="X243" s="292" t="str">
        <f>VLOOKUP(功能_33[[#This Row],[User]],SKL放款!A:G,7,FALSE)</f>
        <v>放款管理課</v>
      </c>
      <c r="Y243" s="299">
        <v>44533</v>
      </c>
      <c r="Z243" s="299" t="s">
        <v>195</v>
      </c>
      <c r="AA243" s="299">
        <v>44477</v>
      </c>
      <c r="AB243" s="299">
        <v>44477</v>
      </c>
      <c r="AC243" s="299">
        <v>44539</v>
      </c>
      <c r="AD243" s="299" t="s">
        <v>196</v>
      </c>
      <c r="AE243" s="299"/>
      <c r="AF243" s="355"/>
      <c r="AG243" s="299" t="str">
        <f>IFERROR(IF(VLOOKUP(功能_33[[#This Row],[功能代號]],E:Q,11,FALSE)=0,"",VLOOKUP(功能_33[[#This Row],[功能代號]],E:Q,11,FALSE)),"")</f>
        <v>張舜雯</v>
      </c>
      <c r="AH243" s="299"/>
      <c r="AI243" s="299"/>
      <c r="AJ243" s="292"/>
      <c r="AK243" s="299"/>
      <c r="AL243" s="291">
        <v>226</v>
      </c>
      <c r="AM243" s="292" t="s">
        <v>746</v>
      </c>
      <c r="AN243" s="292" t="e">
        <f>VLOOKUP(功能_33[[#This Row],[功能代號]],需二審tmp!A:A,1,FALSE)</f>
        <v>#N/A</v>
      </c>
      <c r="AO243" s="356">
        <v>44523</v>
      </c>
      <c r="AQ243" s="574" t="str">
        <f t="shared" si="27"/>
        <v>2-5</v>
      </c>
      <c r="AR243" s="576" t="str">
        <f t="shared" si="28"/>
        <v/>
      </c>
      <c r="AS243" s="578" t="str">
        <f t="shared" si="29"/>
        <v/>
      </c>
      <c r="AT243" s="580" t="str">
        <f t="shared" si="30"/>
        <v/>
      </c>
      <c r="AU243" s="582" t="str">
        <f t="shared" si="31"/>
        <v/>
      </c>
      <c r="AV243" s="584" t="str">
        <f t="shared" si="32"/>
        <v/>
      </c>
      <c r="AW243" s="662" t="str">
        <f>IFERROR(VLOOKUP(功能_33[[#This Row],[功能代號]],工作表3!C:C,1,FALSE),"未計SIT測試")</f>
        <v>L2942</v>
      </c>
    </row>
    <row r="244" spans="2:49" ht="13.5" x14ac:dyDescent="0.3">
      <c r="C244" s="292" t="s">
        <v>91</v>
      </c>
      <c r="D244" s="292" t="s">
        <v>2842</v>
      </c>
      <c r="E244" s="291" t="s">
        <v>747</v>
      </c>
      <c r="F244" s="292" t="s">
        <v>748</v>
      </c>
      <c r="G244" s="292"/>
      <c r="H244" s="291" t="s">
        <v>193</v>
      </c>
      <c r="I244" s="291" t="s">
        <v>203</v>
      </c>
      <c r="J244" s="225" t="s">
        <v>2955</v>
      </c>
      <c r="K244" s="299">
        <v>44487</v>
      </c>
      <c r="L244" s="299">
        <v>44475</v>
      </c>
      <c r="M244" s="299">
        <v>44536</v>
      </c>
      <c r="N244" s="291" t="s">
        <v>7</v>
      </c>
      <c r="O244" s="291" t="s">
        <v>14</v>
      </c>
      <c r="T244" s="291"/>
      <c r="V244" s="291"/>
      <c r="W244" s="291"/>
      <c r="X244" s="292" t="str">
        <f>VLOOKUP(功能_33[[#This Row],[User]],SKL放款!A:G,7,FALSE)</f>
        <v>放款管理課</v>
      </c>
      <c r="Y244" s="299">
        <v>44533</v>
      </c>
      <c r="Z244" s="299" t="s">
        <v>195</v>
      </c>
      <c r="AA244" s="299">
        <v>44477</v>
      </c>
      <c r="AB244" s="299">
        <v>44477</v>
      </c>
      <c r="AC244" s="299">
        <v>44539</v>
      </c>
      <c r="AD244" s="299" t="s">
        <v>196</v>
      </c>
      <c r="AE244" s="299"/>
      <c r="AF244" s="355"/>
      <c r="AG244" s="299" t="str">
        <f>IFERROR(IF(VLOOKUP(功能_33[[#This Row],[功能代號]],E:Q,11,FALSE)=0,"",VLOOKUP(功能_33[[#This Row],[功能代號]],E:Q,11,FALSE)),"")</f>
        <v>張舜雯</v>
      </c>
      <c r="AH244" s="299"/>
      <c r="AI244" s="299"/>
      <c r="AJ244" s="292"/>
      <c r="AK244" s="299"/>
      <c r="AL244" s="291">
        <v>226</v>
      </c>
      <c r="AM244" s="292" t="s">
        <v>749</v>
      </c>
      <c r="AN244" s="292" t="e">
        <f>VLOOKUP(功能_33[[#This Row],[功能代號]],需二審tmp!A:A,1,FALSE)</f>
        <v>#N/A</v>
      </c>
      <c r="AO244" s="356">
        <v>44523</v>
      </c>
      <c r="AQ244" s="574" t="str">
        <f t="shared" si="27"/>
        <v>2-5</v>
      </c>
      <c r="AR244" s="576" t="str">
        <f t="shared" si="28"/>
        <v/>
      </c>
      <c r="AS244" s="578" t="str">
        <f t="shared" si="29"/>
        <v/>
      </c>
      <c r="AT244" s="580" t="str">
        <f t="shared" si="30"/>
        <v/>
      </c>
      <c r="AU244" s="582" t="str">
        <f t="shared" si="31"/>
        <v/>
      </c>
      <c r="AV244" s="584" t="str">
        <f t="shared" si="32"/>
        <v/>
      </c>
      <c r="AW244" s="662" t="str">
        <f>IFERROR(VLOOKUP(功能_33[[#This Row],[功能代號]],工作表3!C:C,1,FALSE),"未計SIT測試")</f>
        <v>L2605</v>
      </c>
    </row>
    <row r="245" spans="2:49" ht="13.5" x14ac:dyDescent="0.3">
      <c r="C245" s="292" t="s">
        <v>91</v>
      </c>
      <c r="D245" s="292" t="s">
        <v>2842</v>
      </c>
      <c r="E245" s="291" t="s">
        <v>750</v>
      </c>
      <c r="F245" s="292" t="s">
        <v>751</v>
      </c>
      <c r="G245" s="292"/>
      <c r="H245" s="291" t="s">
        <v>193</v>
      </c>
      <c r="I245" s="291" t="s">
        <v>203</v>
      </c>
      <c r="J245" s="225" t="s">
        <v>2955</v>
      </c>
      <c r="K245" s="299">
        <v>44487</v>
      </c>
      <c r="L245" s="299">
        <v>44475</v>
      </c>
      <c r="M245" s="299">
        <v>44536</v>
      </c>
      <c r="N245" s="291" t="s">
        <v>7</v>
      </c>
      <c r="O245" s="291" t="s">
        <v>14</v>
      </c>
      <c r="T245" s="291"/>
      <c r="V245" s="291"/>
      <c r="W245" s="291"/>
      <c r="X245" s="292" t="str">
        <f>VLOOKUP(功能_33[[#This Row],[User]],SKL放款!A:G,7,FALSE)</f>
        <v>放款管理課</v>
      </c>
      <c r="Y245" s="299">
        <v>44533</v>
      </c>
      <c r="Z245" s="299" t="s">
        <v>195</v>
      </c>
      <c r="AA245" s="299">
        <v>44477</v>
      </c>
      <c r="AB245" s="299">
        <v>44477</v>
      </c>
      <c r="AC245" s="299">
        <v>44539</v>
      </c>
      <c r="AD245" s="299" t="s">
        <v>196</v>
      </c>
      <c r="AE245" s="299"/>
      <c r="AF245" s="355"/>
      <c r="AG245" s="299" t="str">
        <f>IFERROR(IF(VLOOKUP(功能_33[[#This Row],[功能代號]],E:Q,11,FALSE)=0,"",VLOOKUP(功能_33[[#This Row],[功能代號]],E:Q,11,FALSE)),"")</f>
        <v>張舜雯</v>
      </c>
      <c r="AH245" s="299"/>
      <c r="AI245" s="299"/>
      <c r="AJ245" s="292"/>
      <c r="AK245" s="299"/>
      <c r="AL245" s="291">
        <v>226</v>
      </c>
      <c r="AM245" s="292" t="s">
        <v>752</v>
      </c>
      <c r="AN245" s="292" t="e">
        <f>VLOOKUP(功能_33[[#This Row],[功能代號]],需二審tmp!A:A,1,FALSE)</f>
        <v>#N/A</v>
      </c>
      <c r="AO245" s="356">
        <v>44523</v>
      </c>
      <c r="AQ245" s="574" t="str">
        <f t="shared" si="27"/>
        <v>2-5</v>
      </c>
      <c r="AR245" s="576" t="str">
        <f t="shared" si="28"/>
        <v/>
      </c>
      <c r="AS245" s="578" t="str">
        <f t="shared" si="29"/>
        <v/>
      </c>
      <c r="AT245" s="580" t="str">
        <f t="shared" si="30"/>
        <v/>
      </c>
      <c r="AU245" s="582" t="str">
        <f t="shared" si="31"/>
        <v/>
      </c>
      <c r="AV245" s="584" t="str">
        <f t="shared" si="32"/>
        <v/>
      </c>
      <c r="AW245" s="662" t="str">
        <f>IFERROR(VLOOKUP(功能_33[[#This Row],[功能代號]],工作表3!C:C,1,FALSE),"未計SIT測試")</f>
        <v>L2613</v>
      </c>
    </row>
    <row r="246" spans="2:49" ht="13.5" x14ac:dyDescent="0.3">
      <c r="C246" s="292" t="s">
        <v>91</v>
      </c>
      <c r="D246" s="292" t="s">
        <v>2842</v>
      </c>
      <c r="E246" s="291" t="s">
        <v>753</v>
      </c>
      <c r="F246" s="292" t="s">
        <v>754</v>
      </c>
      <c r="G246" s="292"/>
      <c r="H246" s="291" t="s">
        <v>193</v>
      </c>
      <c r="I246" s="291" t="s">
        <v>203</v>
      </c>
      <c r="J246" s="225" t="s">
        <v>2955</v>
      </c>
      <c r="K246" s="299">
        <v>44487</v>
      </c>
      <c r="L246" s="299">
        <v>44488</v>
      </c>
      <c r="M246" s="299">
        <v>44536</v>
      </c>
      <c r="N246" s="291" t="s">
        <v>7</v>
      </c>
      <c r="O246" s="291" t="s">
        <v>24</v>
      </c>
      <c r="P246" s="270" t="s">
        <v>14</v>
      </c>
      <c r="Q246" s="292" t="s">
        <v>755</v>
      </c>
      <c r="T246" s="291"/>
      <c r="V246" s="291"/>
      <c r="W246" s="291"/>
      <c r="X246" s="292" t="str">
        <f>VLOOKUP(功能_33[[#This Row],[User]],SKL放款!A:G,7,FALSE)</f>
        <v>放款服務課</v>
      </c>
      <c r="Y246" s="299">
        <v>44533</v>
      </c>
      <c r="Z246" s="299" t="s">
        <v>195</v>
      </c>
      <c r="AA246" s="299">
        <v>44477</v>
      </c>
      <c r="AB246" s="299">
        <v>44477</v>
      </c>
      <c r="AC246" s="299">
        <v>44539</v>
      </c>
      <c r="AD246" s="299" t="s">
        <v>196</v>
      </c>
      <c r="AE246" s="224"/>
      <c r="AF246" s="299"/>
      <c r="AG246" s="224" t="str">
        <f>IFERROR(IF(VLOOKUP(功能_33[[#This Row],[功能代號]],E:Q,11,FALSE)=0,"",VLOOKUP(功能_33[[#This Row],[功能代號]],E:Q,11,FALSE)),"")</f>
        <v>邵淑微</v>
      </c>
      <c r="AH246" s="292">
        <v>180</v>
      </c>
      <c r="AI246" s="292"/>
      <c r="AJ246" s="292"/>
      <c r="AL246" s="291">
        <v>226</v>
      </c>
      <c r="AM246" s="292" t="s">
        <v>756</v>
      </c>
      <c r="AN246" s="292" t="e">
        <f>VLOOKUP(功能_33[[#This Row],[功能代號]],需二審tmp!A:A,1,FALSE)</f>
        <v>#N/A</v>
      </c>
      <c r="AO246" s="356">
        <v>44523</v>
      </c>
      <c r="AQ246" s="574" t="str">
        <f t="shared" si="27"/>
        <v>2-5</v>
      </c>
      <c r="AR246" s="576" t="str">
        <f t="shared" si="28"/>
        <v/>
      </c>
      <c r="AS246" s="578" t="str">
        <f t="shared" si="29"/>
        <v/>
      </c>
      <c r="AT246" s="580" t="str">
        <f t="shared" si="30"/>
        <v/>
      </c>
      <c r="AU246" s="582" t="str">
        <f t="shared" si="31"/>
        <v/>
      </c>
      <c r="AV246" s="584" t="str">
        <f t="shared" si="32"/>
        <v/>
      </c>
      <c r="AW246" s="662" t="str">
        <f>IFERROR(VLOOKUP(功能_33[[#This Row],[功能代號]],工作表3!C:C,1,FALSE),"未計SIT測試")</f>
        <v>L2614</v>
      </c>
    </row>
    <row r="247" spans="2:49" ht="13.5" x14ac:dyDescent="0.3">
      <c r="C247" s="292" t="s">
        <v>93</v>
      </c>
      <c r="D247" s="292" t="s">
        <v>439</v>
      </c>
      <c r="E247" s="291" t="s">
        <v>757</v>
      </c>
      <c r="F247" s="292" t="s">
        <v>758</v>
      </c>
      <c r="G247" s="292"/>
      <c r="H247" s="291" t="s">
        <v>193</v>
      </c>
      <c r="I247" s="291" t="s">
        <v>2774</v>
      </c>
      <c r="J247" s="225" t="s">
        <v>2959</v>
      </c>
      <c r="K247" s="299">
        <v>44488</v>
      </c>
      <c r="L247" s="299">
        <v>44488</v>
      </c>
      <c r="M247" s="299">
        <v>44523</v>
      </c>
      <c r="N247" s="291" t="s">
        <v>10</v>
      </c>
      <c r="O247" s="291" t="s">
        <v>24</v>
      </c>
      <c r="T247" s="291"/>
      <c r="V247" s="291"/>
      <c r="W247" s="291"/>
      <c r="X247" s="292" t="str">
        <f>VLOOKUP(功能_33[[#This Row],[User]],SKL放款!A:G,7,FALSE)</f>
        <v>放款服務課</v>
      </c>
      <c r="Y247" s="299">
        <v>44533</v>
      </c>
      <c r="Z247" s="299" t="s">
        <v>133</v>
      </c>
      <c r="AA247" s="299">
        <v>44524</v>
      </c>
      <c r="AB247" s="299">
        <v>44524</v>
      </c>
      <c r="AC247" s="299">
        <v>44539</v>
      </c>
      <c r="AD247" s="299"/>
      <c r="AE247" s="299"/>
      <c r="AF247" s="355"/>
      <c r="AG247" s="299" t="str">
        <f>IFERROR(IF(VLOOKUP(功能_33[[#This Row],[功能代號]],E:Q,11,FALSE)=0,"",VLOOKUP(功能_33[[#This Row],[功能代號]],E:Q,11,FALSE)),"")</f>
        <v>邵淑微</v>
      </c>
      <c r="AH247" s="299"/>
      <c r="AI247" s="299"/>
      <c r="AJ247" s="292"/>
      <c r="AK247" s="299"/>
      <c r="AL247" s="291" t="s">
        <v>2976</v>
      </c>
      <c r="AM247" s="291" t="s">
        <v>2976</v>
      </c>
      <c r="AN247" s="292" t="str">
        <f>VLOOKUP(功能_33[[#This Row],[功能代號]],需二審tmp!A:A,1,FALSE)</f>
        <v>L4604</v>
      </c>
      <c r="AO247" s="356">
        <v>44523</v>
      </c>
      <c r="AQ247" s="574" t="str">
        <f t="shared" si="27"/>
        <v>4-6</v>
      </c>
      <c r="AR247" s="576" t="str">
        <f t="shared" si="28"/>
        <v/>
      </c>
      <c r="AS247" s="578" t="str">
        <f t="shared" si="29"/>
        <v/>
      </c>
      <c r="AT247" s="580" t="str">
        <f t="shared" si="30"/>
        <v/>
      </c>
      <c r="AU247" s="582" t="str">
        <f t="shared" si="31"/>
        <v/>
      </c>
      <c r="AV247" s="584" t="str">
        <f t="shared" si="32"/>
        <v/>
      </c>
      <c r="AW247" s="662" t="str">
        <f>IFERROR(VLOOKUP(功能_33[[#This Row],[功能代號]],工作表3!C:C,1,FALSE),"未計SIT測試")</f>
        <v>L4604</v>
      </c>
    </row>
    <row r="248" spans="2:49" ht="13.5" x14ac:dyDescent="0.3">
      <c r="C248" s="292" t="s">
        <v>93</v>
      </c>
      <c r="D248" s="292" t="s">
        <v>439</v>
      </c>
      <c r="E248" s="291" t="s">
        <v>759</v>
      </c>
      <c r="F248" s="292" t="s">
        <v>760</v>
      </c>
      <c r="G248" s="292"/>
      <c r="H248" s="291" t="s">
        <v>193</v>
      </c>
      <c r="I248" s="291" t="s">
        <v>2774</v>
      </c>
      <c r="J248" s="225" t="s">
        <v>2959</v>
      </c>
      <c r="K248" s="299">
        <v>44488</v>
      </c>
      <c r="L248" s="299">
        <v>44488</v>
      </c>
      <c r="M248" s="299">
        <v>44523</v>
      </c>
      <c r="N248" s="291" t="s">
        <v>10</v>
      </c>
      <c r="O248" s="291" t="s">
        <v>24</v>
      </c>
      <c r="T248" s="291"/>
      <c r="V248" s="291"/>
      <c r="W248" s="291"/>
      <c r="X248" s="292" t="str">
        <f>VLOOKUP(功能_33[[#This Row],[User]],SKL放款!A:G,7,FALSE)</f>
        <v>放款服務課</v>
      </c>
      <c r="Y248" s="299">
        <v>44533</v>
      </c>
      <c r="Z248" s="299" t="s">
        <v>133</v>
      </c>
      <c r="AA248" s="299">
        <v>44524</v>
      </c>
      <c r="AB248" s="299">
        <v>44524</v>
      </c>
      <c r="AC248" s="299">
        <v>44539</v>
      </c>
      <c r="AD248" s="299"/>
      <c r="AE248" s="299"/>
      <c r="AF248" s="355"/>
      <c r="AG248" s="299" t="str">
        <f>IFERROR(IF(VLOOKUP(功能_33[[#This Row],[功能代號]],E:Q,11,FALSE)=0,"",VLOOKUP(功能_33[[#This Row],[功能代號]],E:Q,11,FALSE)),"")</f>
        <v>邵淑微</v>
      </c>
      <c r="AH248" s="299"/>
      <c r="AI248" s="299"/>
      <c r="AJ248" s="292"/>
      <c r="AK248" s="299"/>
      <c r="AL248" s="291" t="s">
        <v>2975</v>
      </c>
      <c r="AM248" s="292" t="s">
        <v>2974</v>
      </c>
      <c r="AN248" s="292" t="str">
        <f>VLOOKUP(功能_33[[#This Row],[功能代號]],需二審tmp!A:A,1,FALSE)</f>
        <v>L4605</v>
      </c>
      <c r="AO248" s="356">
        <v>44523</v>
      </c>
      <c r="AQ248" s="574" t="str">
        <f t="shared" si="27"/>
        <v>4-6</v>
      </c>
      <c r="AR248" s="576" t="str">
        <f t="shared" si="28"/>
        <v/>
      </c>
      <c r="AS248" s="578" t="str">
        <f t="shared" si="29"/>
        <v/>
      </c>
      <c r="AT248" s="580" t="str">
        <f t="shared" si="30"/>
        <v/>
      </c>
      <c r="AU248" s="582" t="str">
        <f t="shared" si="31"/>
        <v/>
      </c>
      <c r="AV248" s="584" t="str">
        <f t="shared" si="32"/>
        <v/>
      </c>
      <c r="AW248" s="662" t="str">
        <f>IFERROR(VLOOKUP(功能_33[[#This Row],[功能代號]],工作表3!C:C,1,FALSE),"未計SIT測試")</f>
        <v>L4605</v>
      </c>
    </row>
    <row r="249" spans="2:49" ht="40.5" x14ac:dyDescent="0.3">
      <c r="C249" s="292" t="s">
        <v>93</v>
      </c>
      <c r="D249" s="292" t="s">
        <v>439</v>
      </c>
      <c r="E249" s="291" t="s">
        <v>761</v>
      </c>
      <c r="F249" s="292" t="s">
        <v>762</v>
      </c>
      <c r="G249" s="292"/>
      <c r="H249" s="291" t="s">
        <v>193</v>
      </c>
      <c r="I249" s="291" t="s">
        <v>2774</v>
      </c>
      <c r="J249" s="225" t="s">
        <v>2959</v>
      </c>
      <c r="K249" s="299">
        <v>44488</v>
      </c>
      <c r="L249" s="299">
        <v>44488</v>
      </c>
      <c r="M249" s="299">
        <v>44523</v>
      </c>
      <c r="N249" s="291" t="s">
        <v>10</v>
      </c>
      <c r="O249" s="291" t="s">
        <v>24</v>
      </c>
      <c r="T249" s="291"/>
      <c r="V249" s="291"/>
      <c r="W249" s="291"/>
      <c r="X249" s="292" t="str">
        <f>VLOOKUP(功能_33[[#This Row],[User]],SKL放款!A:G,7,FALSE)</f>
        <v>放款服務課</v>
      </c>
      <c r="Y249" s="299">
        <v>44533</v>
      </c>
      <c r="Z249" s="299" t="s">
        <v>133</v>
      </c>
      <c r="AA249" s="299">
        <v>44524</v>
      </c>
      <c r="AB249" s="299">
        <v>44524</v>
      </c>
      <c r="AC249" s="299">
        <v>44539</v>
      </c>
      <c r="AD249" s="299"/>
      <c r="AE249" s="299"/>
      <c r="AF249" s="355"/>
      <c r="AG249" s="299" t="str">
        <f>IFERROR(IF(VLOOKUP(功能_33[[#This Row],[功能代號]],E:Q,11,FALSE)=0,"",VLOOKUP(功能_33[[#This Row],[功能代號]],E:Q,11,FALSE)),"")</f>
        <v>邵淑微</v>
      </c>
      <c r="AH249" s="299"/>
      <c r="AI249" s="299"/>
      <c r="AJ249" s="292"/>
      <c r="AK249" s="299"/>
      <c r="AL249" s="308" t="s">
        <v>3018</v>
      </c>
      <c r="AM249" s="219" t="s">
        <v>3019</v>
      </c>
      <c r="AN249" s="292" t="str">
        <f>VLOOKUP(功能_33[[#This Row],[功能代號]],需二審tmp!A:A,1,FALSE)</f>
        <v>L4606</v>
      </c>
      <c r="AO249" s="356">
        <v>44523</v>
      </c>
      <c r="AQ249" s="574" t="str">
        <f t="shared" si="27"/>
        <v>4-6</v>
      </c>
      <c r="AR249" s="576" t="str">
        <f t="shared" si="28"/>
        <v/>
      </c>
      <c r="AS249" s="578" t="str">
        <f t="shared" si="29"/>
        <v/>
      </c>
      <c r="AT249" s="580" t="str">
        <f t="shared" si="30"/>
        <v/>
      </c>
      <c r="AU249" s="582" t="str">
        <f t="shared" si="31"/>
        <v/>
      </c>
      <c r="AV249" s="584" t="str">
        <f t="shared" si="32"/>
        <v/>
      </c>
      <c r="AW249" s="662" t="str">
        <f>IFERROR(VLOOKUP(功能_33[[#This Row],[功能代號]],工作表3!C:C,1,FALSE),"未計SIT測試")</f>
        <v>L4606</v>
      </c>
    </row>
    <row r="250" spans="2:49" ht="13.5" x14ac:dyDescent="0.3">
      <c r="C250" s="292" t="s">
        <v>93</v>
      </c>
      <c r="D250" s="292" t="s">
        <v>439</v>
      </c>
      <c r="E250" s="291" t="s">
        <v>763</v>
      </c>
      <c r="F250" s="292" t="s">
        <v>764</v>
      </c>
      <c r="G250" s="292" t="s">
        <v>668</v>
      </c>
      <c r="H250" s="291" t="s">
        <v>193</v>
      </c>
      <c r="I250" s="291" t="s">
        <v>2774</v>
      </c>
      <c r="J250" s="225" t="s">
        <v>2959</v>
      </c>
      <c r="K250" s="299">
        <v>44488</v>
      </c>
      <c r="L250" s="299">
        <v>44488</v>
      </c>
      <c r="M250" s="299">
        <v>44523</v>
      </c>
      <c r="N250" s="291" t="s">
        <v>10</v>
      </c>
      <c r="O250" s="291" t="s">
        <v>24</v>
      </c>
      <c r="T250" s="291"/>
      <c r="V250" s="291"/>
      <c r="W250" s="291"/>
      <c r="X250" s="292" t="str">
        <f>VLOOKUP(功能_33[[#This Row],[User]],SKL放款!A:G,7,FALSE)</f>
        <v>放款服務課</v>
      </c>
      <c r="Y250" s="299">
        <v>44533</v>
      </c>
      <c r="Z250" s="299" t="s">
        <v>346</v>
      </c>
      <c r="AA250" s="299">
        <v>44524</v>
      </c>
      <c r="AB250" s="299">
        <v>44524</v>
      </c>
      <c r="AC250" s="299">
        <v>44539</v>
      </c>
      <c r="AD250" s="299"/>
      <c r="AE250" s="299"/>
      <c r="AF250" s="355"/>
      <c r="AG250" s="299" t="str">
        <f>IFERROR(IF(VLOOKUP(功能_33[[#This Row],[功能代號]],E:Q,11,FALSE)=0,"",VLOOKUP(功能_33[[#This Row],[功能代號]],E:Q,11,FALSE)),"")</f>
        <v>邵淑微</v>
      </c>
      <c r="AH250" s="299"/>
      <c r="AI250" s="299"/>
      <c r="AJ250" s="292"/>
      <c r="AK250" s="299"/>
      <c r="AL250" s="291" t="s">
        <v>2976</v>
      </c>
      <c r="AM250" s="291" t="s">
        <v>2976</v>
      </c>
      <c r="AN250" s="292" t="e">
        <f>VLOOKUP(功能_33[[#This Row],[功能代號]],需二審tmp!A:A,1,FALSE)</f>
        <v>#N/A</v>
      </c>
      <c r="AO250" s="356">
        <v>44523</v>
      </c>
      <c r="AQ250" s="574" t="str">
        <f t="shared" si="27"/>
        <v>4-6</v>
      </c>
      <c r="AR250" s="576" t="str">
        <f t="shared" si="28"/>
        <v/>
      </c>
      <c r="AS250" s="578" t="str">
        <f t="shared" si="29"/>
        <v/>
      </c>
      <c r="AT250" s="580" t="str">
        <f t="shared" si="30"/>
        <v/>
      </c>
      <c r="AU250" s="582" t="str">
        <f t="shared" si="31"/>
        <v/>
      </c>
      <c r="AV250" s="584" t="str">
        <f t="shared" si="32"/>
        <v/>
      </c>
      <c r="AW250" s="662" t="str">
        <f>IFERROR(VLOOKUP(功能_33[[#This Row],[功能代號]],工作表3!C:C,1,FALSE),"未計SIT測試")</f>
        <v>L4607</v>
      </c>
    </row>
    <row r="251" spans="2:49" ht="13.5" x14ac:dyDescent="0.3">
      <c r="C251" s="292" t="s">
        <v>93</v>
      </c>
      <c r="D251" s="292" t="s">
        <v>439</v>
      </c>
      <c r="E251" s="291" t="s">
        <v>765</v>
      </c>
      <c r="F251" s="292" t="s">
        <v>766</v>
      </c>
      <c r="G251" s="292" t="s">
        <v>668</v>
      </c>
      <c r="H251" s="291" t="s">
        <v>193</v>
      </c>
      <c r="I251" s="291" t="s">
        <v>2774</v>
      </c>
      <c r="J251" s="225" t="s">
        <v>2959</v>
      </c>
      <c r="K251" s="299">
        <v>44488</v>
      </c>
      <c r="L251" s="299">
        <v>44488</v>
      </c>
      <c r="M251" s="299">
        <v>44523</v>
      </c>
      <c r="N251" s="291" t="s">
        <v>10</v>
      </c>
      <c r="O251" s="291" t="s">
        <v>24</v>
      </c>
      <c r="T251" s="291"/>
      <c r="V251" s="291"/>
      <c r="W251" s="291"/>
      <c r="X251" s="292" t="str">
        <f>VLOOKUP(功能_33[[#This Row],[User]],SKL放款!A:G,7,FALSE)</f>
        <v>放款服務課</v>
      </c>
      <c r="Y251" s="299">
        <v>44533</v>
      </c>
      <c r="Z251" s="299">
        <v>44524</v>
      </c>
      <c r="AA251" s="299">
        <v>44524</v>
      </c>
      <c r="AB251" s="299">
        <v>44524</v>
      </c>
      <c r="AC251" s="299">
        <v>44539</v>
      </c>
      <c r="AD251" s="299"/>
      <c r="AE251" s="299"/>
      <c r="AF251" s="355"/>
      <c r="AG251" s="299" t="str">
        <f>IFERROR(IF(VLOOKUP(功能_33[[#This Row],[功能代號]],E:Q,11,FALSE)=0,"",VLOOKUP(功能_33[[#This Row],[功能代號]],E:Q,11,FALSE)),"")</f>
        <v>邵淑微</v>
      </c>
      <c r="AH251" s="299"/>
      <c r="AI251" s="299"/>
      <c r="AJ251" s="292"/>
      <c r="AK251" s="299"/>
      <c r="AL251" s="291" t="s">
        <v>2976</v>
      </c>
      <c r="AM251" s="291" t="s">
        <v>2976</v>
      </c>
      <c r="AN251" s="292" t="e">
        <f>VLOOKUP(功能_33[[#This Row],[功能代號]],需二審tmp!A:A,1,FALSE)</f>
        <v>#N/A</v>
      </c>
      <c r="AO251" s="356">
        <v>44523</v>
      </c>
      <c r="AQ251" s="574" t="str">
        <f t="shared" si="27"/>
        <v>4-6</v>
      </c>
      <c r="AR251" s="576" t="str">
        <f t="shared" si="28"/>
        <v/>
      </c>
      <c r="AS251" s="578" t="str">
        <f t="shared" si="29"/>
        <v/>
      </c>
      <c r="AT251" s="580" t="str">
        <f t="shared" si="30"/>
        <v/>
      </c>
      <c r="AU251" s="582" t="str">
        <f t="shared" si="31"/>
        <v/>
      </c>
      <c r="AV251" s="584" t="str">
        <f t="shared" si="32"/>
        <v/>
      </c>
      <c r="AW251" s="662" t="str">
        <f>IFERROR(VLOOKUP(功能_33[[#This Row],[功能代號]],工作表3!C:C,1,FALSE),"未計SIT測試")</f>
        <v>L4966</v>
      </c>
    </row>
    <row r="252" spans="2:49" ht="13.5" x14ac:dyDescent="0.3">
      <c r="C252" s="292" t="s">
        <v>95</v>
      </c>
      <c r="D252" s="292" t="s">
        <v>2837</v>
      </c>
      <c r="E252" s="291" t="s">
        <v>767</v>
      </c>
      <c r="F252" s="292" t="s">
        <v>768</v>
      </c>
      <c r="G252" s="292"/>
      <c r="H252" s="291" t="s">
        <v>193</v>
      </c>
      <c r="I252" s="291" t="s">
        <v>194</v>
      </c>
      <c r="J252" s="225" t="s">
        <v>3234</v>
      </c>
      <c r="K252" s="299">
        <v>44488</v>
      </c>
      <c r="L252" s="299">
        <v>44491</v>
      </c>
      <c r="M252" s="299">
        <v>44533</v>
      </c>
      <c r="N252" s="291" t="s">
        <v>7</v>
      </c>
      <c r="O252" s="291" t="s">
        <v>24</v>
      </c>
      <c r="P252" s="270" t="s">
        <v>14</v>
      </c>
      <c r="T252" s="291"/>
      <c r="V252" s="291"/>
      <c r="W252" s="291"/>
      <c r="X252" s="292" t="str">
        <f>VLOOKUP(功能_33[[#This Row],[User]],SKL放款!A:G,7,FALSE)</f>
        <v>放款服務課</v>
      </c>
      <c r="Y252" s="299">
        <v>44533</v>
      </c>
      <c r="Z252" s="299" t="s">
        <v>195</v>
      </c>
      <c r="AA252" s="299">
        <v>44531</v>
      </c>
      <c r="AB252" s="299">
        <v>44531</v>
      </c>
      <c r="AC252" s="299">
        <v>44550</v>
      </c>
      <c r="AD252" s="299"/>
      <c r="AE252" s="299"/>
      <c r="AF252" s="355"/>
      <c r="AG252" s="299" t="str">
        <f>IFERROR(IF(VLOOKUP(功能_33[[#This Row],[功能代號]],E:Q,11,FALSE)=0,"",VLOOKUP(功能_33[[#This Row],[功能代號]],E:Q,11,FALSE)),"")</f>
        <v>邵淑微</v>
      </c>
      <c r="AH252" s="299"/>
      <c r="AI252" s="299"/>
      <c r="AJ252" s="292"/>
      <c r="AK252" s="299"/>
      <c r="AL252" s="291" t="s">
        <v>190</v>
      </c>
      <c r="AM252" s="292" t="s">
        <v>190</v>
      </c>
      <c r="AN252" s="292" t="e">
        <f>VLOOKUP(功能_33[[#This Row],[功能代號]],需二審tmp!A:A,1,FALSE)</f>
        <v>#N/A</v>
      </c>
      <c r="AO252" s="356">
        <v>44526</v>
      </c>
      <c r="AQ252" s="574" t="str">
        <f t="shared" si="27"/>
        <v>6-8</v>
      </c>
      <c r="AR252" s="576" t="str">
        <f t="shared" si="28"/>
        <v/>
      </c>
      <c r="AS252" s="578" t="str">
        <f t="shared" si="29"/>
        <v/>
      </c>
      <c r="AT252" s="580" t="str">
        <f t="shared" si="30"/>
        <v/>
      </c>
      <c r="AU252" s="582" t="str">
        <f t="shared" si="31"/>
        <v/>
      </c>
      <c r="AV252" s="584" t="str">
        <f t="shared" si="32"/>
        <v/>
      </c>
      <c r="AW252" s="662" t="str">
        <f>IFERROR(VLOOKUP(功能_33[[#This Row],[功能代號]],工作表3!C:C,1,FALSE),"未計SIT測試")</f>
        <v>L6982</v>
      </c>
    </row>
    <row r="253" spans="2:49" ht="13.5" x14ac:dyDescent="0.3">
      <c r="C253" s="292" t="s">
        <v>95</v>
      </c>
      <c r="D253" s="292" t="s">
        <v>2837</v>
      </c>
      <c r="E253" s="291" t="s">
        <v>769</v>
      </c>
      <c r="F253" s="292" t="s">
        <v>770</v>
      </c>
      <c r="G253" s="292"/>
      <c r="H253" s="291" t="s">
        <v>193</v>
      </c>
      <c r="I253" s="291" t="s">
        <v>194</v>
      </c>
      <c r="J253" s="225" t="s">
        <v>3234</v>
      </c>
      <c r="K253" s="299">
        <v>44488</v>
      </c>
      <c r="L253" s="299">
        <v>44488</v>
      </c>
      <c r="M253" s="299">
        <v>44533</v>
      </c>
      <c r="N253" s="291" t="s">
        <v>7</v>
      </c>
      <c r="O253" s="291" t="s">
        <v>24</v>
      </c>
      <c r="P253" s="270" t="s">
        <v>14</v>
      </c>
      <c r="T253" s="291"/>
      <c r="V253" s="291"/>
      <c r="W253" s="291"/>
      <c r="X253" s="292" t="str">
        <f>VLOOKUP(功能_33[[#This Row],[User]],SKL放款!A:G,7,FALSE)</f>
        <v>放款服務課</v>
      </c>
      <c r="Y253" s="299">
        <v>44533</v>
      </c>
      <c r="Z253" s="299" t="s">
        <v>195</v>
      </c>
      <c r="AA253" s="299">
        <v>44531</v>
      </c>
      <c r="AB253" s="299">
        <v>44531</v>
      </c>
      <c r="AC253" s="299">
        <v>44550</v>
      </c>
      <c r="AD253" s="299"/>
      <c r="AE253" s="299"/>
      <c r="AF253" s="355"/>
      <c r="AG253" s="299" t="str">
        <f>IFERROR(IF(VLOOKUP(功能_33[[#This Row],[功能代號]],E:Q,11,FALSE)=0,"",VLOOKUP(功能_33[[#This Row],[功能代號]],E:Q,11,FALSE)),"")</f>
        <v>邵淑微</v>
      </c>
      <c r="AH253" s="299"/>
      <c r="AI253" s="299"/>
      <c r="AJ253" s="292"/>
      <c r="AK253" s="224" t="s">
        <v>771</v>
      </c>
      <c r="AL253" s="291" t="s">
        <v>190</v>
      </c>
      <c r="AM253" s="292" t="s">
        <v>190</v>
      </c>
      <c r="AN253" s="292" t="e">
        <f>VLOOKUP(功能_33[[#This Row],[功能代號]],需二審tmp!A:A,1,FALSE)</f>
        <v>#N/A</v>
      </c>
      <c r="AO253" s="356">
        <v>44526</v>
      </c>
      <c r="AQ253" s="574" t="str">
        <f t="shared" si="27"/>
        <v>6-8</v>
      </c>
      <c r="AR253" s="576" t="str">
        <f t="shared" si="28"/>
        <v/>
      </c>
      <c r="AS253" s="578" t="str">
        <f t="shared" si="29"/>
        <v/>
      </c>
      <c r="AT253" s="580" t="str">
        <f t="shared" si="30"/>
        <v/>
      </c>
      <c r="AU253" s="582" t="str">
        <f t="shared" si="31"/>
        <v/>
      </c>
      <c r="AV253" s="584" t="str">
        <f t="shared" si="32"/>
        <v/>
      </c>
      <c r="AW253" s="662" t="str">
        <f>IFERROR(VLOOKUP(功能_33[[#This Row],[功能代號]],工作表3!C:C,1,FALSE),"未計SIT測試")</f>
        <v>未計SIT測試</v>
      </c>
    </row>
    <row r="254" spans="2:49" ht="13.5" x14ac:dyDescent="0.3">
      <c r="B254" s="292">
        <v>1</v>
      </c>
      <c r="C254" s="292" t="s">
        <v>92</v>
      </c>
      <c r="D254" s="359" t="s">
        <v>2836</v>
      </c>
      <c r="E254" s="291" t="s">
        <v>772</v>
      </c>
      <c r="F254" s="292" t="s">
        <v>773</v>
      </c>
      <c r="G254" s="292"/>
      <c r="H254" s="291" t="s">
        <v>193</v>
      </c>
      <c r="I254" s="291" t="s">
        <v>194</v>
      </c>
      <c r="J254" s="225" t="s">
        <v>310</v>
      </c>
      <c r="K254" s="299">
        <v>44487</v>
      </c>
      <c r="L254" s="299">
        <v>44487</v>
      </c>
      <c r="M254" s="299">
        <v>44487</v>
      </c>
      <c r="N254" s="291" t="s">
        <v>7</v>
      </c>
      <c r="O254" s="291" t="s">
        <v>24</v>
      </c>
      <c r="P254" s="270" t="s">
        <v>14</v>
      </c>
      <c r="T254" s="291"/>
      <c r="V254" s="291"/>
      <c r="W254" s="291"/>
      <c r="X254" s="292" t="str">
        <f>VLOOKUP(功能_33[[#This Row],[User]],SKL放款!A:G,7,FALSE)</f>
        <v>放款服務課</v>
      </c>
      <c r="Y254" s="299">
        <v>44496</v>
      </c>
      <c r="Z254" s="299" t="s">
        <v>195</v>
      </c>
      <c r="AA254" s="299">
        <v>44496</v>
      </c>
      <c r="AB254" s="299">
        <v>44496</v>
      </c>
      <c r="AC254" s="299">
        <v>44512</v>
      </c>
      <c r="AD254" s="299" t="s">
        <v>196</v>
      </c>
      <c r="AE254" s="299"/>
      <c r="AF254" s="355"/>
      <c r="AG254" s="299" t="str">
        <f>IFERROR(IF(VLOOKUP(功能_33[[#This Row],[功能代號]],E:Q,11,FALSE)=0,"",VLOOKUP(功能_33[[#This Row],[功能代號]],E:Q,11,FALSE)),"")</f>
        <v>邵淑微</v>
      </c>
      <c r="AH254" s="299"/>
      <c r="AI254" s="299"/>
      <c r="AJ254" s="292"/>
      <c r="AK254" s="299"/>
      <c r="AL254" s="291">
        <v>366</v>
      </c>
      <c r="AM254" s="292" t="s">
        <v>774</v>
      </c>
      <c r="AN254" s="292" t="e">
        <f>VLOOKUP(功能_33[[#This Row],[功能代號]],需二審tmp!A:A,1,FALSE)</f>
        <v>#N/A</v>
      </c>
      <c r="AO254" s="356">
        <v>44512</v>
      </c>
      <c r="AQ254" s="574" t="str">
        <f t="shared" si="27"/>
        <v>3-4</v>
      </c>
      <c r="AR254" s="576" t="str">
        <f t="shared" si="28"/>
        <v/>
      </c>
      <c r="AS254" s="578" t="str">
        <f t="shared" si="29"/>
        <v/>
      </c>
      <c r="AT254" s="580" t="str">
        <f t="shared" si="30"/>
        <v/>
      </c>
      <c r="AU254" s="582" t="str">
        <f t="shared" si="31"/>
        <v/>
      </c>
      <c r="AV254" s="584" t="str">
        <f t="shared" si="32"/>
        <v/>
      </c>
      <c r="AW254" s="662" t="str">
        <f>IFERROR(VLOOKUP(功能_33[[#This Row],[功能代號]],工作表3!C:C,1,FALSE),"未計SIT測試")</f>
        <v>未計SIT測試</v>
      </c>
    </row>
    <row r="255" spans="2:49" ht="13.5" x14ac:dyDescent="0.3">
      <c r="C255" s="292" t="s">
        <v>91</v>
      </c>
      <c r="D255" s="292" t="s">
        <v>2843</v>
      </c>
      <c r="E255" s="291" t="s">
        <v>775</v>
      </c>
      <c r="F255" s="292" t="s">
        <v>776</v>
      </c>
      <c r="G255" s="292"/>
      <c r="H255" s="291" t="s">
        <v>193</v>
      </c>
      <c r="I255" s="291" t="s">
        <v>203</v>
      </c>
      <c r="J255" s="225" t="s">
        <v>3132</v>
      </c>
      <c r="K255" s="299">
        <v>44487</v>
      </c>
      <c r="L255" s="299">
        <v>44488</v>
      </c>
      <c r="M255" s="299">
        <v>44488</v>
      </c>
      <c r="N255" s="291" t="s">
        <v>12</v>
      </c>
      <c r="O255" s="291" t="s">
        <v>172</v>
      </c>
      <c r="P255" s="270" t="s">
        <v>18</v>
      </c>
      <c r="T255" s="291"/>
      <c r="V255" s="291"/>
      <c r="W255" s="291"/>
      <c r="X255" s="292" t="str">
        <f>VLOOKUP(功能_33[[#This Row],[User]],SKL放款!A:G,7,FALSE)</f>
        <v>放款服務課</v>
      </c>
      <c r="Y255" s="299">
        <v>44524</v>
      </c>
      <c r="Z255" s="299" t="s">
        <v>195</v>
      </c>
      <c r="AA255" s="299">
        <v>44524</v>
      </c>
      <c r="AB255" s="299">
        <v>44524</v>
      </c>
      <c r="AC255" s="299">
        <v>44544</v>
      </c>
      <c r="AD255" s="299" t="s">
        <v>196</v>
      </c>
      <c r="AE255" s="299"/>
      <c r="AF255" s="355"/>
      <c r="AG255" s="299" t="str">
        <f>IFERROR(IF(VLOOKUP(功能_33[[#This Row],[功能代號]],E:Q,11,FALSE)=0,"",VLOOKUP(功能_33[[#This Row],[功能代號]],E:Q,11,FALSE)),"")</f>
        <v>陳政皓</v>
      </c>
      <c r="AH255" s="299"/>
      <c r="AI255" s="299"/>
      <c r="AJ255" s="292"/>
      <c r="AK255" s="224" t="s">
        <v>771</v>
      </c>
      <c r="AL255" s="291">
        <v>226</v>
      </c>
      <c r="AM255" s="292" t="s">
        <v>777</v>
      </c>
      <c r="AN255" s="292" t="e">
        <f>VLOOKUP(功能_33[[#This Row],[功能代號]],需二審tmp!A:A,1,FALSE)</f>
        <v>#N/A</v>
      </c>
      <c r="AO255" s="356">
        <v>44523</v>
      </c>
      <c r="AQ255" s="574" t="str">
        <f t="shared" si="27"/>
        <v>2-2</v>
      </c>
      <c r="AR255" s="576" t="str">
        <f t="shared" si="28"/>
        <v/>
      </c>
      <c r="AS255" s="578" t="str">
        <f t="shared" si="29"/>
        <v/>
      </c>
      <c r="AT255" s="580" t="str">
        <f t="shared" si="30"/>
        <v/>
      </c>
      <c r="AU255" s="582" t="str">
        <f t="shared" si="31"/>
        <v/>
      </c>
      <c r="AV255" s="584" t="str">
        <f t="shared" si="32"/>
        <v/>
      </c>
      <c r="AW255" s="662" t="str">
        <f>IFERROR(VLOOKUP(功能_33[[#This Row],[功能代號]],工作表3!C:C,1,FALSE),"未計SIT測試")</f>
        <v>未計SIT測試</v>
      </c>
    </row>
    <row r="256" spans="2:49" ht="13.5" x14ac:dyDescent="0.3">
      <c r="C256" s="292" t="s">
        <v>95</v>
      </c>
      <c r="D256" s="292" t="s">
        <v>2837</v>
      </c>
      <c r="E256" s="291" t="s">
        <v>778</v>
      </c>
      <c r="F256" s="292" t="s">
        <v>779</v>
      </c>
      <c r="G256" s="292"/>
      <c r="H256" s="291" t="s">
        <v>193</v>
      </c>
      <c r="I256" s="291" t="s">
        <v>194</v>
      </c>
      <c r="J256" s="225" t="s">
        <v>3234</v>
      </c>
      <c r="K256" s="299">
        <v>44488</v>
      </c>
      <c r="L256" s="299">
        <v>44488</v>
      </c>
      <c r="M256" s="299">
        <v>44533</v>
      </c>
      <c r="N256" s="291" t="s">
        <v>7</v>
      </c>
      <c r="O256" s="291" t="s">
        <v>24</v>
      </c>
      <c r="P256" s="270" t="s">
        <v>14</v>
      </c>
      <c r="T256" s="291"/>
      <c r="V256" s="291"/>
      <c r="W256" s="291"/>
      <c r="X256" s="292" t="str">
        <f>VLOOKUP(功能_33[[#This Row],[User]],SKL放款!A:G,7,FALSE)</f>
        <v>放款服務課</v>
      </c>
      <c r="Y256" s="299">
        <v>44533</v>
      </c>
      <c r="Z256" s="299" t="s">
        <v>195</v>
      </c>
      <c r="AA256" s="299">
        <v>44531</v>
      </c>
      <c r="AB256" s="299">
        <v>44531</v>
      </c>
      <c r="AC256" s="299">
        <v>44550</v>
      </c>
      <c r="AD256" s="299"/>
      <c r="AE256" s="299"/>
      <c r="AF256" s="355"/>
      <c r="AG256" s="299" t="str">
        <f>IFERROR(IF(VLOOKUP(功能_33[[#This Row],[功能代號]],E:Q,11,FALSE)=0,"",VLOOKUP(功能_33[[#This Row],[功能代號]],E:Q,11,FALSE)),"")</f>
        <v>邵淑微</v>
      </c>
      <c r="AH256" s="299"/>
      <c r="AI256" s="299"/>
      <c r="AJ256" s="292"/>
      <c r="AK256" s="224" t="s">
        <v>771</v>
      </c>
      <c r="AL256" s="291" t="s">
        <v>190</v>
      </c>
      <c r="AM256" s="292" t="s">
        <v>190</v>
      </c>
      <c r="AN256" s="292" t="e">
        <f>VLOOKUP(功能_33[[#This Row],[功能代號]],需二審tmp!A:A,1,FALSE)</f>
        <v>#N/A</v>
      </c>
      <c r="AO256" s="356">
        <v>44526</v>
      </c>
      <c r="AQ256" s="574" t="str">
        <f t="shared" si="27"/>
        <v>6-8</v>
      </c>
      <c r="AR256" s="576" t="str">
        <f t="shared" si="28"/>
        <v/>
      </c>
      <c r="AS256" s="578" t="str">
        <f t="shared" si="29"/>
        <v/>
      </c>
      <c r="AT256" s="580" t="str">
        <f t="shared" si="30"/>
        <v/>
      </c>
      <c r="AU256" s="582" t="str">
        <f t="shared" si="31"/>
        <v/>
      </c>
      <c r="AV256" s="584" t="str">
        <f t="shared" si="32"/>
        <v/>
      </c>
      <c r="AW256" s="662" t="str">
        <f>IFERROR(VLOOKUP(功能_33[[#This Row],[功能代號]],工作表3!C:C,1,FALSE),"未計SIT測試")</f>
        <v>未計SIT測試</v>
      </c>
    </row>
    <row r="257" spans="3:49" ht="13.5" x14ac:dyDescent="0.3">
      <c r="C257" s="292" t="s">
        <v>95</v>
      </c>
      <c r="D257" s="292" t="s">
        <v>2811</v>
      </c>
      <c r="E257" s="291" t="s">
        <v>780</v>
      </c>
      <c r="F257" s="292" t="s">
        <v>781</v>
      </c>
      <c r="G257" s="292"/>
      <c r="H257" s="291" t="s">
        <v>193</v>
      </c>
      <c r="I257" s="291" t="s">
        <v>314</v>
      </c>
      <c r="J257" s="225" t="s">
        <v>417</v>
      </c>
      <c r="K257" s="299">
        <v>44487</v>
      </c>
      <c r="L257" s="299">
        <v>44487</v>
      </c>
      <c r="M257" s="299">
        <v>44487</v>
      </c>
      <c r="N257" s="291" t="s">
        <v>12</v>
      </c>
      <c r="O257" s="291" t="s">
        <v>172</v>
      </c>
      <c r="T257" s="291"/>
      <c r="V257" s="291"/>
      <c r="W257" s="291"/>
      <c r="X257" s="292" t="str">
        <f>VLOOKUP(功能_33[[#This Row],[User]],SKL放款!A:G,7,FALSE)</f>
        <v>放款服務課</v>
      </c>
      <c r="Y257" s="299">
        <v>44533</v>
      </c>
      <c r="Z257" s="299" t="s">
        <v>195</v>
      </c>
      <c r="AA257" s="299">
        <v>44529</v>
      </c>
      <c r="AB257" s="299">
        <v>44529</v>
      </c>
      <c r="AC257" s="299">
        <v>44544</v>
      </c>
      <c r="AD257" s="299"/>
      <c r="AE257" s="299"/>
      <c r="AF257" s="355"/>
      <c r="AG257" s="299" t="str">
        <f>IFERROR(IF(VLOOKUP(功能_33[[#This Row],[功能代號]],E:Q,11,FALSE)=0,"",VLOOKUP(功能_33[[#This Row],[功能代號]],E:Q,11,FALSE)),"")</f>
        <v>陳政皓</v>
      </c>
      <c r="AH257" s="299"/>
      <c r="AI257" s="299"/>
      <c r="AJ257" s="292"/>
      <c r="AK257" s="299"/>
      <c r="AL257" s="303" t="s">
        <v>782</v>
      </c>
      <c r="AM257" s="304" t="s">
        <v>783</v>
      </c>
      <c r="AN257" s="292" t="e">
        <f>VLOOKUP(功能_33[[#This Row],[功能代號]],需二審tmp!A:A,1,FALSE)</f>
        <v>#N/A</v>
      </c>
      <c r="AO257" s="356">
        <v>44526</v>
      </c>
      <c r="AQ257" s="574" t="str">
        <f t="shared" si="27"/>
        <v>6-2</v>
      </c>
      <c r="AR257" s="576" t="str">
        <f t="shared" si="28"/>
        <v/>
      </c>
      <c r="AS257" s="578" t="str">
        <f t="shared" si="29"/>
        <v/>
      </c>
      <c r="AT257" s="580" t="str">
        <f t="shared" si="30"/>
        <v/>
      </c>
      <c r="AU257" s="582" t="str">
        <f t="shared" si="31"/>
        <v/>
      </c>
      <c r="AV257" s="584" t="str">
        <f t="shared" si="32"/>
        <v/>
      </c>
      <c r="AW257" s="662" t="str">
        <f>IFERROR(VLOOKUP(功能_33[[#This Row],[功能代號]],工作表3!C:C,1,FALSE),"未計SIT測試")</f>
        <v>L6201</v>
      </c>
    </row>
    <row r="258" spans="3:49" ht="13.5" x14ac:dyDescent="0.3">
      <c r="C258" s="292" t="s">
        <v>95</v>
      </c>
      <c r="D258" s="292" t="s">
        <v>2811</v>
      </c>
      <c r="E258" s="291" t="s">
        <v>784</v>
      </c>
      <c r="F258" s="292" t="s">
        <v>785</v>
      </c>
      <c r="G258" s="292"/>
      <c r="H258" s="291" t="s">
        <v>193</v>
      </c>
      <c r="I258" s="291" t="s">
        <v>314</v>
      </c>
      <c r="J258" s="225" t="s">
        <v>417</v>
      </c>
      <c r="K258" s="299">
        <v>44487</v>
      </c>
      <c r="L258" s="299">
        <v>44487</v>
      </c>
      <c r="M258" s="299">
        <v>44487</v>
      </c>
      <c r="N258" s="291" t="s">
        <v>12</v>
      </c>
      <c r="O258" s="291" t="s">
        <v>11</v>
      </c>
      <c r="T258" s="291"/>
      <c r="V258" s="291"/>
      <c r="W258" s="291"/>
      <c r="X258" s="292" t="str">
        <f>VLOOKUP(功能_33[[#This Row],[User]],SKL放款!A:G,7,FALSE)</f>
        <v>放款服務課</v>
      </c>
      <c r="Y258" s="299">
        <v>44533</v>
      </c>
      <c r="Z258" s="299" t="s">
        <v>195</v>
      </c>
      <c r="AA258" s="299">
        <v>44529</v>
      </c>
      <c r="AB258" s="299">
        <v>44529</v>
      </c>
      <c r="AC258" s="299">
        <v>44544</v>
      </c>
      <c r="AD258" s="299"/>
      <c r="AE258" s="299"/>
      <c r="AF258" s="355"/>
      <c r="AG258" s="299" t="str">
        <f>IFERROR(IF(VLOOKUP(功能_33[[#This Row],[功能代號]],E:Q,11,FALSE)=0,"",VLOOKUP(功能_33[[#This Row],[功能代號]],E:Q,11,FALSE)),"")</f>
        <v>蔡珮瑜</v>
      </c>
      <c r="AH258" s="299"/>
      <c r="AI258" s="299"/>
      <c r="AJ258" s="292"/>
      <c r="AK258" s="299"/>
      <c r="AL258" s="291" t="s">
        <v>190</v>
      </c>
      <c r="AN258" s="292" t="e">
        <f>VLOOKUP(功能_33[[#This Row],[功能代號]],需二審tmp!A:A,1,FALSE)</f>
        <v>#N/A</v>
      </c>
      <c r="AO258" s="356">
        <v>44526</v>
      </c>
      <c r="AQ258" s="574" t="str">
        <f t="shared" si="27"/>
        <v>6-2</v>
      </c>
      <c r="AR258" s="576" t="str">
        <f t="shared" si="28"/>
        <v/>
      </c>
      <c r="AS258" s="578" t="str">
        <f t="shared" si="29"/>
        <v/>
      </c>
      <c r="AT258" s="580" t="str">
        <f t="shared" si="30"/>
        <v/>
      </c>
      <c r="AU258" s="582" t="str">
        <f t="shared" si="31"/>
        <v/>
      </c>
      <c r="AV258" s="584" t="str">
        <f t="shared" si="32"/>
        <v/>
      </c>
      <c r="AW258" s="662" t="str">
        <f>IFERROR(VLOOKUP(功能_33[[#This Row],[功能代號]],工作表3!C:C,1,FALSE),"未計SIT測試")</f>
        <v>L6901</v>
      </c>
    </row>
    <row r="259" spans="3:49" ht="13.5" x14ac:dyDescent="0.3">
      <c r="C259" s="292" t="s">
        <v>95</v>
      </c>
      <c r="D259" s="292" t="s">
        <v>2811</v>
      </c>
      <c r="E259" s="291" t="s">
        <v>786</v>
      </c>
      <c r="F259" s="292" t="s">
        <v>787</v>
      </c>
      <c r="G259" s="292"/>
      <c r="H259" s="291" t="s">
        <v>193</v>
      </c>
      <c r="I259" s="291" t="s">
        <v>314</v>
      </c>
      <c r="J259" s="225" t="s">
        <v>417</v>
      </c>
      <c r="K259" s="299">
        <v>44487</v>
      </c>
      <c r="L259" s="299">
        <v>44487</v>
      </c>
      <c r="M259" s="299">
        <v>44487</v>
      </c>
      <c r="N259" s="291" t="s">
        <v>12</v>
      </c>
      <c r="O259" s="291" t="s">
        <v>11</v>
      </c>
      <c r="T259" s="291"/>
      <c r="V259" s="291"/>
      <c r="W259" s="291"/>
      <c r="X259" s="292" t="str">
        <f>VLOOKUP(功能_33[[#This Row],[User]],SKL放款!A:G,7,FALSE)</f>
        <v>放款服務課</v>
      </c>
      <c r="Y259" s="299">
        <v>44533</v>
      </c>
      <c r="Z259" s="299" t="s">
        <v>195</v>
      </c>
      <c r="AA259" s="299">
        <v>44529</v>
      </c>
      <c r="AB259" s="299">
        <v>44529</v>
      </c>
      <c r="AC259" s="299">
        <v>44544</v>
      </c>
      <c r="AD259" s="299"/>
      <c r="AE259" s="299"/>
      <c r="AF259" s="355"/>
      <c r="AG259" s="299" t="str">
        <f>IFERROR(IF(VLOOKUP(功能_33[[#This Row],[功能代號]],E:Q,11,FALSE)=0,"",VLOOKUP(功能_33[[#This Row],[功能代號]],E:Q,11,FALSE)),"")</f>
        <v>蔡珮瑜</v>
      </c>
      <c r="AH259" s="299"/>
      <c r="AI259" s="299"/>
      <c r="AJ259" s="292"/>
      <c r="AK259" s="299"/>
      <c r="AL259" s="291" t="s">
        <v>190</v>
      </c>
      <c r="AN259" s="292" t="e">
        <f>VLOOKUP(功能_33[[#This Row],[功能代號]],需二審tmp!A:A,1,FALSE)</f>
        <v>#N/A</v>
      </c>
      <c r="AO259" s="356">
        <v>44526</v>
      </c>
      <c r="AQ259" s="574" t="str">
        <f t="shared" si="27"/>
        <v>6-2</v>
      </c>
      <c r="AR259" s="576" t="str">
        <f t="shared" si="28"/>
        <v/>
      </c>
      <c r="AS259" s="578" t="str">
        <f t="shared" si="29"/>
        <v/>
      </c>
      <c r="AT259" s="580" t="str">
        <f t="shared" si="30"/>
        <v/>
      </c>
      <c r="AU259" s="582" t="str">
        <f t="shared" si="31"/>
        <v/>
      </c>
      <c r="AV259" s="584" t="str">
        <f t="shared" si="32"/>
        <v/>
      </c>
      <c r="AW259" s="662" t="str">
        <f>IFERROR(VLOOKUP(功能_33[[#This Row],[功能代號]],工作表3!C:C,1,FALSE),"未計SIT測試")</f>
        <v>L6902</v>
      </c>
    </row>
    <row r="260" spans="3:49" ht="13.5" x14ac:dyDescent="0.3">
      <c r="C260" s="292" t="s">
        <v>95</v>
      </c>
      <c r="D260" s="292" t="s">
        <v>2811</v>
      </c>
      <c r="E260" s="291" t="s">
        <v>788</v>
      </c>
      <c r="F260" s="292" t="s">
        <v>789</v>
      </c>
      <c r="G260" s="292"/>
      <c r="H260" s="291" t="s">
        <v>193</v>
      </c>
      <c r="I260" s="291" t="s">
        <v>314</v>
      </c>
      <c r="J260" s="225" t="s">
        <v>417</v>
      </c>
      <c r="K260" s="299">
        <v>44487</v>
      </c>
      <c r="L260" s="299">
        <v>44487</v>
      </c>
      <c r="M260" s="299">
        <v>44487</v>
      </c>
      <c r="N260" s="291" t="s">
        <v>12</v>
      </c>
      <c r="O260" s="291" t="s">
        <v>172</v>
      </c>
      <c r="T260" s="291"/>
      <c r="V260" s="291"/>
      <c r="W260" s="291"/>
      <c r="X260" s="292" t="str">
        <f>VLOOKUP(功能_33[[#This Row],[User]],SKL放款!A:G,7,FALSE)</f>
        <v>放款服務課</v>
      </c>
      <c r="Y260" s="299">
        <v>44533</v>
      </c>
      <c r="Z260" s="299" t="s">
        <v>195</v>
      </c>
      <c r="AA260" s="299">
        <v>44529</v>
      </c>
      <c r="AB260" s="299">
        <v>44529</v>
      </c>
      <c r="AC260" s="299">
        <v>44544</v>
      </c>
      <c r="AD260" s="299"/>
      <c r="AE260" s="299"/>
      <c r="AF260" s="355"/>
      <c r="AG260" s="299" t="str">
        <f>IFERROR(IF(VLOOKUP(功能_33[[#This Row],[功能代號]],E:Q,11,FALSE)=0,"",VLOOKUP(功能_33[[#This Row],[功能代號]],E:Q,11,FALSE)),"")</f>
        <v>陳政皓</v>
      </c>
      <c r="AH260" s="299"/>
      <c r="AI260" s="299"/>
      <c r="AJ260" s="292"/>
      <c r="AK260" s="299"/>
      <c r="AL260" s="291" t="s">
        <v>190</v>
      </c>
      <c r="AN260" s="292" t="e">
        <f>VLOOKUP(功能_33[[#This Row],[功能代號]],需二審tmp!A:A,1,FALSE)</f>
        <v>#N/A</v>
      </c>
      <c r="AO260" s="356">
        <v>44526</v>
      </c>
      <c r="AQ260" s="574" t="str">
        <f t="shared" si="27"/>
        <v>6-2</v>
      </c>
      <c r="AR260" s="576" t="str">
        <f t="shared" si="28"/>
        <v/>
      </c>
      <c r="AS260" s="578" t="str">
        <f t="shared" si="29"/>
        <v/>
      </c>
      <c r="AT260" s="580" t="str">
        <f t="shared" si="30"/>
        <v/>
      </c>
      <c r="AU260" s="582" t="str">
        <f t="shared" si="31"/>
        <v/>
      </c>
      <c r="AV260" s="584" t="str">
        <f t="shared" si="32"/>
        <v/>
      </c>
      <c r="AW260" s="662" t="str">
        <f>IFERROR(VLOOKUP(功能_33[[#This Row],[功能代號]],工作表3!C:C,1,FALSE),"未計SIT測試")</f>
        <v>L6903</v>
      </c>
    </row>
    <row r="261" spans="3:49" ht="40.5" x14ac:dyDescent="0.3">
      <c r="C261" s="292" t="s">
        <v>95</v>
      </c>
      <c r="D261" s="292" t="s">
        <v>2811</v>
      </c>
      <c r="E261" s="291" t="s">
        <v>790</v>
      </c>
      <c r="F261" s="292" t="s">
        <v>791</v>
      </c>
      <c r="G261" s="292"/>
      <c r="H261" s="291" t="s">
        <v>193</v>
      </c>
      <c r="I261" s="291" t="s">
        <v>314</v>
      </c>
      <c r="J261" s="225" t="s">
        <v>417</v>
      </c>
      <c r="K261" s="299">
        <v>44487</v>
      </c>
      <c r="L261" s="299">
        <v>44487</v>
      </c>
      <c r="M261" s="299">
        <v>44487</v>
      </c>
      <c r="N261" s="291" t="s">
        <v>12</v>
      </c>
      <c r="O261" s="291" t="s">
        <v>11</v>
      </c>
      <c r="T261" s="291"/>
      <c r="V261" s="291"/>
      <c r="W261" s="291"/>
      <c r="X261" s="292" t="str">
        <f>VLOOKUP(功能_33[[#This Row],[User]],SKL放款!A:G,7,FALSE)</f>
        <v>放款服務課</v>
      </c>
      <c r="Y261" s="299">
        <v>44533</v>
      </c>
      <c r="Z261" s="299" t="s">
        <v>195</v>
      </c>
      <c r="AA261" s="299">
        <v>44529</v>
      </c>
      <c r="AB261" s="299">
        <v>44529</v>
      </c>
      <c r="AC261" s="299">
        <v>44544</v>
      </c>
      <c r="AD261" s="299"/>
      <c r="AE261" s="299"/>
      <c r="AF261" s="355"/>
      <c r="AG261" s="299" t="str">
        <f>IFERROR(IF(VLOOKUP(功能_33[[#This Row],[功能代號]],E:Q,11,FALSE)=0,"",VLOOKUP(功能_33[[#This Row],[功能代號]],E:Q,11,FALSE)),"")</f>
        <v>蔡珮瑜</v>
      </c>
      <c r="AH261" s="299"/>
      <c r="AI261" s="299"/>
      <c r="AJ261" s="292"/>
      <c r="AK261" s="299"/>
      <c r="AL261" s="308" t="s">
        <v>3048</v>
      </c>
      <c r="AM261" s="219" t="s">
        <v>3049</v>
      </c>
      <c r="AN261" s="292" t="e">
        <f>VLOOKUP(功能_33[[#This Row],[功能代號]],需二審tmp!A:A,1,FALSE)</f>
        <v>#N/A</v>
      </c>
      <c r="AO261" s="356">
        <v>44526</v>
      </c>
      <c r="AQ261" s="574" t="str">
        <f t="shared" si="27"/>
        <v>6-2</v>
      </c>
      <c r="AR261" s="576" t="str">
        <f t="shared" si="28"/>
        <v/>
      </c>
      <c r="AS261" s="578" t="str">
        <f t="shared" si="29"/>
        <v/>
      </c>
      <c r="AT261" s="580" t="str">
        <f t="shared" si="30"/>
        <v/>
      </c>
      <c r="AU261" s="582" t="str">
        <f t="shared" si="31"/>
        <v/>
      </c>
      <c r="AV261" s="584" t="str">
        <f t="shared" si="32"/>
        <v/>
      </c>
      <c r="AW261" s="662" t="str">
        <f>IFERROR(VLOOKUP(功能_33[[#This Row],[功能代號]],工作表3!C:C,1,FALSE),"未計SIT測試")</f>
        <v>L6904</v>
      </c>
    </row>
    <row r="262" spans="3:49" ht="13.5" x14ac:dyDescent="0.3">
      <c r="C262" s="292" t="s">
        <v>95</v>
      </c>
      <c r="D262" s="292" t="s">
        <v>2811</v>
      </c>
      <c r="E262" s="291" t="s">
        <v>792</v>
      </c>
      <c r="F262" s="292" t="s">
        <v>793</v>
      </c>
      <c r="G262" s="292"/>
      <c r="H262" s="291" t="s">
        <v>193</v>
      </c>
      <c r="I262" s="291" t="s">
        <v>314</v>
      </c>
      <c r="J262" s="225" t="s">
        <v>417</v>
      </c>
      <c r="K262" s="299">
        <v>44487</v>
      </c>
      <c r="L262" s="299">
        <v>44487</v>
      </c>
      <c r="M262" s="299">
        <v>44494</v>
      </c>
      <c r="N262" s="291" t="s">
        <v>12</v>
      </c>
      <c r="O262" s="291" t="s">
        <v>11</v>
      </c>
      <c r="T262" s="291"/>
      <c r="V262" s="291"/>
      <c r="W262" s="291"/>
      <c r="X262" s="292" t="str">
        <f>VLOOKUP(功能_33[[#This Row],[User]],SKL放款!A:G,7,FALSE)</f>
        <v>放款服務課</v>
      </c>
      <c r="Y262" s="299">
        <v>44494</v>
      </c>
      <c r="Z262" s="299" t="s">
        <v>133</v>
      </c>
      <c r="AA262" s="299" t="s">
        <v>2958</v>
      </c>
      <c r="AB262" s="299">
        <v>44544</v>
      </c>
      <c r="AC262" s="299">
        <v>44544</v>
      </c>
      <c r="AD262" s="299"/>
      <c r="AE262" s="299"/>
      <c r="AF262" s="355"/>
      <c r="AG262" s="299" t="str">
        <f>IFERROR(IF(VLOOKUP(功能_33[[#This Row],[功能代號]],E:Q,11,FALSE)=0,"",VLOOKUP(功能_33[[#This Row],[功能代號]],E:Q,11,FALSE)),"")</f>
        <v>蔡珮瑜</v>
      </c>
      <c r="AH262" s="299"/>
      <c r="AI262" s="299"/>
      <c r="AJ262" s="292"/>
      <c r="AK262" s="224" t="s">
        <v>794</v>
      </c>
      <c r="AL262" s="291" t="s">
        <v>190</v>
      </c>
      <c r="AN262" s="292" t="str">
        <f>VLOOKUP(功能_33[[#This Row],[功能代號]],需二審tmp!A:A,1,FALSE)</f>
        <v>L6905</v>
      </c>
      <c r="AO262" s="356">
        <v>44526</v>
      </c>
      <c r="AQ262" s="574" t="str">
        <f t="shared" si="27"/>
        <v>6-2</v>
      </c>
      <c r="AR262" s="576" t="str">
        <f t="shared" si="28"/>
        <v/>
      </c>
      <c r="AS262" s="578" t="str">
        <f t="shared" si="29"/>
        <v/>
      </c>
      <c r="AT262" s="580" t="str">
        <f t="shared" si="30"/>
        <v/>
      </c>
      <c r="AU262" s="582" t="str">
        <f t="shared" si="31"/>
        <v/>
      </c>
      <c r="AV262" s="584" t="str">
        <f t="shared" si="32"/>
        <v/>
      </c>
      <c r="AW262" s="662" t="str">
        <f>IFERROR(VLOOKUP(功能_33[[#This Row],[功能代號]],工作表3!C:C,1,FALSE),"未計SIT測試")</f>
        <v>L6905</v>
      </c>
    </row>
    <row r="263" spans="3:49" ht="13.5" x14ac:dyDescent="0.3">
      <c r="C263" s="292" t="s">
        <v>95</v>
      </c>
      <c r="D263" s="292" t="s">
        <v>2811</v>
      </c>
      <c r="E263" s="291" t="s">
        <v>795</v>
      </c>
      <c r="F263" s="292" t="s">
        <v>796</v>
      </c>
      <c r="G263" s="292"/>
      <c r="H263" s="291" t="s">
        <v>193</v>
      </c>
      <c r="I263" s="291" t="s">
        <v>314</v>
      </c>
      <c r="J263" s="225" t="s">
        <v>417</v>
      </c>
      <c r="K263" s="299">
        <v>44487</v>
      </c>
      <c r="L263" s="299">
        <v>44487</v>
      </c>
      <c r="M263" s="299">
        <v>44487</v>
      </c>
      <c r="N263" s="291" t="s">
        <v>12</v>
      </c>
      <c r="O263" s="291" t="s">
        <v>172</v>
      </c>
      <c r="T263" s="291"/>
      <c r="V263" s="291"/>
      <c r="W263" s="291"/>
      <c r="X263" s="292" t="str">
        <f>VLOOKUP(功能_33[[#This Row],[User]],SKL放款!A:G,7,FALSE)</f>
        <v>放款服務課</v>
      </c>
      <c r="Y263" s="299">
        <v>44533</v>
      </c>
      <c r="Z263" s="299" t="s">
        <v>195</v>
      </c>
      <c r="AA263" s="299">
        <v>44529</v>
      </c>
      <c r="AB263" s="299">
        <v>44529</v>
      </c>
      <c r="AC263" s="299">
        <v>44544</v>
      </c>
      <c r="AD263" s="299"/>
      <c r="AE263" s="299"/>
      <c r="AF263" s="355"/>
      <c r="AG263" s="299" t="str">
        <f>IFERROR(IF(VLOOKUP(功能_33[[#This Row],[功能代號]],E:Q,11,FALSE)=0,"",VLOOKUP(功能_33[[#This Row],[功能代號]],E:Q,11,FALSE)),"")</f>
        <v>陳政皓</v>
      </c>
      <c r="AH263" s="299"/>
      <c r="AI263" s="299"/>
      <c r="AJ263" s="292"/>
      <c r="AK263" s="299"/>
      <c r="AL263" s="291" t="s">
        <v>190</v>
      </c>
      <c r="AN263" s="292" t="e">
        <f>VLOOKUP(功能_33[[#This Row],[功能代號]],需二審tmp!A:A,1,FALSE)</f>
        <v>#N/A</v>
      </c>
      <c r="AO263" s="356">
        <v>44526</v>
      </c>
      <c r="AQ263" s="574" t="str">
        <f t="shared" si="27"/>
        <v>6-2</v>
      </c>
      <c r="AR263" s="576" t="str">
        <f t="shared" si="28"/>
        <v/>
      </c>
      <c r="AS263" s="578" t="str">
        <f t="shared" si="29"/>
        <v/>
      </c>
      <c r="AT263" s="580" t="str">
        <f t="shared" si="30"/>
        <v/>
      </c>
      <c r="AU263" s="582" t="str">
        <f t="shared" si="31"/>
        <v/>
      </c>
      <c r="AV263" s="584" t="str">
        <f t="shared" si="32"/>
        <v/>
      </c>
      <c r="AW263" s="662" t="str">
        <f>IFERROR(VLOOKUP(功能_33[[#This Row],[功能代號]],工作表3!C:C,1,FALSE),"未計SIT測試")</f>
        <v>L6906</v>
      </c>
    </row>
    <row r="264" spans="3:49" ht="13.5" x14ac:dyDescent="0.3">
      <c r="C264" s="292" t="s">
        <v>95</v>
      </c>
      <c r="D264" s="292" t="s">
        <v>2811</v>
      </c>
      <c r="E264" s="291" t="s">
        <v>797</v>
      </c>
      <c r="F264" s="292" t="s">
        <v>798</v>
      </c>
      <c r="G264" s="292"/>
      <c r="H264" s="291" t="s">
        <v>193</v>
      </c>
      <c r="I264" s="291" t="s">
        <v>314</v>
      </c>
      <c r="J264" s="225" t="s">
        <v>417</v>
      </c>
      <c r="K264" s="299">
        <v>44487</v>
      </c>
      <c r="L264" s="299">
        <v>44487</v>
      </c>
      <c r="M264" s="299">
        <v>44487</v>
      </c>
      <c r="N264" s="291" t="s">
        <v>7</v>
      </c>
      <c r="O264" s="291" t="s">
        <v>11</v>
      </c>
      <c r="T264" s="291"/>
      <c r="V264" s="291"/>
      <c r="W264" s="291"/>
      <c r="X264" s="292" t="str">
        <f>VLOOKUP(功能_33[[#This Row],[User]],SKL放款!A:G,7,FALSE)</f>
        <v>放款服務課</v>
      </c>
      <c r="Y264" s="299">
        <v>44533</v>
      </c>
      <c r="Z264" s="299" t="s">
        <v>195</v>
      </c>
      <c r="AA264" s="299">
        <v>44529</v>
      </c>
      <c r="AB264" s="299">
        <v>44529</v>
      </c>
      <c r="AC264" s="299">
        <v>44544</v>
      </c>
      <c r="AD264" s="299"/>
      <c r="AE264" s="299"/>
      <c r="AF264" s="355"/>
      <c r="AG264" s="299" t="str">
        <f>IFERROR(IF(VLOOKUP(功能_33[[#This Row],[功能代號]],E:Q,11,FALSE)=0,"",VLOOKUP(功能_33[[#This Row],[功能代號]],E:Q,11,FALSE)),"")</f>
        <v>蔡珮瑜</v>
      </c>
      <c r="AH264" s="299"/>
      <c r="AI264" s="299"/>
      <c r="AJ264" s="292"/>
      <c r="AK264" s="299"/>
      <c r="AL264" s="291" t="s">
        <v>190</v>
      </c>
      <c r="AN264" s="292" t="e">
        <f>VLOOKUP(功能_33[[#This Row],[功能代號]],需二審tmp!A:A,1,FALSE)</f>
        <v>#N/A</v>
      </c>
      <c r="AO264" s="356">
        <v>44526</v>
      </c>
      <c r="AQ264" s="574" t="str">
        <f t="shared" si="27"/>
        <v>6-2</v>
      </c>
      <c r="AR264" s="576" t="str">
        <f t="shared" si="28"/>
        <v/>
      </c>
      <c r="AS264" s="578" t="str">
        <f t="shared" si="29"/>
        <v/>
      </c>
      <c r="AT264" s="580" t="str">
        <f t="shared" si="30"/>
        <v/>
      </c>
      <c r="AU264" s="582" t="str">
        <f t="shared" si="31"/>
        <v/>
      </c>
      <c r="AV264" s="584" t="str">
        <f t="shared" si="32"/>
        <v/>
      </c>
      <c r="AW264" s="662" t="str">
        <f>IFERROR(VLOOKUP(功能_33[[#This Row],[功能代號]],工作表3!C:C,1,FALSE),"未計SIT測試")</f>
        <v>L6907</v>
      </c>
    </row>
    <row r="265" spans="3:49" ht="13.5" x14ac:dyDescent="0.3">
      <c r="C265" s="292" t="s">
        <v>95</v>
      </c>
      <c r="D265" s="292" t="s">
        <v>2811</v>
      </c>
      <c r="E265" s="291" t="s">
        <v>799</v>
      </c>
      <c r="F265" s="292" t="s">
        <v>800</v>
      </c>
      <c r="G265" s="292"/>
      <c r="H265" s="291" t="s">
        <v>193</v>
      </c>
      <c r="I265" s="291" t="s">
        <v>314</v>
      </c>
      <c r="J265" s="225" t="s">
        <v>417</v>
      </c>
      <c r="K265" s="299">
        <v>44487</v>
      </c>
      <c r="L265" s="299">
        <v>44487</v>
      </c>
      <c r="M265" s="299">
        <v>44494</v>
      </c>
      <c r="N265" s="291" t="s">
        <v>12</v>
      </c>
      <c r="O265" s="291" t="s">
        <v>11</v>
      </c>
      <c r="T265" s="291"/>
      <c r="V265" s="291"/>
      <c r="W265" s="291"/>
      <c r="X265" s="292" t="str">
        <f>VLOOKUP(功能_33[[#This Row],[User]],SKL放款!A:G,7,FALSE)</f>
        <v>放款服務課</v>
      </c>
      <c r="Y265" s="299">
        <v>44494</v>
      </c>
      <c r="Z265" s="299" t="s">
        <v>133</v>
      </c>
      <c r="AA265" s="299" t="s">
        <v>2958</v>
      </c>
      <c r="AB265" s="299">
        <v>44544</v>
      </c>
      <c r="AC265" s="299">
        <v>44544</v>
      </c>
      <c r="AD265" s="299"/>
      <c r="AE265" s="299"/>
      <c r="AF265" s="355"/>
      <c r="AG265" s="299" t="str">
        <f>IFERROR(IF(VLOOKUP(功能_33[[#This Row],[功能代號]],E:Q,11,FALSE)=0,"",VLOOKUP(功能_33[[#This Row],[功能代號]],E:Q,11,FALSE)),"")</f>
        <v>蔡珮瑜</v>
      </c>
      <c r="AH265" s="299"/>
      <c r="AI265" s="299"/>
      <c r="AJ265" s="292"/>
      <c r="AK265" s="224" t="s">
        <v>794</v>
      </c>
      <c r="AL265" s="291" t="s">
        <v>190</v>
      </c>
      <c r="AN265" s="292" t="str">
        <f>VLOOKUP(功能_33[[#This Row],[功能代號]],需二審tmp!A:A,1,FALSE)</f>
        <v>L6908</v>
      </c>
      <c r="AO265" s="356">
        <v>44526</v>
      </c>
      <c r="AQ265" s="574" t="str">
        <f t="shared" si="27"/>
        <v>6-2</v>
      </c>
      <c r="AR265" s="576" t="str">
        <f t="shared" si="28"/>
        <v/>
      </c>
      <c r="AS265" s="578" t="str">
        <f t="shared" si="29"/>
        <v/>
      </c>
      <c r="AT265" s="580" t="str">
        <f t="shared" si="30"/>
        <v/>
      </c>
      <c r="AU265" s="582" t="str">
        <f t="shared" si="31"/>
        <v/>
      </c>
      <c r="AV265" s="584" t="str">
        <f t="shared" si="32"/>
        <v/>
      </c>
      <c r="AW265" s="662" t="str">
        <f>IFERROR(VLOOKUP(功能_33[[#This Row],[功能代號]],工作表3!C:C,1,FALSE),"未計SIT測試")</f>
        <v>L6908</v>
      </c>
    </row>
    <row r="266" spans="3:49" ht="13.5" x14ac:dyDescent="0.3">
      <c r="C266" s="292" t="s">
        <v>95</v>
      </c>
      <c r="D266" s="226" t="s">
        <v>2810</v>
      </c>
      <c r="E266" s="291" t="s">
        <v>801</v>
      </c>
      <c r="F266" s="292" t="s">
        <v>802</v>
      </c>
      <c r="G266" s="292" t="s">
        <v>803</v>
      </c>
      <c r="H266" s="291" t="s">
        <v>193</v>
      </c>
      <c r="I266" s="291" t="s">
        <v>314</v>
      </c>
      <c r="J266" s="225" t="s">
        <v>3234</v>
      </c>
      <c r="K266" s="299">
        <v>44487</v>
      </c>
      <c r="L266" s="299">
        <v>44487</v>
      </c>
      <c r="M266" s="299">
        <v>44494</v>
      </c>
      <c r="N266" s="291" t="s">
        <v>12</v>
      </c>
      <c r="O266" s="291" t="s">
        <v>11</v>
      </c>
      <c r="T266" s="291"/>
      <c r="V266" s="291"/>
      <c r="W266" s="291"/>
      <c r="X266" s="292" t="str">
        <f>VLOOKUP(功能_33[[#This Row],[User]],SKL放款!A:G,7,FALSE)</f>
        <v>放款服務課</v>
      </c>
      <c r="Y266" s="299">
        <v>44494</v>
      </c>
      <c r="Z266" s="299" t="s">
        <v>133</v>
      </c>
      <c r="AA266" s="299">
        <v>44546</v>
      </c>
      <c r="AB266" s="299">
        <v>44546</v>
      </c>
      <c r="AC266" s="299">
        <v>44550</v>
      </c>
      <c r="AD266" s="299"/>
      <c r="AE266" s="299"/>
      <c r="AF266" s="355"/>
      <c r="AG266" s="299" t="str">
        <f>IFERROR(IF(VLOOKUP(功能_33[[#This Row],[功能代號]],E:Q,11,FALSE)=0,"",VLOOKUP(功能_33[[#This Row],[功能代號]],E:Q,11,FALSE)),"")</f>
        <v>蔡珮瑜</v>
      </c>
      <c r="AH266" s="299"/>
      <c r="AI266" s="299"/>
      <c r="AJ266" s="292"/>
      <c r="AL266" s="291" t="s">
        <v>190</v>
      </c>
      <c r="AN266" s="292" t="str">
        <f>VLOOKUP(功能_33[[#This Row],[功能代號]],需二審tmp!A:A,1,FALSE)</f>
        <v>L6102</v>
      </c>
      <c r="AO266" s="356">
        <v>44526</v>
      </c>
      <c r="AQ266" s="574" t="str">
        <f t="shared" si="27"/>
        <v>6-1</v>
      </c>
      <c r="AR266" s="576" t="str">
        <f t="shared" si="28"/>
        <v/>
      </c>
      <c r="AS266" s="578" t="str">
        <f t="shared" si="29"/>
        <v/>
      </c>
      <c r="AT266" s="580" t="str">
        <f t="shared" si="30"/>
        <v/>
      </c>
      <c r="AU266" s="582" t="str">
        <f t="shared" si="31"/>
        <v/>
      </c>
      <c r="AV266" s="584" t="str">
        <f t="shared" si="32"/>
        <v/>
      </c>
      <c r="AW266" s="662" t="str">
        <f>IFERROR(VLOOKUP(功能_33[[#This Row],[功能代號]],工作表3!C:C,1,FALSE),"未計SIT測試")</f>
        <v>未計SIT測試</v>
      </c>
    </row>
    <row r="267" spans="3:49" ht="13.5" x14ac:dyDescent="0.3">
      <c r="C267" s="292" t="s">
        <v>91</v>
      </c>
      <c r="D267" s="292" t="s">
        <v>2831</v>
      </c>
      <c r="E267" s="291" t="s">
        <v>804</v>
      </c>
      <c r="F267" s="292" t="s">
        <v>805</v>
      </c>
      <c r="G267" s="292"/>
      <c r="H267" s="291" t="s">
        <v>193</v>
      </c>
      <c r="I267" s="291" t="s">
        <v>194</v>
      </c>
      <c r="J267" s="225" t="s">
        <v>3132</v>
      </c>
      <c r="K267" s="299">
        <v>44491</v>
      </c>
      <c r="L267" s="299">
        <v>44498</v>
      </c>
      <c r="M267" s="299">
        <v>44537</v>
      </c>
      <c r="N267" s="291" t="s">
        <v>8</v>
      </c>
      <c r="O267" s="291" t="s">
        <v>3052</v>
      </c>
      <c r="P267" s="270" t="s">
        <v>24</v>
      </c>
      <c r="T267" s="291"/>
      <c r="V267" s="291"/>
      <c r="W267" s="291"/>
      <c r="X267" s="292" t="str">
        <f>VLOOKUP(功能_33[[#This Row],[User]],SKL放款!A:G,7,FALSE)</f>
        <v>放款服務課</v>
      </c>
      <c r="Y267" s="299">
        <v>44533</v>
      </c>
      <c r="Z267" s="299" t="s">
        <v>2733</v>
      </c>
      <c r="AA267" s="299">
        <v>44543</v>
      </c>
      <c r="AB267" s="299">
        <v>44544</v>
      </c>
      <c r="AC267" s="299">
        <v>44544</v>
      </c>
      <c r="AD267" s="299" t="s">
        <v>196</v>
      </c>
      <c r="AE267" s="299"/>
      <c r="AF267" s="355"/>
      <c r="AG267" s="299" t="str">
        <f>IFERROR(IF(VLOOKUP(功能_33[[#This Row],[功能代號]],E:Q,11,FALSE)=0,"",VLOOKUP(功能_33[[#This Row],[功能代號]],E:Q,11,FALSE)),"")</f>
        <v>蔡珮瑜</v>
      </c>
      <c r="AH267" s="299"/>
      <c r="AI267" s="299"/>
      <c r="AJ267" s="292"/>
      <c r="AK267" s="222" t="s">
        <v>806</v>
      </c>
      <c r="AL267" s="291" t="s">
        <v>807</v>
      </c>
      <c r="AM267" s="292" t="s">
        <v>808</v>
      </c>
      <c r="AN267" s="292" t="str">
        <f>VLOOKUP(功能_33[[#This Row],[功能代號]],需二審tmp!A:A,1,FALSE)</f>
        <v>L2076</v>
      </c>
      <c r="AO267" s="356">
        <v>44526</v>
      </c>
      <c r="AQ267" s="574" t="str">
        <f t="shared" si="27"/>
        <v>2-6</v>
      </c>
      <c r="AR267" s="576" t="str">
        <f t="shared" si="28"/>
        <v/>
      </c>
      <c r="AS267" s="578" t="str">
        <f t="shared" si="29"/>
        <v/>
      </c>
      <c r="AT267" s="580" t="str">
        <f t="shared" si="30"/>
        <v/>
      </c>
      <c r="AU267" s="582" t="str">
        <f t="shared" si="31"/>
        <v/>
      </c>
      <c r="AV267" s="584" t="str">
        <f t="shared" si="32"/>
        <v/>
      </c>
      <c r="AW267" s="662" t="str">
        <f>IFERROR(VLOOKUP(功能_33[[#This Row],[功能代號]],工作表3!C:C,1,FALSE),"未計SIT測試")</f>
        <v>未計SIT測試</v>
      </c>
    </row>
    <row r="268" spans="3:49" ht="13.5" x14ac:dyDescent="0.3">
      <c r="C268" s="292" t="s">
        <v>91</v>
      </c>
      <c r="D268" s="292" t="s">
        <v>2831</v>
      </c>
      <c r="E268" s="291" t="s">
        <v>809</v>
      </c>
      <c r="F268" s="292" t="s">
        <v>810</v>
      </c>
      <c r="G268" s="292"/>
      <c r="H268" s="291" t="s">
        <v>193</v>
      </c>
      <c r="I268" s="291" t="s">
        <v>194</v>
      </c>
      <c r="J268" s="225" t="s">
        <v>3132</v>
      </c>
      <c r="K268" s="299">
        <v>44491</v>
      </c>
      <c r="L268" s="299">
        <v>44498</v>
      </c>
      <c r="M268" s="299">
        <v>44537</v>
      </c>
      <c r="N268" s="291" t="s">
        <v>8</v>
      </c>
      <c r="O268" s="291" t="s">
        <v>11</v>
      </c>
      <c r="T268" s="291"/>
      <c r="V268" s="291"/>
      <c r="W268" s="291"/>
      <c r="X268" s="292" t="str">
        <f>VLOOKUP(功能_33[[#This Row],[User]],SKL放款!A:G,7,FALSE)</f>
        <v>放款服務課</v>
      </c>
      <c r="Y268" s="299">
        <v>44533</v>
      </c>
      <c r="Z268" s="299" t="s">
        <v>133</v>
      </c>
      <c r="AA268" s="299">
        <v>44529</v>
      </c>
      <c r="AB268" s="299">
        <v>44529</v>
      </c>
      <c r="AC268" s="299">
        <v>44544</v>
      </c>
      <c r="AD268" s="299" t="s">
        <v>811</v>
      </c>
      <c r="AE268" s="299"/>
      <c r="AF268" s="355"/>
      <c r="AG268" s="299" t="str">
        <f>IFERROR(IF(VLOOKUP(功能_33[[#This Row],[功能代號]],E:Q,11,FALSE)=0,"",VLOOKUP(功能_33[[#This Row],[功能代號]],E:Q,11,FALSE)),"")</f>
        <v>蔡珮瑜</v>
      </c>
      <c r="AH268" s="299"/>
      <c r="AI268" s="299"/>
      <c r="AJ268" s="292"/>
      <c r="AK268" s="299">
        <v>44491</v>
      </c>
      <c r="AL268" s="291">
        <v>232</v>
      </c>
      <c r="AM268" s="292" t="s">
        <v>812</v>
      </c>
      <c r="AN268" s="292" t="str">
        <f>VLOOKUP(功能_33[[#This Row],[功能代號]],需二審tmp!A:A,1,FALSE)</f>
        <v>L2631</v>
      </c>
      <c r="AO268" s="356">
        <v>44526</v>
      </c>
      <c r="AQ268" s="574" t="str">
        <f t="shared" si="27"/>
        <v>2-6</v>
      </c>
      <c r="AR268" s="576" t="str">
        <f t="shared" si="28"/>
        <v/>
      </c>
      <c r="AS268" s="578" t="str">
        <f t="shared" si="29"/>
        <v/>
      </c>
      <c r="AT268" s="580" t="str">
        <f t="shared" si="30"/>
        <v/>
      </c>
      <c r="AU268" s="582" t="str">
        <f t="shared" si="31"/>
        <v/>
      </c>
      <c r="AV268" s="584" t="str">
        <f t="shared" si="32"/>
        <v/>
      </c>
      <c r="AW268" s="662" t="str">
        <f>IFERROR(VLOOKUP(功能_33[[#This Row],[功能代號]],工作表3!C:C,1,FALSE),"未計SIT測試")</f>
        <v>未計SIT測試</v>
      </c>
    </row>
    <row r="269" spans="3:49" ht="13.5" x14ac:dyDescent="0.3">
      <c r="C269" s="292" t="s">
        <v>91</v>
      </c>
      <c r="D269" s="292" t="s">
        <v>2831</v>
      </c>
      <c r="E269" s="291" t="s">
        <v>813</v>
      </c>
      <c r="F269" s="292" t="s">
        <v>814</v>
      </c>
      <c r="G269" s="292"/>
      <c r="H269" s="291" t="s">
        <v>193</v>
      </c>
      <c r="I269" s="291" t="s">
        <v>194</v>
      </c>
      <c r="J269" s="225" t="s">
        <v>3132</v>
      </c>
      <c r="K269" s="299">
        <v>44491</v>
      </c>
      <c r="L269" s="299">
        <v>44498</v>
      </c>
      <c r="M269" s="299">
        <v>44498</v>
      </c>
      <c r="N269" s="291" t="s">
        <v>8</v>
      </c>
      <c r="O269" s="291" t="s">
        <v>11</v>
      </c>
      <c r="T269" s="291"/>
      <c r="V269" s="291"/>
      <c r="W269" s="291"/>
      <c r="X269" s="292" t="str">
        <f>VLOOKUP(功能_33[[#This Row],[User]],SKL放款!A:G,7,FALSE)</f>
        <v>放款服務課</v>
      </c>
      <c r="Y269" s="299">
        <v>44533</v>
      </c>
      <c r="Z269" s="299" t="s">
        <v>195</v>
      </c>
      <c r="AA269" s="299">
        <v>44543</v>
      </c>
      <c r="AB269" s="299">
        <v>44544</v>
      </c>
      <c r="AC269" s="299">
        <v>44544</v>
      </c>
      <c r="AD269" s="299" t="s">
        <v>196</v>
      </c>
      <c r="AE269" s="299"/>
      <c r="AF269" s="355"/>
      <c r="AG269" s="299" t="str">
        <f>IFERROR(IF(VLOOKUP(功能_33[[#This Row],[功能代號]],E:Q,11,FALSE)=0,"",VLOOKUP(功能_33[[#This Row],[功能代號]],E:Q,11,FALSE)),"")</f>
        <v>蔡珮瑜</v>
      </c>
      <c r="AH269" s="299"/>
      <c r="AI269" s="299"/>
      <c r="AJ269" s="292"/>
      <c r="AK269" s="299">
        <v>44491</v>
      </c>
      <c r="AL269" s="291">
        <v>232</v>
      </c>
      <c r="AM269" s="292" t="s">
        <v>815</v>
      </c>
      <c r="AN269" s="292" t="e">
        <f>VLOOKUP(功能_33[[#This Row],[功能代號]],需二審tmp!A:A,1,FALSE)</f>
        <v>#N/A</v>
      </c>
      <c r="AO269" s="356">
        <v>44526</v>
      </c>
      <c r="AQ269" s="574" t="str">
        <f t="shared" si="27"/>
        <v>2-6</v>
      </c>
      <c r="AR269" s="576" t="str">
        <f t="shared" si="28"/>
        <v/>
      </c>
      <c r="AS269" s="578" t="str">
        <f t="shared" si="29"/>
        <v/>
      </c>
      <c r="AT269" s="580" t="str">
        <f t="shared" si="30"/>
        <v/>
      </c>
      <c r="AU269" s="582" t="str">
        <f t="shared" si="31"/>
        <v/>
      </c>
      <c r="AV269" s="584" t="str">
        <f t="shared" si="32"/>
        <v/>
      </c>
      <c r="AW269" s="662" t="str">
        <f>IFERROR(VLOOKUP(功能_33[[#This Row],[功能代號]],工作表3!C:C,1,FALSE),"未計SIT測試")</f>
        <v>未計SIT測試</v>
      </c>
    </row>
    <row r="270" spans="3:49" ht="13.5" x14ac:dyDescent="0.3">
      <c r="C270" s="292" t="s">
        <v>91</v>
      </c>
      <c r="D270" s="292" t="s">
        <v>2831</v>
      </c>
      <c r="E270" s="291" t="s">
        <v>816</v>
      </c>
      <c r="F270" s="292" t="s">
        <v>817</v>
      </c>
      <c r="G270" s="292"/>
      <c r="H270" s="291" t="s">
        <v>193</v>
      </c>
      <c r="I270" s="291" t="s">
        <v>194</v>
      </c>
      <c r="J270" s="225" t="s">
        <v>3132</v>
      </c>
      <c r="K270" s="299">
        <v>44491</v>
      </c>
      <c r="L270" s="299">
        <v>44498</v>
      </c>
      <c r="M270" s="299">
        <v>44537</v>
      </c>
      <c r="N270" s="291" t="s">
        <v>8</v>
      </c>
      <c r="O270" s="291" t="s">
        <v>11</v>
      </c>
      <c r="T270" s="291"/>
      <c r="V270" s="291"/>
      <c r="W270" s="291"/>
      <c r="X270" s="292" t="str">
        <f>VLOOKUP(功能_33[[#This Row],[User]],SKL放款!A:G,7,FALSE)</f>
        <v>放款服務課</v>
      </c>
      <c r="Y270" s="299">
        <v>44533</v>
      </c>
      <c r="Z270" s="299" t="s">
        <v>195</v>
      </c>
      <c r="AA270" s="299">
        <v>44543</v>
      </c>
      <c r="AB270" s="299">
        <v>44544</v>
      </c>
      <c r="AC270" s="299">
        <v>44544</v>
      </c>
      <c r="AD270" s="299" t="s">
        <v>196</v>
      </c>
      <c r="AE270" s="299"/>
      <c r="AF270" s="355"/>
      <c r="AG270" s="299" t="str">
        <f>IFERROR(IF(VLOOKUP(功能_33[[#This Row],[功能代號]],E:Q,11,FALSE)=0,"",VLOOKUP(功能_33[[#This Row],[功能代號]],E:Q,11,FALSE)),"")</f>
        <v>蔡珮瑜</v>
      </c>
      <c r="AH270" s="299"/>
      <c r="AI270" s="299"/>
      <c r="AJ270" s="292"/>
      <c r="AK270" s="299">
        <v>44491</v>
      </c>
      <c r="AL270" s="291">
        <v>233</v>
      </c>
      <c r="AM270" s="292" t="s">
        <v>818</v>
      </c>
      <c r="AN270" s="292" t="e">
        <f>VLOOKUP(功能_33[[#This Row],[功能代號]],需二審tmp!A:A,1,FALSE)</f>
        <v>#N/A</v>
      </c>
      <c r="AO270" s="356">
        <v>44526</v>
      </c>
      <c r="AQ270" s="574" t="str">
        <f t="shared" si="27"/>
        <v>2-6</v>
      </c>
      <c r="AR270" s="576" t="str">
        <f t="shared" si="28"/>
        <v/>
      </c>
      <c r="AS270" s="578" t="str">
        <f t="shared" si="29"/>
        <v/>
      </c>
      <c r="AT270" s="580" t="str">
        <f t="shared" si="30"/>
        <v/>
      </c>
      <c r="AU270" s="582" t="str">
        <f t="shared" si="31"/>
        <v/>
      </c>
      <c r="AV270" s="584" t="str">
        <f t="shared" si="32"/>
        <v/>
      </c>
      <c r="AW270" s="662" t="str">
        <f>IFERROR(VLOOKUP(功能_33[[#This Row],[功能代號]],工作表3!C:C,1,FALSE),"未計SIT測試")</f>
        <v>未計SIT測試</v>
      </c>
    </row>
    <row r="271" spans="3:49" ht="13.5" x14ac:dyDescent="0.3">
      <c r="C271" s="292" t="s">
        <v>91</v>
      </c>
      <c r="D271" s="292" t="s">
        <v>2831</v>
      </c>
      <c r="E271" s="291" t="s">
        <v>819</v>
      </c>
      <c r="F271" s="292" t="s">
        <v>820</v>
      </c>
      <c r="G271" s="292"/>
      <c r="H271" s="291" t="s">
        <v>193</v>
      </c>
      <c r="I271" s="291" t="s">
        <v>194</v>
      </c>
      <c r="J271" s="225" t="s">
        <v>3132</v>
      </c>
      <c r="K271" s="299">
        <v>44491</v>
      </c>
      <c r="L271" s="299">
        <v>44498</v>
      </c>
      <c r="M271" s="299">
        <v>44498</v>
      </c>
      <c r="N271" s="291" t="s">
        <v>8</v>
      </c>
      <c r="O271" s="291" t="s">
        <v>11</v>
      </c>
      <c r="T271" s="291"/>
      <c r="V271" s="291"/>
      <c r="W271" s="291"/>
      <c r="X271" s="292" t="str">
        <f>VLOOKUP(功能_33[[#This Row],[User]],SKL放款!A:G,7,FALSE)</f>
        <v>放款服務課</v>
      </c>
      <c r="Y271" s="299">
        <v>44533</v>
      </c>
      <c r="Z271" s="299" t="s">
        <v>195</v>
      </c>
      <c r="AA271" s="299">
        <v>44543</v>
      </c>
      <c r="AB271" s="299">
        <v>44544</v>
      </c>
      <c r="AC271" s="299">
        <v>44544</v>
      </c>
      <c r="AD271" s="299" t="s">
        <v>196</v>
      </c>
      <c r="AE271" s="299"/>
      <c r="AF271" s="355"/>
      <c r="AG271" s="299" t="str">
        <f>IFERROR(IF(VLOOKUP(功能_33[[#This Row],[功能代號]],E:Q,11,FALSE)=0,"",VLOOKUP(功能_33[[#This Row],[功能代號]],E:Q,11,FALSE)),"")</f>
        <v>蔡珮瑜</v>
      </c>
      <c r="AH271" s="299"/>
      <c r="AI271" s="299"/>
      <c r="AJ271" s="292"/>
      <c r="AK271" s="299">
        <v>44491</v>
      </c>
      <c r="AL271" s="291" t="s">
        <v>190</v>
      </c>
      <c r="AM271" s="291" t="s">
        <v>190</v>
      </c>
      <c r="AN271" s="292" t="e">
        <f>VLOOKUP(功能_33[[#This Row],[功能代號]],需二審tmp!A:A,1,FALSE)</f>
        <v>#N/A</v>
      </c>
      <c r="AO271" s="356">
        <v>44526</v>
      </c>
      <c r="AQ271" s="574" t="str">
        <f t="shared" si="27"/>
        <v>2-6</v>
      </c>
      <c r="AR271" s="576" t="str">
        <f t="shared" si="28"/>
        <v/>
      </c>
      <c r="AS271" s="578" t="str">
        <f t="shared" si="29"/>
        <v/>
      </c>
      <c r="AT271" s="580" t="str">
        <f t="shared" si="30"/>
        <v/>
      </c>
      <c r="AU271" s="582" t="str">
        <f t="shared" si="31"/>
        <v/>
      </c>
      <c r="AV271" s="584" t="str">
        <f t="shared" si="32"/>
        <v/>
      </c>
      <c r="AW271" s="662" t="str">
        <f>IFERROR(VLOOKUP(功能_33[[#This Row],[功能代號]],工作表3!C:C,1,FALSE),"未計SIT測試")</f>
        <v>未計SIT測試</v>
      </c>
    </row>
    <row r="272" spans="3:49" ht="13.5" x14ac:dyDescent="0.3">
      <c r="C272" s="292" t="s">
        <v>91</v>
      </c>
      <c r="D272" s="292" t="s">
        <v>2831</v>
      </c>
      <c r="E272" s="291" t="s">
        <v>821</v>
      </c>
      <c r="F272" s="292" t="s">
        <v>822</v>
      </c>
      <c r="G272" s="292"/>
      <c r="H272" s="291" t="s">
        <v>193</v>
      </c>
      <c r="I272" s="291" t="s">
        <v>194</v>
      </c>
      <c r="J272" s="225" t="s">
        <v>3132</v>
      </c>
      <c r="K272" s="299">
        <v>44491</v>
      </c>
      <c r="L272" s="299">
        <v>44498</v>
      </c>
      <c r="M272" s="299">
        <v>44537</v>
      </c>
      <c r="N272" s="291" t="s">
        <v>8</v>
      </c>
      <c r="O272" s="291" t="s">
        <v>11</v>
      </c>
      <c r="T272" s="291"/>
      <c r="V272" s="291"/>
      <c r="W272" s="291"/>
      <c r="X272" s="292" t="str">
        <f>VLOOKUP(功能_33[[#This Row],[User]],SKL放款!A:G,7,FALSE)</f>
        <v>放款服務課</v>
      </c>
      <c r="Y272" s="299">
        <v>44533</v>
      </c>
      <c r="Z272" s="299" t="s">
        <v>195</v>
      </c>
      <c r="AA272" s="299">
        <v>44543</v>
      </c>
      <c r="AB272" s="299">
        <v>44544</v>
      </c>
      <c r="AC272" s="299">
        <v>44544</v>
      </c>
      <c r="AD272" s="299" t="s">
        <v>196</v>
      </c>
      <c r="AE272" s="299"/>
      <c r="AF272" s="355"/>
      <c r="AG272" s="299" t="str">
        <f>IFERROR(IF(VLOOKUP(功能_33[[#This Row],[功能代號]],E:Q,11,FALSE)=0,"",VLOOKUP(功能_33[[#This Row],[功能代號]],E:Q,11,FALSE)),"")</f>
        <v>蔡珮瑜</v>
      </c>
      <c r="AH272" s="299"/>
      <c r="AI272" s="299"/>
      <c r="AJ272" s="292"/>
      <c r="AK272" s="299">
        <v>44491</v>
      </c>
      <c r="AL272" s="291">
        <v>233</v>
      </c>
      <c r="AM272" s="292" t="s">
        <v>823</v>
      </c>
      <c r="AN272" s="292" t="e">
        <f>VLOOKUP(功能_33[[#This Row],[功能代號]],需二審tmp!A:A,1,FALSE)</f>
        <v>#N/A</v>
      </c>
      <c r="AO272" s="356">
        <v>44526</v>
      </c>
      <c r="AQ272" s="574" t="str">
        <f t="shared" si="27"/>
        <v>2-6</v>
      </c>
      <c r="AR272" s="576" t="str">
        <f t="shared" si="28"/>
        <v/>
      </c>
      <c r="AS272" s="578" t="str">
        <f t="shared" si="29"/>
        <v/>
      </c>
      <c r="AT272" s="580" t="str">
        <f t="shared" si="30"/>
        <v/>
      </c>
      <c r="AU272" s="582" t="str">
        <f t="shared" si="31"/>
        <v/>
      </c>
      <c r="AV272" s="584" t="str">
        <f t="shared" si="32"/>
        <v/>
      </c>
      <c r="AW272" s="662" t="str">
        <f>IFERROR(VLOOKUP(功能_33[[#This Row],[功能代號]],工作表3!C:C,1,FALSE),"未計SIT測試")</f>
        <v>未計SIT測試</v>
      </c>
    </row>
    <row r="273" spans="1:49" ht="27" x14ac:dyDescent="0.3">
      <c r="C273" s="292" t="s">
        <v>93</v>
      </c>
      <c r="D273" s="292" t="s">
        <v>824</v>
      </c>
      <c r="E273" s="291" t="s">
        <v>825</v>
      </c>
      <c r="F273" s="292" t="s">
        <v>826</v>
      </c>
      <c r="G273" s="292"/>
      <c r="H273" s="291" t="s">
        <v>193</v>
      </c>
      <c r="I273" s="291" t="s">
        <v>2774</v>
      </c>
      <c r="J273" s="225" t="s">
        <v>2959</v>
      </c>
      <c r="K273" s="299">
        <v>44490</v>
      </c>
      <c r="L273" s="299">
        <v>44490</v>
      </c>
      <c r="M273" s="299">
        <v>44533</v>
      </c>
      <c r="N273" s="291" t="s">
        <v>7</v>
      </c>
      <c r="O273" s="291" t="s">
        <v>172</v>
      </c>
      <c r="T273" s="291"/>
      <c r="V273" s="291"/>
      <c r="W273" s="291"/>
      <c r="X273" s="292" t="str">
        <f>VLOOKUP(功能_33[[#This Row],[User]],SKL放款!A:G,7,FALSE)</f>
        <v>放款服務課</v>
      </c>
      <c r="Y273" s="299">
        <v>44533</v>
      </c>
      <c r="Z273" s="299" t="s">
        <v>195</v>
      </c>
      <c r="AA273" s="299">
        <v>44531</v>
      </c>
      <c r="AB273" s="299">
        <v>44531</v>
      </c>
      <c r="AC273" s="299">
        <v>44539</v>
      </c>
      <c r="AD273" s="299"/>
      <c r="AE273" s="299"/>
      <c r="AF273" s="355"/>
      <c r="AG273" s="299" t="str">
        <f>IFERROR(IF(VLOOKUP(功能_33[[#This Row],[功能代號]],E:Q,11,FALSE)=0,"",VLOOKUP(功能_33[[#This Row],[功能代號]],E:Q,11,FALSE)),"")</f>
        <v>陳政皓</v>
      </c>
      <c r="AH273" s="299"/>
      <c r="AI273" s="299"/>
      <c r="AJ273" s="292"/>
      <c r="AK273" s="299"/>
      <c r="AL273" s="308" t="s">
        <v>3023</v>
      </c>
      <c r="AM273" s="292" t="s">
        <v>3024</v>
      </c>
      <c r="AN273" s="292" t="e">
        <f>VLOOKUP(功能_33[[#This Row],[功能代號]],需二審tmp!A:A,1,FALSE)</f>
        <v>#N/A</v>
      </c>
      <c r="AO273" s="356">
        <v>44533</v>
      </c>
      <c r="AQ273" s="574" t="str">
        <f t="shared" si="27"/>
        <v>4-3</v>
      </c>
      <c r="AR273" s="576" t="str">
        <f t="shared" si="28"/>
        <v/>
      </c>
      <c r="AS273" s="578" t="str">
        <f t="shared" si="29"/>
        <v/>
      </c>
      <c r="AT273" s="580" t="str">
        <f t="shared" si="30"/>
        <v/>
      </c>
      <c r="AU273" s="582" t="str">
        <f t="shared" si="31"/>
        <v/>
      </c>
      <c r="AV273" s="584" t="str">
        <f t="shared" si="32"/>
        <v/>
      </c>
      <c r="AW273" s="662" t="str">
        <f>IFERROR(VLOOKUP(功能_33[[#This Row],[功能代號]],工作表3!C:C,1,FALSE),"未計SIT測試")</f>
        <v>L4322</v>
      </c>
    </row>
    <row r="274" spans="1:49" ht="40.5" x14ac:dyDescent="0.3">
      <c r="C274" s="292" t="s">
        <v>93</v>
      </c>
      <c r="D274" s="292" t="s">
        <v>824</v>
      </c>
      <c r="E274" s="291" t="s">
        <v>827</v>
      </c>
      <c r="F274" s="292" t="s">
        <v>828</v>
      </c>
      <c r="G274" s="292"/>
      <c r="H274" s="291" t="s">
        <v>193</v>
      </c>
      <c r="I274" s="291" t="s">
        <v>2774</v>
      </c>
      <c r="J274" s="225" t="s">
        <v>2959</v>
      </c>
      <c r="K274" s="299">
        <v>44490</v>
      </c>
      <c r="L274" s="299">
        <v>44490</v>
      </c>
      <c r="M274" s="299">
        <v>44533</v>
      </c>
      <c r="N274" s="291" t="s">
        <v>7</v>
      </c>
      <c r="O274" s="291" t="s">
        <v>172</v>
      </c>
      <c r="T274" s="291"/>
      <c r="V274" s="291"/>
      <c r="W274" s="291"/>
      <c r="X274" s="292" t="str">
        <f>VLOOKUP(功能_33[[#This Row],[User]],SKL放款!A:G,7,FALSE)</f>
        <v>放款服務課</v>
      </c>
      <c r="Y274" s="299">
        <v>44533</v>
      </c>
      <c r="Z274" s="299" t="s">
        <v>133</v>
      </c>
      <c r="AA274" s="299">
        <v>44531</v>
      </c>
      <c r="AB274" s="299">
        <v>44531</v>
      </c>
      <c r="AC274" s="299">
        <v>44539</v>
      </c>
      <c r="AD274" s="299"/>
      <c r="AE274" s="299"/>
      <c r="AF274" s="355"/>
      <c r="AG274" s="299" t="str">
        <f>IFERROR(IF(VLOOKUP(功能_33[[#This Row],[功能代號]],E:Q,11,FALSE)=0,"",VLOOKUP(功能_33[[#This Row],[功能代號]],E:Q,11,FALSE)),"")</f>
        <v>陳政皓</v>
      </c>
      <c r="AH274" s="299"/>
      <c r="AI274" s="299"/>
      <c r="AJ274" s="292"/>
      <c r="AK274" s="299"/>
      <c r="AL274" s="308" t="s">
        <v>3025</v>
      </c>
      <c r="AM274" s="219" t="s">
        <v>3026</v>
      </c>
      <c r="AN274" s="292" t="str">
        <f>VLOOKUP(功能_33[[#This Row],[功能代號]],需二審tmp!A:A,1,FALSE)</f>
        <v>L4320</v>
      </c>
      <c r="AO274" s="356">
        <v>44533</v>
      </c>
      <c r="AQ274" s="574" t="str">
        <f t="shared" si="27"/>
        <v>4-3</v>
      </c>
      <c r="AR274" s="576" t="str">
        <f t="shared" si="28"/>
        <v/>
      </c>
      <c r="AS274" s="578" t="str">
        <f t="shared" si="29"/>
        <v/>
      </c>
      <c r="AT274" s="580" t="str">
        <f t="shared" si="30"/>
        <v/>
      </c>
      <c r="AU274" s="582" t="str">
        <f t="shared" si="31"/>
        <v/>
      </c>
      <c r="AV274" s="584" t="str">
        <f t="shared" si="32"/>
        <v/>
      </c>
      <c r="AW274" s="662" t="str">
        <f>IFERROR(VLOOKUP(功能_33[[#This Row],[功能代號]],工作表3!C:C,1,FALSE),"未計SIT測試")</f>
        <v>L4320</v>
      </c>
    </row>
    <row r="275" spans="1:49" ht="13.5" x14ac:dyDescent="0.3">
      <c r="C275" s="292" t="s">
        <v>93</v>
      </c>
      <c r="D275" s="292" t="s">
        <v>824</v>
      </c>
      <c r="E275" s="291" t="s">
        <v>829</v>
      </c>
      <c r="F275" s="292" t="s">
        <v>830</v>
      </c>
      <c r="G275" s="292"/>
      <c r="H275" s="291" t="s">
        <v>193</v>
      </c>
      <c r="I275" s="291" t="s">
        <v>2774</v>
      </c>
      <c r="J275" s="225" t="s">
        <v>2959</v>
      </c>
      <c r="K275" s="299">
        <v>44490</v>
      </c>
      <c r="L275" s="299">
        <v>44490</v>
      </c>
      <c r="M275" s="299">
        <v>44533</v>
      </c>
      <c r="N275" s="291" t="s">
        <v>7</v>
      </c>
      <c r="O275" s="291" t="s">
        <v>172</v>
      </c>
      <c r="T275" s="291"/>
      <c r="V275" s="291"/>
      <c r="W275" s="291"/>
      <c r="X275" s="292" t="str">
        <f>VLOOKUP(功能_33[[#This Row],[User]],SKL放款!A:G,7,FALSE)</f>
        <v>放款服務課</v>
      </c>
      <c r="Y275" s="299">
        <v>44533</v>
      </c>
      <c r="Z275" s="299" t="s">
        <v>133</v>
      </c>
      <c r="AA275" s="299">
        <v>44531</v>
      </c>
      <c r="AB275" s="299">
        <v>44531</v>
      </c>
      <c r="AC275" s="299">
        <v>44539</v>
      </c>
      <c r="AD275" s="299"/>
      <c r="AE275" s="299"/>
      <c r="AF275" s="355"/>
      <c r="AG275" s="299" t="str">
        <f>IFERROR(IF(VLOOKUP(功能_33[[#This Row],[功能代號]],E:Q,11,FALSE)=0,"",VLOOKUP(功能_33[[#This Row],[功能代號]],E:Q,11,FALSE)),"")</f>
        <v>陳政皓</v>
      </c>
      <c r="AH275" s="299"/>
      <c r="AI275" s="299"/>
      <c r="AJ275" s="292"/>
      <c r="AK275" s="299"/>
      <c r="AL275" s="291" t="s">
        <v>2976</v>
      </c>
      <c r="AM275" s="291" t="s">
        <v>2976</v>
      </c>
      <c r="AN275" s="292" t="str">
        <f>VLOOKUP(功能_33[[#This Row],[功能代號]],需二審tmp!A:A,1,FALSE)</f>
        <v>L4031</v>
      </c>
      <c r="AO275" s="356">
        <v>44533</v>
      </c>
      <c r="AQ275" s="574" t="str">
        <f t="shared" si="27"/>
        <v>4-3</v>
      </c>
      <c r="AR275" s="576" t="str">
        <f t="shared" si="28"/>
        <v/>
      </c>
      <c r="AS275" s="578" t="str">
        <f t="shared" si="29"/>
        <v/>
      </c>
      <c r="AT275" s="580" t="str">
        <f t="shared" si="30"/>
        <v/>
      </c>
      <c r="AU275" s="582" t="str">
        <f t="shared" si="31"/>
        <v/>
      </c>
      <c r="AV275" s="584" t="str">
        <f t="shared" si="32"/>
        <v/>
      </c>
      <c r="AW275" s="662" t="str">
        <f>IFERROR(VLOOKUP(功能_33[[#This Row],[功能代號]],工作表3!C:C,1,FALSE),"未計SIT測試")</f>
        <v>L4031</v>
      </c>
    </row>
    <row r="276" spans="1:49" ht="27" x14ac:dyDescent="0.3">
      <c r="C276" s="292" t="s">
        <v>93</v>
      </c>
      <c r="D276" s="292" t="s">
        <v>824</v>
      </c>
      <c r="E276" s="291" t="s">
        <v>831</v>
      </c>
      <c r="F276" s="292" t="s">
        <v>832</v>
      </c>
      <c r="G276" s="292"/>
      <c r="H276" s="291" t="s">
        <v>193</v>
      </c>
      <c r="I276" s="291" t="s">
        <v>2774</v>
      </c>
      <c r="J276" s="225" t="s">
        <v>2959</v>
      </c>
      <c r="K276" s="299">
        <v>44490</v>
      </c>
      <c r="L276" s="299">
        <v>44490</v>
      </c>
      <c r="M276" s="299">
        <v>44533</v>
      </c>
      <c r="N276" s="291" t="s">
        <v>7</v>
      </c>
      <c r="O276" s="291" t="s">
        <v>172</v>
      </c>
      <c r="T276" s="291"/>
      <c r="V276" s="291"/>
      <c r="W276" s="291"/>
      <c r="X276" s="292" t="str">
        <f>VLOOKUP(功能_33[[#This Row],[User]],SKL放款!A:G,7,FALSE)</f>
        <v>放款服務課</v>
      </c>
      <c r="Y276" s="299">
        <v>44533</v>
      </c>
      <c r="Z276" s="299" t="s">
        <v>133</v>
      </c>
      <c r="AA276" s="299">
        <v>44531</v>
      </c>
      <c r="AB276" s="299">
        <v>44531</v>
      </c>
      <c r="AC276" s="299">
        <v>44539</v>
      </c>
      <c r="AD276" s="299"/>
      <c r="AE276" s="299"/>
      <c r="AF276" s="355"/>
      <c r="AG276" s="299" t="str">
        <f>IFERROR(IF(VLOOKUP(功能_33[[#This Row],[功能代號]],E:Q,11,FALSE)=0,"",VLOOKUP(功能_33[[#This Row],[功能代號]],E:Q,11,FALSE)),"")</f>
        <v>陳政皓</v>
      </c>
      <c r="AH276" s="299"/>
      <c r="AI276" s="299"/>
      <c r="AJ276" s="292"/>
      <c r="AK276" s="299"/>
      <c r="AL276" s="308" t="s">
        <v>3027</v>
      </c>
      <c r="AM276" s="219" t="s">
        <v>3028</v>
      </c>
      <c r="AN276" s="292" t="str">
        <f>VLOOKUP(功能_33[[#This Row],[功能代號]],需二審tmp!A:A,1,FALSE)</f>
        <v>L4321</v>
      </c>
      <c r="AO276" s="356">
        <v>44533</v>
      </c>
      <c r="AQ276" s="574" t="str">
        <f t="shared" si="27"/>
        <v>4-3</v>
      </c>
      <c r="AR276" s="576" t="str">
        <f t="shared" si="28"/>
        <v/>
      </c>
      <c r="AS276" s="578" t="str">
        <f t="shared" si="29"/>
        <v/>
      </c>
      <c r="AT276" s="580" t="str">
        <f t="shared" si="30"/>
        <v/>
      </c>
      <c r="AU276" s="582" t="str">
        <f t="shared" si="31"/>
        <v/>
      </c>
      <c r="AV276" s="584" t="str">
        <f t="shared" si="32"/>
        <v/>
      </c>
      <c r="AW276" s="662" t="str">
        <f>IFERROR(VLOOKUP(功能_33[[#This Row],[功能代號]],工作表3!C:C,1,FALSE),"未計SIT測試")</f>
        <v>L4321</v>
      </c>
    </row>
    <row r="277" spans="1:49" ht="13.5" x14ac:dyDescent="0.3">
      <c r="C277" s="292" t="s">
        <v>93</v>
      </c>
      <c r="D277" s="292" t="s">
        <v>824</v>
      </c>
      <c r="E277" s="291" t="s">
        <v>833</v>
      </c>
      <c r="F277" s="292" t="s">
        <v>834</v>
      </c>
      <c r="G277" s="292" t="s">
        <v>835</v>
      </c>
      <c r="H277" s="291" t="s">
        <v>193</v>
      </c>
      <c r="I277" s="291" t="s">
        <v>2774</v>
      </c>
      <c r="J277" s="225" t="s">
        <v>2959</v>
      </c>
      <c r="K277" s="299">
        <v>44490</v>
      </c>
      <c r="L277" s="299">
        <v>44490</v>
      </c>
      <c r="M277" s="299">
        <v>44533</v>
      </c>
      <c r="N277" s="291" t="s">
        <v>7</v>
      </c>
      <c r="O277" s="291" t="s">
        <v>172</v>
      </c>
      <c r="T277" s="291"/>
      <c r="V277" s="291"/>
      <c r="W277" s="291"/>
      <c r="X277" s="292" t="str">
        <f>VLOOKUP(功能_33[[#This Row],[User]],SKL放款!A:G,7,FALSE)</f>
        <v>放款服務課</v>
      </c>
      <c r="Y277" s="299">
        <v>44533</v>
      </c>
      <c r="Z277" s="299" t="s">
        <v>195</v>
      </c>
      <c r="AA277" s="299">
        <v>44531</v>
      </c>
      <c r="AB277" s="299">
        <v>44531</v>
      </c>
      <c r="AC277" s="299">
        <v>44539</v>
      </c>
      <c r="AD277" s="299"/>
      <c r="AE277" s="299"/>
      <c r="AF277" s="355"/>
      <c r="AG277" s="299" t="str">
        <f>IFERROR(IF(VLOOKUP(功能_33[[#This Row],[功能代號]],E:Q,11,FALSE)=0,"",VLOOKUP(功能_33[[#This Row],[功能代號]],E:Q,11,FALSE)),"")</f>
        <v>陳政皓</v>
      </c>
      <c r="AH277" s="299"/>
      <c r="AI277" s="299"/>
      <c r="AJ277" s="292"/>
      <c r="AK277" s="299"/>
      <c r="AL277" s="291" t="s">
        <v>2976</v>
      </c>
      <c r="AM277" s="291" t="s">
        <v>2976</v>
      </c>
      <c r="AN277" s="292" t="e">
        <f>VLOOKUP(功能_33[[#This Row],[功能代號]],需二審tmp!A:A,1,FALSE)</f>
        <v>#N/A</v>
      </c>
      <c r="AO277" s="356">
        <v>44533</v>
      </c>
      <c r="AQ277" s="574" t="str">
        <f t="shared" si="27"/>
        <v>4-3</v>
      </c>
      <c r="AR277" s="576" t="str">
        <f t="shared" si="28"/>
        <v/>
      </c>
      <c r="AS277" s="578" t="str">
        <f t="shared" si="29"/>
        <v/>
      </c>
      <c r="AT277" s="580" t="str">
        <f t="shared" si="30"/>
        <v/>
      </c>
      <c r="AU277" s="582" t="str">
        <f t="shared" si="31"/>
        <v/>
      </c>
      <c r="AV277" s="584" t="str">
        <f t="shared" si="32"/>
        <v/>
      </c>
      <c r="AW277" s="662" t="str">
        <f>IFERROR(VLOOKUP(功能_33[[#This Row],[功能代號]],工作表3!C:C,1,FALSE),"未計SIT測試")</f>
        <v>L4325</v>
      </c>
    </row>
    <row r="278" spans="1:49" ht="13.5" x14ac:dyDescent="0.3">
      <c r="C278" s="292" t="s">
        <v>93</v>
      </c>
      <c r="D278" s="292" t="s">
        <v>824</v>
      </c>
      <c r="E278" s="291" t="s">
        <v>836</v>
      </c>
      <c r="F278" s="292" t="s">
        <v>837</v>
      </c>
      <c r="G278" s="292"/>
      <c r="H278" s="291" t="s">
        <v>193</v>
      </c>
      <c r="I278" s="291" t="s">
        <v>2774</v>
      </c>
      <c r="J278" s="225" t="s">
        <v>2959</v>
      </c>
      <c r="K278" s="299">
        <v>44490</v>
      </c>
      <c r="L278" s="299">
        <v>44490</v>
      </c>
      <c r="M278" s="299">
        <v>44533</v>
      </c>
      <c r="N278" s="291" t="s">
        <v>7</v>
      </c>
      <c r="O278" s="291" t="s">
        <v>172</v>
      </c>
      <c r="T278" s="291"/>
      <c r="V278" s="291"/>
      <c r="W278" s="291"/>
      <c r="X278" s="292" t="str">
        <f>VLOOKUP(功能_33[[#This Row],[User]],SKL放款!A:G,7,FALSE)</f>
        <v>放款服務課</v>
      </c>
      <c r="Y278" s="299">
        <v>44533</v>
      </c>
      <c r="Z278" s="299" t="s">
        <v>133</v>
      </c>
      <c r="AA278" s="299">
        <v>44531</v>
      </c>
      <c r="AB278" s="299">
        <v>44531</v>
      </c>
      <c r="AC278" s="299">
        <v>44539</v>
      </c>
      <c r="AD278" s="299"/>
      <c r="AE278" s="299"/>
      <c r="AF278" s="355"/>
      <c r="AG278" s="299" t="str">
        <f>IFERROR(IF(VLOOKUP(功能_33[[#This Row],[功能代號]],E:Q,11,FALSE)=0,"",VLOOKUP(功能_33[[#This Row],[功能代號]],E:Q,11,FALSE)),"")</f>
        <v>陳政皓</v>
      </c>
      <c r="AH278" s="299"/>
      <c r="AI278" s="299"/>
      <c r="AJ278" s="292"/>
      <c r="AK278" s="299"/>
      <c r="AL278" s="291" t="s">
        <v>2976</v>
      </c>
      <c r="AM278" s="291" t="s">
        <v>2976</v>
      </c>
      <c r="AN278" s="292" t="str">
        <f>VLOOKUP(功能_33[[#This Row],[功能代號]],需二審tmp!A:A,1,FALSE)</f>
        <v>L4931</v>
      </c>
      <c r="AO278" s="356">
        <v>44533</v>
      </c>
      <c r="AQ278" s="574" t="str">
        <f t="shared" si="27"/>
        <v>4-3</v>
      </c>
      <c r="AR278" s="576" t="str">
        <f t="shared" si="28"/>
        <v/>
      </c>
      <c r="AS278" s="578" t="str">
        <f t="shared" si="29"/>
        <v/>
      </c>
      <c r="AT278" s="580" t="str">
        <f t="shared" si="30"/>
        <v/>
      </c>
      <c r="AU278" s="582" t="str">
        <f t="shared" si="31"/>
        <v/>
      </c>
      <c r="AV278" s="584" t="str">
        <f t="shared" si="32"/>
        <v/>
      </c>
      <c r="AW278" s="662" t="str">
        <f>IFERROR(VLOOKUP(功能_33[[#This Row],[功能代號]],工作表3!C:C,1,FALSE),"未計SIT測試")</f>
        <v>L4931</v>
      </c>
    </row>
    <row r="279" spans="1:49" ht="27" x14ac:dyDescent="0.3">
      <c r="C279" s="292" t="s">
        <v>93</v>
      </c>
      <c r="D279" s="292" t="s">
        <v>824</v>
      </c>
      <c r="E279" s="291" t="s">
        <v>838</v>
      </c>
      <c r="F279" s="292" t="s">
        <v>839</v>
      </c>
      <c r="G279" s="292"/>
      <c r="H279" s="291" t="s">
        <v>193</v>
      </c>
      <c r="I279" s="291" t="s">
        <v>2774</v>
      </c>
      <c r="J279" s="225" t="s">
        <v>2959</v>
      </c>
      <c r="K279" s="299">
        <v>44490</v>
      </c>
      <c r="L279" s="299">
        <v>44490</v>
      </c>
      <c r="M279" s="299">
        <v>44533</v>
      </c>
      <c r="N279" s="291" t="s">
        <v>7</v>
      </c>
      <c r="O279" s="291" t="s">
        <v>172</v>
      </c>
      <c r="T279" s="291"/>
      <c r="V279" s="291"/>
      <c r="W279" s="291"/>
      <c r="X279" s="292" t="str">
        <f>VLOOKUP(功能_33[[#This Row],[User]],SKL放款!A:G,7,FALSE)</f>
        <v>放款服務課</v>
      </c>
      <c r="Y279" s="299">
        <v>44533</v>
      </c>
      <c r="Z279" s="299" t="s">
        <v>195</v>
      </c>
      <c r="AA279" s="299">
        <v>44531</v>
      </c>
      <c r="AB279" s="299">
        <v>44531</v>
      </c>
      <c r="AC279" s="299">
        <v>44539</v>
      </c>
      <c r="AD279" s="299"/>
      <c r="AE279" s="299"/>
      <c r="AF279" s="355"/>
      <c r="AG279" s="299" t="str">
        <f>IFERROR(IF(VLOOKUP(功能_33[[#This Row],[功能代號]],E:Q,11,FALSE)=0,"",VLOOKUP(功能_33[[#This Row],[功能代號]],E:Q,11,FALSE)),"")</f>
        <v>陳政皓</v>
      </c>
      <c r="AH279" s="299"/>
      <c r="AI279" s="299"/>
      <c r="AJ279" s="292"/>
      <c r="AK279" s="299"/>
      <c r="AL279" s="308" t="s">
        <v>3029</v>
      </c>
      <c r="AM279" s="292" t="s">
        <v>3030</v>
      </c>
      <c r="AN279" s="292" t="e">
        <f>VLOOKUP(功能_33[[#This Row],[功能代號]],需二審tmp!A:A,1,FALSE)</f>
        <v>#N/A</v>
      </c>
      <c r="AO279" s="356">
        <v>44533</v>
      </c>
      <c r="AQ279" s="574" t="str">
        <f t="shared" si="27"/>
        <v>4-3</v>
      </c>
      <c r="AR279" s="576" t="str">
        <f t="shared" si="28"/>
        <v/>
      </c>
      <c r="AS279" s="578" t="str">
        <f t="shared" si="29"/>
        <v/>
      </c>
      <c r="AT279" s="580" t="str">
        <f t="shared" si="30"/>
        <v/>
      </c>
      <c r="AU279" s="582" t="str">
        <f t="shared" si="31"/>
        <v/>
      </c>
      <c r="AV279" s="584" t="str">
        <f t="shared" si="32"/>
        <v/>
      </c>
      <c r="AW279" s="662" t="str">
        <f>IFERROR(VLOOKUP(功能_33[[#This Row],[功能代號]],工作表3!C:C,1,FALSE),"未計SIT測試")</f>
        <v>L4721</v>
      </c>
    </row>
    <row r="280" spans="1:49" ht="13.5" x14ac:dyDescent="0.3">
      <c r="A280" s="604">
        <v>44554</v>
      </c>
      <c r="C280" s="292" t="s">
        <v>93</v>
      </c>
      <c r="D280" s="292" t="s">
        <v>824</v>
      </c>
      <c r="E280" s="291" t="s">
        <v>840</v>
      </c>
      <c r="F280" s="292" t="s">
        <v>841</v>
      </c>
      <c r="G280" s="292"/>
      <c r="H280" s="291" t="s">
        <v>193</v>
      </c>
      <c r="I280" s="291" t="s">
        <v>2774</v>
      </c>
      <c r="J280" s="225" t="s">
        <v>3241</v>
      </c>
      <c r="K280" s="299">
        <v>44490</v>
      </c>
      <c r="L280" s="299">
        <v>44490</v>
      </c>
      <c r="M280" s="299">
        <v>44533</v>
      </c>
      <c r="N280" s="291" t="s">
        <v>7</v>
      </c>
      <c r="O280" s="291" t="s">
        <v>11</v>
      </c>
      <c r="T280" s="291"/>
      <c r="V280" s="291"/>
      <c r="W280" s="291"/>
      <c r="X280" s="292" t="str">
        <f>VLOOKUP(功能_33[[#This Row],[User]],SKL放款!A:G,7,FALSE)</f>
        <v>放款服務課</v>
      </c>
      <c r="Y280" s="299">
        <v>44533</v>
      </c>
      <c r="Z280" s="299" t="s">
        <v>133</v>
      </c>
      <c r="AA280" s="299">
        <v>44531</v>
      </c>
      <c r="AB280" s="299">
        <v>44531</v>
      </c>
      <c r="AC280" s="299">
        <v>44550</v>
      </c>
      <c r="AD280" s="299"/>
      <c r="AE280" s="299"/>
      <c r="AF280" s="355"/>
      <c r="AG280" s="299" t="str">
        <f>IFERROR(IF(VLOOKUP(功能_33[[#This Row],[功能代號]],E:Q,11,FALSE)=0,"",VLOOKUP(功能_33[[#This Row],[功能代號]],E:Q,11,FALSE)),"")</f>
        <v>蔡珮瑜</v>
      </c>
      <c r="AH280" s="299"/>
      <c r="AI280" s="299"/>
      <c r="AJ280" s="292"/>
      <c r="AK280" s="299"/>
      <c r="AL280" s="291" t="s">
        <v>2976</v>
      </c>
      <c r="AM280" s="291" t="s">
        <v>2976</v>
      </c>
      <c r="AN280" s="292" t="str">
        <f>VLOOKUP(功能_33[[#This Row],[功能代號]],需二審tmp!A:A,1,FALSE)</f>
        <v>L4030</v>
      </c>
      <c r="AO280" s="356">
        <v>44533</v>
      </c>
      <c r="AQ280" s="574" t="str">
        <f t="shared" si="27"/>
        <v>4-3</v>
      </c>
      <c r="AR280" s="576" t="str">
        <f t="shared" si="28"/>
        <v/>
      </c>
      <c r="AS280" s="578" t="str">
        <f t="shared" si="29"/>
        <v/>
      </c>
      <c r="AT280" s="580" t="str">
        <f t="shared" si="30"/>
        <v/>
      </c>
      <c r="AU280" s="582" t="str">
        <f t="shared" si="31"/>
        <v/>
      </c>
      <c r="AV280" s="584" t="str">
        <f t="shared" si="32"/>
        <v/>
      </c>
      <c r="AW280" s="662" t="str">
        <f>IFERROR(VLOOKUP(功能_33[[#This Row],[功能代號]],工作表3!C:C,1,FALSE),"未計SIT測試")</f>
        <v>L4030</v>
      </c>
    </row>
    <row r="281" spans="1:49" ht="13.5" x14ac:dyDescent="0.3">
      <c r="C281" s="292" t="s">
        <v>95</v>
      </c>
      <c r="D281" s="292" t="s">
        <v>2812</v>
      </c>
      <c r="E281" s="291" t="s">
        <v>842</v>
      </c>
      <c r="F281" s="292" t="s">
        <v>843</v>
      </c>
      <c r="G281" s="292"/>
      <c r="H281" s="291" t="s">
        <v>193</v>
      </c>
      <c r="I281" s="291" t="s">
        <v>314</v>
      </c>
      <c r="J281" s="225" t="s">
        <v>417</v>
      </c>
      <c r="K281" s="299">
        <v>44489</v>
      </c>
      <c r="L281" s="299">
        <v>44489</v>
      </c>
      <c r="M281" s="299">
        <v>44494</v>
      </c>
      <c r="N281" s="291" t="s">
        <v>12</v>
      </c>
      <c r="O281" s="291" t="s">
        <v>172</v>
      </c>
      <c r="T281" s="291"/>
      <c r="V281" s="291"/>
      <c r="W281" s="291"/>
      <c r="X281" s="292" t="str">
        <f>VLOOKUP(功能_33[[#This Row],[User]],SKL放款!A:G,7,FALSE)</f>
        <v>放款服務課</v>
      </c>
      <c r="Y281" s="299">
        <v>44494</v>
      </c>
      <c r="Z281" s="299" t="s">
        <v>133</v>
      </c>
      <c r="AA281" s="299" t="s">
        <v>2958</v>
      </c>
      <c r="AB281" s="299">
        <v>44544</v>
      </c>
      <c r="AC281" s="299">
        <v>44544</v>
      </c>
      <c r="AD281" s="299"/>
      <c r="AE281" s="299"/>
      <c r="AF281" s="355"/>
      <c r="AG281" s="299" t="str">
        <f>IFERROR(IF(VLOOKUP(功能_33[[#This Row],[功能代號]],E:Q,11,FALSE)=0,"",VLOOKUP(功能_33[[#This Row],[功能代號]],E:Q,11,FALSE)),"")</f>
        <v>陳政皓</v>
      </c>
      <c r="AH281" s="299"/>
      <c r="AI281" s="299"/>
      <c r="AJ281" s="292"/>
      <c r="AK281" s="299"/>
      <c r="AL281" s="291" t="s">
        <v>190</v>
      </c>
      <c r="AN281" s="292" t="str">
        <f>VLOOKUP(功能_33[[#This Row],[功能代號]],需二審tmp!A:A,1,FALSE)</f>
        <v>L6031</v>
      </c>
      <c r="AO281" s="356">
        <v>44526</v>
      </c>
      <c r="AQ281" s="574" t="str">
        <f t="shared" si="27"/>
        <v>6-3</v>
      </c>
      <c r="AR281" s="576" t="str">
        <f t="shared" si="28"/>
        <v/>
      </c>
      <c r="AS281" s="578" t="str">
        <f t="shared" si="29"/>
        <v/>
      </c>
      <c r="AT281" s="580" t="str">
        <f t="shared" si="30"/>
        <v/>
      </c>
      <c r="AU281" s="582" t="str">
        <f t="shared" si="31"/>
        <v/>
      </c>
      <c r="AV281" s="584" t="str">
        <f t="shared" si="32"/>
        <v/>
      </c>
      <c r="AW281" s="662" t="str">
        <f>IFERROR(VLOOKUP(功能_33[[#This Row],[功能代號]],工作表3!C:C,1,FALSE),"未計SIT測試")</f>
        <v>L6031</v>
      </c>
    </row>
    <row r="282" spans="1:49" ht="13.5" x14ac:dyDescent="0.3">
      <c r="C282" s="292" t="s">
        <v>95</v>
      </c>
      <c r="D282" s="292" t="s">
        <v>2812</v>
      </c>
      <c r="E282" s="291" t="s">
        <v>844</v>
      </c>
      <c r="F282" s="292" t="s">
        <v>845</v>
      </c>
      <c r="G282" s="292"/>
      <c r="H282" s="291" t="s">
        <v>193</v>
      </c>
      <c r="I282" s="291" t="s">
        <v>314</v>
      </c>
      <c r="J282" s="225" t="s">
        <v>417</v>
      </c>
      <c r="K282" s="299">
        <v>44489</v>
      </c>
      <c r="L282" s="299">
        <v>44489</v>
      </c>
      <c r="M282" s="299">
        <v>44494</v>
      </c>
      <c r="N282" s="291" t="s">
        <v>12</v>
      </c>
      <c r="O282" s="291" t="s">
        <v>172</v>
      </c>
      <c r="T282" s="291"/>
      <c r="V282" s="291"/>
      <c r="W282" s="291"/>
      <c r="X282" s="292" t="str">
        <f>VLOOKUP(功能_33[[#This Row],[User]],SKL放款!A:G,7,FALSE)</f>
        <v>放款服務課</v>
      </c>
      <c r="Y282" s="299">
        <v>44494</v>
      </c>
      <c r="Z282" s="299" t="s">
        <v>133</v>
      </c>
      <c r="AA282" s="299" t="s">
        <v>2958</v>
      </c>
      <c r="AB282" s="299">
        <v>44544</v>
      </c>
      <c r="AC282" s="299">
        <v>44544</v>
      </c>
      <c r="AD282" s="299"/>
      <c r="AE282" s="299"/>
      <c r="AF282" s="355"/>
      <c r="AG282" s="299" t="str">
        <f>IFERROR(IF(VLOOKUP(功能_33[[#This Row],[功能代號]],E:Q,11,FALSE)=0,"",VLOOKUP(功能_33[[#This Row],[功能代號]],E:Q,11,FALSE)),"")</f>
        <v>陳政皓</v>
      </c>
      <c r="AH282" s="299"/>
      <c r="AI282" s="299"/>
      <c r="AJ282" s="292"/>
      <c r="AK282" s="299"/>
      <c r="AL282" s="291" t="s">
        <v>190</v>
      </c>
      <c r="AN282" s="292" t="str">
        <f>VLOOKUP(功能_33[[#This Row],[功能代號]],需二審tmp!A:A,1,FALSE)</f>
        <v>L6032</v>
      </c>
      <c r="AO282" s="356">
        <v>44526</v>
      </c>
      <c r="AQ282" s="574" t="str">
        <f t="shared" si="27"/>
        <v>6-3</v>
      </c>
      <c r="AR282" s="576" t="str">
        <f t="shared" si="28"/>
        <v/>
      </c>
      <c r="AS282" s="578" t="str">
        <f t="shared" si="29"/>
        <v/>
      </c>
      <c r="AT282" s="580" t="str">
        <f t="shared" si="30"/>
        <v/>
      </c>
      <c r="AU282" s="582" t="str">
        <f t="shared" si="31"/>
        <v/>
      </c>
      <c r="AV282" s="584" t="str">
        <f t="shared" si="32"/>
        <v/>
      </c>
      <c r="AW282" s="662" t="str">
        <f>IFERROR(VLOOKUP(功能_33[[#This Row],[功能代號]],工作表3!C:C,1,FALSE),"未計SIT測試")</f>
        <v>L6032</v>
      </c>
    </row>
    <row r="283" spans="1:49" ht="13.5" x14ac:dyDescent="0.3">
      <c r="C283" s="292" t="s">
        <v>95</v>
      </c>
      <c r="D283" s="292" t="s">
        <v>2812</v>
      </c>
      <c r="E283" s="291" t="s">
        <v>846</v>
      </c>
      <c r="F283" s="292" t="s">
        <v>847</v>
      </c>
      <c r="G283" s="292"/>
      <c r="H283" s="291" t="s">
        <v>193</v>
      </c>
      <c r="I283" s="291" t="s">
        <v>314</v>
      </c>
      <c r="J283" s="225" t="s">
        <v>417</v>
      </c>
      <c r="K283" s="299">
        <v>44489</v>
      </c>
      <c r="L283" s="299">
        <v>44489</v>
      </c>
      <c r="M283" s="299">
        <v>44494</v>
      </c>
      <c r="N283" s="291" t="s">
        <v>12</v>
      </c>
      <c r="O283" s="291" t="s">
        <v>172</v>
      </c>
      <c r="T283" s="291"/>
      <c r="V283" s="291"/>
      <c r="W283" s="291"/>
      <c r="X283" s="292" t="str">
        <f>VLOOKUP(功能_33[[#This Row],[User]],SKL放款!A:G,7,FALSE)</f>
        <v>放款服務課</v>
      </c>
      <c r="Y283" s="299">
        <v>44494</v>
      </c>
      <c r="Z283" s="299" t="s">
        <v>133</v>
      </c>
      <c r="AA283" s="299" t="s">
        <v>2958</v>
      </c>
      <c r="AB283" s="299">
        <v>44544</v>
      </c>
      <c r="AC283" s="299">
        <v>44544</v>
      </c>
      <c r="AD283" s="299"/>
      <c r="AE283" s="299"/>
      <c r="AF283" s="355"/>
      <c r="AG283" s="299" t="str">
        <f>IFERROR(IF(VLOOKUP(功能_33[[#This Row],[功能代號]],E:Q,11,FALSE)=0,"",VLOOKUP(功能_33[[#This Row],[功能代號]],E:Q,11,FALSE)),"")</f>
        <v>陳政皓</v>
      </c>
      <c r="AH283" s="299"/>
      <c r="AI283" s="299"/>
      <c r="AJ283" s="292"/>
      <c r="AK283" s="299"/>
      <c r="AL283" s="291" t="s">
        <v>190</v>
      </c>
      <c r="AN283" s="292" t="str">
        <f>VLOOKUP(功能_33[[#This Row],[功能代號]],需二審tmp!A:A,1,FALSE)</f>
        <v>L6301</v>
      </c>
      <c r="AO283" s="356">
        <v>44526</v>
      </c>
      <c r="AQ283" s="574" t="str">
        <f t="shared" si="27"/>
        <v>6-3</v>
      </c>
      <c r="AR283" s="576" t="str">
        <f t="shared" si="28"/>
        <v/>
      </c>
      <c r="AS283" s="578" t="str">
        <f t="shared" si="29"/>
        <v/>
      </c>
      <c r="AT283" s="580" t="str">
        <f t="shared" si="30"/>
        <v/>
      </c>
      <c r="AU283" s="582" t="str">
        <f t="shared" si="31"/>
        <v/>
      </c>
      <c r="AV283" s="584" t="str">
        <f t="shared" si="32"/>
        <v/>
      </c>
      <c r="AW283" s="662" t="str">
        <f>IFERROR(VLOOKUP(功能_33[[#This Row],[功能代號]],工作表3!C:C,1,FALSE),"未計SIT測試")</f>
        <v>L6301</v>
      </c>
    </row>
    <row r="284" spans="1:49" ht="13.5" x14ac:dyDescent="0.3">
      <c r="C284" s="292" t="s">
        <v>95</v>
      </c>
      <c r="D284" s="292" t="s">
        <v>2812</v>
      </c>
      <c r="E284" s="291" t="s">
        <v>848</v>
      </c>
      <c r="F284" s="292" t="s">
        <v>849</v>
      </c>
      <c r="G284" s="292"/>
      <c r="H284" s="291" t="s">
        <v>193</v>
      </c>
      <c r="I284" s="291" t="s">
        <v>314</v>
      </c>
      <c r="J284" s="225" t="s">
        <v>417</v>
      </c>
      <c r="K284" s="299">
        <v>44489</v>
      </c>
      <c r="L284" s="299">
        <v>44489</v>
      </c>
      <c r="M284" s="299">
        <v>44494</v>
      </c>
      <c r="N284" s="291" t="s">
        <v>12</v>
      </c>
      <c r="O284" s="291" t="s">
        <v>172</v>
      </c>
      <c r="T284" s="291"/>
      <c r="V284" s="291"/>
      <c r="W284" s="291"/>
      <c r="X284" s="292" t="str">
        <f>VLOOKUP(功能_33[[#This Row],[User]],SKL放款!A:G,7,FALSE)</f>
        <v>放款服務課</v>
      </c>
      <c r="Y284" s="299">
        <v>44494</v>
      </c>
      <c r="Z284" s="299" t="s">
        <v>133</v>
      </c>
      <c r="AA284" s="299" t="s">
        <v>2958</v>
      </c>
      <c r="AB284" s="299">
        <v>44544</v>
      </c>
      <c r="AC284" s="299">
        <v>44544</v>
      </c>
      <c r="AD284" s="299"/>
      <c r="AE284" s="299"/>
      <c r="AF284" s="355"/>
      <c r="AG284" s="299" t="str">
        <f>IFERROR(IF(VLOOKUP(功能_33[[#This Row],[功能代號]],E:Q,11,FALSE)=0,"",VLOOKUP(功能_33[[#This Row],[功能代號]],E:Q,11,FALSE)),"")</f>
        <v>陳政皓</v>
      </c>
      <c r="AH284" s="299"/>
      <c r="AI284" s="299"/>
      <c r="AJ284" s="292"/>
      <c r="AK284" s="299"/>
      <c r="AL284" s="291" t="s">
        <v>190</v>
      </c>
      <c r="AN284" s="292" t="str">
        <f>VLOOKUP(功能_33[[#This Row],[功能代號]],需二審tmp!A:A,1,FALSE)</f>
        <v>L6302</v>
      </c>
      <c r="AO284" s="356">
        <v>44526</v>
      </c>
      <c r="AQ284" s="574" t="str">
        <f t="shared" si="27"/>
        <v>6-3</v>
      </c>
      <c r="AR284" s="576" t="str">
        <f t="shared" si="28"/>
        <v/>
      </c>
      <c r="AS284" s="578" t="str">
        <f t="shared" si="29"/>
        <v/>
      </c>
      <c r="AT284" s="580" t="str">
        <f t="shared" si="30"/>
        <v/>
      </c>
      <c r="AU284" s="582" t="str">
        <f t="shared" si="31"/>
        <v/>
      </c>
      <c r="AV284" s="584" t="str">
        <f t="shared" si="32"/>
        <v/>
      </c>
      <c r="AW284" s="662" t="str">
        <f>IFERROR(VLOOKUP(功能_33[[#This Row],[功能代號]],工作表3!C:C,1,FALSE),"未計SIT測試")</f>
        <v>L6302</v>
      </c>
    </row>
    <row r="285" spans="1:49" ht="13.5" x14ac:dyDescent="0.3">
      <c r="C285" s="292" t="s">
        <v>91</v>
      </c>
      <c r="D285" s="292" t="s">
        <v>2839</v>
      </c>
      <c r="E285" s="291" t="s">
        <v>850</v>
      </c>
      <c r="F285" s="292" t="s">
        <v>851</v>
      </c>
      <c r="G285" s="292" t="s">
        <v>674</v>
      </c>
      <c r="H285" s="291" t="s">
        <v>193</v>
      </c>
      <c r="I285" s="291" t="s">
        <v>203</v>
      </c>
      <c r="J285" s="225" t="s">
        <v>2955</v>
      </c>
      <c r="K285" s="299">
        <v>44494</v>
      </c>
      <c r="L285" s="299">
        <v>44494</v>
      </c>
      <c r="M285" s="299">
        <v>44536</v>
      </c>
      <c r="N285" s="291" t="s">
        <v>12</v>
      </c>
      <c r="O285" s="291" t="s">
        <v>14</v>
      </c>
      <c r="P285" s="270" t="s">
        <v>852</v>
      </c>
      <c r="T285" s="291"/>
      <c r="V285" s="291"/>
      <c r="W285" s="291"/>
      <c r="Y285" s="299">
        <v>44533</v>
      </c>
      <c r="Z285" s="299" t="s">
        <v>195</v>
      </c>
      <c r="AA285" s="299">
        <v>44477</v>
      </c>
      <c r="AB285" s="299">
        <v>44477</v>
      </c>
      <c r="AC285" s="299">
        <v>44539</v>
      </c>
      <c r="AD285" s="299" t="s">
        <v>196</v>
      </c>
      <c r="AE285" s="299"/>
      <c r="AF285" s="355"/>
      <c r="AG285" s="299" t="str">
        <f>IFERROR(IF(VLOOKUP(功能_33[[#This Row],[功能代號]],E:Q,11,FALSE)=0,"",VLOOKUP(功能_33[[#This Row],[功能代號]],E:Q,11,FALSE)),"")</f>
        <v>張舜雯</v>
      </c>
      <c r="AH285" s="299"/>
      <c r="AI285" s="299"/>
      <c r="AJ285" s="292"/>
      <c r="AL285" s="291">
        <v>227</v>
      </c>
      <c r="AM285" s="292" t="s">
        <v>853</v>
      </c>
      <c r="AN285" s="292" t="e">
        <f>VLOOKUP(功能_33[[#This Row],[功能代號]],需二審tmp!A:A,1,FALSE)</f>
        <v>#N/A</v>
      </c>
      <c r="AO285" s="356">
        <v>44523</v>
      </c>
      <c r="AQ285" s="574" t="str">
        <f t="shared" ref="AQ285:AQ348" si="33">IF(COUNTA(AC285)=1,LEFT(D285,3),"")</f>
        <v>2-3</v>
      </c>
      <c r="AR285" s="576" t="str">
        <f t="shared" ref="AR285:AR348" si="34">IF(AND(COUNTA(L285)=1,COUNTA(M285)=1,COUNTA(Y285)=1,COUNTA(AB285)=1,COUNTA(AC285)=0),LEFT(D285,3),"")</f>
        <v/>
      </c>
      <c r="AS285" s="578" t="str">
        <f t="shared" ref="AS285:AS348" si="35">IF(AND(COUNTA(L285)=1,COUNTA(M285)=1,COUNTA(Y285)=1,COUNTA(AB285)=0,COUNTA(AC285)=0),LEFT(D285,3),"")</f>
        <v/>
      </c>
      <c r="AT285" s="580" t="str">
        <f t="shared" ref="AT285:AT348" si="36">IF(AND(COUNTA(M285)=0,COUNTA(Y285)=1),LEFT(D285,3),"")</f>
        <v/>
      </c>
      <c r="AU285" s="582" t="str">
        <f t="shared" ref="AU285:AU348" si="37">IF(AND(COUNTA(M285)=1,COUNTA(Y285)=0),LEFT(D285,3),"")</f>
        <v/>
      </c>
      <c r="AV285" s="584" t="str">
        <f t="shared" ref="AV285:AV348" si="38">IF(AND(COUNTA(M285)=0,COUNTA(Y285)=0),LEFT(D285,3),"")</f>
        <v/>
      </c>
      <c r="AW285" s="662" t="str">
        <f>IFERROR(VLOOKUP(功能_33[[#This Row],[功能代號]],工作表3!C:C,1,FALSE),"未計SIT測試")</f>
        <v>L2036</v>
      </c>
    </row>
    <row r="286" spans="1:49" ht="13.5" x14ac:dyDescent="0.3">
      <c r="C286" s="292" t="s">
        <v>91</v>
      </c>
      <c r="D286" s="292" t="s">
        <v>2839</v>
      </c>
      <c r="E286" s="291" t="s">
        <v>854</v>
      </c>
      <c r="F286" s="219" t="s">
        <v>855</v>
      </c>
      <c r="G286" s="292" t="s">
        <v>856</v>
      </c>
      <c r="H286" s="291" t="s">
        <v>193</v>
      </c>
      <c r="I286" s="291" t="s">
        <v>203</v>
      </c>
      <c r="J286" s="225" t="s">
        <v>2955</v>
      </c>
      <c r="K286" s="299">
        <v>44494</v>
      </c>
      <c r="L286" s="299">
        <v>44494</v>
      </c>
      <c r="M286" s="299">
        <v>44536</v>
      </c>
      <c r="N286" s="291" t="s">
        <v>12</v>
      </c>
      <c r="O286" s="291" t="s">
        <v>14</v>
      </c>
      <c r="P286" s="270" t="s">
        <v>852</v>
      </c>
      <c r="T286" s="291"/>
      <c r="V286" s="291"/>
      <c r="W286" s="291"/>
      <c r="X286" s="292" t="str">
        <f>VLOOKUP(功能_33[[#This Row],[User]],SKL放款!A:G,7,FALSE)</f>
        <v>放款管理課</v>
      </c>
      <c r="Y286" s="299">
        <v>44533</v>
      </c>
      <c r="Z286" s="299">
        <v>44470</v>
      </c>
      <c r="AA286" s="299">
        <f>IF(功能_33[[#This Row],[URS交二審]]=0,"",功能_33[[#This Row],[URS交二審]]+7)</f>
        <v>44477</v>
      </c>
      <c r="AB286" s="299">
        <f>IF(功能_33[[#This Row],[URS交二審]]=0,"",功能_33[[#This Row],[URS交二審]]+7)</f>
        <v>44477</v>
      </c>
      <c r="AC286" s="299">
        <v>44539</v>
      </c>
      <c r="AD286" s="299" t="s">
        <v>196</v>
      </c>
      <c r="AE286" s="299"/>
      <c r="AF286" s="355"/>
      <c r="AG286" s="299" t="str">
        <f>IFERROR(IF(VLOOKUP(功能_33[[#This Row],[功能代號]],E:Q,11,FALSE)=0,"",VLOOKUP(功能_33[[#This Row],[功能代號]],E:Q,11,FALSE)),"")</f>
        <v>張舜雯</v>
      </c>
      <c r="AH286" s="299"/>
      <c r="AI286" s="299"/>
      <c r="AJ286" s="292"/>
      <c r="AL286" s="291">
        <v>227</v>
      </c>
      <c r="AM286" s="292" t="s">
        <v>857</v>
      </c>
      <c r="AN286" s="292" t="str">
        <f>VLOOKUP(功能_33[[#This Row],[功能代號]],需二審tmp!A:A,1,FALSE)</f>
        <v>L2035</v>
      </c>
      <c r="AO286" s="356">
        <v>44523</v>
      </c>
      <c r="AQ286" s="574" t="str">
        <f t="shared" si="33"/>
        <v>2-3</v>
      </c>
      <c r="AR286" s="576" t="str">
        <f t="shared" si="34"/>
        <v/>
      </c>
      <c r="AS286" s="578" t="str">
        <f t="shared" si="35"/>
        <v/>
      </c>
      <c r="AT286" s="580" t="str">
        <f t="shared" si="36"/>
        <v/>
      </c>
      <c r="AU286" s="582" t="str">
        <f t="shared" si="37"/>
        <v/>
      </c>
      <c r="AV286" s="584" t="str">
        <f t="shared" si="38"/>
        <v/>
      </c>
      <c r="AW286" s="662" t="str">
        <f>IFERROR(VLOOKUP(功能_33[[#This Row],[功能代號]],工作表3!C:C,1,FALSE),"未計SIT測試")</f>
        <v>L2035</v>
      </c>
    </row>
    <row r="287" spans="1:49" ht="13.5" x14ac:dyDescent="0.3">
      <c r="C287" s="292" t="s">
        <v>91</v>
      </c>
      <c r="D287" s="292" t="s">
        <v>2839</v>
      </c>
      <c r="E287" s="291" t="s">
        <v>858</v>
      </c>
      <c r="F287" s="292" t="s">
        <v>859</v>
      </c>
      <c r="G287" s="292" t="s">
        <v>674</v>
      </c>
      <c r="H287" s="291" t="s">
        <v>193</v>
      </c>
      <c r="I287" s="291" t="s">
        <v>203</v>
      </c>
      <c r="J287" s="225" t="s">
        <v>2955</v>
      </c>
      <c r="K287" s="299">
        <v>44494</v>
      </c>
      <c r="L287" s="299">
        <v>44494</v>
      </c>
      <c r="M287" s="299">
        <v>44536</v>
      </c>
      <c r="N287" s="291" t="s">
        <v>12</v>
      </c>
      <c r="O287" s="291" t="s">
        <v>14</v>
      </c>
      <c r="P287" s="270" t="s">
        <v>852</v>
      </c>
      <c r="T287" s="291"/>
      <c r="V287" s="291"/>
      <c r="W287" s="291"/>
      <c r="X287" s="292" t="str">
        <f>VLOOKUP(功能_33[[#This Row],[User]],SKL放款!A:G,7,FALSE)</f>
        <v>放款管理課</v>
      </c>
      <c r="Y287" s="299">
        <v>44533</v>
      </c>
      <c r="Z287" s="299" t="s">
        <v>195</v>
      </c>
      <c r="AA287" s="299">
        <v>44477</v>
      </c>
      <c r="AB287" s="299">
        <v>44477</v>
      </c>
      <c r="AC287" s="299">
        <v>44539</v>
      </c>
      <c r="AD287" s="299" t="s">
        <v>196</v>
      </c>
      <c r="AE287" s="299"/>
      <c r="AF287" s="355"/>
      <c r="AG287" s="299" t="str">
        <f>IFERROR(IF(VLOOKUP(功能_33[[#This Row],[功能代號]],E:Q,11,FALSE)=0,"",VLOOKUP(功能_33[[#This Row],[功能代號]],E:Q,11,FALSE)),"")</f>
        <v>張舜雯</v>
      </c>
      <c r="AH287" s="299"/>
      <c r="AI287" s="299"/>
      <c r="AJ287" s="292"/>
      <c r="AL287" s="291" t="s">
        <v>190</v>
      </c>
      <c r="AN287" s="292" t="e">
        <f>VLOOKUP(功能_33[[#This Row],[功能代號]],需二審tmp!A:A,1,FALSE)</f>
        <v>#N/A</v>
      </c>
      <c r="AO287" s="356">
        <v>44523</v>
      </c>
      <c r="AQ287" s="574" t="str">
        <f t="shared" si="33"/>
        <v>2-3</v>
      </c>
      <c r="AR287" s="576" t="str">
        <f t="shared" si="34"/>
        <v/>
      </c>
      <c r="AS287" s="578" t="str">
        <f t="shared" si="35"/>
        <v/>
      </c>
      <c r="AT287" s="580" t="str">
        <f t="shared" si="36"/>
        <v/>
      </c>
      <c r="AU287" s="582" t="str">
        <f t="shared" si="37"/>
        <v/>
      </c>
      <c r="AV287" s="584" t="str">
        <f t="shared" si="38"/>
        <v/>
      </c>
      <c r="AW287" s="662" t="str">
        <f>IFERROR(VLOOKUP(功能_33[[#This Row],[功能代號]],工作表3!C:C,1,FALSE),"未計SIT測試")</f>
        <v>L2305</v>
      </c>
    </row>
    <row r="288" spans="1:49" ht="13.5" x14ac:dyDescent="0.3">
      <c r="C288" s="292" t="s">
        <v>91</v>
      </c>
      <c r="D288" s="292" t="s">
        <v>2839</v>
      </c>
      <c r="E288" s="291" t="s">
        <v>860</v>
      </c>
      <c r="F288" s="292" t="s">
        <v>861</v>
      </c>
      <c r="G288" s="292" t="s">
        <v>862</v>
      </c>
      <c r="H288" s="291" t="s">
        <v>193</v>
      </c>
      <c r="I288" s="291" t="s">
        <v>203</v>
      </c>
      <c r="J288" s="225" t="s">
        <v>2955</v>
      </c>
      <c r="K288" s="299">
        <v>44494</v>
      </c>
      <c r="L288" s="299">
        <v>44494</v>
      </c>
      <c r="M288" s="299">
        <v>44536</v>
      </c>
      <c r="N288" s="291" t="s">
        <v>12</v>
      </c>
      <c r="O288" s="291" t="s">
        <v>14</v>
      </c>
      <c r="P288" s="270" t="s">
        <v>852</v>
      </c>
      <c r="T288" s="291"/>
      <c r="V288" s="291"/>
      <c r="W288" s="291"/>
      <c r="X288" s="292" t="str">
        <f>VLOOKUP(功能_33[[#This Row],[User]],SKL放款!A:G,7,FALSE)</f>
        <v>放款管理課</v>
      </c>
      <c r="Y288" s="299">
        <v>44533</v>
      </c>
      <c r="Z288" s="299">
        <v>44470</v>
      </c>
      <c r="AA288" s="299">
        <f>IF(功能_33[[#This Row],[URS交二審]]=0,"",功能_33[[#This Row],[URS交二審]]+7)</f>
        <v>44477</v>
      </c>
      <c r="AB288" s="299">
        <f>IF(功能_33[[#This Row],[URS交二審]]=0,"",功能_33[[#This Row],[URS交二審]]+7)</f>
        <v>44477</v>
      </c>
      <c r="AC288" s="299">
        <v>44539</v>
      </c>
      <c r="AD288" s="299" t="s">
        <v>196</v>
      </c>
      <c r="AE288" s="299"/>
      <c r="AF288" s="355"/>
      <c r="AG288" s="299" t="str">
        <f>IFERROR(IF(VLOOKUP(功能_33[[#This Row],[功能代號]],E:Q,11,FALSE)=0,"",VLOOKUP(功能_33[[#This Row],[功能代號]],E:Q,11,FALSE)),"")</f>
        <v>張舜雯</v>
      </c>
      <c r="AH288" s="299"/>
      <c r="AI288" s="299"/>
      <c r="AJ288" s="292"/>
      <c r="AL288" s="291">
        <v>227</v>
      </c>
      <c r="AM288" s="292" t="s">
        <v>863</v>
      </c>
      <c r="AN288" s="292" t="str">
        <f>VLOOKUP(功能_33[[#This Row],[功能代號]],需二審tmp!A:A,1,FALSE)</f>
        <v>L2306</v>
      </c>
      <c r="AO288" s="356">
        <v>44523</v>
      </c>
      <c r="AQ288" s="574" t="str">
        <f t="shared" si="33"/>
        <v>2-3</v>
      </c>
      <c r="AR288" s="576" t="str">
        <f t="shared" si="34"/>
        <v/>
      </c>
      <c r="AS288" s="578" t="str">
        <f t="shared" si="35"/>
        <v/>
      </c>
      <c r="AT288" s="580" t="str">
        <f t="shared" si="36"/>
        <v/>
      </c>
      <c r="AU288" s="582" t="str">
        <f t="shared" si="37"/>
        <v/>
      </c>
      <c r="AV288" s="584" t="str">
        <f t="shared" si="38"/>
        <v/>
      </c>
      <c r="AW288" s="662" t="str">
        <f>IFERROR(VLOOKUP(功能_33[[#This Row],[功能代號]],工作表3!C:C,1,FALSE),"未計SIT測試")</f>
        <v>L2306</v>
      </c>
    </row>
    <row r="289" spans="1:49" ht="13.5" x14ac:dyDescent="0.3">
      <c r="C289" s="292" t="s">
        <v>91</v>
      </c>
      <c r="D289" s="292" t="s">
        <v>2844</v>
      </c>
      <c r="E289" s="291" t="s">
        <v>864</v>
      </c>
      <c r="F289" s="292" t="s">
        <v>865</v>
      </c>
      <c r="G289" s="292" t="s">
        <v>674</v>
      </c>
      <c r="H289" s="291" t="s">
        <v>136</v>
      </c>
      <c r="I289" s="291" t="s">
        <v>203</v>
      </c>
      <c r="J289" s="225" t="s">
        <v>3132</v>
      </c>
      <c r="K289" s="299">
        <v>44494</v>
      </c>
      <c r="L289" s="299">
        <v>44494</v>
      </c>
      <c r="M289" s="299">
        <v>44536</v>
      </c>
      <c r="N289" s="291" t="s">
        <v>12</v>
      </c>
      <c r="O289" s="291" t="s">
        <v>14</v>
      </c>
      <c r="P289" s="270" t="s">
        <v>852</v>
      </c>
      <c r="T289" s="291"/>
      <c r="V289" s="291"/>
      <c r="W289" s="291"/>
      <c r="X289" s="292" t="str">
        <f>VLOOKUP(功能_33[[#This Row],[User]],SKL放款!A:G,7,FALSE)</f>
        <v>放款管理課</v>
      </c>
      <c r="Y289" s="299">
        <v>44533</v>
      </c>
      <c r="Z289" s="299" t="s">
        <v>195</v>
      </c>
      <c r="AA289" s="299">
        <v>44543</v>
      </c>
      <c r="AB289" s="299">
        <v>44543</v>
      </c>
      <c r="AC289" s="299">
        <v>44544</v>
      </c>
      <c r="AD289" s="299" t="s">
        <v>196</v>
      </c>
      <c r="AE289" s="299"/>
      <c r="AF289" s="355"/>
      <c r="AG289" s="299" t="str">
        <f>IFERROR(IF(VLOOKUP(功能_33[[#This Row],[功能代號]],E:Q,11,FALSE)=0,"",VLOOKUP(功能_33[[#This Row],[功能代號]],E:Q,11,FALSE)),"")</f>
        <v>張舜雯</v>
      </c>
      <c r="AH289" s="299"/>
      <c r="AI289" s="299"/>
      <c r="AJ289" s="292"/>
      <c r="AL289" s="291" t="s">
        <v>190</v>
      </c>
      <c r="AN289" s="292" t="e">
        <f>VLOOKUP(功能_33[[#This Row],[功能代號]],需二審tmp!A:A,1,FALSE)</f>
        <v>#N/A</v>
      </c>
      <c r="AO289" s="356">
        <v>44523</v>
      </c>
      <c r="AQ289" s="574" t="str">
        <f t="shared" si="33"/>
        <v>2-2</v>
      </c>
      <c r="AR289" s="576" t="str">
        <f t="shared" si="34"/>
        <v/>
      </c>
      <c r="AS289" s="578" t="str">
        <f t="shared" si="35"/>
        <v/>
      </c>
      <c r="AT289" s="580" t="str">
        <f t="shared" si="36"/>
        <v/>
      </c>
      <c r="AU289" s="582" t="str">
        <f t="shared" si="37"/>
        <v/>
      </c>
      <c r="AV289" s="584" t="str">
        <f t="shared" si="38"/>
        <v/>
      </c>
      <c r="AW289" s="662" t="str">
        <f>IFERROR(VLOOKUP(功能_33[[#This Row],[功能代號]],工作表3!C:C,1,FALSE),"未計SIT測試")</f>
        <v>L2022</v>
      </c>
    </row>
    <row r="290" spans="1:49" ht="13.5" x14ac:dyDescent="0.3">
      <c r="C290" s="292" t="s">
        <v>91</v>
      </c>
      <c r="D290" s="292" t="s">
        <v>2844</v>
      </c>
      <c r="E290" s="291" t="s">
        <v>866</v>
      </c>
      <c r="F290" s="292" t="s">
        <v>867</v>
      </c>
      <c r="G290" s="292" t="s">
        <v>868</v>
      </c>
      <c r="H290" s="291" t="s">
        <v>136</v>
      </c>
      <c r="I290" s="291" t="s">
        <v>203</v>
      </c>
      <c r="J290" s="225" t="s">
        <v>3132</v>
      </c>
      <c r="K290" s="299">
        <v>44494</v>
      </c>
      <c r="L290" s="299">
        <v>44494</v>
      </c>
      <c r="M290" s="299">
        <v>44536</v>
      </c>
      <c r="N290" s="291" t="s">
        <v>12</v>
      </c>
      <c r="O290" s="291" t="s">
        <v>14</v>
      </c>
      <c r="P290" s="270" t="s">
        <v>852</v>
      </c>
      <c r="T290" s="291"/>
      <c r="V290" s="291"/>
      <c r="W290" s="291"/>
      <c r="X290" s="292" t="str">
        <f>VLOOKUP(功能_33[[#This Row],[User]],SKL放款!A:G,7,FALSE)</f>
        <v>放款管理課</v>
      </c>
      <c r="Y290" s="299">
        <v>44536</v>
      </c>
      <c r="Z290" s="299" t="s">
        <v>133</v>
      </c>
      <c r="AA290" s="299">
        <v>44543</v>
      </c>
      <c r="AB290" s="299">
        <v>44543</v>
      </c>
      <c r="AC290" s="299">
        <v>44544</v>
      </c>
      <c r="AD290" s="299"/>
      <c r="AE290" s="299"/>
      <c r="AF290" s="355"/>
      <c r="AG290" s="299" t="str">
        <f>IFERROR(IF(VLOOKUP(功能_33[[#This Row],[功能代號]],E:Q,11,FALSE)=0,"",VLOOKUP(功能_33[[#This Row],[功能代號]],E:Q,11,FALSE)),"")</f>
        <v>張舜雯</v>
      </c>
      <c r="AH290" s="299"/>
      <c r="AI290" s="299"/>
      <c r="AJ290" s="292"/>
      <c r="AL290" s="291" t="s">
        <v>190</v>
      </c>
      <c r="AN290" s="292" t="str">
        <f>VLOOKUP(功能_33[[#This Row],[功能代號]],需二審tmp!A:A,1,FALSE)</f>
        <v>L2023</v>
      </c>
      <c r="AO290" s="356">
        <v>44536</v>
      </c>
      <c r="AQ290" s="574" t="str">
        <f t="shared" si="33"/>
        <v>2-2</v>
      </c>
      <c r="AR290" s="576" t="str">
        <f t="shared" si="34"/>
        <v/>
      </c>
      <c r="AS290" s="578" t="str">
        <f t="shared" si="35"/>
        <v/>
      </c>
      <c r="AT290" s="580" t="str">
        <f t="shared" si="36"/>
        <v/>
      </c>
      <c r="AU290" s="582" t="str">
        <f t="shared" si="37"/>
        <v/>
      </c>
      <c r="AV290" s="584" t="str">
        <f t="shared" si="38"/>
        <v/>
      </c>
      <c r="AW290" s="662" t="str">
        <f>IFERROR(VLOOKUP(功能_33[[#This Row],[功能代號]],工作表3!C:C,1,FALSE),"未計SIT測試")</f>
        <v>未計SIT測試</v>
      </c>
    </row>
    <row r="291" spans="1:49" ht="13.5" x14ac:dyDescent="0.3">
      <c r="C291" s="292" t="s">
        <v>91</v>
      </c>
      <c r="D291" s="292" t="s">
        <v>2844</v>
      </c>
      <c r="E291" s="291" t="s">
        <v>869</v>
      </c>
      <c r="F291" s="219" t="s">
        <v>870</v>
      </c>
      <c r="G291" s="292" t="s">
        <v>674</v>
      </c>
      <c r="H291" s="291" t="s">
        <v>136</v>
      </c>
      <c r="I291" s="291" t="s">
        <v>203</v>
      </c>
      <c r="J291" s="225" t="s">
        <v>3132</v>
      </c>
      <c r="K291" s="299">
        <v>44494</v>
      </c>
      <c r="L291" s="299">
        <v>44494</v>
      </c>
      <c r="M291" s="299">
        <v>44536</v>
      </c>
      <c r="N291" s="291" t="s">
        <v>12</v>
      </c>
      <c r="O291" s="291" t="s">
        <v>13</v>
      </c>
      <c r="P291" s="270" t="s">
        <v>871</v>
      </c>
      <c r="T291" s="291"/>
      <c r="V291" s="291"/>
      <c r="W291" s="291"/>
      <c r="X291" s="292" t="str">
        <f>VLOOKUP(功能_33[[#This Row],[User]],SKL放款!A:G,7,FALSE)</f>
        <v>放款推展課</v>
      </c>
      <c r="Y291" s="299">
        <v>44533</v>
      </c>
      <c r="Z291" s="299">
        <v>44533</v>
      </c>
      <c r="AA291" s="299">
        <v>44543</v>
      </c>
      <c r="AB291" s="299">
        <v>44543</v>
      </c>
      <c r="AC291" s="299">
        <v>44544</v>
      </c>
      <c r="AD291" s="299"/>
      <c r="AE291" s="299"/>
      <c r="AF291" s="355"/>
      <c r="AG291" s="299" t="str">
        <f>IFERROR(IF(VLOOKUP(功能_33[[#This Row],[功能代號]],E:Q,11,FALSE)=0,"",VLOOKUP(功能_33[[#This Row],[功能代號]],E:Q,11,FALSE)),"")</f>
        <v>李珮君</v>
      </c>
      <c r="AH291" s="299"/>
      <c r="AI291" s="299"/>
      <c r="AJ291" s="292"/>
      <c r="AL291" s="291" t="s">
        <v>190</v>
      </c>
      <c r="AN291" s="292" t="str">
        <f>VLOOKUP(功能_33[[#This Row],[功能代號]],需二審tmp!A:A,1,FALSE)</f>
        <v>L2222</v>
      </c>
      <c r="AO291" s="356">
        <v>44523</v>
      </c>
      <c r="AQ291" s="574" t="str">
        <f t="shared" si="33"/>
        <v>2-2</v>
      </c>
      <c r="AR291" s="576" t="str">
        <f t="shared" si="34"/>
        <v/>
      </c>
      <c r="AS291" s="578" t="str">
        <f t="shared" si="35"/>
        <v/>
      </c>
      <c r="AT291" s="580" t="str">
        <f t="shared" si="36"/>
        <v/>
      </c>
      <c r="AU291" s="582" t="str">
        <f t="shared" si="37"/>
        <v/>
      </c>
      <c r="AV291" s="584" t="str">
        <f t="shared" si="38"/>
        <v/>
      </c>
      <c r="AW291" s="662" t="str">
        <f>IFERROR(VLOOKUP(功能_33[[#This Row],[功能代號]],工作表3!C:C,1,FALSE),"未計SIT測試")</f>
        <v>L2222</v>
      </c>
    </row>
    <row r="292" spans="1:49" ht="13.5" x14ac:dyDescent="0.3">
      <c r="C292" s="292" t="s">
        <v>91</v>
      </c>
      <c r="D292" s="292" t="s">
        <v>2839</v>
      </c>
      <c r="E292" s="291" t="s">
        <v>872</v>
      </c>
      <c r="F292" s="292" t="s">
        <v>873</v>
      </c>
      <c r="G292" s="292"/>
      <c r="H292" s="291" t="s">
        <v>193</v>
      </c>
      <c r="I292" s="291" t="s">
        <v>203</v>
      </c>
      <c r="J292" s="225" t="s">
        <v>2955</v>
      </c>
      <c r="K292" s="299">
        <v>44494</v>
      </c>
      <c r="L292" s="299">
        <v>44494</v>
      </c>
      <c r="M292" s="299">
        <v>44536</v>
      </c>
      <c r="N292" s="291" t="s">
        <v>10</v>
      </c>
      <c r="O292" s="291" t="s">
        <v>13</v>
      </c>
      <c r="T292" s="291"/>
      <c r="V292" s="291"/>
      <c r="W292" s="291"/>
      <c r="X292" s="292" t="str">
        <f>VLOOKUP(功能_33[[#This Row],[User]],SKL放款!A:G,7,FALSE)</f>
        <v>放款推展課</v>
      </c>
      <c r="Y292" s="299">
        <v>44533</v>
      </c>
      <c r="Z292" s="299">
        <v>44477</v>
      </c>
      <c r="AA292" s="299">
        <v>44477</v>
      </c>
      <c r="AB292" s="299">
        <v>44477</v>
      </c>
      <c r="AC292" s="299">
        <v>44539</v>
      </c>
      <c r="AD292" s="299" t="s">
        <v>196</v>
      </c>
      <c r="AE292" s="299"/>
      <c r="AF292" s="355"/>
      <c r="AG292" s="299" t="str">
        <f>IFERROR(IF(VLOOKUP(功能_33[[#This Row],[功能代號]],E:Q,11,FALSE)=0,"",VLOOKUP(功能_33[[#This Row],[功能代號]],E:Q,11,FALSE)),"")</f>
        <v>李珮君</v>
      </c>
      <c r="AH292" s="299"/>
      <c r="AI292" s="299"/>
      <c r="AJ292" s="292"/>
      <c r="AK292" s="299"/>
      <c r="AL292" s="291">
        <v>217</v>
      </c>
      <c r="AM292" s="292" t="s">
        <v>874</v>
      </c>
      <c r="AN292" s="292" t="e">
        <f>VLOOKUP(功能_33[[#This Row],[功能代號]],需二審tmp!A:A,1,FALSE)</f>
        <v>#N/A</v>
      </c>
      <c r="AO292" s="356">
        <v>44523</v>
      </c>
      <c r="AQ292" s="574" t="str">
        <f t="shared" si="33"/>
        <v>2-3</v>
      </c>
      <c r="AR292" s="576" t="str">
        <f t="shared" si="34"/>
        <v/>
      </c>
      <c r="AS292" s="578" t="str">
        <f t="shared" si="35"/>
        <v/>
      </c>
      <c r="AT292" s="580" t="str">
        <f t="shared" si="36"/>
        <v/>
      </c>
      <c r="AU292" s="582" t="str">
        <f t="shared" si="37"/>
        <v/>
      </c>
      <c r="AV292" s="584" t="str">
        <f t="shared" si="38"/>
        <v/>
      </c>
      <c r="AW292" s="662" t="str">
        <f>IFERROR(VLOOKUP(功能_33[[#This Row],[功能代號]],工作表3!C:C,1,FALSE),"未計SIT測試")</f>
        <v>L2903</v>
      </c>
    </row>
    <row r="293" spans="1:49" ht="13.5" x14ac:dyDescent="0.3">
      <c r="C293" s="292" t="s">
        <v>91</v>
      </c>
      <c r="D293" s="437" t="s">
        <v>2830</v>
      </c>
      <c r="E293" s="291" t="s">
        <v>875</v>
      </c>
      <c r="F293" s="270" t="s">
        <v>876</v>
      </c>
      <c r="G293" s="270"/>
      <c r="H293" s="291" t="s">
        <v>193</v>
      </c>
      <c r="I293" s="291" t="s">
        <v>203</v>
      </c>
      <c r="J293" s="225" t="s">
        <v>3223</v>
      </c>
      <c r="K293" s="299">
        <v>44494</v>
      </c>
      <c r="L293" s="299">
        <v>44490</v>
      </c>
      <c r="M293" s="299">
        <f>IFERROR(IF(VLOOKUP(功能_33[[#This Row],[功能代號]],討論項目!A:H,8,FALSE)=0,"",VLOOKUP(功能_33[[#This Row],[功能代號]],討論項目!A:H,8,FALSE)),"")</f>
        <v>44490</v>
      </c>
      <c r="N293" s="291" t="s">
        <v>7</v>
      </c>
      <c r="O293" s="291" t="s">
        <v>172</v>
      </c>
      <c r="T293" s="291"/>
      <c r="V293" s="291"/>
      <c r="W293" s="291"/>
      <c r="X293" s="292" t="str">
        <f>VLOOKUP(功能_33[[#This Row],[User]],SKL放款!A:G,7,FALSE)</f>
        <v>放款服務課</v>
      </c>
      <c r="Y293" s="299">
        <v>44533</v>
      </c>
      <c r="Z293" s="299" t="s">
        <v>133</v>
      </c>
      <c r="AA293" s="299">
        <v>44531</v>
      </c>
      <c r="AB293" s="299">
        <v>44531</v>
      </c>
      <c r="AC293" s="299">
        <v>44546</v>
      </c>
      <c r="AD293" s="299"/>
      <c r="AE293" s="299"/>
      <c r="AF293" s="355"/>
      <c r="AG293" s="299" t="str">
        <f>IFERROR(IF(VLOOKUP(功能_33[[#This Row],[功能代號]],E:Q,11,FALSE)=0,"",VLOOKUP(功能_33[[#This Row],[功能代號]],E:Q,11,FALSE)),"")</f>
        <v>陳政皓</v>
      </c>
      <c r="AH293" s="299"/>
      <c r="AI293" s="299"/>
      <c r="AJ293" s="292"/>
      <c r="AK293" s="299"/>
      <c r="AL293" s="291" t="s">
        <v>190</v>
      </c>
      <c r="AN293" s="292" t="str">
        <f>VLOOKUP(功能_33[[#This Row],[功能代號]],需二審tmp!A:A,1,FALSE)</f>
        <v>L2980</v>
      </c>
      <c r="AO293" s="356">
        <v>44523</v>
      </c>
      <c r="AQ293" s="574" t="str">
        <f t="shared" si="33"/>
        <v>2-9</v>
      </c>
      <c r="AR293" s="576" t="str">
        <f t="shared" si="34"/>
        <v/>
      </c>
      <c r="AS293" s="578" t="str">
        <f t="shared" si="35"/>
        <v/>
      </c>
      <c r="AT293" s="580" t="str">
        <f t="shared" si="36"/>
        <v/>
      </c>
      <c r="AU293" s="582" t="str">
        <f t="shared" si="37"/>
        <v/>
      </c>
      <c r="AV293" s="584" t="str">
        <f t="shared" si="38"/>
        <v/>
      </c>
      <c r="AW293" s="662" t="str">
        <f>IFERROR(VLOOKUP(功能_33[[#This Row],[功能代號]],工作表3!C:C,1,FALSE),"未計SIT測試")</f>
        <v>L2980</v>
      </c>
    </row>
    <row r="294" spans="1:49" ht="13.5" x14ac:dyDescent="0.3">
      <c r="C294" s="292" t="s">
        <v>91</v>
      </c>
      <c r="D294" s="359" t="s">
        <v>2841</v>
      </c>
      <c r="E294" s="291" t="s">
        <v>877</v>
      </c>
      <c r="F294" s="292" t="s">
        <v>878</v>
      </c>
      <c r="G294" s="292"/>
      <c r="H294" s="291" t="s">
        <v>193</v>
      </c>
      <c r="I294" s="291" t="s">
        <v>203</v>
      </c>
      <c r="J294" s="225" t="s">
        <v>3223</v>
      </c>
      <c r="K294" s="299">
        <v>44494</v>
      </c>
      <c r="L294" s="299">
        <v>44494</v>
      </c>
      <c r="M294" s="299">
        <v>44536</v>
      </c>
      <c r="N294" s="291" t="s">
        <v>12</v>
      </c>
      <c r="O294" s="291" t="s">
        <v>172</v>
      </c>
      <c r="T294" s="291"/>
      <c r="V294" s="291"/>
      <c r="W294" s="291"/>
      <c r="X294" s="292" t="str">
        <f>VLOOKUP(功能_33[[#This Row],[User]],SKL放款!A:G,7,FALSE)</f>
        <v>放款服務課</v>
      </c>
      <c r="Y294" s="299">
        <v>44533</v>
      </c>
      <c r="Z294" s="299" t="s">
        <v>195</v>
      </c>
      <c r="AA294" s="299">
        <v>44477</v>
      </c>
      <c r="AB294" s="299">
        <v>44477</v>
      </c>
      <c r="AC294" s="299">
        <v>44546</v>
      </c>
      <c r="AD294" s="299" t="s">
        <v>196</v>
      </c>
      <c r="AE294" s="299"/>
      <c r="AF294" s="355"/>
      <c r="AG294" s="299" t="str">
        <f>IFERROR(IF(VLOOKUP(功能_33[[#This Row],[功能代號]],E:Q,11,FALSE)=0,"",VLOOKUP(功能_33[[#This Row],[功能代號]],E:Q,11,FALSE)),"")</f>
        <v>陳政皓</v>
      </c>
      <c r="AH294" s="299"/>
      <c r="AI294" s="299"/>
      <c r="AJ294" s="292"/>
      <c r="AK294" s="299"/>
      <c r="AL294" s="291">
        <v>210</v>
      </c>
      <c r="AM294" s="292" t="s">
        <v>879</v>
      </c>
      <c r="AN294" s="292" t="e">
        <f>VLOOKUP(功能_33[[#This Row],[功能代號]],需二審tmp!A:A,1,FALSE)</f>
        <v>#N/A</v>
      </c>
      <c r="AO294" s="356">
        <v>44523</v>
      </c>
      <c r="AQ294" s="574" t="str">
        <f t="shared" si="33"/>
        <v>2-9</v>
      </c>
      <c r="AR294" s="576" t="str">
        <f t="shared" si="34"/>
        <v/>
      </c>
      <c r="AS294" s="578" t="str">
        <f t="shared" si="35"/>
        <v/>
      </c>
      <c r="AT294" s="580" t="str">
        <f t="shared" si="36"/>
        <v/>
      </c>
      <c r="AU294" s="582" t="str">
        <f t="shared" si="37"/>
        <v/>
      </c>
      <c r="AV294" s="584" t="str">
        <f t="shared" si="38"/>
        <v/>
      </c>
      <c r="AW294" s="662" t="str">
        <f>IFERROR(VLOOKUP(功能_33[[#This Row],[功能代號]],工作表3!C:C,1,FALSE),"未計SIT測試")</f>
        <v>L2073</v>
      </c>
    </row>
    <row r="295" spans="1:49" ht="13.5" x14ac:dyDescent="0.3">
      <c r="C295" s="292" t="s">
        <v>91</v>
      </c>
      <c r="D295" s="359" t="s">
        <v>2841</v>
      </c>
      <c r="E295" s="291" t="s">
        <v>880</v>
      </c>
      <c r="F295" s="292" t="s">
        <v>881</v>
      </c>
      <c r="G295" s="292"/>
      <c r="H295" s="291" t="s">
        <v>193</v>
      </c>
      <c r="I295" s="291" t="s">
        <v>203</v>
      </c>
      <c r="J295" s="225" t="s">
        <v>3223</v>
      </c>
      <c r="K295" s="299">
        <v>44494</v>
      </c>
      <c r="L295" s="299">
        <v>44494</v>
      </c>
      <c r="M295" s="299">
        <f>IFERROR(IF(VLOOKUP(功能_33[[#This Row],[功能代號]],討論項目!A:H,8,FALSE)=0,"",VLOOKUP(功能_33[[#This Row],[功能代號]],討論項目!A:H,8,FALSE)),"")</f>
        <v>44494</v>
      </c>
      <c r="N295" s="291" t="s">
        <v>12</v>
      </c>
      <c r="O295" s="291" t="s">
        <v>172</v>
      </c>
      <c r="T295" s="291"/>
      <c r="V295" s="291"/>
      <c r="W295" s="291"/>
      <c r="X295" s="292" t="str">
        <f>VLOOKUP(功能_33[[#This Row],[User]],SKL放款!A:G,7,FALSE)</f>
        <v>放款服務課</v>
      </c>
      <c r="Y295" s="299">
        <v>44533</v>
      </c>
      <c r="Z295" s="299" t="s">
        <v>133</v>
      </c>
      <c r="AA295" s="299">
        <v>44529</v>
      </c>
      <c r="AB295" s="299">
        <v>44529</v>
      </c>
      <c r="AC295" s="299">
        <v>44546</v>
      </c>
      <c r="AD295" s="299"/>
      <c r="AE295" s="299"/>
      <c r="AF295" s="355"/>
      <c r="AG295" s="299" t="str">
        <f>IFERROR(IF(VLOOKUP(功能_33[[#This Row],[功能代號]],E:Q,11,FALSE)=0,"",VLOOKUP(功能_33[[#This Row],[功能代號]],E:Q,11,FALSE)),"")</f>
        <v>陳政皓</v>
      </c>
      <c r="AH295" s="299"/>
      <c r="AI295" s="299"/>
      <c r="AJ295" s="292"/>
      <c r="AK295" s="299"/>
      <c r="AL295" s="291">
        <v>231</v>
      </c>
      <c r="AM295" s="292" t="s">
        <v>882</v>
      </c>
      <c r="AN295" s="292" t="str">
        <f>VLOOKUP(功能_33[[#This Row],[功能代號]],需二審tmp!A:A,1,FALSE)</f>
        <v>L2703</v>
      </c>
      <c r="AO295" s="356">
        <v>44523</v>
      </c>
      <c r="AQ295" s="574" t="str">
        <f t="shared" si="33"/>
        <v>2-9</v>
      </c>
      <c r="AR295" s="576" t="str">
        <f t="shared" si="34"/>
        <v/>
      </c>
      <c r="AS295" s="578" t="str">
        <f t="shared" si="35"/>
        <v/>
      </c>
      <c r="AT295" s="580" t="str">
        <f t="shared" si="36"/>
        <v/>
      </c>
      <c r="AU295" s="582" t="str">
        <f t="shared" si="37"/>
        <v/>
      </c>
      <c r="AV295" s="584" t="str">
        <f t="shared" si="38"/>
        <v/>
      </c>
      <c r="AW295" s="662" t="str">
        <f>IFERROR(VLOOKUP(功能_33[[#This Row],[功能代號]],工作表3!C:C,1,FALSE),"未計SIT測試")</f>
        <v>L2703</v>
      </c>
    </row>
    <row r="296" spans="1:49" ht="13.5" x14ac:dyDescent="0.3">
      <c r="C296" s="292" t="s">
        <v>91</v>
      </c>
      <c r="D296" s="292" t="s">
        <v>2829</v>
      </c>
      <c r="E296" s="291" t="s">
        <v>883</v>
      </c>
      <c r="F296" s="292" t="s">
        <v>884</v>
      </c>
      <c r="G296" s="292"/>
      <c r="H296" s="291" t="s">
        <v>193</v>
      </c>
      <c r="I296" s="291" t="s">
        <v>203</v>
      </c>
      <c r="J296" s="225" t="s">
        <v>3132</v>
      </c>
      <c r="K296" s="299">
        <v>44494</v>
      </c>
      <c r="L296" s="299">
        <v>44494</v>
      </c>
      <c r="M296" s="299">
        <f>IFERROR(IF(VLOOKUP(功能_33[[#This Row],[功能代號]],討論項目!A:H,8,FALSE)=0,"",VLOOKUP(功能_33[[#This Row],[功能代號]],討論項目!A:H,8,FALSE)),"")</f>
        <v>44494</v>
      </c>
      <c r="N296" s="291" t="s">
        <v>10</v>
      </c>
      <c r="O296" s="291" t="s">
        <v>25</v>
      </c>
      <c r="P296" s="270" t="s">
        <v>871</v>
      </c>
      <c r="T296" s="291"/>
      <c r="V296" s="291"/>
      <c r="W296" s="291"/>
      <c r="X296" s="292" t="str">
        <f>VLOOKUP(功能_33[[#This Row],[User]],SKL放款!A:G,7,FALSE)</f>
        <v>放款管理課</v>
      </c>
      <c r="Y296" s="299">
        <v>44533</v>
      </c>
      <c r="Z296" s="299" t="s">
        <v>133</v>
      </c>
      <c r="AA296" s="299">
        <v>44525</v>
      </c>
      <c r="AB296" s="299">
        <v>44525</v>
      </c>
      <c r="AC296" s="299">
        <v>44544</v>
      </c>
      <c r="AD296" s="299"/>
      <c r="AE296" s="299"/>
      <c r="AF296" s="355"/>
      <c r="AG296" s="299" t="str">
        <f>IFERROR(IF(VLOOKUP(功能_33[[#This Row],[功能代號]],E:Q,11,FALSE)=0,"",VLOOKUP(功能_33[[#This Row],[功能代號]],E:Q,11,FALSE)),"")</f>
        <v>邱怡婷</v>
      </c>
      <c r="AH296" s="299"/>
      <c r="AI296" s="299"/>
      <c r="AJ296" s="292"/>
      <c r="AK296" s="299"/>
      <c r="AL296" s="291" t="s">
        <v>190</v>
      </c>
      <c r="AN296" s="292" t="str">
        <f>VLOOKUP(功能_33[[#This Row],[功能代號]],需二審tmp!A:A,1,FALSE)</f>
        <v>L2039</v>
      </c>
      <c r="AO296" s="356">
        <v>44523</v>
      </c>
      <c r="AQ296" s="574" t="str">
        <f t="shared" si="33"/>
        <v>2-4</v>
      </c>
      <c r="AR296" s="576" t="str">
        <f t="shared" si="34"/>
        <v/>
      </c>
      <c r="AS296" s="578" t="str">
        <f t="shared" si="35"/>
        <v/>
      </c>
      <c r="AT296" s="580" t="str">
        <f t="shared" si="36"/>
        <v/>
      </c>
      <c r="AU296" s="582" t="str">
        <f t="shared" si="37"/>
        <v/>
      </c>
      <c r="AV296" s="584" t="str">
        <f t="shared" si="38"/>
        <v/>
      </c>
      <c r="AW296" s="662" t="str">
        <f>IFERROR(VLOOKUP(功能_33[[#This Row],[功能代號]],工作表3!C:C,1,FALSE),"未計SIT測試")</f>
        <v>L2039</v>
      </c>
    </row>
    <row r="297" spans="1:49" ht="13.5" x14ac:dyDescent="0.3">
      <c r="A297" s="634"/>
      <c r="B297" s="423"/>
      <c r="C297" s="292" t="s">
        <v>91</v>
      </c>
      <c r="D297" s="292" t="s">
        <v>2829</v>
      </c>
      <c r="E297" s="291" t="s">
        <v>3182</v>
      </c>
      <c r="F297" s="650" t="s">
        <v>3183</v>
      </c>
      <c r="G297" s="292"/>
      <c r="H297" s="291" t="s">
        <v>193</v>
      </c>
      <c r="I297" s="291" t="s">
        <v>203</v>
      </c>
      <c r="J297" s="225" t="s">
        <v>3223</v>
      </c>
      <c r="K297" s="299">
        <v>44494</v>
      </c>
      <c r="L297" s="299">
        <v>44517</v>
      </c>
      <c r="M297" s="299">
        <v>44517</v>
      </c>
      <c r="N297" s="291" t="s">
        <v>10</v>
      </c>
      <c r="O297" s="291" t="s">
        <v>24</v>
      </c>
      <c r="T297" s="291"/>
      <c r="V297" s="291"/>
      <c r="W297" s="291"/>
      <c r="X297" s="292" t="str">
        <f>VLOOKUP(功能_33[[#This Row],[User]],SKL放款!A:G,7,FALSE)</f>
        <v>放款服務課</v>
      </c>
      <c r="Y297" s="299">
        <v>44533</v>
      </c>
      <c r="Z297" s="299" t="s">
        <v>195</v>
      </c>
      <c r="AA297" s="299">
        <v>44517</v>
      </c>
      <c r="AB297" s="299">
        <v>44517</v>
      </c>
      <c r="AC297" s="299">
        <v>44546</v>
      </c>
      <c r="AD297" s="299"/>
      <c r="AE297" s="299"/>
      <c r="AF297" s="355"/>
      <c r="AG297" s="299" t="str">
        <f>IFERROR(IF(VLOOKUP(功能_33[[#This Row],[功能代號]],E:Q,11,FALSE)=0,"",VLOOKUP(功能_33[[#This Row],[功能代號]],E:Q,11,FALSE)),"")</f>
        <v>邵淑微</v>
      </c>
      <c r="AH297" s="299"/>
      <c r="AI297" s="299"/>
      <c r="AJ297" s="292"/>
      <c r="AK297" s="299"/>
      <c r="AL297" s="291" t="s">
        <v>190</v>
      </c>
      <c r="AN297" s="292" t="e">
        <f>VLOOKUP(功能_33[[#This Row],[功能代號]],需二審tmp!A:A,1,FALSE)</f>
        <v>#N/A</v>
      </c>
      <c r="AO297" s="356">
        <v>44523</v>
      </c>
      <c r="AQ297" s="574" t="str">
        <f t="shared" si="33"/>
        <v>2-4</v>
      </c>
      <c r="AR297" s="576" t="str">
        <f t="shared" si="34"/>
        <v/>
      </c>
      <c r="AS297" s="578" t="str">
        <f t="shared" si="35"/>
        <v/>
      </c>
      <c r="AT297" s="580" t="str">
        <f t="shared" si="36"/>
        <v/>
      </c>
      <c r="AU297" s="582" t="str">
        <f t="shared" si="37"/>
        <v/>
      </c>
      <c r="AV297" s="584" t="str">
        <f t="shared" si="38"/>
        <v/>
      </c>
      <c r="AW297" s="662" t="str">
        <f>IFERROR(VLOOKUP(功能_33[[#This Row],[功能代號]],工作表3!C:C,1,FALSE),"未計SIT測試")</f>
        <v>未計SIT測試</v>
      </c>
    </row>
    <row r="298" spans="1:49" ht="13.5" x14ac:dyDescent="0.3">
      <c r="C298" s="292" t="s">
        <v>91</v>
      </c>
      <c r="D298" s="292" t="s">
        <v>2829</v>
      </c>
      <c r="E298" s="291" t="s">
        <v>885</v>
      </c>
      <c r="F298" s="292" t="s">
        <v>886</v>
      </c>
      <c r="G298" s="292"/>
      <c r="H298" s="291" t="s">
        <v>193</v>
      </c>
      <c r="I298" s="291" t="s">
        <v>203</v>
      </c>
      <c r="J298" s="225" t="s">
        <v>3132</v>
      </c>
      <c r="K298" s="299">
        <v>44494</v>
      </c>
      <c r="L298" s="299">
        <v>44494</v>
      </c>
      <c r="M298" s="299">
        <f>IFERROR(IF(VLOOKUP(功能_33[[#This Row],[功能代號]],討論項目!A:H,8,FALSE)=0,"",VLOOKUP(功能_33[[#This Row],[功能代號]],討論項目!A:H,8,FALSE)),"")</f>
        <v>44494</v>
      </c>
      <c r="N298" s="291" t="s">
        <v>10</v>
      </c>
      <c r="O298" s="291" t="s">
        <v>25</v>
      </c>
      <c r="P298" s="270" t="s">
        <v>871</v>
      </c>
      <c r="T298" s="291"/>
      <c r="V298" s="291"/>
      <c r="W298" s="291"/>
      <c r="X298" s="292" t="str">
        <f>VLOOKUP(功能_33[[#This Row],[User]],SKL放款!A:G,7,FALSE)</f>
        <v>放款管理課</v>
      </c>
      <c r="Y298" s="299">
        <v>44533</v>
      </c>
      <c r="Z298" s="299" t="s">
        <v>133</v>
      </c>
      <c r="AA298" s="299">
        <v>44525</v>
      </c>
      <c r="AB298" s="299">
        <v>44525</v>
      </c>
      <c r="AC298" s="299">
        <v>44544</v>
      </c>
      <c r="AD298" s="299"/>
      <c r="AE298" s="299"/>
      <c r="AF298" s="355"/>
      <c r="AG298" s="299" t="str">
        <f>IFERROR(IF(VLOOKUP(功能_33[[#This Row],[功能代號]],E:Q,11,FALSE)=0,"",VLOOKUP(功能_33[[#This Row],[功能代號]],E:Q,11,FALSE)),"")</f>
        <v>邱怡婷</v>
      </c>
      <c r="AH298" s="299"/>
      <c r="AI298" s="299"/>
      <c r="AJ298" s="292"/>
      <c r="AK298" s="299"/>
      <c r="AL298" s="291" t="s">
        <v>190</v>
      </c>
      <c r="AN298" s="292" t="str">
        <f>VLOOKUP(功能_33[[#This Row],[功能代號]],需二審tmp!A:A,1,FALSE)</f>
        <v>L2480</v>
      </c>
      <c r="AO298" s="356">
        <v>44523</v>
      </c>
      <c r="AQ298" s="574" t="str">
        <f t="shared" si="33"/>
        <v>2-4</v>
      </c>
      <c r="AR298" s="576" t="str">
        <f t="shared" si="34"/>
        <v/>
      </c>
      <c r="AS298" s="578" t="str">
        <f t="shared" si="35"/>
        <v/>
      </c>
      <c r="AT298" s="580" t="str">
        <f t="shared" si="36"/>
        <v/>
      </c>
      <c r="AU298" s="582" t="str">
        <f t="shared" si="37"/>
        <v/>
      </c>
      <c r="AV298" s="584" t="str">
        <f t="shared" si="38"/>
        <v/>
      </c>
      <c r="AW298" s="662" t="str">
        <f>IFERROR(VLOOKUP(功能_33[[#This Row],[功能代號]],工作表3!C:C,1,FALSE),"未計SIT測試")</f>
        <v>L2480</v>
      </c>
    </row>
    <row r="299" spans="1:49" ht="13.5" x14ac:dyDescent="0.3">
      <c r="C299" s="292" t="s">
        <v>94</v>
      </c>
      <c r="D299" s="292" t="s">
        <v>2819</v>
      </c>
      <c r="E299" s="291" t="s">
        <v>887</v>
      </c>
      <c r="F299" s="292" t="s">
        <v>888</v>
      </c>
      <c r="G299" s="292"/>
      <c r="H299" s="291" t="s">
        <v>480</v>
      </c>
      <c r="I299" s="291" t="s">
        <v>480</v>
      </c>
      <c r="J299" s="225" t="s">
        <v>3057</v>
      </c>
      <c r="K299" s="299">
        <v>44496</v>
      </c>
      <c r="L299" s="299">
        <v>44496</v>
      </c>
      <c r="M299" s="299">
        <v>44537</v>
      </c>
      <c r="N299" s="291" t="s">
        <v>7</v>
      </c>
      <c r="O299" s="291" t="s">
        <v>14</v>
      </c>
      <c r="P299" s="270" t="s">
        <v>2957</v>
      </c>
      <c r="T299" s="291"/>
      <c r="V299" s="291"/>
      <c r="W299" s="291"/>
      <c r="X299" s="292" t="str">
        <f>VLOOKUP(功能_33[[#This Row],[User]],SKL放款!A:G,7,FALSE)</f>
        <v>放款管理課</v>
      </c>
      <c r="Y299" s="299">
        <v>44537</v>
      </c>
      <c r="Z299" s="299" t="s">
        <v>133</v>
      </c>
      <c r="AA299" s="299">
        <v>44539</v>
      </c>
      <c r="AB299" s="299">
        <v>44539</v>
      </c>
      <c r="AC299" s="299">
        <v>44539</v>
      </c>
      <c r="AD299" s="299"/>
      <c r="AE299" s="299"/>
      <c r="AF299" s="355"/>
      <c r="AG299" s="299" t="str">
        <f>IFERROR(IF(VLOOKUP(功能_33[[#This Row],[功能代號]],E:Q,11,FALSE)=0,"",VLOOKUP(功能_33[[#This Row],[功能代號]],E:Q,11,FALSE)),"")</f>
        <v>張舜雯</v>
      </c>
      <c r="AH299" s="299"/>
      <c r="AI299" s="299"/>
      <c r="AJ299" s="292"/>
      <c r="AK299" s="222">
        <v>44488</v>
      </c>
      <c r="AL299" s="291" t="s">
        <v>3054</v>
      </c>
      <c r="AM299" s="292" t="s">
        <v>3055</v>
      </c>
      <c r="AN299" s="292" t="str">
        <f>VLOOKUP(功能_33[[#This Row],[功能代號]],需二審tmp!A:A,1,FALSE)</f>
        <v>L5060</v>
      </c>
      <c r="AQ299" s="574" t="str">
        <f t="shared" si="33"/>
        <v>5-4</v>
      </c>
      <c r="AR299" s="576" t="str">
        <f t="shared" si="34"/>
        <v/>
      </c>
      <c r="AS299" s="578" t="str">
        <f t="shared" si="35"/>
        <v/>
      </c>
      <c r="AT299" s="580" t="str">
        <f t="shared" si="36"/>
        <v/>
      </c>
      <c r="AU299" s="582" t="str">
        <f t="shared" si="37"/>
        <v/>
      </c>
      <c r="AV299" s="584" t="str">
        <f t="shared" si="38"/>
        <v/>
      </c>
      <c r="AW299" s="662" t="str">
        <f>IFERROR(VLOOKUP(功能_33[[#This Row],[功能代號]],工作表3!C:C,1,FALSE),"未計SIT測試")</f>
        <v>未計SIT測試</v>
      </c>
    </row>
    <row r="300" spans="1:49" ht="13.5" x14ac:dyDescent="0.3">
      <c r="C300" s="292" t="s">
        <v>94</v>
      </c>
      <c r="D300" s="292" t="s">
        <v>2819</v>
      </c>
      <c r="E300" s="291" t="s">
        <v>889</v>
      </c>
      <c r="F300" s="292" t="s">
        <v>890</v>
      </c>
      <c r="G300" s="292"/>
      <c r="H300" s="291" t="s">
        <v>480</v>
      </c>
      <c r="I300" s="291" t="s">
        <v>480</v>
      </c>
      <c r="J300" s="225" t="s">
        <v>3057</v>
      </c>
      <c r="K300" s="299">
        <v>44496</v>
      </c>
      <c r="L300" s="299">
        <v>44496</v>
      </c>
      <c r="M300" s="299">
        <v>44496</v>
      </c>
      <c r="N300" s="291" t="s">
        <v>7</v>
      </c>
      <c r="O300" s="291" t="s">
        <v>14</v>
      </c>
      <c r="P300" s="270" t="s">
        <v>2957</v>
      </c>
      <c r="T300" s="291"/>
      <c r="V300" s="291"/>
      <c r="W300" s="291"/>
      <c r="X300" s="292" t="str">
        <f>VLOOKUP(功能_33[[#This Row],[User]],SKL放款!A:G,7,FALSE)</f>
        <v>放款管理課</v>
      </c>
      <c r="Y300" s="299">
        <v>44496</v>
      </c>
      <c r="Z300" s="299" t="s">
        <v>195</v>
      </c>
      <c r="AA300" s="299">
        <v>44539</v>
      </c>
      <c r="AB300" s="299">
        <v>44539</v>
      </c>
      <c r="AC300" s="299">
        <v>44539</v>
      </c>
      <c r="AD300" s="299"/>
      <c r="AE300" s="299"/>
      <c r="AF300" s="355"/>
      <c r="AG300" s="299" t="str">
        <f>IFERROR(IF(VLOOKUP(功能_33[[#This Row],[功能代號]],E:Q,11,FALSE)=0,"",VLOOKUP(功能_33[[#This Row],[功能代號]],E:Q,11,FALSE)),"")</f>
        <v>張舜雯</v>
      </c>
      <c r="AH300" s="299"/>
      <c r="AI300" s="299"/>
      <c r="AJ300" s="292"/>
      <c r="AK300" s="299"/>
      <c r="AL300" s="291" t="s">
        <v>3054</v>
      </c>
      <c r="AM300" s="292" t="s">
        <v>3055</v>
      </c>
      <c r="AN300" s="292" t="e">
        <f>VLOOKUP(功能_33[[#This Row],[功能代號]],需二審tmp!A:A,1,FALSE)</f>
        <v>#N/A</v>
      </c>
      <c r="AO300" s="356">
        <v>44526</v>
      </c>
      <c r="AQ300" s="574" t="str">
        <f t="shared" si="33"/>
        <v>5-4</v>
      </c>
      <c r="AR300" s="576" t="str">
        <f t="shared" si="34"/>
        <v/>
      </c>
      <c r="AS300" s="578" t="str">
        <f t="shared" si="35"/>
        <v/>
      </c>
      <c r="AT300" s="580" t="str">
        <f t="shared" si="36"/>
        <v/>
      </c>
      <c r="AU300" s="582" t="str">
        <f t="shared" si="37"/>
        <v/>
      </c>
      <c r="AV300" s="584" t="str">
        <f t="shared" si="38"/>
        <v/>
      </c>
      <c r="AW300" s="662" t="str">
        <f>IFERROR(VLOOKUP(功能_33[[#This Row],[功能代號]],工作表3!C:C,1,FALSE),"未計SIT測試")</f>
        <v>未計SIT測試</v>
      </c>
    </row>
    <row r="301" spans="1:49" ht="13.5" x14ac:dyDescent="0.3">
      <c r="C301" s="292" t="s">
        <v>94</v>
      </c>
      <c r="D301" s="292" t="s">
        <v>2819</v>
      </c>
      <c r="E301" s="291" t="s">
        <v>891</v>
      </c>
      <c r="F301" s="292" t="s">
        <v>892</v>
      </c>
      <c r="G301" s="292"/>
      <c r="H301" s="291" t="s">
        <v>480</v>
      </c>
      <c r="I301" s="291" t="s">
        <v>480</v>
      </c>
      <c r="J301" s="225" t="s">
        <v>3057</v>
      </c>
      <c r="K301" s="299">
        <v>44496</v>
      </c>
      <c r="L301" s="299">
        <v>44496</v>
      </c>
      <c r="M301" s="299">
        <v>44515</v>
      </c>
      <c r="N301" s="291" t="s">
        <v>7</v>
      </c>
      <c r="O301" s="291" t="s">
        <v>14</v>
      </c>
      <c r="P301" s="270" t="s">
        <v>2957</v>
      </c>
      <c r="T301" s="291"/>
      <c r="V301" s="291"/>
      <c r="W301" s="291"/>
      <c r="X301" s="292" t="str">
        <f>VLOOKUP(功能_33[[#This Row],[User]],SKL放款!A:G,7,FALSE)</f>
        <v>放款管理課</v>
      </c>
      <c r="Y301" s="299">
        <v>44515</v>
      </c>
      <c r="Z301" s="299" t="s">
        <v>133</v>
      </c>
      <c r="AA301" s="299">
        <v>44539</v>
      </c>
      <c r="AB301" s="299">
        <v>44539</v>
      </c>
      <c r="AC301" s="299">
        <v>44539</v>
      </c>
      <c r="AD301" s="299"/>
      <c r="AE301" s="299"/>
      <c r="AF301" s="355"/>
      <c r="AG301" s="299" t="str">
        <f>IFERROR(IF(VLOOKUP(功能_33[[#This Row],[功能代號]],E:Q,11,FALSE)=0,"",VLOOKUP(功能_33[[#This Row],[功能代號]],E:Q,11,FALSE)),"")</f>
        <v>張舜雯</v>
      </c>
      <c r="AH301" s="299"/>
      <c r="AI301" s="299"/>
      <c r="AJ301" s="292"/>
      <c r="AK301" s="299"/>
      <c r="AL301" s="291" t="s">
        <v>3054</v>
      </c>
      <c r="AM301" s="292" t="s">
        <v>3055</v>
      </c>
      <c r="AN301" s="292" t="str">
        <f>VLOOKUP(功能_33[[#This Row],[功能代號]],需二審tmp!A:A,1,FALSE)</f>
        <v>L5961</v>
      </c>
      <c r="AO301" s="356">
        <v>44526</v>
      </c>
      <c r="AQ301" s="574" t="str">
        <f t="shared" si="33"/>
        <v>5-4</v>
      </c>
      <c r="AR301" s="576" t="str">
        <f t="shared" si="34"/>
        <v/>
      </c>
      <c r="AS301" s="578" t="str">
        <f t="shared" si="35"/>
        <v/>
      </c>
      <c r="AT301" s="580" t="str">
        <f t="shared" si="36"/>
        <v/>
      </c>
      <c r="AU301" s="582" t="str">
        <f t="shared" si="37"/>
        <v/>
      </c>
      <c r="AV301" s="584" t="str">
        <f t="shared" si="38"/>
        <v/>
      </c>
      <c r="AW301" s="662" t="str">
        <f>IFERROR(VLOOKUP(功能_33[[#This Row],[功能代號]],工作表3!C:C,1,FALSE),"未計SIT測試")</f>
        <v>未計SIT測試</v>
      </c>
    </row>
    <row r="302" spans="1:49" ht="13.5" x14ac:dyDescent="0.3">
      <c r="C302" s="292" t="s">
        <v>94</v>
      </c>
      <c r="D302" s="292" t="s">
        <v>2819</v>
      </c>
      <c r="E302" s="291" t="s">
        <v>893</v>
      </c>
      <c r="F302" s="292" t="s">
        <v>894</v>
      </c>
      <c r="G302" s="292"/>
      <c r="H302" s="291" t="s">
        <v>480</v>
      </c>
      <c r="I302" s="291" t="s">
        <v>480</v>
      </c>
      <c r="J302" s="225" t="s">
        <v>3057</v>
      </c>
      <c r="K302" s="299">
        <v>44496</v>
      </c>
      <c r="L302" s="299">
        <v>44496</v>
      </c>
      <c r="M302" s="299">
        <v>44503</v>
      </c>
      <c r="N302" s="291" t="s">
        <v>7</v>
      </c>
      <c r="O302" s="291" t="s">
        <v>14</v>
      </c>
      <c r="P302" s="270" t="s">
        <v>2957</v>
      </c>
      <c r="T302" s="291"/>
      <c r="V302" s="291"/>
      <c r="W302" s="291"/>
      <c r="X302" s="292" t="str">
        <f>VLOOKUP(功能_33[[#This Row],[User]],SKL放款!A:G,7,FALSE)</f>
        <v>放款管理課</v>
      </c>
      <c r="Y302" s="299">
        <v>44503</v>
      </c>
      <c r="Z302" s="299" t="s">
        <v>133</v>
      </c>
      <c r="AA302" s="299">
        <v>44539</v>
      </c>
      <c r="AB302" s="299">
        <v>44539</v>
      </c>
      <c r="AC302" s="299">
        <v>44539</v>
      </c>
      <c r="AD302" s="299"/>
      <c r="AE302" s="299"/>
      <c r="AF302" s="355"/>
      <c r="AG302" s="299" t="str">
        <f>IFERROR(IF(VLOOKUP(功能_33[[#This Row],[功能代號]],E:Q,11,FALSE)=0,"",VLOOKUP(功能_33[[#This Row],[功能代號]],E:Q,11,FALSE)),"")</f>
        <v>張舜雯</v>
      </c>
      <c r="AH302" s="299"/>
      <c r="AI302" s="299"/>
      <c r="AJ302" s="292"/>
      <c r="AK302" s="299"/>
      <c r="AL302" s="291" t="s">
        <v>3054</v>
      </c>
      <c r="AM302" s="292" t="s">
        <v>3055</v>
      </c>
      <c r="AN302" s="292" t="str">
        <f>VLOOKUP(功能_33[[#This Row],[功能代號]],需二審tmp!A:A,1,FALSE)</f>
        <v>L5601</v>
      </c>
      <c r="AO302" s="356">
        <v>44526</v>
      </c>
      <c r="AQ302" s="574" t="str">
        <f t="shared" si="33"/>
        <v>5-4</v>
      </c>
      <c r="AR302" s="576" t="str">
        <f t="shared" si="34"/>
        <v/>
      </c>
      <c r="AS302" s="578" t="str">
        <f t="shared" si="35"/>
        <v/>
      </c>
      <c r="AT302" s="580" t="str">
        <f t="shared" si="36"/>
        <v/>
      </c>
      <c r="AU302" s="582" t="str">
        <f t="shared" si="37"/>
        <v/>
      </c>
      <c r="AV302" s="584" t="str">
        <f t="shared" si="38"/>
        <v/>
      </c>
      <c r="AW302" s="662" t="str">
        <f>IFERROR(VLOOKUP(功能_33[[#This Row],[功能代號]],工作表3!C:C,1,FALSE),"未計SIT測試")</f>
        <v>未計SIT測試</v>
      </c>
    </row>
    <row r="303" spans="1:49" ht="13.5" x14ac:dyDescent="0.3">
      <c r="C303" s="292" t="s">
        <v>94</v>
      </c>
      <c r="D303" s="292" t="s">
        <v>2819</v>
      </c>
      <c r="E303" s="291" t="s">
        <v>895</v>
      </c>
      <c r="F303" s="292" t="s">
        <v>896</v>
      </c>
      <c r="G303" s="292"/>
      <c r="H303" s="291" t="s">
        <v>480</v>
      </c>
      <c r="I303" s="291" t="s">
        <v>480</v>
      </c>
      <c r="J303" s="225" t="s">
        <v>3057</v>
      </c>
      <c r="K303" s="299">
        <v>44496</v>
      </c>
      <c r="L303" s="299">
        <v>44496</v>
      </c>
      <c r="M303" s="299">
        <v>44501</v>
      </c>
      <c r="N303" s="291" t="s">
        <v>7</v>
      </c>
      <c r="O303" s="291" t="s">
        <v>14</v>
      </c>
      <c r="P303" s="270" t="s">
        <v>2957</v>
      </c>
      <c r="T303" s="291"/>
      <c r="V303" s="291"/>
      <c r="W303" s="291"/>
      <c r="X303" s="292" t="str">
        <f>VLOOKUP(功能_33[[#This Row],[User]],SKL放款!A:G,7,FALSE)</f>
        <v>放款管理課</v>
      </c>
      <c r="Y303" s="299">
        <v>44501</v>
      </c>
      <c r="Z303" s="299" t="s">
        <v>133</v>
      </c>
      <c r="AA303" s="299">
        <v>44539</v>
      </c>
      <c r="AB303" s="299">
        <v>44539</v>
      </c>
      <c r="AC303" s="299">
        <v>44539</v>
      </c>
      <c r="AD303" s="299"/>
      <c r="AE303" s="299"/>
      <c r="AF303" s="355"/>
      <c r="AG303" s="299" t="str">
        <f>IFERROR(IF(VLOOKUP(功能_33[[#This Row],[功能代號]],E:Q,11,FALSE)=0,"",VLOOKUP(功能_33[[#This Row],[功能代號]],E:Q,11,FALSE)),"")</f>
        <v>張舜雯</v>
      </c>
      <c r="AH303" s="299"/>
      <c r="AI303" s="299"/>
      <c r="AJ303" s="292"/>
      <c r="AK303" s="299"/>
      <c r="AL303" s="291" t="s">
        <v>3054</v>
      </c>
      <c r="AM303" s="292" t="s">
        <v>3055</v>
      </c>
      <c r="AN303" s="292" t="str">
        <f>VLOOKUP(功能_33[[#This Row],[功能代號]],需二審tmp!A:A,1,FALSE)</f>
        <v>L5962</v>
      </c>
      <c r="AO303" s="356">
        <v>44526</v>
      </c>
      <c r="AQ303" s="574" t="str">
        <f t="shared" si="33"/>
        <v>5-4</v>
      </c>
      <c r="AR303" s="576" t="str">
        <f t="shared" si="34"/>
        <v/>
      </c>
      <c r="AS303" s="578" t="str">
        <f t="shared" si="35"/>
        <v/>
      </c>
      <c r="AT303" s="580" t="str">
        <f t="shared" si="36"/>
        <v/>
      </c>
      <c r="AU303" s="582" t="str">
        <f t="shared" si="37"/>
        <v/>
      </c>
      <c r="AV303" s="584" t="str">
        <f t="shared" si="38"/>
        <v/>
      </c>
      <c r="AW303" s="662" t="str">
        <f>IFERROR(VLOOKUP(功能_33[[#This Row],[功能代號]],工作表3!C:C,1,FALSE),"未計SIT測試")</f>
        <v>未計SIT測試</v>
      </c>
    </row>
    <row r="304" spans="1:49" ht="13.5" x14ac:dyDescent="0.3">
      <c r="C304" s="292" t="s">
        <v>94</v>
      </c>
      <c r="D304" s="292" t="s">
        <v>2819</v>
      </c>
      <c r="E304" s="291" t="s">
        <v>897</v>
      </c>
      <c r="F304" s="292" t="s">
        <v>898</v>
      </c>
      <c r="G304" s="292"/>
      <c r="H304" s="291" t="s">
        <v>480</v>
      </c>
      <c r="I304" s="291" t="s">
        <v>480</v>
      </c>
      <c r="J304" s="225" t="s">
        <v>3057</v>
      </c>
      <c r="K304" s="299">
        <v>44496</v>
      </c>
      <c r="L304" s="299">
        <v>44496</v>
      </c>
      <c r="M304" s="299">
        <v>44503</v>
      </c>
      <c r="N304" s="291" t="s">
        <v>7</v>
      </c>
      <c r="O304" s="291" t="s">
        <v>14</v>
      </c>
      <c r="P304" s="270" t="s">
        <v>2957</v>
      </c>
      <c r="T304" s="291"/>
      <c r="V304" s="291"/>
      <c r="W304" s="291"/>
      <c r="X304" s="292" t="str">
        <f>VLOOKUP(功能_33[[#This Row],[User]],SKL放款!A:G,7,FALSE)</f>
        <v>放款管理課</v>
      </c>
      <c r="Y304" s="299">
        <v>44503</v>
      </c>
      <c r="Z304" s="299" t="s">
        <v>133</v>
      </c>
      <c r="AA304" s="299">
        <v>44539</v>
      </c>
      <c r="AB304" s="299">
        <v>44539</v>
      </c>
      <c r="AC304" s="299">
        <v>44539</v>
      </c>
      <c r="AD304" s="299"/>
      <c r="AE304" s="299"/>
      <c r="AF304" s="355"/>
      <c r="AG304" s="299" t="str">
        <f>IFERROR(IF(VLOOKUP(功能_33[[#This Row],[功能代號]],E:Q,11,FALSE)=0,"",VLOOKUP(功能_33[[#This Row],[功能代號]],E:Q,11,FALSE)),"")</f>
        <v>張舜雯</v>
      </c>
      <c r="AH304" s="299"/>
      <c r="AI304" s="299"/>
      <c r="AJ304" s="292"/>
      <c r="AK304" s="299"/>
      <c r="AL304" s="291" t="s">
        <v>3054</v>
      </c>
      <c r="AM304" s="292" t="s">
        <v>3055</v>
      </c>
      <c r="AN304" s="292" t="str">
        <f>VLOOKUP(功能_33[[#This Row],[功能代號]],需二審tmp!A:A,1,FALSE)</f>
        <v>L5602</v>
      </c>
      <c r="AO304" s="356">
        <v>44526</v>
      </c>
      <c r="AQ304" s="574" t="str">
        <f t="shared" si="33"/>
        <v>5-4</v>
      </c>
      <c r="AR304" s="576" t="str">
        <f t="shared" si="34"/>
        <v/>
      </c>
      <c r="AS304" s="578" t="str">
        <f t="shared" si="35"/>
        <v/>
      </c>
      <c r="AT304" s="580" t="str">
        <f t="shared" si="36"/>
        <v/>
      </c>
      <c r="AU304" s="582" t="str">
        <f t="shared" si="37"/>
        <v/>
      </c>
      <c r="AV304" s="584" t="str">
        <f t="shared" si="38"/>
        <v/>
      </c>
      <c r="AW304" s="662" t="str">
        <f>IFERROR(VLOOKUP(功能_33[[#This Row],[功能代號]],工作表3!C:C,1,FALSE),"未計SIT測試")</f>
        <v>未計SIT測試</v>
      </c>
    </row>
    <row r="305" spans="1:49" ht="13.5" x14ac:dyDescent="0.3">
      <c r="C305" s="292" t="s">
        <v>94</v>
      </c>
      <c r="D305" s="292" t="s">
        <v>2819</v>
      </c>
      <c r="E305" s="291" t="s">
        <v>899</v>
      </c>
      <c r="F305" s="292" t="s">
        <v>900</v>
      </c>
      <c r="G305" s="292"/>
      <c r="H305" s="291" t="s">
        <v>480</v>
      </c>
      <c r="I305" s="291" t="s">
        <v>480</v>
      </c>
      <c r="J305" s="225" t="s">
        <v>3057</v>
      </c>
      <c r="K305" s="299">
        <v>44496</v>
      </c>
      <c r="L305" s="299">
        <v>44496</v>
      </c>
      <c r="M305" s="299">
        <v>44516</v>
      </c>
      <c r="N305" s="291" t="s">
        <v>7</v>
      </c>
      <c r="O305" s="291" t="s">
        <v>14</v>
      </c>
      <c r="P305" s="270" t="s">
        <v>2957</v>
      </c>
      <c r="T305" s="291"/>
      <c r="V305" s="291"/>
      <c r="W305" s="291"/>
      <c r="X305" s="292" t="str">
        <f>VLOOKUP(功能_33[[#This Row],[User]],SKL放款!A:G,7,FALSE)</f>
        <v>放款管理課</v>
      </c>
      <c r="Y305" s="299">
        <v>44516</v>
      </c>
      <c r="Z305" s="299" t="s">
        <v>133</v>
      </c>
      <c r="AA305" s="299">
        <v>44539</v>
      </c>
      <c r="AB305" s="299">
        <v>44539</v>
      </c>
      <c r="AC305" s="299">
        <v>44539</v>
      </c>
      <c r="AD305" s="299"/>
      <c r="AE305" s="299"/>
      <c r="AF305" s="355"/>
      <c r="AG305" s="299" t="str">
        <f>IFERROR(IF(VLOOKUP(功能_33[[#This Row],[功能代號]],E:Q,11,FALSE)=0,"",VLOOKUP(功能_33[[#This Row],[功能代號]],E:Q,11,FALSE)),"")</f>
        <v>張舜雯</v>
      </c>
      <c r="AH305" s="299"/>
      <c r="AI305" s="299"/>
      <c r="AJ305" s="292"/>
      <c r="AK305" s="299"/>
      <c r="AL305" s="291" t="s">
        <v>3054</v>
      </c>
      <c r="AM305" s="292" t="s">
        <v>3055</v>
      </c>
      <c r="AN305" s="292" t="str">
        <f>VLOOKUP(功能_33[[#This Row],[功能代號]],需二審tmp!A:A,1,FALSE)</f>
        <v>L5963</v>
      </c>
      <c r="AO305" s="356">
        <v>44526</v>
      </c>
      <c r="AQ305" s="574" t="str">
        <f t="shared" si="33"/>
        <v>5-4</v>
      </c>
      <c r="AR305" s="576" t="str">
        <f t="shared" si="34"/>
        <v/>
      </c>
      <c r="AS305" s="578" t="str">
        <f t="shared" si="35"/>
        <v/>
      </c>
      <c r="AT305" s="580" t="str">
        <f t="shared" si="36"/>
        <v/>
      </c>
      <c r="AU305" s="582" t="str">
        <f t="shared" si="37"/>
        <v/>
      </c>
      <c r="AV305" s="584" t="str">
        <f t="shared" si="38"/>
        <v/>
      </c>
      <c r="AW305" s="662" t="str">
        <f>IFERROR(VLOOKUP(功能_33[[#This Row],[功能代號]],工作表3!C:C,1,FALSE),"未計SIT測試")</f>
        <v>未計SIT測試</v>
      </c>
    </row>
    <row r="306" spans="1:49" ht="13.5" x14ac:dyDescent="0.3">
      <c r="C306" s="292" t="s">
        <v>94</v>
      </c>
      <c r="D306" s="292" t="s">
        <v>2819</v>
      </c>
      <c r="E306" s="291" t="s">
        <v>901</v>
      </c>
      <c r="F306" s="292" t="s">
        <v>902</v>
      </c>
      <c r="G306" s="292"/>
      <c r="H306" s="291" t="s">
        <v>480</v>
      </c>
      <c r="I306" s="291" t="s">
        <v>480</v>
      </c>
      <c r="J306" s="225" t="s">
        <v>3057</v>
      </c>
      <c r="K306" s="299">
        <v>44496</v>
      </c>
      <c r="L306" s="299">
        <v>44496</v>
      </c>
      <c r="M306" s="299">
        <v>44517</v>
      </c>
      <c r="N306" s="291" t="s">
        <v>7</v>
      </c>
      <c r="O306" s="291" t="s">
        <v>14</v>
      </c>
      <c r="P306" s="270" t="s">
        <v>2957</v>
      </c>
      <c r="T306" s="291"/>
      <c r="V306" s="291"/>
      <c r="W306" s="291"/>
      <c r="X306" s="292" t="str">
        <f>VLOOKUP(功能_33[[#This Row],[User]],SKL放款!A:G,7,FALSE)</f>
        <v>放款管理課</v>
      </c>
      <c r="Y306" s="299">
        <v>44517</v>
      </c>
      <c r="Z306" s="299" t="s">
        <v>133</v>
      </c>
      <c r="AA306" s="299">
        <v>44539</v>
      </c>
      <c r="AB306" s="299">
        <v>44539</v>
      </c>
      <c r="AC306" s="299">
        <v>44539</v>
      </c>
      <c r="AD306" s="299"/>
      <c r="AE306" s="299"/>
      <c r="AF306" s="355"/>
      <c r="AG306" s="299" t="str">
        <f>IFERROR(IF(VLOOKUP(功能_33[[#This Row],[功能代號]],E:Q,11,FALSE)=0,"",VLOOKUP(功能_33[[#This Row],[功能代號]],E:Q,11,FALSE)),"")</f>
        <v>張舜雯</v>
      </c>
      <c r="AH306" s="299"/>
      <c r="AI306" s="299"/>
      <c r="AJ306" s="292"/>
      <c r="AK306" s="299"/>
      <c r="AL306" s="291" t="s">
        <v>3054</v>
      </c>
      <c r="AM306" s="292" t="s">
        <v>3055</v>
      </c>
      <c r="AN306" s="292" t="str">
        <f>VLOOKUP(功能_33[[#This Row],[功能代號]],需二審tmp!A:A,1,FALSE)</f>
        <v>L5603</v>
      </c>
      <c r="AO306" s="356">
        <v>44526</v>
      </c>
      <c r="AQ306" s="574" t="str">
        <f t="shared" si="33"/>
        <v>5-4</v>
      </c>
      <c r="AR306" s="576" t="str">
        <f t="shared" si="34"/>
        <v/>
      </c>
      <c r="AS306" s="578" t="str">
        <f t="shared" si="35"/>
        <v/>
      </c>
      <c r="AT306" s="580" t="str">
        <f t="shared" si="36"/>
        <v/>
      </c>
      <c r="AU306" s="582" t="str">
        <f t="shared" si="37"/>
        <v/>
      </c>
      <c r="AV306" s="584" t="str">
        <f t="shared" si="38"/>
        <v/>
      </c>
      <c r="AW306" s="662" t="str">
        <f>IFERROR(VLOOKUP(功能_33[[#This Row],[功能代號]],工作表3!C:C,1,FALSE),"未計SIT測試")</f>
        <v>未計SIT測試</v>
      </c>
    </row>
    <row r="307" spans="1:49" ht="13.5" x14ac:dyDescent="0.3">
      <c r="C307" s="292" t="s">
        <v>94</v>
      </c>
      <c r="D307" s="292" t="s">
        <v>2819</v>
      </c>
      <c r="E307" s="291" t="s">
        <v>903</v>
      </c>
      <c r="F307" s="292" t="s">
        <v>904</v>
      </c>
      <c r="G307" s="292"/>
      <c r="H307" s="291" t="s">
        <v>480</v>
      </c>
      <c r="I307" s="291" t="s">
        <v>480</v>
      </c>
      <c r="J307" s="225" t="s">
        <v>3057</v>
      </c>
      <c r="K307" s="299">
        <v>44497</v>
      </c>
      <c r="L307" s="299">
        <v>44496</v>
      </c>
      <c r="M307" s="299">
        <v>44501</v>
      </c>
      <c r="N307" s="291" t="s">
        <v>7</v>
      </c>
      <c r="O307" s="291" t="s">
        <v>14</v>
      </c>
      <c r="P307" s="270" t="s">
        <v>2957</v>
      </c>
      <c r="T307" s="291"/>
      <c r="V307" s="291"/>
      <c r="W307" s="291"/>
      <c r="X307" s="292" t="str">
        <f>VLOOKUP(功能_33[[#This Row],[User]],SKL放款!A:G,7,FALSE)</f>
        <v>放款管理課</v>
      </c>
      <c r="Y307" s="299">
        <v>44501</v>
      </c>
      <c r="Z307" s="299" t="s">
        <v>133</v>
      </c>
      <c r="AA307" s="299">
        <v>44539</v>
      </c>
      <c r="AB307" s="299">
        <v>44539</v>
      </c>
      <c r="AC307" s="299">
        <v>44539</v>
      </c>
      <c r="AD307" s="299"/>
      <c r="AE307" s="299"/>
      <c r="AF307" s="355"/>
      <c r="AG307" s="299" t="str">
        <f>IFERROR(IF(VLOOKUP(功能_33[[#This Row],[功能代號]],E:Q,11,FALSE)=0,"",VLOOKUP(功能_33[[#This Row],[功能代號]],E:Q,11,FALSE)),"")</f>
        <v>張舜雯</v>
      </c>
      <c r="AH307" s="299"/>
      <c r="AI307" s="299"/>
      <c r="AJ307" s="292"/>
      <c r="AK307" s="299"/>
      <c r="AL307" s="291" t="s">
        <v>3054</v>
      </c>
      <c r="AM307" s="292" t="s">
        <v>3055</v>
      </c>
      <c r="AN307" s="292" t="str">
        <f>VLOOKUP(功能_33[[#This Row],[功能代號]],需二審tmp!A:A,1,FALSE)</f>
        <v>L5964</v>
      </c>
      <c r="AO307" s="356">
        <v>44526</v>
      </c>
      <c r="AQ307" s="574" t="str">
        <f t="shared" si="33"/>
        <v>5-4</v>
      </c>
      <c r="AR307" s="576" t="str">
        <f t="shared" si="34"/>
        <v/>
      </c>
      <c r="AS307" s="578" t="str">
        <f t="shared" si="35"/>
        <v/>
      </c>
      <c r="AT307" s="580" t="str">
        <f t="shared" si="36"/>
        <v/>
      </c>
      <c r="AU307" s="582" t="str">
        <f t="shared" si="37"/>
        <v/>
      </c>
      <c r="AV307" s="584" t="str">
        <f t="shared" si="38"/>
        <v/>
      </c>
      <c r="AW307" s="662" t="str">
        <f>IFERROR(VLOOKUP(功能_33[[#This Row],[功能代號]],工作表3!C:C,1,FALSE),"未計SIT測試")</f>
        <v>未計SIT測試</v>
      </c>
    </row>
    <row r="308" spans="1:49" ht="13.5" x14ac:dyDescent="0.3">
      <c r="C308" s="292" t="s">
        <v>94</v>
      </c>
      <c r="D308" s="292" t="s">
        <v>2819</v>
      </c>
      <c r="E308" s="291" t="s">
        <v>905</v>
      </c>
      <c r="F308" s="292" t="s">
        <v>906</v>
      </c>
      <c r="G308" s="292"/>
      <c r="H308" s="291" t="s">
        <v>480</v>
      </c>
      <c r="I308" s="291" t="s">
        <v>480</v>
      </c>
      <c r="J308" s="225" t="s">
        <v>3057</v>
      </c>
      <c r="K308" s="299">
        <v>44497</v>
      </c>
      <c r="L308" s="299">
        <v>44496</v>
      </c>
      <c r="M308" s="299">
        <v>44524</v>
      </c>
      <c r="N308" s="291" t="s">
        <v>7</v>
      </c>
      <c r="O308" s="291" t="s">
        <v>14</v>
      </c>
      <c r="P308" s="270" t="s">
        <v>2957</v>
      </c>
      <c r="T308" s="291"/>
      <c r="V308" s="291"/>
      <c r="W308" s="291"/>
      <c r="X308" s="292" t="str">
        <f>VLOOKUP(功能_33[[#This Row],[User]],SKL放款!A:G,7,FALSE)</f>
        <v>放款管理課</v>
      </c>
      <c r="Y308" s="299">
        <v>44524</v>
      </c>
      <c r="Z308" s="299" t="s">
        <v>133</v>
      </c>
      <c r="AA308" s="299">
        <v>44539</v>
      </c>
      <c r="AB308" s="299">
        <v>44539</v>
      </c>
      <c r="AC308" s="299">
        <v>44539</v>
      </c>
      <c r="AD308" s="299"/>
      <c r="AE308" s="299"/>
      <c r="AF308" s="355"/>
      <c r="AG308" s="299" t="str">
        <f>IFERROR(IF(VLOOKUP(功能_33[[#This Row],[功能代號]],E:Q,11,FALSE)=0,"",VLOOKUP(功能_33[[#This Row],[功能代號]],E:Q,11,FALSE)),"")</f>
        <v>張舜雯</v>
      </c>
      <c r="AH308" s="299"/>
      <c r="AI308" s="299"/>
      <c r="AJ308" s="292"/>
      <c r="AK308" s="299"/>
      <c r="AL308" s="291" t="s">
        <v>3054</v>
      </c>
      <c r="AM308" s="292" t="s">
        <v>3055</v>
      </c>
      <c r="AN308" s="292" t="str">
        <f>VLOOKUP(功能_33[[#This Row],[功能代號]],需二審tmp!A:A,1,FALSE)</f>
        <v>L5604</v>
      </c>
      <c r="AO308" s="356">
        <v>44526</v>
      </c>
      <c r="AQ308" s="574" t="str">
        <f t="shared" si="33"/>
        <v>5-4</v>
      </c>
      <c r="AR308" s="576" t="str">
        <f t="shared" si="34"/>
        <v/>
      </c>
      <c r="AS308" s="578" t="str">
        <f t="shared" si="35"/>
        <v/>
      </c>
      <c r="AT308" s="580" t="str">
        <f t="shared" si="36"/>
        <v/>
      </c>
      <c r="AU308" s="582" t="str">
        <f t="shared" si="37"/>
        <v/>
      </c>
      <c r="AV308" s="584" t="str">
        <f t="shared" si="38"/>
        <v/>
      </c>
      <c r="AW308" s="662" t="str">
        <f>IFERROR(VLOOKUP(功能_33[[#This Row],[功能代號]],工作表3!C:C,1,FALSE),"未計SIT測試")</f>
        <v>未計SIT測試</v>
      </c>
    </row>
    <row r="309" spans="1:49" ht="13.5" x14ac:dyDescent="0.3">
      <c r="C309" s="292" t="s">
        <v>94</v>
      </c>
      <c r="D309" s="292" t="s">
        <v>2819</v>
      </c>
      <c r="E309" s="291" t="s">
        <v>907</v>
      </c>
      <c r="F309" s="292" t="s">
        <v>908</v>
      </c>
      <c r="G309" s="292"/>
      <c r="H309" s="291" t="s">
        <v>480</v>
      </c>
      <c r="I309" s="291" t="s">
        <v>480</v>
      </c>
      <c r="J309" s="225" t="s">
        <v>3057</v>
      </c>
      <c r="K309" s="299">
        <v>44497</v>
      </c>
      <c r="L309" s="299">
        <v>44496</v>
      </c>
      <c r="M309" s="299">
        <v>44501</v>
      </c>
      <c r="N309" s="291" t="s">
        <v>7</v>
      </c>
      <c r="O309" s="291" t="s">
        <v>14</v>
      </c>
      <c r="P309" s="270" t="s">
        <v>2957</v>
      </c>
      <c r="T309" s="291"/>
      <c r="V309" s="291"/>
      <c r="W309" s="291"/>
      <c r="X309" s="292" t="str">
        <f>VLOOKUP(功能_33[[#This Row],[User]],SKL放款!A:G,7,FALSE)</f>
        <v>放款管理課</v>
      </c>
      <c r="Y309" s="299">
        <v>44501</v>
      </c>
      <c r="Z309" s="299" t="s">
        <v>133</v>
      </c>
      <c r="AA309" s="299">
        <v>44539</v>
      </c>
      <c r="AB309" s="299">
        <v>44539</v>
      </c>
      <c r="AC309" s="299">
        <v>44539</v>
      </c>
      <c r="AD309" s="299"/>
      <c r="AE309" s="299"/>
      <c r="AF309" s="355"/>
      <c r="AG309" s="299" t="str">
        <f>IFERROR(IF(VLOOKUP(功能_33[[#This Row],[功能代號]],E:Q,11,FALSE)=0,"",VLOOKUP(功能_33[[#This Row],[功能代號]],E:Q,11,FALSE)),"")</f>
        <v>張舜雯</v>
      </c>
      <c r="AH309" s="299"/>
      <c r="AI309" s="299"/>
      <c r="AJ309" s="292"/>
      <c r="AK309" s="299"/>
      <c r="AL309" s="291" t="s">
        <v>3054</v>
      </c>
      <c r="AM309" s="292" t="s">
        <v>3055</v>
      </c>
      <c r="AN309" s="292" t="str">
        <f>VLOOKUP(功能_33[[#This Row],[功能代號]],需二審tmp!A:A,1,FALSE)</f>
        <v>L5965</v>
      </c>
      <c r="AO309" s="356">
        <v>44526</v>
      </c>
      <c r="AQ309" s="574" t="str">
        <f t="shared" si="33"/>
        <v>5-4</v>
      </c>
      <c r="AR309" s="576" t="str">
        <f t="shared" si="34"/>
        <v/>
      </c>
      <c r="AS309" s="578" t="str">
        <f t="shared" si="35"/>
        <v/>
      </c>
      <c r="AT309" s="580" t="str">
        <f t="shared" si="36"/>
        <v/>
      </c>
      <c r="AU309" s="582" t="str">
        <f t="shared" si="37"/>
        <v/>
      </c>
      <c r="AV309" s="584" t="str">
        <f t="shared" si="38"/>
        <v/>
      </c>
      <c r="AW309" s="662" t="str">
        <f>IFERROR(VLOOKUP(功能_33[[#This Row],[功能代號]],工作表3!C:C,1,FALSE),"未計SIT測試")</f>
        <v>未計SIT測試</v>
      </c>
    </row>
    <row r="310" spans="1:49" ht="13.5" x14ac:dyDescent="0.3">
      <c r="C310" s="292" t="s">
        <v>94</v>
      </c>
      <c r="D310" s="292" t="s">
        <v>2819</v>
      </c>
      <c r="E310" s="291" t="s">
        <v>909</v>
      </c>
      <c r="F310" s="292" t="s">
        <v>910</v>
      </c>
      <c r="G310" s="292"/>
      <c r="H310" s="291" t="s">
        <v>480</v>
      </c>
      <c r="I310" s="291" t="s">
        <v>480</v>
      </c>
      <c r="J310" s="225" t="s">
        <v>3057</v>
      </c>
      <c r="K310" s="299">
        <v>44497</v>
      </c>
      <c r="L310" s="299">
        <v>44496</v>
      </c>
      <c r="M310" s="299">
        <v>44515</v>
      </c>
      <c r="N310" s="291" t="s">
        <v>7</v>
      </c>
      <c r="O310" s="291" t="s">
        <v>14</v>
      </c>
      <c r="P310" s="270" t="s">
        <v>2957</v>
      </c>
      <c r="T310" s="291"/>
      <c r="V310" s="291"/>
      <c r="W310" s="291"/>
      <c r="X310" s="292" t="str">
        <f>VLOOKUP(功能_33[[#This Row],[User]],SKL放款!A:G,7,FALSE)</f>
        <v>放款管理課</v>
      </c>
      <c r="Y310" s="299">
        <v>44515</v>
      </c>
      <c r="Z310" s="299" t="s">
        <v>133</v>
      </c>
      <c r="AA310" s="299">
        <v>44539</v>
      </c>
      <c r="AB310" s="299">
        <v>44539</v>
      </c>
      <c r="AC310" s="299">
        <v>44539</v>
      </c>
      <c r="AD310" s="299"/>
      <c r="AE310" s="299"/>
      <c r="AF310" s="355"/>
      <c r="AG310" s="299" t="str">
        <f>IFERROR(IF(VLOOKUP(功能_33[[#This Row],[功能代號]],E:Q,11,FALSE)=0,"",VLOOKUP(功能_33[[#This Row],[功能代號]],E:Q,11,FALSE)),"")</f>
        <v>張舜雯</v>
      </c>
      <c r="AH310" s="299"/>
      <c r="AI310" s="299"/>
      <c r="AJ310" s="292"/>
      <c r="AK310" s="299"/>
      <c r="AL310" s="291" t="s">
        <v>3054</v>
      </c>
      <c r="AM310" s="292" t="s">
        <v>3055</v>
      </c>
      <c r="AN310" s="292" t="str">
        <f>VLOOKUP(功能_33[[#This Row],[功能代號]],需二審tmp!A:A,1,FALSE)</f>
        <v>L5605</v>
      </c>
      <c r="AO310" s="356">
        <v>44526</v>
      </c>
      <c r="AQ310" s="574" t="str">
        <f t="shared" si="33"/>
        <v>5-4</v>
      </c>
      <c r="AR310" s="576" t="str">
        <f t="shared" si="34"/>
        <v/>
      </c>
      <c r="AS310" s="578" t="str">
        <f t="shared" si="35"/>
        <v/>
      </c>
      <c r="AT310" s="580" t="str">
        <f t="shared" si="36"/>
        <v/>
      </c>
      <c r="AU310" s="582" t="str">
        <f t="shared" si="37"/>
        <v/>
      </c>
      <c r="AV310" s="584" t="str">
        <f t="shared" si="38"/>
        <v/>
      </c>
      <c r="AW310" s="662" t="str">
        <f>IFERROR(VLOOKUP(功能_33[[#This Row],[功能代號]],工作表3!C:C,1,FALSE),"未計SIT測試")</f>
        <v>未計SIT測試</v>
      </c>
    </row>
    <row r="311" spans="1:49" ht="13.5" x14ac:dyDescent="0.3">
      <c r="C311" s="292" t="s">
        <v>94</v>
      </c>
      <c r="D311" s="292" t="s">
        <v>2819</v>
      </c>
      <c r="E311" s="291" t="s">
        <v>911</v>
      </c>
      <c r="F311" s="292" t="s">
        <v>912</v>
      </c>
      <c r="G311" s="292"/>
      <c r="H311" s="291" t="s">
        <v>480</v>
      </c>
      <c r="I311" s="291" t="s">
        <v>480</v>
      </c>
      <c r="J311" s="225" t="s">
        <v>3057</v>
      </c>
      <c r="K311" s="299">
        <v>44497</v>
      </c>
      <c r="L311" s="299">
        <v>44496</v>
      </c>
      <c r="M311" s="299">
        <v>44503</v>
      </c>
      <c r="N311" s="291" t="s">
        <v>7</v>
      </c>
      <c r="O311" s="291" t="s">
        <v>14</v>
      </c>
      <c r="P311" s="270" t="s">
        <v>2957</v>
      </c>
      <c r="T311" s="291"/>
      <c r="V311" s="291"/>
      <c r="W311" s="291"/>
      <c r="X311" s="292" t="str">
        <f>VLOOKUP(功能_33[[#This Row],[User]],SKL放款!A:G,7,FALSE)</f>
        <v>放款管理課</v>
      </c>
      <c r="Y311" s="299">
        <v>44503</v>
      </c>
      <c r="Z311" s="299" t="s">
        <v>133</v>
      </c>
      <c r="AA311" s="299">
        <v>44539</v>
      </c>
      <c r="AB311" s="299">
        <v>44539</v>
      </c>
      <c r="AC311" s="299">
        <v>44539</v>
      </c>
      <c r="AD311" s="299"/>
      <c r="AE311" s="299"/>
      <c r="AF311" s="355"/>
      <c r="AG311" s="299" t="str">
        <f>IFERROR(IF(VLOOKUP(功能_33[[#This Row],[功能代號]],E:Q,11,FALSE)=0,"",VLOOKUP(功能_33[[#This Row],[功能代號]],E:Q,11,FALSE)),"")</f>
        <v>張舜雯</v>
      </c>
      <c r="AH311" s="299"/>
      <c r="AI311" s="299"/>
      <c r="AJ311" s="292"/>
      <c r="AK311" s="299"/>
      <c r="AL311" s="291" t="s">
        <v>3054</v>
      </c>
      <c r="AM311" s="292" t="s">
        <v>3055</v>
      </c>
      <c r="AN311" s="292" t="str">
        <f>VLOOKUP(功能_33[[#This Row],[功能代號]],需二審tmp!A:A,1,FALSE)</f>
        <v>L5061</v>
      </c>
      <c r="AO311" s="356">
        <v>44526</v>
      </c>
      <c r="AQ311" s="574" t="str">
        <f t="shared" si="33"/>
        <v>5-4</v>
      </c>
      <c r="AR311" s="576" t="str">
        <f t="shared" si="34"/>
        <v/>
      </c>
      <c r="AS311" s="578" t="str">
        <f t="shared" si="35"/>
        <v/>
      </c>
      <c r="AT311" s="580" t="str">
        <f t="shared" si="36"/>
        <v/>
      </c>
      <c r="AU311" s="582" t="str">
        <f t="shared" si="37"/>
        <v/>
      </c>
      <c r="AV311" s="584" t="str">
        <f t="shared" si="38"/>
        <v/>
      </c>
      <c r="AW311" s="662" t="str">
        <f>IFERROR(VLOOKUP(功能_33[[#This Row],[功能代號]],工作表3!C:C,1,FALSE),"未計SIT測試")</f>
        <v>未計SIT測試</v>
      </c>
    </row>
    <row r="312" spans="1:49" ht="13.5" x14ac:dyDescent="0.3">
      <c r="C312" s="292" t="s">
        <v>94</v>
      </c>
      <c r="D312" s="292" t="s">
        <v>2819</v>
      </c>
      <c r="E312" s="291" t="s">
        <v>913</v>
      </c>
      <c r="F312" s="292" t="s">
        <v>914</v>
      </c>
      <c r="G312" s="292" t="s">
        <v>915</v>
      </c>
      <c r="H312" s="291" t="s">
        <v>480</v>
      </c>
      <c r="I312" s="291" t="s">
        <v>480</v>
      </c>
      <c r="J312" s="225" t="s">
        <v>3057</v>
      </c>
      <c r="K312" s="299">
        <v>44497</v>
      </c>
      <c r="L312" s="299">
        <v>44496</v>
      </c>
      <c r="M312" s="299">
        <v>44515</v>
      </c>
      <c r="N312" s="291" t="s">
        <v>7</v>
      </c>
      <c r="O312" s="291" t="s">
        <v>14</v>
      </c>
      <c r="P312" s="270" t="s">
        <v>2957</v>
      </c>
      <c r="T312" s="291"/>
      <c r="V312" s="291"/>
      <c r="W312" s="291"/>
      <c r="X312" s="292" t="str">
        <f>VLOOKUP(功能_33[[#This Row],[User]],SKL放款!A:G,7,FALSE)</f>
        <v>放款管理課</v>
      </c>
      <c r="Y312" s="299">
        <v>44515</v>
      </c>
      <c r="Z312" s="299" t="s">
        <v>133</v>
      </c>
      <c r="AA312" s="299">
        <v>44539</v>
      </c>
      <c r="AB312" s="299">
        <v>44539</v>
      </c>
      <c r="AC312" s="299">
        <v>44539</v>
      </c>
      <c r="AD312" s="299"/>
      <c r="AE312" s="299"/>
      <c r="AF312" s="355"/>
      <c r="AG312" s="299" t="str">
        <f>IFERROR(IF(VLOOKUP(功能_33[[#This Row],[功能代號]],E:Q,11,FALSE)=0,"",VLOOKUP(功能_33[[#This Row],[功能代號]],E:Q,11,FALSE)),"")</f>
        <v>張舜雯</v>
      </c>
      <c r="AH312" s="299"/>
      <c r="AI312" s="299"/>
      <c r="AJ312" s="292"/>
      <c r="AK312" s="299"/>
      <c r="AL312" s="291" t="s">
        <v>3054</v>
      </c>
      <c r="AM312" s="292" t="s">
        <v>3055</v>
      </c>
      <c r="AN312" s="292" t="str">
        <f>VLOOKUP(功能_33[[#This Row],[功能代號]],需二審tmp!A:A,1,FALSE)</f>
        <v>L5062</v>
      </c>
      <c r="AO312" s="356">
        <v>44526</v>
      </c>
      <c r="AQ312" s="574" t="str">
        <f t="shared" si="33"/>
        <v>5-4</v>
      </c>
      <c r="AR312" s="576" t="str">
        <f t="shared" si="34"/>
        <v/>
      </c>
      <c r="AS312" s="578" t="str">
        <f t="shared" si="35"/>
        <v/>
      </c>
      <c r="AT312" s="580" t="str">
        <f t="shared" si="36"/>
        <v/>
      </c>
      <c r="AU312" s="582" t="str">
        <f t="shared" si="37"/>
        <v/>
      </c>
      <c r="AV312" s="584" t="str">
        <f t="shared" si="38"/>
        <v/>
      </c>
      <c r="AW312" s="662" t="str">
        <f>IFERROR(VLOOKUP(功能_33[[#This Row],[功能代號]],工作表3!C:C,1,FALSE),"未計SIT測試")</f>
        <v>未計SIT測試</v>
      </c>
    </row>
    <row r="313" spans="1:49" ht="13.5" x14ac:dyDescent="0.3">
      <c r="C313" s="292" t="s">
        <v>94</v>
      </c>
      <c r="D313" s="292" t="s">
        <v>2819</v>
      </c>
      <c r="E313" s="291" t="s">
        <v>916</v>
      </c>
      <c r="F313" s="292" t="s">
        <v>917</v>
      </c>
      <c r="G313" s="292" t="s">
        <v>915</v>
      </c>
      <c r="H313" s="291" t="s">
        <v>480</v>
      </c>
      <c r="I313" s="291" t="s">
        <v>480</v>
      </c>
      <c r="J313" s="225" t="s">
        <v>3057</v>
      </c>
      <c r="K313" s="299">
        <v>44497</v>
      </c>
      <c r="L313" s="299">
        <v>44496</v>
      </c>
      <c r="M313" s="299">
        <v>44503</v>
      </c>
      <c r="N313" s="291" t="s">
        <v>7</v>
      </c>
      <c r="O313" s="291" t="s">
        <v>14</v>
      </c>
      <c r="P313" s="270" t="s">
        <v>2957</v>
      </c>
      <c r="T313" s="291"/>
      <c r="V313" s="291"/>
      <c r="W313" s="291"/>
      <c r="X313" s="292" t="str">
        <f>VLOOKUP(功能_33[[#This Row],[User]],SKL放款!A:G,7,FALSE)</f>
        <v>放款管理課</v>
      </c>
      <c r="Y313" s="299">
        <v>44503</v>
      </c>
      <c r="Z313" s="299" t="s">
        <v>2733</v>
      </c>
      <c r="AA313" s="299">
        <v>44539</v>
      </c>
      <c r="AB313" s="299">
        <v>44539</v>
      </c>
      <c r="AC313" s="299">
        <v>44539</v>
      </c>
      <c r="AD313" s="299"/>
      <c r="AE313" s="299"/>
      <c r="AF313" s="355"/>
      <c r="AG313" s="299" t="str">
        <f>IFERROR(IF(VLOOKUP(功能_33[[#This Row],[功能代號]],E:Q,11,FALSE)=0,"",VLOOKUP(功能_33[[#This Row],[功能代號]],E:Q,11,FALSE)),"")</f>
        <v>張舜雯</v>
      </c>
      <c r="AH313" s="299"/>
      <c r="AI313" s="299"/>
      <c r="AJ313" s="292"/>
      <c r="AK313" s="299"/>
      <c r="AL313" s="291" t="s">
        <v>3054</v>
      </c>
      <c r="AM313" s="292" t="s">
        <v>3055</v>
      </c>
      <c r="AN313" s="292" t="str">
        <f>VLOOKUP(功能_33[[#This Row],[功能代號]],需二審tmp!A:A,1,FALSE)</f>
        <v>L5606</v>
      </c>
      <c r="AO313" s="356">
        <v>44526</v>
      </c>
      <c r="AQ313" s="574" t="str">
        <f t="shared" si="33"/>
        <v>5-4</v>
      </c>
      <c r="AR313" s="576" t="str">
        <f t="shared" si="34"/>
        <v/>
      </c>
      <c r="AS313" s="578" t="str">
        <f t="shared" si="35"/>
        <v/>
      </c>
      <c r="AT313" s="580" t="str">
        <f t="shared" si="36"/>
        <v/>
      </c>
      <c r="AU313" s="582" t="str">
        <f t="shared" si="37"/>
        <v/>
      </c>
      <c r="AV313" s="584" t="str">
        <f t="shared" si="38"/>
        <v/>
      </c>
      <c r="AW313" s="662" t="str">
        <f>IFERROR(VLOOKUP(功能_33[[#This Row],[功能代號]],工作表3!C:C,1,FALSE),"未計SIT測試")</f>
        <v>未計SIT測試</v>
      </c>
    </row>
    <row r="314" spans="1:49" ht="13.5" x14ac:dyDescent="0.3">
      <c r="C314" s="292" t="s">
        <v>97</v>
      </c>
      <c r="D314" s="292" t="s">
        <v>918</v>
      </c>
      <c r="E314" s="291" t="s">
        <v>919</v>
      </c>
      <c r="F314" s="292" t="s">
        <v>920</v>
      </c>
      <c r="G314" s="292"/>
      <c r="H314" s="291" t="s">
        <v>193</v>
      </c>
      <c r="I314" s="291" t="s">
        <v>194</v>
      </c>
      <c r="J314" s="225" t="s">
        <v>3222</v>
      </c>
      <c r="K314" s="299">
        <v>44502</v>
      </c>
      <c r="L314" s="299">
        <v>44503</v>
      </c>
      <c r="M314" s="299">
        <v>44537</v>
      </c>
      <c r="N314" s="291" t="s">
        <v>7</v>
      </c>
      <c r="O314" s="291" t="s">
        <v>28</v>
      </c>
      <c r="P314" s="270" t="s">
        <v>921</v>
      </c>
      <c r="T314" s="291"/>
      <c r="V314" s="291"/>
      <c r="W314" s="291"/>
      <c r="X314" s="292" t="str">
        <f>VLOOKUP(功能_33[[#This Row],[User]],SKL放款!A:G,7,FALSE)</f>
        <v>放款審查課</v>
      </c>
      <c r="Y314" s="299">
        <v>44533</v>
      </c>
      <c r="Z314" s="299">
        <v>44526</v>
      </c>
      <c r="AA314" s="299">
        <v>44526</v>
      </c>
      <c r="AB314" s="299">
        <v>44526</v>
      </c>
      <c r="AC314" s="299">
        <v>44546</v>
      </c>
      <c r="AD314" s="299"/>
      <c r="AE314" s="299"/>
      <c r="AF314" s="355"/>
      <c r="AG314" s="299" t="str">
        <f>IFERROR(IF(VLOOKUP(功能_33[[#This Row],[功能代號]],E:Q,11,FALSE)=0,"",VLOOKUP(功能_33[[#This Row],[功能代號]],E:Q,11,FALSE)),"")</f>
        <v>施美娟</v>
      </c>
      <c r="AH314" s="299"/>
      <c r="AI314" s="299"/>
      <c r="AJ314" s="292"/>
      <c r="AK314" s="299">
        <v>44438</v>
      </c>
      <c r="AL314" s="291" t="s">
        <v>190</v>
      </c>
      <c r="AN314" s="292" t="str">
        <f>VLOOKUP(功能_33[[#This Row],[功能代號]],需二審tmp!A:A,1,FALSE)</f>
        <v>L8080</v>
      </c>
      <c r="AO314" s="356">
        <v>44526</v>
      </c>
      <c r="AQ314" s="574" t="str">
        <f t="shared" si="33"/>
        <v>8-1</v>
      </c>
      <c r="AR314" s="576" t="str">
        <f t="shared" si="34"/>
        <v/>
      </c>
      <c r="AS314" s="578" t="str">
        <f t="shared" si="35"/>
        <v/>
      </c>
      <c r="AT314" s="580" t="str">
        <f t="shared" si="36"/>
        <v/>
      </c>
      <c r="AU314" s="582" t="str">
        <f t="shared" si="37"/>
        <v/>
      </c>
      <c r="AV314" s="584" t="str">
        <f t="shared" si="38"/>
        <v/>
      </c>
      <c r="AW314" s="662" t="str">
        <f>IFERROR(VLOOKUP(功能_33[[#This Row],[功能代號]],工作表3!C:C,1,FALSE),"未計SIT測試")</f>
        <v>L8080</v>
      </c>
    </row>
    <row r="315" spans="1:49" ht="13.5" x14ac:dyDescent="0.3">
      <c r="C315" s="292" t="s">
        <v>97</v>
      </c>
      <c r="D315" s="292" t="s">
        <v>918</v>
      </c>
      <c r="E315" s="291" t="s">
        <v>922</v>
      </c>
      <c r="F315" s="292" t="s">
        <v>923</v>
      </c>
      <c r="G315" s="292"/>
      <c r="H315" s="291" t="s">
        <v>193</v>
      </c>
      <c r="I315" s="291" t="s">
        <v>314</v>
      </c>
      <c r="J315" s="225" t="s">
        <v>3222</v>
      </c>
      <c r="K315" s="299">
        <v>44502</v>
      </c>
      <c r="L315" s="299">
        <v>44503</v>
      </c>
      <c r="M315" s="299">
        <v>44503</v>
      </c>
      <c r="N315" s="291" t="s">
        <v>7</v>
      </c>
      <c r="O315" s="291" t="s">
        <v>28</v>
      </c>
      <c r="P315" s="270" t="s">
        <v>921</v>
      </c>
      <c r="T315" s="291"/>
      <c r="V315" s="291"/>
      <c r="W315" s="291"/>
      <c r="X315" s="292" t="str">
        <f>VLOOKUP(功能_33[[#This Row],[User]],SKL放款!A:G,7,FALSE)</f>
        <v>放款審查課</v>
      </c>
      <c r="Y315" s="299">
        <v>44533</v>
      </c>
      <c r="Z315" s="299" t="s">
        <v>195</v>
      </c>
      <c r="AA315" s="299">
        <v>44526</v>
      </c>
      <c r="AB315" s="299">
        <v>44526</v>
      </c>
      <c r="AC315" s="299">
        <v>44546</v>
      </c>
      <c r="AD315" s="299"/>
      <c r="AE315" s="299"/>
      <c r="AF315" s="355"/>
      <c r="AG315" s="299" t="str">
        <f>IFERROR(IF(VLOOKUP(功能_33[[#This Row],[功能代號]],E:Q,11,FALSE)=0,"",VLOOKUP(功能_33[[#This Row],[功能代號]],E:Q,11,FALSE)),"")</f>
        <v>施美娟</v>
      </c>
      <c r="AH315" s="299"/>
      <c r="AI315" s="299"/>
      <c r="AJ315" s="292"/>
      <c r="AK315" s="299"/>
      <c r="AL315" s="291" t="s">
        <v>190</v>
      </c>
      <c r="AN315" s="292" t="e">
        <f>VLOOKUP(功能_33[[#This Row],[功能代號]],需二審tmp!A:A,1,FALSE)</f>
        <v>#N/A</v>
      </c>
      <c r="AO315" s="356">
        <v>44526</v>
      </c>
      <c r="AQ315" s="574" t="str">
        <f t="shared" si="33"/>
        <v>8-1</v>
      </c>
      <c r="AR315" s="576" t="str">
        <f t="shared" si="34"/>
        <v/>
      </c>
      <c r="AS315" s="578" t="str">
        <f t="shared" si="35"/>
        <v/>
      </c>
      <c r="AT315" s="580" t="str">
        <f t="shared" si="36"/>
        <v/>
      </c>
      <c r="AU315" s="582" t="str">
        <f t="shared" si="37"/>
        <v/>
      </c>
      <c r="AV315" s="584" t="str">
        <f t="shared" si="38"/>
        <v/>
      </c>
      <c r="AW315" s="662" t="str">
        <f>IFERROR(VLOOKUP(功能_33[[#This Row],[功能代號]],工作表3!C:C,1,FALSE),"未計SIT測試")</f>
        <v>L8100</v>
      </c>
    </row>
    <row r="316" spans="1:49" ht="13.5" x14ac:dyDescent="0.3">
      <c r="C316" s="292" t="s">
        <v>97</v>
      </c>
      <c r="D316" s="437" t="s">
        <v>2847</v>
      </c>
      <c r="E316" s="291" t="s">
        <v>924</v>
      </c>
      <c r="F316" s="292" t="s">
        <v>3190</v>
      </c>
      <c r="G316" s="292"/>
      <c r="H316" s="291" t="s">
        <v>136</v>
      </c>
      <c r="I316" s="291" t="s">
        <v>136</v>
      </c>
      <c r="J316" s="225" t="s">
        <v>3222</v>
      </c>
      <c r="K316" s="299">
        <v>44524</v>
      </c>
      <c r="L316" s="299">
        <v>44526</v>
      </c>
      <c r="M316" s="299">
        <v>44546</v>
      </c>
      <c r="N316" s="291" t="s">
        <v>7</v>
      </c>
      <c r="O316" s="291" t="s">
        <v>28</v>
      </c>
      <c r="P316" s="270" t="s">
        <v>921</v>
      </c>
      <c r="T316" s="291"/>
      <c r="V316" s="291"/>
      <c r="W316" s="291"/>
      <c r="X316" s="292" t="str">
        <f>VLOOKUP(功能_33[[#This Row],[User]],SKL放款!A:G,7,FALSE)</f>
        <v>放款審查課</v>
      </c>
      <c r="Y316" s="299">
        <v>44537</v>
      </c>
      <c r="Z316" s="299" t="s">
        <v>2926</v>
      </c>
      <c r="AA316" s="299">
        <v>44526</v>
      </c>
      <c r="AB316" s="299">
        <v>44526</v>
      </c>
      <c r="AC316" s="299">
        <v>44546</v>
      </c>
      <c r="AD316" s="299"/>
      <c r="AE316" s="299"/>
      <c r="AF316" s="355"/>
      <c r="AG316" s="299" t="str">
        <f>IFERROR(IF(VLOOKUP(功能_33[[#This Row],[功能代號]],E:Q,11,FALSE)=0,"",VLOOKUP(功能_33[[#This Row],[功能代號]],E:Q,11,FALSE)),"")</f>
        <v>施美娟</v>
      </c>
      <c r="AH316" s="299"/>
      <c r="AI316" s="299"/>
      <c r="AJ316" s="292"/>
      <c r="AK316" s="299"/>
      <c r="AL316" s="291" t="s">
        <v>190</v>
      </c>
      <c r="AN316" s="292" t="e">
        <f>VLOOKUP(功能_33[[#This Row],[功能代號]],需二審tmp!A:A,1,FALSE)</f>
        <v>#N/A</v>
      </c>
      <c r="AQ316" s="574" t="str">
        <f t="shared" si="33"/>
        <v>8-1</v>
      </c>
      <c r="AR316" s="576" t="str">
        <f t="shared" si="34"/>
        <v/>
      </c>
      <c r="AS316" s="578" t="str">
        <f t="shared" si="35"/>
        <v/>
      </c>
      <c r="AT316" s="580" t="str">
        <f t="shared" si="36"/>
        <v/>
      </c>
      <c r="AU316" s="582" t="str">
        <f t="shared" si="37"/>
        <v/>
      </c>
      <c r="AV316" s="584" t="str">
        <f t="shared" si="38"/>
        <v/>
      </c>
      <c r="AW316" s="662" t="str">
        <f>IFERROR(VLOOKUP(功能_33[[#This Row],[功能代號]],工作表3!C:C,1,FALSE),"未計SIT測試")</f>
        <v>未計SIT測試</v>
      </c>
    </row>
    <row r="317" spans="1:49" ht="13.5" x14ac:dyDescent="0.3">
      <c r="C317" s="292" t="s">
        <v>97</v>
      </c>
      <c r="D317" s="437" t="s">
        <v>2847</v>
      </c>
      <c r="E317" s="291" t="s">
        <v>3189</v>
      </c>
      <c r="F317" s="292" t="s">
        <v>3191</v>
      </c>
      <c r="G317" s="292" t="s">
        <v>926</v>
      </c>
      <c r="H317" s="291" t="s">
        <v>136</v>
      </c>
      <c r="I317" s="291" t="s">
        <v>136</v>
      </c>
      <c r="J317" s="225" t="s">
        <v>3222</v>
      </c>
      <c r="K317" s="299">
        <v>44524</v>
      </c>
      <c r="L317" s="299">
        <v>44526</v>
      </c>
      <c r="M317" s="299">
        <v>44546</v>
      </c>
      <c r="N317" s="291" t="s">
        <v>7</v>
      </c>
      <c r="O317" s="291" t="s">
        <v>28</v>
      </c>
      <c r="P317" s="270" t="s">
        <v>921</v>
      </c>
      <c r="T317" s="291"/>
      <c r="V317" s="291"/>
      <c r="W317" s="291"/>
      <c r="X317" s="292" t="str">
        <f>VLOOKUP(功能_33[[#This Row],[User]],SKL放款!A:G,7,FALSE)</f>
        <v>放款審查課</v>
      </c>
      <c r="Y317" s="299">
        <v>44537</v>
      </c>
      <c r="Z317" s="299" t="s">
        <v>2926</v>
      </c>
      <c r="AA317" s="299">
        <v>44526</v>
      </c>
      <c r="AB317" s="299">
        <v>44526</v>
      </c>
      <c r="AC317" s="299">
        <v>44546</v>
      </c>
      <c r="AD317" s="299"/>
      <c r="AE317" s="299"/>
      <c r="AF317" s="355"/>
      <c r="AG317" s="299" t="str">
        <f>IFERROR(IF(VLOOKUP(功能_33[[#This Row],[功能代號]],E:Q,11,FALSE)=0,"",VLOOKUP(功能_33[[#This Row],[功能代號]],E:Q,11,FALSE)),"")</f>
        <v>施美娟</v>
      </c>
      <c r="AH317" s="299"/>
      <c r="AI317" s="299"/>
      <c r="AJ317" s="292"/>
      <c r="AK317" s="299"/>
      <c r="AL317" s="291" t="s">
        <v>190</v>
      </c>
      <c r="AN317" s="292" t="e">
        <f>VLOOKUP(功能_33[[#This Row],[功能代號]],需二審tmp!A:A,1,FALSE)</f>
        <v>#N/A</v>
      </c>
      <c r="AQ317" s="574" t="str">
        <f t="shared" si="33"/>
        <v>8-1</v>
      </c>
      <c r="AR317" s="576" t="str">
        <f t="shared" si="34"/>
        <v/>
      </c>
      <c r="AS317" s="578" t="str">
        <f t="shared" si="35"/>
        <v/>
      </c>
      <c r="AT317" s="580" t="str">
        <f t="shared" si="36"/>
        <v/>
      </c>
      <c r="AU317" s="582" t="str">
        <f t="shared" si="37"/>
        <v/>
      </c>
      <c r="AV317" s="584" t="str">
        <f t="shared" si="38"/>
        <v/>
      </c>
      <c r="AW317" s="662" t="str">
        <f>IFERROR(VLOOKUP(功能_33[[#This Row],[功能代號]],工作表3!C:C,1,FALSE),"未計SIT測試")</f>
        <v>未計SIT測試</v>
      </c>
    </row>
    <row r="318" spans="1:49" ht="13.5" x14ac:dyDescent="0.3">
      <c r="C318" s="292" t="s">
        <v>97</v>
      </c>
      <c r="D318" s="437" t="s">
        <v>2847</v>
      </c>
      <c r="E318" s="291" t="s">
        <v>927</v>
      </c>
      <c r="F318" s="292" t="s">
        <v>928</v>
      </c>
      <c r="G318" s="292" t="s">
        <v>929</v>
      </c>
      <c r="H318" s="291" t="s">
        <v>136</v>
      </c>
      <c r="I318" s="291" t="s">
        <v>136</v>
      </c>
      <c r="J318" s="225" t="s">
        <v>3222</v>
      </c>
      <c r="K318" s="299">
        <v>44524</v>
      </c>
      <c r="L318" s="299">
        <v>44526</v>
      </c>
      <c r="M318" s="299">
        <v>44546</v>
      </c>
      <c r="N318" s="291" t="s">
        <v>7</v>
      </c>
      <c r="O318" s="291" t="s">
        <v>28</v>
      </c>
      <c r="P318" s="270" t="s">
        <v>921</v>
      </c>
      <c r="T318" s="291"/>
      <c r="V318" s="291"/>
      <c r="W318" s="291"/>
      <c r="X318" s="292" t="str">
        <f>VLOOKUP(功能_33[[#This Row],[User]],SKL放款!A:G,7,FALSE)</f>
        <v>放款審查課</v>
      </c>
      <c r="Y318" s="299">
        <v>44537</v>
      </c>
      <c r="Z318" s="299" t="s">
        <v>2926</v>
      </c>
      <c r="AA318" s="299">
        <v>44526</v>
      </c>
      <c r="AB318" s="299">
        <v>44526</v>
      </c>
      <c r="AC318" s="299">
        <v>44546</v>
      </c>
      <c r="AD318" s="283"/>
      <c r="AE318" s="283"/>
      <c r="AF318" s="283"/>
      <c r="AG318" s="283" t="str">
        <f>IFERROR(IF(VLOOKUP(功能_33[[#This Row],[功能代號]],E:Q,11,FALSE)=0,"",VLOOKUP(功能_33[[#This Row],[功能代號]],E:Q,11,FALSE)),"")</f>
        <v>施美娟</v>
      </c>
      <c r="AH318" s="283"/>
      <c r="AI318" s="283"/>
      <c r="AJ318" s="292"/>
      <c r="AL318" s="291" t="s">
        <v>3192</v>
      </c>
      <c r="AN318" s="292" t="e">
        <f>VLOOKUP(功能_33[[#This Row],[功能代號]],需二審tmp!A:A,1,FALSE)</f>
        <v>#N/A</v>
      </c>
      <c r="AQ318" s="574" t="str">
        <f t="shared" si="33"/>
        <v>8-1</v>
      </c>
      <c r="AR318" s="576" t="str">
        <f t="shared" si="34"/>
        <v/>
      </c>
      <c r="AS318" s="578" t="str">
        <f t="shared" si="35"/>
        <v/>
      </c>
      <c r="AT318" s="580" t="str">
        <f t="shared" si="36"/>
        <v/>
      </c>
      <c r="AU318" s="582" t="str">
        <f t="shared" si="37"/>
        <v/>
      </c>
      <c r="AV318" s="584" t="str">
        <f t="shared" si="38"/>
        <v/>
      </c>
      <c r="AW318" s="662" t="str">
        <f>IFERROR(VLOOKUP(功能_33[[#This Row],[功能代號]],工作表3!C:C,1,FALSE),"未計SIT測試")</f>
        <v>未計SIT測試</v>
      </c>
    </row>
    <row r="319" spans="1:49" ht="13.5" x14ac:dyDescent="0.3">
      <c r="C319" s="292" t="s">
        <v>97</v>
      </c>
      <c r="D319" s="437" t="s">
        <v>2847</v>
      </c>
      <c r="E319" s="291" t="s">
        <v>3072</v>
      </c>
      <c r="F319" s="292" t="s">
        <v>925</v>
      </c>
      <c r="G319" s="292"/>
      <c r="H319" s="291" t="s">
        <v>136</v>
      </c>
      <c r="I319" s="291" t="s">
        <v>136</v>
      </c>
      <c r="J319" s="225" t="s">
        <v>3222</v>
      </c>
      <c r="K319" s="299">
        <v>44524</v>
      </c>
      <c r="L319" s="299">
        <v>44526</v>
      </c>
      <c r="M319" s="299">
        <v>44546</v>
      </c>
      <c r="N319" s="291" t="s">
        <v>7</v>
      </c>
      <c r="O319" s="291" t="s">
        <v>28</v>
      </c>
      <c r="P319" s="270" t="s">
        <v>921</v>
      </c>
      <c r="T319" s="291"/>
      <c r="V319" s="291"/>
      <c r="W319" s="291"/>
      <c r="X319" s="292" t="str">
        <f>VLOOKUP(功能_33[[#This Row],[User]],SKL放款!A:G,7,FALSE)</f>
        <v>放款審查課</v>
      </c>
      <c r="Y319" s="299">
        <v>44537</v>
      </c>
      <c r="Z319" s="299" t="s">
        <v>2926</v>
      </c>
      <c r="AA319" s="299">
        <v>44526</v>
      </c>
      <c r="AB319" s="299">
        <v>44526</v>
      </c>
      <c r="AC319" s="299">
        <v>44546</v>
      </c>
      <c r="AD319" s="299"/>
      <c r="AE319" s="299"/>
      <c r="AF319" s="355"/>
      <c r="AG319" s="299" t="str">
        <f>IFERROR(IF(VLOOKUP(功能_33[[#This Row],[功能代號]],E:Q,11,FALSE)=0,"",VLOOKUP(功能_33[[#This Row],[功能代號]],E:Q,11,FALSE)),"")</f>
        <v>施美娟</v>
      </c>
      <c r="AH319" s="299"/>
      <c r="AI319" s="299"/>
      <c r="AJ319" s="292"/>
      <c r="AK319" s="299"/>
      <c r="AL319" s="291" t="s">
        <v>190</v>
      </c>
      <c r="AN319" s="292" t="e">
        <f>VLOOKUP(功能_33[[#This Row],[功能代號]],需二審tmp!A:A,1,FALSE)</f>
        <v>#N/A</v>
      </c>
      <c r="AQ319" s="574" t="str">
        <f t="shared" si="33"/>
        <v>8-1</v>
      </c>
      <c r="AR319" s="576" t="str">
        <f t="shared" si="34"/>
        <v/>
      </c>
      <c r="AS319" s="578" t="str">
        <f t="shared" si="35"/>
        <v/>
      </c>
      <c r="AT319" s="580" t="str">
        <f t="shared" si="36"/>
        <v/>
      </c>
      <c r="AU319" s="582" t="str">
        <f t="shared" si="37"/>
        <v/>
      </c>
      <c r="AV319" s="584" t="str">
        <f t="shared" si="38"/>
        <v/>
      </c>
      <c r="AW319" s="662" t="str">
        <f>IFERROR(VLOOKUP(功能_33[[#This Row],[功能代號]],工作表3!C:C,1,FALSE),"未計SIT測試")</f>
        <v>未計SIT測試</v>
      </c>
    </row>
    <row r="320" spans="1:49" ht="13.5" x14ac:dyDescent="0.3">
      <c r="A320" s="634"/>
      <c r="B320" s="423"/>
      <c r="C320" s="292" t="s">
        <v>97</v>
      </c>
      <c r="D320" s="437" t="s">
        <v>2847</v>
      </c>
      <c r="E320" s="291" t="s">
        <v>3194</v>
      </c>
      <c r="F320" s="281" t="s">
        <v>3195</v>
      </c>
      <c r="G320" s="281"/>
      <c r="H320" s="291" t="s">
        <v>136</v>
      </c>
      <c r="I320" s="291" t="s">
        <v>136</v>
      </c>
      <c r="J320" s="225" t="s">
        <v>3222</v>
      </c>
      <c r="K320" s="299">
        <v>44524</v>
      </c>
      <c r="L320" s="299">
        <v>44526</v>
      </c>
      <c r="M320" s="299">
        <v>44546</v>
      </c>
      <c r="N320" s="291" t="s">
        <v>7</v>
      </c>
      <c r="O320" s="291" t="s">
        <v>28</v>
      </c>
      <c r="P320" s="270" t="s">
        <v>921</v>
      </c>
      <c r="Q320" s="299">
        <v>44537</v>
      </c>
      <c r="R320" s="299" t="s">
        <v>2926</v>
      </c>
      <c r="T320" s="291"/>
      <c r="V320" s="291"/>
      <c r="W320" s="291"/>
      <c r="X320" s="423" t="str">
        <f>VLOOKUP(功能_33[[#This Row],[User]],SKL放款!A:G,7,FALSE)</f>
        <v>放款審查課</v>
      </c>
      <c r="Y320" s="299">
        <v>44537</v>
      </c>
      <c r="Z320" s="299" t="s">
        <v>2926</v>
      </c>
      <c r="AA320" s="299">
        <v>44526</v>
      </c>
      <c r="AB320" s="299">
        <v>44526</v>
      </c>
      <c r="AC320" s="299">
        <v>44546</v>
      </c>
      <c r="AD320" s="283"/>
      <c r="AE320" s="283"/>
      <c r="AF320" s="283"/>
      <c r="AG320" s="283" t="str">
        <f>IFERROR(IF(VLOOKUP(功能_33[[#This Row],[功能代號]],E:Q,11,FALSE)=0,"",VLOOKUP(功能_33[[#This Row],[功能代號]],E:Q,11,FALSE)),"")</f>
        <v>施美娟</v>
      </c>
      <c r="AH320" s="283"/>
      <c r="AI320" s="283"/>
      <c r="AJ320" s="423"/>
      <c r="AL320" s="291" t="s">
        <v>190</v>
      </c>
      <c r="AM320" s="423"/>
      <c r="AN320" s="423" t="e">
        <f>VLOOKUP(功能_33[[#This Row],[功能代號]],需二審tmp!A:A,1,FALSE)</f>
        <v>#N/A</v>
      </c>
      <c r="AQ320" s="635" t="str">
        <f t="shared" si="33"/>
        <v>8-1</v>
      </c>
      <c r="AR320" s="576" t="str">
        <f t="shared" si="34"/>
        <v/>
      </c>
      <c r="AS320" s="578" t="str">
        <f t="shared" si="35"/>
        <v/>
      </c>
      <c r="AT320" s="580" t="str">
        <f t="shared" si="36"/>
        <v/>
      </c>
      <c r="AU320" s="582" t="str">
        <f t="shared" si="37"/>
        <v/>
      </c>
      <c r="AV320" s="584" t="str">
        <f t="shared" si="38"/>
        <v/>
      </c>
      <c r="AW320" s="662" t="str">
        <f>IFERROR(VLOOKUP(功能_33[[#This Row],[功能代號]],工作表3!C:C,1,FALSE),"未計SIT測試")</f>
        <v>未計SIT測試</v>
      </c>
    </row>
    <row r="321" spans="3:49" ht="13.5" x14ac:dyDescent="0.3">
      <c r="C321" s="292" t="s">
        <v>97</v>
      </c>
      <c r="D321" s="437" t="s">
        <v>2847</v>
      </c>
      <c r="E321" s="291" t="s">
        <v>930</v>
      </c>
      <c r="F321" s="292" t="s">
        <v>931</v>
      </c>
      <c r="G321" s="292"/>
      <c r="H321" s="291" t="s">
        <v>136</v>
      </c>
      <c r="I321" s="291" t="s">
        <v>136</v>
      </c>
      <c r="J321" s="225" t="s">
        <v>3222</v>
      </c>
      <c r="K321" s="299">
        <v>44524</v>
      </c>
      <c r="L321" s="299">
        <v>44526</v>
      </c>
      <c r="M321" s="299">
        <v>44546</v>
      </c>
      <c r="N321" s="291" t="s">
        <v>7</v>
      </c>
      <c r="O321" s="291" t="s">
        <v>28</v>
      </c>
      <c r="P321" s="270" t="s">
        <v>921</v>
      </c>
      <c r="T321" s="291"/>
      <c r="V321" s="291"/>
      <c r="W321" s="291"/>
      <c r="X321" s="292" t="str">
        <f>VLOOKUP(功能_33[[#This Row],[User]],SKL放款!A:G,7,FALSE)</f>
        <v>放款審查課</v>
      </c>
      <c r="Y321" s="299">
        <v>44537</v>
      </c>
      <c r="Z321" s="299" t="s">
        <v>2926</v>
      </c>
      <c r="AA321" s="299">
        <v>44526</v>
      </c>
      <c r="AB321" s="299">
        <v>44526</v>
      </c>
      <c r="AC321" s="299">
        <v>44546</v>
      </c>
      <c r="AD321" s="299"/>
      <c r="AE321" s="299"/>
      <c r="AF321" s="355"/>
      <c r="AG321" s="299" t="str">
        <f>IFERROR(IF(VLOOKUP(功能_33[[#This Row],[功能代號]],E:Q,11,FALSE)=0,"",VLOOKUP(功能_33[[#This Row],[功能代號]],E:Q,11,FALSE)),"")</f>
        <v>施美娟</v>
      </c>
      <c r="AH321" s="299"/>
      <c r="AI321" s="299"/>
      <c r="AJ321" s="292"/>
      <c r="AK321" s="299"/>
      <c r="AL321" s="291" t="s">
        <v>190</v>
      </c>
      <c r="AN321" s="292" t="e">
        <f>VLOOKUP(功能_33[[#This Row],[功能代號]],需二審tmp!A:A,1,FALSE)</f>
        <v>#N/A</v>
      </c>
      <c r="AQ321" s="574" t="str">
        <f t="shared" si="33"/>
        <v>8-1</v>
      </c>
      <c r="AR321" s="576" t="str">
        <f t="shared" si="34"/>
        <v/>
      </c>
      <c r="AS321" s="578" t="str">
        <f t="shared" si="35"/>
        <v/>
      </c>
      <c r="AT321" s="580" t="str">
        <f t="shared" si="36"/>
        <v/>
      </c>
      <c r="AU321" s="582" t="str">
        <f t="shared" si="37"/>
        <v/>
      </c>
      <c r="AV321" s="584" t="str">
        <f t="shared" si="38"/>
        <v/>
      </c>
      <c r="AW321" s="662" t="str">
        <f>IFERROR(VLOOKUP(功能_33[[#This Row],[功能代號]],工作表3!C:C,1,FALSE),"未計SIT測試")</f>
        <v>未計SIT測試</v>
      </c>
    </row>
    <row r="322" spans="3:49" ht="13.5" x14ac:dyDescent="0.3">
      <c r="C322" s="292" t="s">
        <v>97</v>
      </c>
      <c r="D322" s="292" t="s">
        <v>3154</v>
      </c>
      <c r="E322" s="291" t="s">
        <v>933</v>
      </c>
      <c r="F322" s="292" t="s">
        <v>934</v>
      </c>
      <c r="G322" s="292"/>
      <c r="H322" s="291" t="s">
        <v>193</v>
      </c>
      <c r="I322" s="291" t="s">
        <v>314</v>
      </c>
      <c r="J322" s="298" t="s">
        <v>3148</v>
      </c>
      <c r="K322" s="299">
        <v>44503</v>
      </c>
      <c r="L322" s="299">
        <v>44503</v>
      </c>
      <c r="M322" s="299">
        <v>44533</v>
      </c>
      <c r="N322" s="291" t="s">
        <v>7</v>
      </c>
      <c r="O322" s="291" t="s">
        <v>22</v>
      </c>
      <c r="T322" s="291"/>
      <c r="V322" s="291"/>
      <c r="W322" s="291"/>
      <c r="X322" s="292" t="str">
        <f>VLOOKUP(功能_33[[#This Row],[User]],SKL放款!A:G,7,FALSE)</f>
        <v>放款服務課</v>
      </c>
      <c r="Y322" s="299">
        <v>44533</v>
      </c>
      <c r="Z322" s="299" t="s">
        <v>2733</v>
      </c>
      <c r="AA322" s="282">
        <v>44543</v>
      </c>
      <c r="AB322" s="299">
        <v>44543</v>
      </c>
      <c r="AC322" s="299">
        <v>44544</v>
      </c>
      <c r="AD322" s="299"/>
      <c r="AE322" s="299"/>
      <c r="AF322" s="355"/>
      <c r="AG322" s="299" t="str">
        <f>IFERROR(IF(VLOOKUP(功能_33[[#This Row],[功能代號]],E:Q,11,FALSE)=0,"",VLOOKUP(功能_33[[#This Row],[功能代號]],E:Q,11,FALSE)),"")</f>
        <v>許慧玉</v>
      </c>
      <c r="AH322" s="299"/>
      <c r="AI322" s="299"/>
      <c r="AJ322" s="292"/>
      <c r="AK322" s="299"/>
      <c r="AL322" s="631" t="s">
        <v>3138</v>
      </c>
      <c r="AM322" s="292" t="s">
        <v>935</v>
      </c>
      <c r="AN322" s="292" t="str">
        <f>VLOOKUP(功能_33[[#This Row],[功能代號]],需二審tmp!A:A,1,FALSE)</f>
        <v>L8701</v>
      </c>
      <c r="AO322" s="356">
        <v>44533</v>
      </c>
      <c r="AQ322" s="574" t="str">
        <f t="shared" si="33"/>
        <v>8-7</v>
      </c>
      <c r="AR322" s="576" t="str">
        <f t="shared" si="34"/>
        <v/>
      </c>
      <c r="AS322" s="578" t="str">
        <f t="shared" si="35"/>
        <v/>
      </c>
      <c r="AT322" s="580" t="str">
        <f t="shared" si="36"/>
        <v/>
      </c>
      <c r="AU322" s="582" t="str">
        <f t="shared" si="37"/>
        <v/>
      </c>
      <c r="AV322" s="584" t="str">
        <f t="shared" si="38"/>
        <v/>
      </c>
      <c r="AW322" s="662" t="str">
        <f>IFERROR(VLOOKUP(功能_33[[#This Row],[功能代號]],工作表3!C:C,1,FALSE),"未計SIT測試")</f>
        <v>未計SIT測試</v>
      </c>
    </row>
    <row r="323" spans="3:49" ht="13.5" x14ac:dyDescent="0.3">
      <c r="C323" s="292" t="s">
        <v>97</v>
      </c>
      <c r="D323" s="292" t="s">
        <v>3155</v>
      </c>
      <c r="E323" s="291" t="s">
        <v>937</v>
      </c>
      <c r="F323" s="292" t="s">
        <v>938</v>
      </c>
      <c r="G323" s="292"/>
      <c r="H323" s="291" t="s">
        <v>193</v>
      </c>
      <c r="I323" s="291" t="s">
        <v>314</v>
      </c>
      <c r="J323" s="298" t="s">
        <v>3148</v>
      </c>
      <c r="K323" s="299">
        <v>44498</v>
      </c>
      <c r="L323" s="299">
        <v>44498</v>
      </c>
      <c r="M323" s="299">
        <v>44498</v>
      </c>
      <c r="N323" s="291" t="s">
        <v>7</v>
      </c>
      <c r="O323" s="291" t="s">
        <v>24</v>
      </c>
      <c r="T323" s="291"/>
      <c r="V323" s="291"/>
      <c r="W323" s="291"/>
      <c r="X323" s="292" t="str">
        <f>VLOOKUP(功能_33[[#This Row],[User]],SKL放款!A:G,7,FALSE)</f>
        <v>放款服務課</v>
      </c>
      <c r="Y323" s="299">
        <v>44533</v>
      </c>
      <c r="Z323" s="299" t="s">
        <v>2733</v>
      </c>
      <c r="AA323" s="222" t="s">
        <v>3073</v>
      </c>
      <c r="AB323" s="299">
        <v>44544</v>
      </c>
      <c r="AC323" s="299">
        <v>44544</v>
      </c>
      <c r="AD323" s="299"/>
      <c r="AE323" s="299"/>
      <c r="AF323" s="355"/>
      <c r="AG323" s="299" t="str">
        <f>IFERROR(IF(VLOOKUP(功能_33[[#This Row],[功能代號]],E:Q,11,FALSE)=0,"",VLOOKUP(功能_33[[#This Row],[功能代號]],E:Q,11,FALSE)),"")</f>
        <v>邵淑微</v>
      </c>
      <c r="AH323" s="299"/>
      <c r="AI323" s="299"/>
      <c r="AJ323" s="292"/>
      <c r="AK323" s="299"/>
      <c r="AL323" s="291" t="s">
        <v>190</v>
      </c>
      <c r="AN323" s="292" t="e">
        <f>VLOOKUP(功能_33[[#This Row],[功能代號]],需二審tmp!A:A,1,FALSE)</f>
        <v>#N/A</v>
      </c>
      <c r="AO323" s="356">
        <v>44533</v>
      </c>
      <c r="AQ323" s="574" t="str">
        <f t="shared" si="33"/>
        <v>8-2</v>
      </c>
      <c r="AR323" s="576" t="str">
        <f t="shared" si="34"/>
        <v/>
      </c>
      <c r="AS323" s="578" t="str">
        <f t="shared" si="35"/>
        <v/>
      </c>
      <c r="AT323" s="580" t="str">
        <f t="shared" si="36"/>
        <v/>
      </c>
      <c r="AU323" s="582" t="str">
        <f t="shared" si="37"/>
        <v/>
      </c>
      <c r="AV323" s="584" t="str">
        <f t="shared" si="38"/>
        <v/>
      </c>
      <c r="AW323" s="662" t="str">
        <f>IFERROR(VLOOKUP(功能_33[[#This Row],[功能代號]],工作表3!C:C,1,FALSE),"未計SIT測試")</f>
        <v>未計SIT測試</v>
      </c>
    </row>
    <row r="324" spans="3:49" ht="13.5" x14ac:dyDescent="0.3">
      <c r="C324" s="292" t="s">
        <v>97</v>
      </c>
      <c r="D324" s="292" t="s">
        <v>936</v>
      </c>
      <c r="E324" s="291" t="s">
        <v>939</v>
      </c>
      <c r="F324" s="292" t="s">
        <v>940</v>
      </c>
      <c r="G324" s="292"/>
      <c r="H324" s="291" t="s">
        <v>193</v>
      </c>
      <c r="I324" s="291" t="s">
        <v>314</v>
      </c>
      <c r="J324" s="298" t="s">
        <v>3148</v>
      </c>
      <c r="K324" s="299">
        <v>44498</v>
      </c>
      <c r="L324" s="299">
        <v>44498</v>
      </c>
      <c r="M324" s="299">
        <v>44533</v>
      </c>
      <c r="N324" s="291" t="s">
        <v>12</v>
      </c>
      <c r="O324" s="291" t="s">
        <v>24</v>
      </c>
      <c r="T324" s="291"/>
      <c r="V324" s="291"/>
      <c r="W324" s="291"/>
      <c r="X324" s="292" t="str">
        <f>VLOOKUP(功能_33[[#This Row],[User]],SKL放款!A:G,7,FALSE)</f>
        <v>放款服務課</v>
      </c>
      <c r="Y324" s="299">
        <v>44533</v>
      </c>
      <c r="Z324" s="299" t="s">
        <v>2733</v>
      </c>
      <c r="AA324" s="222" t="s">
        <v>3050</v>
      </c>
      <c r="AB324" s="299">
        <v>44544</v>
      </c>
      <c r="AC324" s="299">
        <v>44544</v>
      </c>
      <c r="AD324" s="299"/>
      <c r="AE324" s="299"/>
      <c r="AF324" s="355"/>
      <c r="AG324" s="299" t="str">
        <f>IFERROR(IF(VLOOKUP(功能_33[[#This Row],[功能代號]],E:Q,11,FALSE)=0,"",VLOOKUP(功能_33[[#This Row],[功能代號]],E:Q,11,FALSE)),"")</f>
        <v>邵淑微</v>
      </c>
      <c r="AH324" s="299"/>
      <c r="AI324" s="299"/>
      <c r="AJ324" s="292"/>
      <c r="AK324" s="299"/>
      <c r="AL324" s="303" t="s">
        <v>941</v>
      </c>
      <c r="AM324" s="304" t="s">
        <v>942</v>
      </c>
      <c r="AN324" s="292" t="str">
        <f>VLOOKUP(功能_33[[#This Row],[功能代號]],需二審tmp!A:A,1,FALSE)</f>
        <v>L8201</v>
      </c>
      <c r="AO324" s="356">
        <v>44533</v>
      </c>
      <c r="AQ324" s="574" t="str">
        <f t="shared" si="33"/>
        <v>8-2</v>
      </c>
      <c r="AR324" s="576" t="str">
        <f t="shared" si="34"/>
        <v/>
      </c>
      <c r="AS324" s="578" t="str">
        <f t="shared" si="35"/>
        <v/>
      </c>
      <c r="AT324" s="580" t="str">
        <f t="shared" si="36"/>
        <v/>
      </c>
      <c r="AU324" s="582" t="str">
        <f t="shared" si="37"/>
        <v/>
      </c>
      <c r="AV324" s="584" t="str">
        <f t="shared" si="38"/>
        <v/>
      </c>
      <c r="AW324" s="662" t="str">
        <f>IFERROR(VLOOKUP(功能_33[[#This Row],[功能代號]],工作表3!C:C,1,FALSE),"未計SIT測試")</f>
        <v>未計SIT測試</v>
      </c>
    </row>
    <row r="325" spans="3:49" ht="13.5" x14ac:dyDescent="0.3">
      <c r="C325" s="292" t="s">
        <v>97</v>
      </c>
      <c r="D325" s="292" t="s">
        <v>936</v>
      </c>
      <c r="E325" s="291" t="s">
        <v>943</v>
      </c>
      <c r="F325" s="292" t="s">
        <v>944</v>
      </c>
      <c r="G325" s="292"/>
      <c r="H325" s="291" t="s">
        <v>193</v>
      </c>
      <c r="I325" s="291" t="s">
        <v>314</v>
      </c>
      <c r="J325" s="298" t="s">
        <v>3148</v>
      </c>
      <c r="K325" s="299">
        <v>44498</v>
      </c>
      <c r="L325" s="299">
        <v>44498</v>
      </c>
      <c r="M325" s="299">
        <v>44533</v>
      </c>
      <c r="N325" s="291" t="s">
        <v>7</v>
      </c>
      <c r="O325" s="291" t="s">
        <v>24</v>
      </c>
      <c r="T325" s="291"/>
      <c r="V325" s="291"/>
      <c r="W325" s="291"/>
      <c r="X325" s="292" t="str">
        <f>VLOOKUP(功能_33[[#This Row],[User]],SKL放款!A:G,7,FALSE)</f>
        <v>放款服務課</v>
      </c>
      <c r="Y325" s="299">
        <v>44533</v>
      </c>
      <c r="Z325" s="299" t="s">
        <v>2733</v>
      </c>
      <c r="AA325" s="222" t="s">
        <v>3050</v>
      </c>
      <c r="AB325" s="299">
        <v>44544</v>
      </c>
      <c r="AC325" s="299">
        <v>44544</v>
      </c>
      <c r="AD325" s="299"/>
      <c r="AE325" s="299"/>
      <c r="AF325" s="355"/>
      <c r="AG325" s="299" t="str">
        <f>IFERROR(IF(VLOOKUP(功能_33[[#This Row],[功能代號]],E:Q,11,FALSE)=0,"",VLOOKUP(功能_33[[#This Row],[功能代號]],E:Q,11,FALSE)),"")</f>
        <v>邵淑微</v>
      </c>
      <c r="AH325" s="299"/>
      <c r="AI325" s="299"/>
      <c r="AJ325" s="292"/>
      <c r="AK325" s="299"/>
      <c r="AL325" s="291" t="s">
        <v>190</v>
      </c>
      <c r="AN325" s="292" t="str">
        <f>VLOOKUP(功能_33[[#This Row],[功能代號]],需二審tmp!A:A,1,FALSE)</f>
        <v>L8924</v>
      </c>
      <c r="AO325" s="356">
        <v>44533</v>
      </c>
      <c r="AQ325" s="574" t="str">
        <f t="shared" si="33"/>
        <v>8-2</v>
      </c>
      <c r="AR325" s="576" t="str">
        <f t="shared" si="34"/>
        <v/>
      </c>
      <c r="AS325" s="578" t="str">
        <f t="shared" si="35"/>
        <v/>
      </c>
      <c r="AT325" s="580" t="str">
        <f t="shared" si="36"/>
        <v/>
      </c>
      <c r="AU325" s="582" t="str">
        <f t="shared" si="37"/>
        <v/>
      </c>
      <c r="AV325" s="584" t="str">
        <f t="shared" si="38"/>
        <v/>
      </c>
      <c r="AW325" s="662" t="str">
        <f>IFERROR(VLOOKUP(功能_33[[#This Row],[功能代號]],工作表3!C:C,1,FALSE),"未計SIT測試")</f>
        <v>未計SIT測試</v>
      </c>
    </row>
    <row r="326" spans="3:49" ht="13.5" x14ac:dyDescent="0.3">
      <c r="C326" s="292" t="s">
        <v>97</v>
      </c>
      <c r="D326" s="292" t="s">
        <v>936</v>
      </c>
      <c r="E326" s="291" t="s">
        <v>3134</v>
      </c>
      <c r="F326" s="292" t="s">
        <v>3135</v>
      </c>
      <c r="G326" s="292" t="s">
        <v>3136</v>
      </c>
      <c r="H326" s="291" t="s">
        <v>193</v>
      </c>
      <c r="I326" s="291" t="s">
        <v>314</v>
      </c>
      <c r="J326" s="298" t="s">
        <v>3148</v>
      </c>
      <c r="K326" s="299">
        <v>44498</v>
      </c>
      <c r="L326" s="299">
        <v>44498</v>
      </c>
      <c r="M326" s="299">
        <v>44533</v>
      </c>
      <c r="N326" s="291" t="s">
        <v>7</v>
      </c>
      <c r="O326" s="291" t="s">
        <v>24</v>
      </c>
      <c r="T326" s="291"/>
      <c r="V326" s="291"/>
      <c r="W326" s="291"/>
      <c r="X326" s="292" t="str">
        <f>VLOOKUP(功能_33[[#This Row],[User]],SKL放款!A:G,7,FALSE)</f>
        <v>放款服務課</v>
      </c>
      <c r="Y326" s="299">
        <v>44533</v>
      </c>
      <c r="Z326" s="299" t="s">
        <v>2733</v>
      </c>
      <c r="AA326" s="299">
        <v>44544</v>
      </c>
      <c r="AB326" s="299">
        <v>44544</v>
      </c>
      <c r="AC326" s="299">
        <v>44544</v>
      </c>
      <c r="AD326" s="299"/>
      <c r="AE326" s="299"/>
      <c r="AF326" s="355"/>
      <c r="AG326" s="299" t="str">
        <f>IFERROR(IF(VLOOKUP(功能_33[[#This Row],[功能代號]],E:Q,11,FALSE)=0,"",VLOOKUP(功能_33[[#This Row],[功能代號]],E:Q,11,FALSE)),"")</f>
        <v>邵淑微</v>
      </c>
      <c r="AH326" s="299"/>
      <c r="AI326" s="299"/>
      <c r="AJ326" s="292"/>
      <c r="AK326" s="299"/>
      <c r="AL326" s="291" t="s">
        <v>190</v>
      </c>
      <c r="AN326" s="292" t="e">
        <f>VLOOKUP(功能_33[[#This Row],[功能代號]],需二審tmp!A:A,1,FALSE)</f>
        <v>#N/A</v>
      </c>
      <c r="AO326" s="356">
        <v>44533</v>
      </c>
      <c r="AQ326" s="574" t="str">
        <f t="shared" si="33"/>
        <v>8-2</v>
      </c>
      <c r="AR326" s="576" t="str">
        <f t="shared" si="34"/>
        <v/>
      </c>
      <c r="AS326" s="578" t="str">
        <f t="shared" si="35"/>
        <v/>
      </c>
      <c r="AT326" s="580" t="str">
        <f t="shared" si="36"/>
        <v/>
      </c>
      <c r="AU326" s="582" t="str">
        <f t="shared" si="37"/>
        <v/>
      </c>
      <c r="AV326" s="584" t="str">
        <f t="shared" si="38"/>
        <v/>
      </c>
      <c r="AW326" s="662" t="str">
        <f>IFERROR(VLOOKUP(功能_33[[#This Row],[功能代號]],工作表3!C:C,1,FALSE),"未計SIT測試")</f>
        <v>未計SIT測試</v>
      </c>
    </row>
    <row r="327" spans="3:49" ht="13.5" x14ac:dyDescent="0.3">
      <c r="C327" s="292" t="s">
        <v>97</v>
      </c>
      <c r="D327" s="292" t="s">
        <v>936</v>
      </c>
      <c r="E327" s="291" t="s">
        <v>945</v>
      </c>
      <c r="F327" s="292" t="s">
        <v>946</v>
      </c>
      <c r="G327" s="292"/>
      <c r="H327" s="291" t="s">
        <v>193</v>
      </c>
      <c r="I327" s="291" t="s">
        <v>314</v>
      </c>
      <c r="J327" s="298" t="s">
        <v>3148</v>
      </c>
      <c r="K327" s="299">
        <v>44498</v>
      </c>
      <c r="L327" s="299">
        <v>44498</v>
      </c>
      <c r="M327" s="299">
        <v>44537</v>
      </c>
      <c r="N327" s="291" t="s">
        <v>7</v>
      </c>
      <c r="O327" s="291" t="s">
        <v>24</v>
      </c>
      <c r="T327" s="291"/>
      <c r="V327" s="291"/>
      <c r="W327" s="291"/>
      <c r="X327" s="292" t="str">
        <f>VLOOKUP(功能_33[[#This Row],[User]],SKL放款!A:G,7,FALSE)</f>
        <v>放款服務課</v>
      </c>
      <c r="Y327" s="299">
        <v>44537</v>
      </c>
      <c r="Z327" s="299" t="s">
        <v>2733</v>
      </c>
      <c r="AA327" s="222" t="s">
        <v>3050</v>
      </c>
      <c r="AB327" s="299">
        <v>44544</v>
      </c>
      <c r="AC327" s="299">
        <v>44544</v>
      </c>
      <c r="AD327" s="299"/>
      <c r="AE327" s="299"/>
      <c r="AF327" s="355"/>
      <c r="AG327" s="299" t="str">
        <f>IFERROR(IF(VLOOKUP(功能_33[[#This Row],[功能代號]],E:Q,11,FALSE)=0,"",VLOOKUP(功能_33[[#This Row],[功能代號]],E:Q,11,FALSE)),"")</f>
        <v>邵淑微</v>
      </c>
      <c r="AH327" s="299"/>
      <c r="AI327" s="299"/>
      <c r="AJ327" s="292"/>
      <c r="AK327" s="299"/>
      <c r="AL327" s="291" t="s">
        <v>3139</v>
      </c>
      <c r="AM327" s="288" t="s">
        <v>947</v>
      </c>
      <c r="AN327" s="292" t="str">
        <f>VLOOKUP(功能_33[[#This Row],[功能代號]],需二審tmp!A:A,1,FALSE)</f>
        <v>L8202</v>
      </c>
      <c r="AO327" s="356">
        <v>44533</v>
      </c>
      <c r="AQ327" s="574" t="str">
        <f t="shared" si="33"/>
        <v>8-2</v>
      </c>
      <c r="AR327" s="576" t="str">
        <f t="shared" si="34"/>
        <v/>
      </c>
      <c r="AS327" s="578" t="str">
        <f t="shared" si="35"/>
        <v/>
      </c>
      <c r="AT327" s="580" t="str">
        <f t="shared" si="36"/>
        <v/>
      </c>
      <c r="AU327" s="582" t="str">
        <f t="shared" si="37"/>
        <v/>
      </c>
      <c r="AV327" s="584" t="str">
        <f t="shared" si="38"/>
        <v/>
      </c>
      <c r="AW327" s="662" t="str">
        <f>IFERROR(VLOOKUP(功能_33[[#This Row],[功能代號]],工作表3!C:C,1,FALSE),"未計SIT測試")</f>
        <v>未計SIT測試</v>
      </c>
    </row>
    <row r="328" spans="3:49" ht="13.5" x14ac:dyDescent="0.3">
      <c r="C328" s="292" t="s">
        <v>97</v>
      </c>
      <c r="D328" s="292" t="s">
        <v>936</v>
      </c>
      <c r="E328" s="291" t="s">
        <v>948</v>
      </c>
      <c r="F328" s="292" t="s">
        <v>949</v>
      </c>
      <c r="G328" s="292"/>
      <c r="H328" s="291" t="s">
        <v>193</v>
      </c>
      <c r="I328" s="291" t="s">
        <v>314</v>
      </c>
      <c r="J328" s="298" t="s">
        <v>3148</v>
      </c>
      <c r="K328" s="299">
        <v>44498</v>
      </c>
      <c r="L328" s="299">
        <v>44498</v>
      </c>
      <c r="M328" s="299">
        <v>44498</v>
      </c>
      <c r="N328" s="291" t="s">
        <v>12</v>
      </c>
      <c r="O328" s="291" t="s">
        <v>11</v>
      </c>
      <c r="T328" s="291"/>
      <c r="V328" s="291"/>
      <c r="W328" s="291"/>
      <c r="X328" s="292" t="str">
        <f>VLOOKUP(功能_33[[#This Row],[User]],SKL放款!A:G,7,FALSE)</f>
        <v>放款服務課</v>
      </c>
      <c r="Y328" s="299">
        <v>44533</v>
      </c>
      <c r="Z328" s="299" t="s">
        <v>195</v>
      </c>
      <c r="AA328" s="299">
        <v>44498</v>
      </c>
      <c r="AB328" s="299">
        <v>44544</v>
      </c>
      <c r="AC328" s="299">
        <v>44544</v>
      </c>
      <c r="AD328" s="299"/>
      <c r="AE328" s="299"/>
      <c r="AF328" s="355"/>
      <c r="AG328" s="299" t="str">
        <f>IFERROR(IF(VLOOKUP(功能_33[[#This Row],[功能代號]],E:Q,11,FALSE)=0,"",VLOOKUP(功能_33[[#This Row],[功能代號]],E:Q,11,FALSE)),"")</f>
        <v>蔡珮瑜</v>
      </c>
      <c r="AH328" s="299"/>
      <c r="AI328" s="299"/>
      <c r="AJ328" s="292"/>
      <c r="AK328" s="299"/>
      <c r="AL328" s="303" t="s">
        <v>950</v>
      </c>
      <c r="AM328" s="304" t="s">
        <v>951</v>
      </c>
      <c r="AN328" s="292" t="e">
        <f>VLOOKUP(功能_33[[#This Row],[功能代號]],需二審tmp!A:A,1,FALSE)</f>
        <v>#N/A</v>
      </c>
      <c r="AO328" s="356">
        <v>44533</v>
      </c>
      <c r="AQ328" s="574" t="str">
        <f t="shared" si="33"/>
        <v>8-2</v>
      </c>
      <c r="AR328" s="576" t="str">
        <f t="shared" si="34"/>
        <v/>
      </c>
      <c r="AS328" s="578" t="str">
        <f t="shared" si="35"/>
        <v/>
      </c>
      <c r="AT328" s="580" t="str">
        <f t="shared" si="36"/>
        <v/>
      </c>
      <c r="AU328" s="582" t="str">
        <f t="shared" si="37"/>
        <v/>
      </c>
      <c r="AV328" s="584" t="str">
        <f t="shared" si="38"/>
        <v/>
      </c>
      <c r="AW328" s="662" t="str">
        <f>IFERROR(VLOOKUP(功能_33[[#This Row],[功能代號]],工作表3!C:C,1,FALSE),"未計SIT測試")</f>
        <v>未計SIT測試</v>
      </c>
    </row>
    <row r="329" spans="3:49" ht="13.5" x14ac:dyDescent="0.3">
      <c r="C329" s="292" t="s">
        <v>97</v>
      </c>
      <c r="D329" s="292" t="s">
        <v>936</v>
      </c>
      <c r="E329" s="291" t="s">
        <v>952</v>
      </c>
      <c r="F329" s="292" t="s">
        <v>951</v>
      </c>
      <c r="G329" s="292"/>
      <c r="H329" s="291" t="s">
        <v>193</v>
      </c>
      <c r="I329" s="291" t="s">
        <v>314</v>
      </c>
      <c r="J329" s="298" t="s">
        <v>3148</v>
      </c>
      <c r="K329" s="299">
        <v>44498</v>
      </c>
      <c r="L329" s="299">
        <v>44498</v>
      </c>
      <c r="M329" s="299">
        <v>44533</v>
      </c>
      <c r="N329" s="291" t="s">
        <v>12</v>
      </c>
      <c r="O329" s="291" t="s">
        <v>24</v>
      </c>
      <c r="T329" s="291"/>
      <c r="V329" s="291"/>
      <c r="W329" s="291"/>
      <c r="X329" s="292" t="str">
        <f>VLOOKUP(功能_33[[#This Row],[User]],SKL放款!A:G,7,FALSE)</f>
        <v>放款服務課</v>
      </c>
      <c r="Y329" s="299">
        <v>44533</v>
      </c>
      <c r="Z329" s="299" t="s">
        <v>2733</v>
      </c>
      <c r="AA329" s="222" t="s">
        <v>3050</v>
      </c>
      <c r="AB329" s="299">
        <v>44544</v>
      </c>
      <c r="AC329" s="299">
        <v>44544</v>
      </c>
      <c r="AD329" s="299"/>
      <c r="AE329" s="299"/>
      <c r="AF329" s="355"/>
      <c r="AG329" s="299" t="str">
        <f>IFERROR(IF(VLOOKUP(功能_33[[#This Row],[功能代號]],E:Q,11,FALSE)=0,"",VLOOKUP(功能_33[[#This Row],[功能代號]],E:Q,11,FALSE)),"")</f>
        <v>邵淑微</v>
      </c>
      <c r="AH329" s="299"/>
      <c r="AI329" s="299"/>
      <c r="AJ329" s="292"/>
      <c r="AK329" s="299"/>
      <c r="AL329" s="303" t="s">
        <v>950</v>
      </c>
      <c r="AM329" s="304" t="s">
        <v>951</v>
      </c>
      <c r="AN329" s="292" t="str">
        <f>VLOOKUP(功能_33[[#This Row],[功能代號]],需二審tmp!A:A,1,FALSE)</f>
        <v>L8203</v>
      </c>
      <c r="AO329" s="356">
        <v>44533</v>
      </c>
      <c r="AQ329" s="574" t="str">
        <f t="shared" si="33"/>
        <v>8-2</v>
      </c>
      <c r="AR329" s="576" t="str">
        <f t="shared" si="34"/>
        <v/>
      </c>
      <c r="AS329" s="578" t="str">
        <f t="shared" si="35"/>
        <v/>
      </c>
      <c r="AT329" s="580" t="str">
        <f t="shared" si="36"/>
        <v/>
      </c>
      <c r="AU329" s="582" t="str">
        <f t="shared" si="37"/>
        <v/>
      </c>
      <c r="AV329" s="584" t="str">
        <f t="shared" si="38"/>
        <v/>
      </c>
      <c r="AW329" s="662" t="str">
        <f>IFERROR(VLOOKUP(功能_33[[#This Row],[功能代號]],工作表3!C:C,1,FALSE),"未計SIT測試")</f>
        <v>未計SIT測試</v>
      </c>
    </row>
    <row r="330" spans="3:49" ht="13.5" x14ac:dyDescent="0.3">
      <c r="C330" s="292" t="s">
        <v>97</v>
      </c>
      <c r="D330" s="292" t="s">
        <v>936</v>
      </c>
      <c r="E330" s="291" t="s">
        <v>953</v>
      </c>
      <c r="F330" s="292" t="s">
        <v>954</v>
      </c>
      <c r="G330" s="292"/>
      <c r="H330" s="291" t="s">
        <v>193</v>
      </c>
      <c r="I330" s="291" t="s">
        <v>314</v>
      </c>
      <c r="J330" s="298" t="s">
        <v>3148</v>
      </c>
      <c r="K330" s="299">
        <v>44498</v>
      </c>
      <c r="L330" s="299">
        <v>44498</v>
      </c>
      <c r="M330" s="299">
        <v>44533</v>
      </c>
      <c r="N330" s="291" t="s">
        <v>12</v>
      </c>
      <c r="O330" s="291" t="s">
        <v>11</v>
      </c>
      <c r="T330" s="291"/>
      <c r="V330" s="291"/>
      <c r="W330" s="291"/>
      <c r="X330" s="292" t="str">
        <f>VLOOKUP(功能_33[[#This Row],[User]],SKL放款!A:G,7,FALSE)</f>
        <v>放款服務課</v>
      </c>
      <c r="Y330" s="299">
        <v>44533</v>
      </c>
      <c r="Z330" s="299" t="s">
        <v>2733</v>
      </c>
      <c r="AA330" s="299" t="s">
        <v>2958</v>
      </c>
      <c r="AB330" s="299">
        <v>44544</v>
      </c>
      <c r="AC330" s="299">
        <v>44544</v>
      </c>
      <c r="AD330" s="299"/>
      <c r="AE330" s="299"/>
      <c r="AF330" s="355"/>
      <c r="AG330" s="299" t="str">
        <f>IFERROR(IF(VLOOKUP(功能_33[[#This Row],[功能代號]],E:Q,11,FALSE)=0,"",VLOOKUP(功能_33[[#This Row],[功能代號]],E:Q,11,FALSE)),"")</f>
        <v>蔡珮瑜</v>
      </c>
      <c r="AH330" s="299"/>
      <c r="AI330" s="299"/>
      <c r="AJ330" s="292"/>
      <c r="AK330" s="299"/>
      <c r="AL330" s="303" t="s">
        <v>955</v>
      </c>
      <c r="AM330" s="304" t="s">
        <v>956</v>
      </c>
      <c r="AN330" s="292" t="str">
        <f>VLOOKUP(功能_33[[#This Row],[功能代號]],需二審tmp!A:A,1,FALSE)</f>
        <v>L8923</v>
      </c>
      <c r="AO330" s="356">
        <v>44533</v>
      </c>
      <c r="AQ330" s="574" t="str">
        <f t="shared" si="33"/>
        <v>8-2</v>
      </c>
      <c r="AR330" s="576" t="str">
        <f t="shared" si="34"/>
        <v/>
      </c>
      <c r="AS330" s="578" t="str">
        <f t="shared" si="35"/>
        <v/>
      </c>
      <c r="AT330" s="580" t="str">
        <f t="shared" si="36"/>
        <v/>
      </c>
      <c r="AU330" s="582" t="str">
        <f t="shared" si="37"/>
        <v/>
      </c>
      <c r="AV330" s="584" t="str">
        <f t="shared" si="38"/>
        <v/>
      </c>
      <c r="AW330" s="662" t="str">
        <f>IFERROR(VLOOKUP(功能_33[[#This Row],[功能代號]],工作表3!C:C,1,FALSE),"未計SIT測試")</f>
        <v>未計SIT測試</v>
      </c>
    </row>
    <row r="331" spans="3:49" ht="13.5" x14ac:dyDescent="0.3">
      <c r="C331" s="292" t="s">
        <v>97</v>
      </c>
      <c r="D331" s="292" t="s">
        <v>936</v>
      </c>
      <c r="E331" s="291" t="s">
        <v>957</v>
      </c>
      <c r="F331" s="292" t="s">
        <v>958</v>
      </c>
      <c r="G331" s="292"/>
      <c r="H331" s="291" t="s">
        <v>193</v>
      </c>
      <c r="I331" s="291" t="s">
        <v>314</v>
      </c>
      <c r="J331" s="298" t="s">
        <v>3148</v>
      </c>
      <c r="K331" s="299">
        <v>44498</v>
      </c>
      <c r="L331" s="299">
        <v>44498</v>
      </c>
      <c r="M331" s="299">
        <v>44533</v>
      </c>
      <c r="N331" s="291" t="s">
        <v>12</v>
      </c>
      <c r="O331" s="291" t="s">
        <v>172</v>
      </c>
      <c r="P331" s="270" t="s">
        <v>14</v>
      </c>
      <c r="T331" s="291"/>
      <c r="V331" s="291"/>
      <c r="W331" s="291"/>
      <c r="X331" s="292" t="str">
        <f>VLOOKUP(功能_33[[#This Row],[User]],SKL放款!A:G,7,FALSE)</f>
        <v>放款服務課</v>
      </c>
      <c r="Y331" s="299">
        <v>44533</v>
      </c>
      <c r="Z331" s="299" t="s">
        <v>133</v>
      </c>
      <c r="AA331" s="299" t="s">
        <v>2958</v>
      </c>
      <c r="AB331" s="299">
        <v>44544</v>
      </c>
      <c r="AC331" s="299">
        <v>44544</v>
      </c>
      <c r="AD331" s="299"/>
      <c r="AE331" s="299"/>
      <c r="AF331" s="355"/>
      <c r="AG331" s="299" t="str">
        <f>IFERROR(IF(VLOOKUP(功能_33[[#This Row],[功能代號]],E:Q,11,FALSE)=0,"",VLOOKUP(功能_33[[#This Row],[功能代號]],E:Q,11,FALSE)),"")</f>
        <v>陳政皓</v>
      </c>
      <c r="AH331" s="299"/>
      <c r="AI331" s="299"/>
      <c r="AJ331" s="292"/>
      <c r="AK331" s="299">
        <v>44482</v>
      </c>
      <c r="AL331" s="303" t="s">
        <v>955</v>
      </c>
      <c r="AM331" s="304" t="s">
        <v>956</v>
      </c>
      <c r="AN331" s="292" t="str">
        <f>VLOOKUP(功能_33[[#This Row],[功能代號]],需二審tmp!A:A,1,FALSE)</f>
        <v>L8204</v>
      </c>
      <c r="AO331" s="356">
        <v>44533</v>
      </c>
      <c r="AQ331" s="574" t="str">
        <f t="shared" si="33"/>
        <v>8-2</v>
      </c>
      <c r="AR331" s="576" t="str">
        <f t="shared" si="34"/>
        <v/>
      </c>
      <c r="AS331" s="578" t="str">
        <f t="shared" si="35"/>
        <v/>
      </c>
      <c r="AT331" s="580" t="str">
        <f t="shared" si="36"/>
        <v/>
      </c>
      <c r="AU331" s="582" t="str">
        <f t="shared" si="37"/>
        <v/>
      </c>
      <c r="AV331" s="584" t="str">
        <f t="shared" si="38"/>
        <v/>
      </c>
      <c r="AW331" s="662" t="str">
        <f>IFERROR(VLOOKUP(功能_33[[#This Row],[功能代號]],工作表3!C:C,1,FALSE),"未計SIT測試")</f>
        <v>未計SIT測試</v>
      </c>
    </row>
    <row r="332" spans="3:49" ht="13.5" x14ac:dyDescent="0.3">
      <c r="C332" s="292" t="s">
        <v>97</v>
      </c>
      <c r="D332" s="292" t="s">
        <v>936</v>
      </c>
      <c r="E332" s="291" t="s">
        <v>2823</v>
      </c>
      <c r="F332" s="292" t="s">
        <v>2824</v>
      </c>
      <c r="G332" s="292" t="s">
        <v>2825</v>
      </c>
      <c r="H332" s="291" t="s">
        <v>193</v>
      </c>
      <c r="I332" s="291" t="s">
        <v>314</v>
      </c>
      <c r="J332" s="298" t="s">
        <v>3148</v>
      </c>
      <c r="K332" s="299">
        <v>44498</v>
      </c>
      <c r="L332" s="299">
        <v>44498</v>
      </c>
      <c r="M332" s="299">
        <v>44533</v>
      </c>
      <c r="N332" s="291" t="s">
        <v>12</v>
      </c>
      <c r="O332" s="291" t="s">
        <v>172</v>
      </c>
      <c r="P332" s="270" t="s">
        <v>14</v>
      </c>
      <c r="T332" s="291"/>
      <c r="V332" s="291"/>
      <c r="W332" s="291"/>
      <c r="X332" s="292" t="str">
        <f>VLOOKUP(功能_33[[#This Row],[User]],SKL放款!A:G,7,FALSE)</f>
        <v>放款服務課</v>
      </c>
      <c r="Y332" s="299">
        <v>44533</v>
      </c>
      <c r="Z332" s="299" t="s">
        <v>2791</v>
      </c>
      <c r="AA332" s="299" t="s">
        <v>2958</v>
      </c>
      <c r="AB332" s="299">
        <v>44544</v>
      </c>
      <c r="AC332" s="299">
        <v>44544</v>
      </c>
      <c r="AD332" s="299"/>
      <c r="AE332" s="299"/>
      <c r="AF332" s="355"/>
      <c r="AG332" s="299" t="str">
        <f>IFERROR(IF(VLOOKUP(功能_33[[#This Row],[功能代號]],E:Q,11,FALSE)=0,"",VLOOKUP(功能_33[[#This Row],[功能代號]],E:Q,11,FALSE)),"")</f>
        <v>陳政皓</v>
      </c>
      <c r="AH332" s="299"/>
      <c r="AI332" s="299"/>
      <c r="AJ332" s="292"/>
      <c r="AK332" s="299">
        <v>44482</v>
      </c>
      <c r="AL332" s="303" t="s">
        <v>955</v>
      </c>
      <c r="AM332" s="304" t="s">
        <v>956</v>
      </c>
      <c r="AN332" s="292" t="e">
        <f>VLOOKUP(功能_33[[#This Row],[功能代號]],需二審tmp!A:A,1,FALSE)</f>
        <v>#N/A</v>
      </c>
      <c r="AO332" s="356">
        <v>44533</v>
      </c>
      <c r="AQ332" s="574" t="str">
        <f t="shared" si="33"/>
        <v>8-2</v>
      </c>
      <c r="AR332" s="576" t="str">
        <f t="shared" si="34"/>
        <v/>
      </c>
      <c r="AS332" s="578" t="str">
        <f t="shared" si="35"/>
        <v/>
      </c>
      <c r="AT332" s="580" t="str">
        <f t="shared" si="36"/>
        <v/>
      </c>
      <c r="AU332" s="582" t="str">
        <f t="shared" si="37"/>
        <v/>
      </c>
      <c r="AV332" s="584" t="str">
        <f t="shared" si="38"/>
        <v/>
      </c>
      <c r="AW332" s="662" t="str">
        <f>IFERROR(VLOOKUP(功能_33[[#This Row],[功能代號]],工作表3!C:C,1,FALSE),"未計SIT測試")</f>
        <v>未計SIT測試</v>
      </c>
    </row>
    <row r="333" spans="3:49" ht="13.5" x14ac:dyDescent="0.3">
      <c r="C333" s="292" t="s">
        <v>94</v>
      </c>
      <c r="D333" s="292" t="s">
        <v>2818</v>
      </c>
      <c r="E333" s="291" t="s">
        <v>959</v>
      </c>
      <c r="F333" s="292" t="s">
        <v>960</v>
      </c>
      <c r="G333" s="292"/>
      <c r="H333" s="291" t="s">
        <v>193</v>
      </c>
      <c r="I333" s="291" t="s">
        <v>203</v>
      </c>
      <c r="J333" s="298" t="s">
        <v>3131</v>
      </c>
      <c r="K333" s="299">
        <v>44524</v>
      </c>
      <c r="L333" s="299">
        <v>44524</v>
      </c>
      <c r="M333" s="299">
        <v>44540</v>
      </c>
      <c r="N333" s="291" t="s">
        <v>12</v>
      </c>
      <c r="O333" s="291" t="s">
        <v>24</v>
      </c>
      <c r="T333" s="291"/>
      <c r="V333" s="291"/>
      <c r="W333" s="291"/>
      <c r="X333" s="292" t="str">
        <f>VLOOKUP(功能_33[[#This Row],[User]],SKL放款!A:G,7,FALSE)</f>
        <v>放款服務課</v>
      </c>
      <c r="Y333" s="299">
        <v>44533</v>
      </c>
      <c r="Z333" s="299">
        <v>44531</v>
      </c>
      <c r="AA333" s="299">
        <v>44531</v>
      </c>
      <c r="AB333" s="299">
        <v>44531</v>
      </c>
      <c r="AC333" s="299">
        <v>44544</v>
      </c>
      <c r="AD333" s="299"/>
      <c r="AE333" s="299"/>
      <c r="AF333" s="355"/>
      <c r="AG333" s="299" t="str">
        <f>IFERROR(IF(VLOOKUP(功能_33[[#This Row],[功能代號]],E:Q,11,FALSE)=0,"",VLOOKUP(功能_33[[#This Row],[功能代號]],E:Q,11,FALSE)),"")</f>
        <v>邵淑微</v>
      </c>
      <c r="AH333" s="299"/>
      <c r="AI333" s="299"/>
      <c r="AJ333" s="292"/>
      <c r="AK333" s="299"/>
      <c r="AL333" s="291" t="s">
        <v>2976</v>
      </c>
      <c r="AN333" s="292" t="e">
        <f>VLOOKUP(功能_33[[#This Row],[功能代號]],需二審tmp!A:A,1,FALSE)</f>
        <v>#N/A</v>
      </c>
      <c r="AO333" s="356">
        <v>44533</v>
      </c>
      <c r="AQ333" s="574" t="str">
        <f t="shared" si="33"/>
        <v>5-1</v>
      </c>
      <c r="AR333" s="576" t="str">
        <f t="shared" si="34"/>
        <v/>
      </c>
      <c r="AS333" s="578" t="str">
        <f t="shared" si="35"/>
        <v/>
      </c>
      <c r="AT333" s="580" t="str">
        <f t="shared" si="36"/>
        <v/>
      </c>
      <c r="AU333" s="582" t="str">
        <f t="shared" si="37"/>
        <v/>
      </c>
      <c r="AV333" s="584" t="str">
        <f t="shared" si="38"/>
        <v/>
      </c>
      <c r="AW333" s="662" t="str">
        <f>IFERROR(VLOOKUP(功能_33[[#This Row],[功能代號]],工作表3!C:C,1,FALSE),"未計SIT測試")</f>
        <v>未計SIT測試</v>
      </c>
    </row>
    <row r="334" spans="3:49" ht="13.5" x14ac:dyDescent="0.3">
      <c r="C334" s="292" t="s">
        <v>94</v>
      </c>
      <c r="D334" s="292" t="s">
        <v>2817</v>
      </c>
      <c r="E334" s="291" t="s">
        <v>961</v>
      </c>
      <c r="F334" s="270" t="s">
        <v>962</v>
      </c>
      <c r="G334" s="270"/>
      <c r="H334" s="291" t="s">
        <v>193</v>
      </c>
      <c r="I334" s="291" t="s">
        <v>314</v>
      </c>
      <c r="J334" s="298" t="s">
        <v>3131</v>
      </c>
      <c r="K334" s="299">
        <v>44503</v>
      </c>
      <c r="L334" s="299">
        <v>44503</v>
      </c>
      <c r="M334" s="299">
        <v>44533</v>
      </c>
      <c r="N334" s="291" t="s">
        <v>8</v>
      </c>
      <c r="O334" s="291" t="s">
        <v>24</v>
      </c>
      <c r="T334" s="291"/>
      <c r="V334" s="291"/>
      <c r="W334" s="291"/>
      <c r="X334" s="292" t="str">
        <f>VLOOKUP(功能_33[[#This Row],[User]],SKL放款!A:G,7,FALSE)</f>
        <v>放款服務課</v>
      </c>
      <c r="Y334" s="299">
        <v>44533</v>
      </c>
      <c r="Z334" s="299" t="s">
        <v>2733</v>
      </c>
      <c r="AA334" s="222" t="s">
        <v>3051</v>
      </c>
      <c r="AB334" s="299">
        <v>44544</v>
      </c>
      <c r="AC334" s="299">
        <v>44544</v>
      </c>
      <c r="AD334" s="299"/>
      <c r="AE334" s="299"/>
      <c r="AF334" s="355"/>
      <c r="AG334" s="299" t="str">
        <f>IFERROR(IF(VLOOKUP(功能_33[[#This Row],[功能代號]],E:Q,11,FALSE)=0,"",VLOOKUP(功能_33[[#This Row],[功能代號]],E:Q,11,FALSE)),"")</f>
        <v>邵淑微</v>
      </c>
      <c r="AH334" s="299"/>
      <c r="AI334" s="299"/>
      <c r="AJ334" s="292"/>
      <c r="AK334" s="299"/>
      <c r="AL334" s="291" t="s">
        <v>190</v>
      </c>
      <c r="AN334" s="292" t="str">
        <f>VLOOKUP(功能_33[[#This Row],[功能代號]],需二審tmp!A:A,1,FALSE)</f>
        <v>L5982</v>
      </c>
      <c r="AO334" s="356">
        <v>44533</v>
      </c>
      <c r="AQ334" s="574" t="str">
        <f t="shared" si="33"/>
        <v>5-7</v>
      </c>
      <c r="AR334" s="576" t="str">
        <f t="shared" si="34"/>
        <v/>
      </c>
      <c r="AS334" s="578" t="str">
        <f t="shared" si="35"/>
        <v/>
      </c>
      <c r="AT334" s="580" t="str">
        <f t="shared" si="36"/>
        <v/>
      </c>
      <c r="AU334" s="582" t="str">
        <f t="shared" si="37"/>
        <v/>
      </c>
      <c r="AV334" s="584" t="str">
        <f t="shared" si="38"/>
        <v/>
      </c>
      <c r="AW334" s="662" t="str">
        <f>IFERROR(VLOOKUP(功能_33[[#This Row],[功能代號]],工作表3!C:C,1,FALSE),"未計SIT測試")</f>
        <v>未計SIT測試</v>
      </c>
    </row>
    <row r="335" spans="3:49" ht="13.5" x14ac:dyDescent="0.3">
      <c r="C335" s="292" t="s">
        <v>94</v>
      </c>
      <c r="D335" s="292" t="s">
        <v>2817</v>
      </c>
      <c r="E335" s="291" t="s">
        <v>963</v>
      </c>
      <c r="F335" s="292" t="s">
        <v>964</v>
      </c>
      <c r="G335" s="292"/>
      <c r="H335" s="291" t="s">
        <v>193</v>
      </c>
      <c r="I335" s="291" t="s">
        <v>314</v>
      </c>
      <c r="J335" s="298" t="s">
        <v>3131</v>
      </c>
      <c r="K335" s="299">
        <v>44503</v>
      </c>
      <c r="L335" s="299">
        <v>44503</v>
      </c>
      <c r="M335" s="299">
        <v>44533</v>
      </c>
      <c r="N335" s="291" t="s">
        <v>8</v>
      </c>
      <c r="O335" s="291" t="s">
        <v>24</v>
      </c>
      <c r="T335" s="291"/>
      <c r="V335" s="291"/>
      <c r="W335" s="291"/>
      <c r="X335" s="292" t="str">
        <f>VLOOKUP(功能_33[[#This Row],[User]],SKL放款!A:G,7,FALSE)</f>
        <v>放款服務課</v>
      </c>
      <c r="Y335" s="299">
        <v>44533</v>
      </c>
      <c r="Z335" s="299" t="s">
        <v>2733</v>
      </c>
      <c r="AA335" s="222" t="s">
        <v>3074</v>
      </c>
      <c r="AB335" s="299">
        <v>44544</v>
      </c>
      <c r="AC335" s="299">
        <v>44544</v>
      </c>
      <c r="AD335" s="299"/>
      <c r="AE335" s="299"/>
      <c r="AF335" s="355"/>
      <c r="AG335" s="299" t="str">
        <f>IFERROR(IF(VLOOKUP(功能_33[[#This Row],[功能代號]],E:Q,11,FALSE)=0,"",VLOOKUP(功能_33[[#This Row],[功能代號]],E:Q,11,FALSE)),"")</f>
        <v>邵淑微</v>
      </c>
      <c r="AH335" s="299"/>
      <c r="AI335" s="299"/>
      <c r="AJ335" s="292"/>
      <c r="AK335" s="299"/>
      <c r="AL335" s="291" t="s">
        <v>190</v>
      </c>
      <c r="AN335" s="292" t="str">
        <f>VLOOKUP(功能_33[[#This Row],[功能代號]],需二審tmp!A:A,1,FALSE)</f>
        <v>L5812</v>
      </c>
      <c r="AO335" s="356">
        <v>44533</v>
      </c>
      <c r="AQ335" s="574" t="str">
        <f t="shared" si="33"/>
        <v>5-7</v>
      </c>
      <c r="AR335" s="576" t="str">
        <f t="shared" si="34"/>
        <v/>
      </c>
      <c r="AS335" s="578" t="str">
        <f t="shared" si="35"/>
        <v/>
      </c>
      <c r="AT335" s="580" t="str">
        <f t="shared" si="36"/>
        <v/>
      </c>
      <c r="AU335" s="582" t="str">
        <f t="shared" si="37"/>
        <v/>
      </c>
      <c r="AV335" s="584" t="str">
        <f t="shared" si="38"/>
        <v/>
      </c>
      <c r="AW335" s="662" t="str">
        <f>IFERROR(VLOOKUP(功能_33[[#This Row],[功能代號]],工作表3!C:C,1,FALSE),"未計SIT測試")</f>
        <v>未計SIT測試</v>
      </c>
    </row>
    <row r="336" spans="3:49" ht="13.5" x14ac:dyDescent="0.3">
      <c r="C336" s="292" t="s">
        <v>94</v>
      </c>
      <c r="D336" s="292" t="s">
        <v>2817</v>
      </c>
      <c r="E336" s="291" t="s">
        <v>965</v>
      </c>
      <c r="F336" s="292" t="s">
        <v>966</v>
      </c>
      <c r="G336" s="292"/>
      <c r="H336" s="291" t="s">
        <v>193</v>
      </c>
      <c r="I336" s="291" t="s">
        <v>314</v>
      </c>
      <c r="J336" s="298" t="s">
        <v>3131</v>
      </c>
      <c r="K336" s="299">
        <v>44503</v>
      </c>
      <c r="L336" s="299">
        <v>44503</v>
      </c>
      <c r="M336" s="299">
        <v>44533</v>
      </c>
      <c r="N336" s="291" t="s">
        <v>8</v>
      </c>
      <c r="O336" s="291" t="s">
        <v>24</v>
      </c>
      <c r="T336" s="291"/>
      <c r="V336" s="291"/>
      <c r="W336" s="291"/>
      <c r="X336" s="292" t="str">
        <f>VLOOKUP(功能_33[[#This Row],[User]],SKL放款!A:G,7,FALSE)</f>
        <v>放款服務課</v>
      </c>
      <c r="Y336" s="299">
        <v>44533</v>
      </c>
      <c r="Z336" s="299" t="s">
        <v>2733</v>
      </c>
      <c r="AA336" s="222" t="s">
        <v>3051</v>
      </c>
      <c r="AB336" s="299">
        <v>44539</v>
      </c>
      <c r="AC336" s="299">
        <v>44544</v>
      </c>
      <c r="AD336" s="299"/>
      <c r="AE336" s="299"/>
      <c r="AF336" s="355"/>
      <c r="AG336" s="299" t="str">
        <f>IFERROR(IF(VLOOKUP(功能_33[[#This Row],[功能代號]],E:Q,11,FALSE)=0,"",VLOOKUP(功能_33[[#This Row],[功能代號]],E:Q,11,FALSE)),"")</f>
        <v>邵淑微</v>
      </c>
      <c r="AH336" s="299"/>
      <c r="AI336" s="299"/>
      <c r="AJ336" s="292"/>
      <c r="AK336" s="299"/>
      <c r="AL336" s="291" t="s">
        <v>190</v>
      </c>
      <c r="AN336" s="292" t="str">
        <f>VLOOKUP(功能_33[[#This Row],[功能代號]],需二審tmp!A:A,1,FALSE)</f>
        <v>L5811</v>
      </c>
      <c r="AO336" s="356">
        <v>44533</v>
      </c>
      <c r="AQ336" s="574" t="str">
        <f t="shared" si="33"/>
        <v>5-7</v>
      </c>
      <c r="AR336" s="576" t="str">
        <f t="shared" si="34"/>
        <v/>
      </c>
      <c r="AS336" s="578" t="str">
        <f t="shared" si="35"/>
        <v/>
      </c>
      <c r="AT336" s="580" t="str">
        <f t="shared" si="36"/>
        <v/>
      </c>
      <c r="AU336" s="582" t="str">
        <f t="shared" si="37"/>
        <v/>
      </c>
      <c r="AV336" s="584" t="str">
        <f t="shared" si="38"/>
        <v/>
      </c>
      <c r="AW336" s="662" t="str">
        <f>IFERROR(VLOOKUP(功能_33[[#This Row],[功能代號]],工作表3!C:C,1,FALSE),"未計SIT測試")</f>
        <v>未計SIT測試</v>
      </c>
    </row>
    <row r="337" spans="3:49" ht="13.5" x14ac:dyDescent="0.3">
      <c r="C337" s="292" t="s">
        <v>94</v>
      </c>
      <c r="D337" s="292" t="s">
        <v>2817</v>
      </c>
      <c r="E337" s="291" t="s">
        <v>967</v>
      </c>
      <c r="F337" s="292" t="s">
        <v>968</v>
      </c>
      <c r="G337" s="292"/>
      <c r="H337" s="291" t="s">
        <v>193</v>
      </c>
      <c r="I337" s="291" t="s">
        <v>314</v>
      </c>
      <c r="J337" s="298" t="s">
        <v>3131</v>
      </c>
      <c r="K337" s="299">
        <v>44503</v>
      </c>
      <c r="L337" s="299">
        <v>44503</v>
      </c>
      <c r="M337" s="299">
        <v>44533</v>
      </c>
      <c r="N337" s="291" t="s">
        <v>8</v>
      </c>
      <c r="O337" s="291" t="s">
        <v>24</v>
      </c>
      <c r="T337" s="291"/>
      <c r="V337" s="291"/>
      <c r="W337" s="291"/>
      <c r="X337" s="292" t="str">
        <f>VLOOKUP(功能_33[[#This Row],[User]],SKL放款!A:G,7,FALSE)</f>
        <v>放款服務課</v>
      </c>
      <c r="Y337" s="299">
        <v>44533</v>
      </c>
      <c r="Z337" s="299" t="s">
        <v>2733</v>
      </c>
      <c r="AA337" s="222" t="s">
        <v>3051</v>
      </c>
      <c r="AB337" s="299">
        <v>44539</v>
      </c>
      <c r="AC337" s="299">
        <v>44544</v>
      </c>
      <c r="AD337" s="299"/>
      <c r="AE337" s="299"/>
      <c r="AF337" s="355"/>
      <c r="AG337" s="299" t="str">
        <f>IFERROR(IF(VLOOKUP(功能_33[[#This Row],[功能代號]],E:Q,11,FALSE)=0,"",VLOOKUP(功能_33[[#This Row],[功能代號]],E:Q,11,FALSE)),"")</f>
        <v>邵淑微</v>
      </c>
      <c r="AH337" s="299"/>
      <c r="AI337" s="299"/>
      <c r="AJ337" s="292"/>
      <c r="AK337" s="299"/>
      <c r="AL337" s="291" t="s">
        <v>190</v>
      </c>
      <c r="AN337" s="292" t="str">
        <f>VLOOKUP(功能_33[[#This Row],[功能代號]],需二審tmp!A:A,1,FALSE)</f>
        <v>L5813</v>
      </c>
      <c r="AO337" s="356">
        <v>44533</v>
      </c>
      <c r="AQ337" s="574" t="str">
        <f t="shared" si="33"/>
        <v>5-7</v>
      </c>
      <c r="AR337" s="576" t="str">
        <f t="shared" si="34"/>
        <v/>
      </c>
      <c r="AS337" s="578" t="str">
        <f t="shared" si="35"/>
        <v/>
      </c>
      <c r="AT337" s="580" t="str">
        <f t="shared" si="36"/>
        <v/>
      </c>
      <c r="AU337" s="582" t="str">
        <f t="shared" si="37"/>
        <v/>
      </c>
      <c r="AV337" s="584" t="str">
        <f t="shared" si="38"/>
        <v/>
      </c>
      <c r="AW337" s="662" t="str">
        <f>IFERROR(VLOOKUP(功能_33[[#This Row],[功能代號]],工作表3!C:C,1,FALSE),"未計SIT測試")</f>
        <v>未計SIT測試</v>
      </c>
    </row>
    <row r="338" spans="3:49" ht="13.5" x14ac:dyDescent="0.3">
      <c r="C338" s="292" t="s">
        <v>94</v>
      </c>
      <c r="D338" s="292" t="s">
        <v>2818</v>
      </c>
      <c r="E338" s="291" t="s">
        <v>969</v>
      </c>
      <c r="F338" s="292" t="s">
        <v>970</v>
      </c>
      <c r="G338" s="292"/>
      <c r="H338" s="291" t="s">
        <v>193</v>
      </c>
      <c r="I338" s="291" t="s">
        <v>314</v>
      </c>
      <c r="J338" s="298" t="s">
        <v>3131</v>
      </c>
      <c r="K338" s="299">
        <v>44504</v>
      </c>
      <c r="L338" s="299">
        <v>44505</v>
      </c>
      <c r="M338" s="299">
        <v>44505</v>
      </c>
      <c r="N338" s="291" t="s">
        <v>8</v>
      </c>
      <c r="O338" s="291" t="s">
        <v>11</v>
      </c>
      <c r="T338" s="291"/>
      <c r="V338" s="291"/>
      <c r="W338" s="291"/>
      <c r="X338" s="292" t="str">
        <f>VLOOKUP(功能_33[[#This Row],[User]],SKL放款!A:G,7,FALSE)</f>
        <v>放款服務課</v>
      </c>
      <c r="Y338" s="299">
        <v>44533</v>
      </c>
      <c r="Z338" s="299" t="s">
        <v>195</v>
      </c>
      <c r="AA338" s="299">
        <v>44505</v>
      </c>
      <c r="AB338" s="299">
        <v>44505</v>
      </c>
      <c r="AC338" s="299">
        <v>44544</v>
      </c>
      <c r="AD338" s="299"/>
      <c r="AE338" s="299"/>
      <c r="AF338" s="355"/>
      <c r="AG338" s="299" t="str">
        <f>IFERROR(IF(VLOOKUP(功能_33[[#This Row],[功能代號]],E:Q,11,FALSE)=0,"",VLOOKUP(功能_33[[#This Row],[功能代號]],E:Q,11,FALSE)),"")</f>
        <v>蔡珮瑜</v>
      </c>
      <c r="AH338" s="299"/>
      <c r="AI338" s="299"/>
      <c r="AJ338" s="292"/>
      <c r="AK338" s="299"/>
      <c r="AL338" s="303" t="s">
        <v>971</v>
      </c>
      <c r="AM338" s="304" t="s">
        <v>972</v>
      </c>
      <c r="AN338" s="292" t="e">
        <f>VLOOKUP(功能_33[[#This Row],[功能代號]],需二審tmp!A:A,1,FALSE)</f>
        <v>#N/A</v>
      </c>
      <c r="AO338" s="356">
        <v>44526</v>
      </c>
      <c r="AQ338" s="574" t="str">
        <f t="shared" si="33"/>
        <v>5-1</v>
      </c>
      <c r="AR338" s="576" t="str">
        <f t="shared" si="34"/>
        <v/>
      </c>
      <c r="AS338" s="578" t="str">
        <f t="shared" si="35"/>
        <v/>
      </c>
      <c r="AT338" s="580" t="str">
        <f t="shared" si="36"/>
        <v/>
      </c>
      <c r="AU338" s="582" t="str">
        <f t="shared" si="37"/>
        <v/>
      </c>
      <c r="AV338" s="584" t="str">
        <f t="shared" si="38"/>
        <v/>
      </c>
      <c r="AW338" s="662" t="str">
        <f>IFERROR(VLOOKUP(功能_33[[#This Row],[功能代號]],工作表3!C:C,1,FALSE),"未計SIT測試")</f>
        <v>L5901</v>
      </c>
    </row>
    <row r="339" spans="3:49" ht="13.5" x14ac:dyDescent="0.3">
      <c r="C339" s="292" t="s">
        <v>94</v>
      </c>
      <c r="D339" s="292" t="s">
        <v>2818</v>
      </c>
      <c r="E339" s="291" t="s">
        <v>973</v>
      </c>
      <c r="F339" s="292" t="s">
        <v>974</v>
      </c>
      <c r="G339" s="292"/>
      <c r="H339" s="291" t="s">
        <v>193</v>
      </c>
      <c r="I339" s="291" t="s">
        <v>314</v>
      </c>
      <c r="J339" s="298" t="s">
        <v>3131</v>
      </c>
      <c r="K339" s="299">
        <v>44504</v>
      </c>
      <c r="L339" s="299">
        <v>44505</v>
      </c>
      <c r="M339" s="299">
        <v>44513</v>
      </c>
      <c r="N339" s="291" t="s">
        <v>8</v>
      </c>
      <c r="O339" s="291" t="s">
        <v>11</v>
      </c>
      <c r="T339" s="291"/>
      <c r="V339" s="291"/>
      <c r="W339" s="291"/>
      <c r="X339" s="292" t="str">
        <f>VLOOKUP(功能_33[[#This Row],[User]],SKL放款!A:G,7,FALSE)</f>
        <v>放款服務課</v>
      </c>
      <c r="Y339" s="299">
        <v>44513</v>
      </c>
      <c r="Z339" s="299" t="s">
        <v>2733</v>
      </c>
      <c r="AA339" s="299">
        <v>44543</v>
      </c>
      <c r="AB339" s="299">
        <v>44543</v>
      </c>
      <c r="AC339" s="299">
        <v>44544</v>
      </c>
      <c r="AD339" s="299"/>
      <c r="AE339" s="299"/>
      <c r="AF339" s="355"/>
      <c r="AG339" s="299" t="str">
        <f>IFERROR(IF(VLOOKUP(功能_33[[#This Row],[功能代號]],E:Q,11,FALSE)=0,"",VLOOKUP(功能_33[[#This Row],[功能代號]],E:Q,11,FALSE)),"")</f>
        <v>蔡珮瑜</v>
      </c>
      <c r="AH339" s="299"/>
      <c r="AI339" s="299"/>
      <c r="AJ339" s="292"/>
      <c r="AK339" s="299"/>
      <c r="AL339" s="303" t="s">
        <v>971</v>
      </c>
      <c r="AM339" s="304" t="s">
        <v>975</v>
      </c>
      <c r="AN339" s="292" t="str">
        <f>VLOOKUP(功能_33[[#This Row],[功能代號]],需二審tmp!A:A,1,FALSE)</f>
        <v>L5101</v>
      </c>
      <c r="AO339" s="356">
        <v>44526</v>
      </c>
      <c r="AQ339" s="574" t="str">
        <f t="shared" si="33"/>
        <v>5-1</v>
      </c>
      <c r="AR339" s="576" t="str">
        <f t="shared" si="34"/>
        <v/>
      </c>
      <c r="AS339" s="578" t="str">
        <f t="shared" si="35"/>
        <v/>
      </c>
      <c r="AT339" s="580" t="str">
        <f t="shared" si="36"/>
        <v/>
      </c>
      <c r="AU339" s="582" t="str">
        <f t="shared" si="37"/>
        <v/>
      </c>
      <c r="AV339" s="584" t="str">
        <f t="shared" si="38"/>
        <v/>
      </c>
      <c r="AW339" s="662" t="str">
        <f>IFERROR(VLOOKUP(功能_33[[#This Row],[功能代號]],工作表3!C:C,1,FALSE),"未計SIT測試")</f>
        <v>L5101</v>
      </c>
    </row>
    <row r="340" spans="3:49" ht="13.5" x14ac:dyDescent="0.3">
      <c r="C340" s="292" t="s">
        <v>94</v>
      </c>
      <c r="D340" s="292" t="s">
        <v>2818</v>
      </c>
      <c r="E340" s="291" t="s">
        <v>976</v>
      </c>
      <c r="F340" s="292" t="s">
        <v>977</v>
      </c>
      <c r="G340" s="292"/>
      <c r="H340" s="291" t="s">
        <v>193</v>
      </c>
      <c r="I340" s="291" t="s">
        <v>137</v>
      </c>
      <c r="J340" s="298" t="s">
        <v>3131</v>
      </c>
      <c r="K340" s="299">
        <v>44504</v>
      </c>
      <c r="L340" s="299">
        <v>44503</v>
      </c>
      <c r="M340" s="299">
        <v>44533</v>
      </c>
      <c r="N340" s="291" t="s">
        <v>8</v>
      </c>
      <c r="O340" s="291" t="s">
        <v>28</v>
      </c>
      <c r="T340" s="291"/>
      <c r="V340" s="291"/>
      <c r="W340" s="291"/>
      <c r="X340" s="292" t="str">
        <f>VLOOKUP(功能_33[[#This Row],[User]],SKL放款!A:G,7,FALSE)</f>
        <v>放款審查課</v>
      </c>
      <c r="Y340" s="299">
        <v>44533</v>
      </c>
      <c r="Z340" s="299">
        <v>44526</v>
      </c>
      <c r="AA340" s="299">
        <v>44526</v>
      </c>
      <c r="AB340" s="299">
        <v>44526</v>
      </c>
      <c r="AC340" s="299">
        <v>44544</v>
      </c>
      <c r="AD340" s="299"/>
      <c r="AE340" s="299"/>
      <c r="AF340" s="355"/>
      <c r="AG340" s="299" t="str">
        <f>IFERROR(IF(VLOOKUP(功能_33[[#This Row],[功能代號]],E:Q,11,FALSE)=0,"",VLOOKUP(功能_33[[#This Row],[功能代號]],E:Q,11,FALSE)),"")</f>
        <v>施美娟</v>
      </c>
      <c r="AH340" s="299"/>
      <c r="AI340" s="299"/>
      <c r="AJ340" s="292"/>
      <c r="AK340" s="299"/>
      <c r="AL340" s="303" t="s">
        <v>978</v>
      </c>
      <c r="AM340" s="304" t="s">
        <v>979</v>
      </c>
      <c r="AN340" s="292" t="str">
        <f>VLOOKUP(功能_33[[#This Row],[功能代號]],需二審tmp!A:A,1,FALSE)</f>
        <v>L5902</v>
      </c>
      <c r="AO340" s="356">
        <v>44526</v>
      </c>
      <c r="AQ340" s="574" t="str">
        <f t="shared" si="33"/>
        <v>5-1</v>
      </c>
      <c r="AR340" s="576" t="str">
        <f t="shared" si="34"/>
        <v/>
      </c>
      <c r="AS340" s="578" t="str">
        <f t="shared" si="35"/>
        <v/>
      </c>
      <c r="AT340" s="580" t="str">
        <f t="shared" si="36"/>
        <v/>
      </c>
      <c r="AU340" s="582" t="str">
        <f t="shared" si="37"/>
        <v/>
      </c>
      <c r="AV340" s="584" t="str">
        <f t="shared" si="38"/>
        <v/>
      </c>
      <c r="AW340" s="662" t="str">
        <f>IFERROR(VLOOKUP(功能_33[[#This Row],[功能代號]],工作表3!C:C,1,FALSE),"未計SIT測試")</f>
        <v>L5902</v>
      </c>
    </row>
    <row r="341" spans="3:49" ht="13.5" x14ac:dyDescent="0.3">
      <c r="C341" s="292" t="s">
        <v>94</v>
      </c>
      <c r="D341" s="292" t="s">
        <v>2818</v>
      </c>
      <c r="E341" s="291" t="s">
        <v>980</v>
      </c>
      <c r="F341" s="292" t="s">
        <v>981</v>
      </c>
      <c r="G341" s="292"/>
      <c r="H341" s="291" t="s">
        <v>193</v>
      </c>
      <c r="I341" s="291" t="s">
        <v>137</v>
      </c>
      <c r="J341" s="298" t="s">
        <v>3131</v>
      </c>
      <c r="K341" s="299">
        <v>44504</v>
      </c>
      <c r="L341" s="299">
        <v>44503</v>
      </c>
      <c r="M341" s="299">
        <v>44533</v>
      </c>
      <c r="N341" s="291" t="s">
        <v>8</v>
      </c>
      <c r="O341" s="291" t="s">
        <v>28</v>
      </c>
      <c r="T341" s="291"/>
      <c r="V341" s="291"/>
      <c r="W341" s="291"/>
      <c r="X341" s="292" t="str">
        <f>VLOOKUP(功能_33[[#This Row],[User]],SKL放款!A:G,7,FALSE)</f>
        <v>放款審查課</v>
      </c>
      <c r="Y341" s="299">
        <v>44533</v>
      </c>
      <c r="Z341" s="299">
        <v>44526</v>
      </c>
      <c r="AA341" s="299">
        <v>44526</v>
      </c>
      <c r="AB341" s="299">
        <v>44526</v>
      </c>
      <c r="AC341" s="299">
        <v>44544</v>
      </c>
      <c r="AD341" s="299"/>
      <c r="AE341" s="299"/>
      <c r="AF341" s="355"/>
      <c r="AG341" s="299" t="str">
        <f>IFERROR(IF(VLOOKUP(功能_33[[#This Row],[功能代號]],E:Q,11,FALSE)=0,"",VLOOKUP(功能_33[[#This Row],[功能代號]],E:Q,11,FALSE)),"")</f>
        <v>施美娟</v>
      </c>
      <c r="AH341" s="299"/>
      <c r="AI341" s="299"/>
      <c r="AJ341" s="292"/>
      <c r="AK341" s="299"/>
      <c r="AL341" s="303" t="s">
        <v>978</v>
      </c>
      <c r="AM341" s="304" t="s">
        <v>979</v>
      </c>
      <c r="AN341" s="292" t="str">
        <f>VLOOKUP(功能_33[[#This Row],[功能代號]],需二審tmp!A:A,1,FALSE)</f>
        <v>L5102</v>
      </c>
      <c r="AO341" s="356">
        <v>44526</v>
      </c>
      <c r="AQ341" s="574" t="str">
        <f t="shared" si="33"/>
        <v>5-1</v>
      </c>
      <c r="AR341" s="576" t="str">
        <f t="shared" si="34"/>
        <v/>
      </c>
      <c r="AS341" s="578" t="str">
        <f t="shared" si="35"/>
        <v/>
      </c>
      <c r="AT341" s="580" t="str">
        <f t="shared" si="36"/>
        <v/>
      </c>
      <c r="AU341" s="582" t="str">
        <f t="shared" si="37"/>
        <v/>
      </c>
      <c r="AV341" s="584" t="str">
        <f t="shared" si="38"/>
        <v/>
      </c>
      <c r="AW341" s="662" t="str">
        <f>IFERROR(VLOOKUP(功能_33[[#This Row],[功能代號]],工作表3!C:C,1,FALSE),"未計SIT測試")</f>
        <v>L5102</v>
      </c>
    </row>
    <row r="342" spans="3:49" ht="13.5" x14ac:dyDescent="0.3">
      <c r="C342" s="292" t="s">
        <v>94</v>
      </c>
      <c r="D342" s="292" t="s">
        <v>2818</v>
      </c>
      <c r="E342" s="291" t="s">
        <v>982</v>
      </c>
      <c r="F342" s="292" t="s">
        <v>983</v>
      </c>
      <c r="G342" s="292"/>
      <c r="H342" s="291" t="s">
        <v>193</v>
      </c>
      <c r="I342" s="291" t="s">
        <v>314</v>
      </c>
      <c r="J342" s="298" t="s">
        <v>3131</v>
      </c>
      <c r="K342" s="299">
        <v>44504</v>
      </c>
      <c r="L342" s="299">
        <v>44505</v>
      </c>
      <c r="M342" s="299">
        <v>44513</v>
      </c>
      <c r="N342" s="291" t="s">
        <v>8</v>
      </c>
      <c r="O342" s="291" t="s">
        <v>11</v>
      </c>
      <c r="T342" s="291"/>
      <c r="V342" s="291"/>
      <c r="W342" s="291"/>
      <c r="X342" s="292" t="str">
        <f>VLOOKUP(功能_33[[#This Row],[User]],SKL放款!A:G,7,FALSE)</f>
        <v>放款服務課</v>
      </c>
      <c r="Y342" s="299">
        <v>44513</v>
      </c>
      <c r="Z342" s="299" t="s">
        <v>2733</v>
      </c>
      <c r="AA342" s="299">
        <v>44543</v>
      </c>
      <c r="AB342" s="299">
        <v>44543</v>
      </c>
      <c r="AC342" s="299">
        <v>44544</v>
      </c>
      <c r="AD342" s="299"/>
      <c r="AE342" s="299"/>
      <c r="AF342" s="355"/>
      <c r="AG342" s="299" t="str">
        <f>IFERROR(IF(VLOOKUP(功能_33[[#This Row],[功能代號]],E:Q,11,FALSE)=0,"",VLOOKUP(功能_33[[#This Row],[功能代號]],E:Q,11,FALSE)),"")</f>
        <v>蔡珮瑜</v>
      </c>
      <c r="AH342" s="299"/>
      <c r="AI342" s="299"/>
      <c r="AJ342" s="292"/>
      <c r="AK342" s="299"/>
      <c r="AL342" s="303" t="s">
        <v>984</v>
      </c>
      <c r="AM342" s="304" t="s">
        <v>985</v>
      </c>
      <c r="AN342" s="292" t="str">
        <f>VLOOKUP(功能_33[[#This Row],[功能代號]],需二審tmp!A:A,1,FALSE)</f>
        <v>L5903</v>
      </c>
      <c r="AO342" s="356">
        <v>44526</v>
      </c>
      <c r="AQ342" s="574" t="str">
        <f t="shared" si="33"/>
        <v>5-1</v>
      </c>
      <c r="AR342" s="576" t="str">
        <f t="shared" si="34"/>
        <v/>
      </c>
      <c r="AS342" s="578" t="str">
        <f t="shared" si="35"/>
        <v/>
      </c>
      <c r="AT342" s="580" t="str">
        <f t="shared" si="36"/>
        <v/>
      </c>
      <c r="AU342" s="582" t="str">
        <f t="shared" si="37"/>
        <v/>
      </c>
      <c r="AV342" s="584" t="str">
        <f t="shared" si="38"/>
        <v/>
      </c>
      <c r="AW342" s="662" t="str">
        <f>IFERROR(VLOOKUP(功能_33[[#This Row],[功能代號]],工作表3!C:C,1,FALSE),"未計SIT測試")</f>
        <v>未計SIT測試</v>
      </c>
    </row>
    <row r="343" spans="3:49" ht="13.5" x14ac:dyDescent="0.3">
      <c r="C343" s="292" t="s">
        <v>94</v>
      </c>
      <c r="D343" s="292" t="s">
        <v>2818</v>
      </c>
      <c r="E343" s="291" t="s">
        <v>986</v>
      </c>
      <c r="F343" s="292" t="s">
        <v>987</v>
      </c>
      <c r="G343" s="292"/>
      <c r="H343" s="291" t="s">
        <v>193</v>
      </c>
      <c r="I343" s="291" t="s">
        <v>314</v>
      </c>
      <c r="J343" s="298" t="s">
        <v>3131</v>
      </c>
      <c r="K343" s="299">
        <v>44504</v>
      </c>
      <c r="L343" s="299">
        <v>44505</v>
      </c>
      <c r="M343" s="299">
        <v>44513</v>
      </c>
      <c r="N343" s="291" t="s">
        <v>8</v>
      </c>
      <c r="O343" s="291" t="s">
        <v>11</v>
      </c>
      <c r="T343" s="291"/>
      <c r="V343" s="291"/>
      <c r="W343" s="291"/>
      <c r="X343" s="292" t="str">
        <f>VLOOKUP(功能_33[[#This Row],[User]],SKL放款!A:G,7,FALSE)</f>
        <v>放款服務課</v>
      </c>
      <c r="Y343" s="299">
        <v>44513</v>
      </c>
      <c r="Z343" s="299" t="s">
        <v>2733</v>
      </c>
      <c r="AA343" s="299">
        <v>44543</v>
      </c>
      <c r="AB343" s="299">
        <v>44543</v>
      </c>
      <c r="AC343" s="299">
        <v>44544</v>
      </c>
      <c r="AD343" s="299"/>
      <c r="AE343" s="299"/>
      <c r="AF343" s="355"/>
      <c r="AG343" s="299" t="str">
        <f>IFERROR(IF(VLOOKUP(功能_33[[#This Row],[功能代號]],E:Q,11,FALSE)=0,"",VLOOKUP(功能_33[[#This Row],[功能代號]],E:Q,11,FALSE)),"")</f>
        <v>蔡珮瑜</v>
      </c>
      <c r="AH343" s="299"/>
      <c r="AI343" s="299"/>
      <c r="AJ343" s="292"/>
      <c r="AK343" s="299"/>
      <c r="AL343" s="303" t="s">
        <v>984</v>
      </c>
      <c r="AM343" s="304" t="s">
        <v>985</v>
      </c>
      <c r="AN343" s="292" t="str">
        <f>VLOOKUP(功能_33[[#This Row],[功能代號]],需二審tmp!A:A,1,FALSE)</f>
        <v>L5103</v>
      </c>
      <c r="AQ343" s="574" t="str">
        <f t="shared" si="33"/>
        <v>5-1</v>
      </c>
      <c r="AR343" s="576" t="str">
        <f t="shared" si="34"/>
        <v/>
      </c>
      <c r="AS343" s="578" t="str">
        <f t="shared" si="35"/>
        <v/>
      </c>
      <c r="AT343" s="580" t="str">
        <f t="shared" si="36"/>
        <v/>
      </c>
      <c r="AU343" s="582" t="str">
        <f t="shared" si="37"/>
        <v/>
      </c>
      <c r="AV343" s="584" t="str">
        <f t="shared" si="38"/>
        <v/>
      </c>
      <c r="AW343" s="662" t="str">
        <f>IFERROR(VLOOKUP(功能_33[[#This Row],[功能代號]],工作表3!C:C,1,FALSE),"未計SIT測試")</f>
        <v>未計SIT測試</v>
      </c>
    </row>
    <row r="344" spans="3:49" ht="13.5" x14ac:dyDescent="0.3">
      <c r="C344" s="292" t="s">
        <v>94</v>
      </c>
      <c r="D344" s="292" t="s">
        <v>2818</v>
      </c>
      <c r="E344" s="291" t="s">
        <v>988</v>
      </c>
      <c r="F344" s="292" t="s">
        <v>989</v>
      </c>
      <c r="G344" s="292"/>
      <c r="H344" s="291" t="s">
        <v>193</v>
      </c>
      <c r="I344" s="291" t="s">
        <v>314</v>
      </c>
      <c r="J344" s="298" t="s">
        <v>3131</v>
      </c>
      <c r="K344" s="299">
        <v>44504</v>
      </c>
      <c r="L344" s="299">
        <v>44505</v>
      </c>
      <c r="M344" s="299">
        <v>44513</v>
      </c>
      <c r="N344" s="291" t="s">
        <v>8</v>
      </c>
      <c r="O344" s="291" t="s">
        <v>11</v>
      </c>
      <c r="T344" s="291"/>
      <c r="V344" s="291"/>
      <c r="W344" s="291"/>
      <c r="X344" s="292" t="str">
        <f>VLOOKUP(功能_33[[#This Row],[User]],SKL放款!A:G,7,FALSE)</f>
        <v>放款服務課</v>
      </c>
      <c r="Y344" s="299">
        <v>44513</v>
      </c>
      <c r="Z344" s="299" t="s">
        <v>2733</v>
      </c>
      <c r="AA344" s="299">
        <v>44543</v>
      </c>
      <c r="AB344" s="299">
        <v>44543</v>
      </c>
      <c r="AC344" s="299">
        <v>44544</v>
      </c>
      <c r="AD344" s="299"/>
      <c r="AE344" s="299"/>
      <c r="AF344" s="355"/>
      <c r="AG344" s="299" t="str">
        <f>IFERROR(IF(VLOOKUP(功能_33[[#This Row],[功能代號]],E:Q,11,FALSE)=0,"",VLOOKUP(功能_33[[#This Row],[功能代號]],E:Q,11,FALSE)),"")</f>
        <v>蔡珮瑜</v>
      </c>
      <c r="AH344" s="299"/>
      <c r="AI344" s="299"/>
      <c r="AJ344" s="292"/>
      <c r="AK344" s="299"/>
      <c r="AL344" s="303" t="s">
        <v>990</v>
      </c>
      <c r="AM344" s="304" t="s">
        <v>991</v>
      </c>
      <c r="AN344" s="292" t="str">
        <f>VLOOKUP(功能_33[[#This Row],[功能代號]],需二審tmp!A:A,1,FALSE)</f>
        <v>L5104</v>
      </c>
      <c r="AO344" s="356">
        <v>44526</v>
      </c>
      <c r="AQ344" s="574" t="str">
        <f t="shared" si="33"/>
        <v>5-1</v>
      </c>
      <c r="AR344" s="576" t="str">
        <f t="shared" si="34"/>
        <v/>
      </c>
      <c r="AS344" s="578" t="str">
        <f t="shared" si="35"/>
        <v/>
      </c>
      <c r="AT344" s="580" t="str">
        <f t="shared" si="36"/>
        <v/>
      </c>
      <c r="AU344" s="582" t="str">
        <f t="shared" si="37"/>
        <v/>
      </c>
      <c r="AV344" s="584" t="str">
        <f t="shared" si="38"/>
        <v/>
      </c>
      <c r="AW344" s="662" t="str">
        <f>IFERROR(VLOOKUP(功能_33[[#This Row],[功能代號]],工作表3!C:C,1,FALSE),"未計SIT測試")</f>
        <v>未計SIT測試</v>
      </c>
    </row>
    <row r="345" spans="3:49" ht="13.5" x14ac:dyDescent="0.3">
      <c r="C345" s="292" t="s">
        <v>94</v>
      </c>
      <c r="D345" s="292" t="s">
        <v>2818</v>
      </c>
      <c r="E345" s="291" t="s">
        <v>992</v>
      </c>
      <c r="F345" s="292" t="s">
        <v>3137</v>
      </c>
      <c r="G345" s="292"/>
      <c r="H345" s="291" t="s">
        <v>193</v>
      </c>
      <c r="I345" s="291" t="s">
        <v>137</v>
      </c>
      <c r="J345" s="298" t="s">
        <v>3131</v>
      </c>
      <c r="K345" s="299">
        <v>44505</v>
      </c>
      <c r="L345" s="299">
        <v>44504</v>
      </c>
      <c r="M345" s="299">
        <v>44533</v>
      </c>
      <c r="N345" s="291" t="s">
        <v>10</v>
      </c>
      <c r="O345" s="291" t="s">
        <v>25</v>
      </c>
      <c r="P345" s="270" t="s">
        <v>21</v>
      </c>
      <c r="T345" s="291"/>
      <c r="V345" s="291"/>
      <c r="W345" s="291"/>
      <c r="X345" s="292" t="str">
        <f>VLOOKUP(功能_33[[#This Row],[User]],SKL放款!A:G,7,FALSE)</f>
        <v>放款管理課</v>
      </c>
      <c r="Y345" s="299">
        <v>44533</v>
      </c>
      <c r="Z345" s="299" t="s">
        <v>133</v>
      </c>
      <c r="AA345" s="299">
        <v>44525</v>
      </c>
      <c r="AB345" s="299">
        <v>44525</v>
      </c>
      <c r="AC345" s="299">
        <v>44544</v>
      </c>
      <c r="AD345" s="299"/>
      <c r="AE345" s="299"/>
      <c r="AF345" s="355"/>
      <c r="AG345" s="299" t="str">
        <f>IFERROR(IF(VLOOKUP(功能_33[[#This Row],[功能代號]],E:Q,11,FALSE)=0,"",VLOOKUP(功能_33[[#This Row],[功能代號]],E:Q,11,FALSE)),"")</f>
        <v>邱怡婷</v>
      </c>
      <c r="AH345" s="299"/>
      <c r="AI345" s="299"/>
      <c r="AJ345" s="292"/>
      <c r="AK345" s="299"/>
      <c r="AL345" s="303" t="s">
        <v>3144</v>
      </c>
      <c r="AM345" s="292" t="s">
        <v>3145</v>
      </c>
      <c r="AN345" s="292" t="str">
        <f>VLOOKUP(功能_33[[#This Row],[功能代號]],需二審tmp!A:A,1,FALSE)</f>
        <v>L5905</v>
      </c>
      <c r="AO345" s="356">
        <v>44526</v>
      </c>
      <c r="AQ345" s="574" t="str">
        <f t="shared" si="33"/>
        <v>5-1</v>
      </c>
      <c r="AR345" s="576" t="str">
        <f t="shared" si="34"/>
        <v/>
      </c>
      <c r="AS345" s="578" t="str">
        <f t="shared" si="35"/>
        <v/>
      </c>
      <c r="AT345" s="580" t="str">
        <f t="shared" si="36"/>
        <v/>
      </c>
      <c r="AU345" s="582" t="str">
        <f t="shared" si="37"/>
        <v/>
      </c>
      <c r="AV345" s="584" t="str">
        <f t="shared" si="38"/>
        <v/>
      </c>
      <c r="AW345" s="662" t="str">
        <f>IFERROR(VLOOKUP(功能_33[[#This Row],[功能代號]],工作表3!C:C,1,FALSE),"未計SIT測試")</f>
        <v>未計SIT測試</v>
      </c>
    </row>
    <row r="346" spans="3:49" ht="13.5" x14ac:dyDescent="0.3">
      <c r="C346" s="292" t="s">
        <v>94</v>
      </c>
      <c r="D346" s="292" t="s">
        <v>2818</v>
      </c>
      <c r="E346" s="291" t="s">
        <v>994</v>
      </c>
      <c r="F346" s="292" t="s">
        <v>995</v>
      </c>
      <c r="G346" s="292"/>
      <c r="H346" s="291" t="s">
        <v>193</v>
      </c>
      <c r="I346" s="291" t="s">
        <v>137</v>
      </c>
      <c r="J346" s="298" t="s">
        <v>3131</v>
      </c>
      <c r="K346" s="299">
        <v>44505</v>
      </c>
      <c r="L346" s="299">
        <v>44504</v>
      </c>
      <c r="M346" s="299">
        <v>44533</v>
      </c>
      <c r="N346" s="291" t="s">
        <v>10</v>
      </c>
      <c r="O346" s="291" t="s">
        <v>25</v>
      </c>
      <c r="P346" s="270" t="s">
        <v>21</v>
      </c>
      <c r="T346" s="291"/>
      <c r="V346" s="291"/>
      <c r="W346" s="291"/>
      <c r="X346" s="292" t="str">
        <f>VLOOKUP(功能_33[[#This Row],[User]],SKL放款!A:G,7,FALSE)</f>
        <v>放款管理課</v>
      </c>
      <c r="Y346" s="299">
        <v>44533</v>
      </c>
      <c r="Z346" s="299" t="s">
        <v>133</v>
      </c>
      <c r="AA346" s="299">
        <v>44525</v>
      </c>
      <c r="AB346" s="299">
        <v>44525</v>
      </c>
      <c r="AC346" s="299">
        <v>44544</v>
      </c>
      <c r="AD346" s="299"/>
      <c r="AE346" s="299"/>
      <c r="AF346" s="355"/>
      <c r="AG346" s="299" t="str">
        <f>IFERROR(IF(VLOOKUP(功能_33[[#This Row],[功能代號]],E:Q,11,FALSE)=0,"",VLOOKUP(功能_33[[#This Row],[功能代號]],E:Q,11,FALSE)),"")</f>
        <v>邱怡婷</v>
      </c>
      <c r="AH346" s="299"/>
      <c r="AI346" s="299"/>
      <c r="AJ346" s="292"/>
      <c r="AK346" s="299"/>
      <c r="AL346" s="303" t="s">
        <v>3144</v>
      </c>
      <c r="AM346" s="292" t="s">
        <v>3145</v>
      </c>
      <c r="AN346" s="292" t="str">
        <f>VLOOKUP(功能_33[[#This Row],[功能代號]],需二審tmp!A:A,1,FALSE)</f>
        <v>L5105</v>
      </c>
      <c r="AO346" s="356">
        <v>44526</v>
      </c>
      <c r="AQ346" s="574" t="str">
        <f t="shared" si="33"/>
        <v>5-1</v>
      </c>
      <c r="AR346" s="576" t="str">
        <f t="shared" si="34"/>
        <v/>
      </c>
      <c r="AS346" s="578" t="str">
        <f t="shared" si="35"/>
        <v/>
      </c>
      <c r="AT346" s="580" t="str">
        <f t="shared" si="36"/>
        <v/>
      </c>
      <c r="AU346" s="582" t="str">
        <f t="shared" si="37"/>
        <v/>
      </c>
      <c r="AV346" s="584" t="str">
        <f t="shared" si="38"/>
        <v/>
      </c>
      <c r="AW346" s="662" t="str">
        <f>IFERROR(VLOOKUP(功能_33[[#This Row],[功能代號]],工作表3!C:C,1,FALSE),"未計SIT測試")</f>
        <v>未計SIT測試</v>
      </c>
    </row>
    <row r="347" spans="3:49" ht="13.5" x14ac:dyDescent="0.3">
      <c r="C347" s="292" t="s">
        <v>94</v>
      </c>
      <c r="D347" s="292" t="s">
        <v>2818</v>
      </c>
      <c r="E347" s="291" t="s">
        <v>996</v>
      </c>
      <c r="F347" s="292" t="s">
        <v>997</v>
      </c>
      <c r="G347" s="292"/>
      <c r="H347" s="291" t="s">
        <v>193</v>
      </c>
      <c r="I347" s="291" t="s">
        <v>137</v>
      </c>
      <c r="J347" s="298" t="s">
        <v>3131</v>
      </c>
      <c r="K347" s="299">
        <v>44505</v>
      </c>
      <c r="L347" s="299">
        <v>44504</v>
      </c>
      <c r="M347" s="299">
        <v>44536</v>
      </c>
      <c r="N347" s="291" t="s">
        <v>7</v>
      </c>
      <c r="O347" s="291" t="s">
        <v>25</v>
      </c>
      <c r="P347" s="270" t="s">
        <v>21</v>
      </c>
      <c r="T347" s="291"/>
      <c r="V347" s="291"/>
      <c r="W347" s="291"/>
      <c r="X347" s="292" t="str">
        <f>VLOOKUP(功能_33[[#This Row],[User]],SKL放款!A:G,7,FALSE)</f>
        <v>放款管理課</v>
      </c>
      <c r="Y347" s="299">
        <v>44533</v>
      </c>
      <c r="Z347" s="299" t="s">
        <v>195</v>
      </c>
      <c r="AA347" s="299">
        <v>44525</v>
      </c>
      <c r="AB347" s="299">
        <v>44525</v>
      </c>
      <c r="AC347" s="299">
        <v>44544</v>
      </c>
      <c r="AD347" s="299"/>
      <c r="AE347" s="299"/>
      <c r="AF347" s="355"/>
      <c r="AG347" s="299" t="str">
        <f>IFERROR(IF(VLOOKUP(功能_33[[#This Row],[功能代號]],E:Q,11,FALSE)=0,"",VLOOKUP(功能_33[[#This Row],[功能代號]],E:Q,11,FALSE)),"")</f>
        <v>邱怡婷</v>
      </c>
      <c r="AH347" s="299"/>
      <c r="AI347" s="299"/>
      <c r="AJ347" s="292"/>
      <c r="AK347" s="299"/>
      <c r="AL347" s="303" t="s">
        <v>3144</v>
      </c>
      <c r="AM347" s="292" t="s">
        <v>3145</v>
      </c>
      <c r="AN347" s="292" t="e">
        <f>VLOOKUP(功能_33[[#This Row],[功能代號]],需二審tmp!A:A,1,FALSE)</f>
        <v>#N/A</v>
      </c>
      <c r="AO347" s="356">
        <v>44526</v>
      </c>
      <c r="AQ347" s="574" t="str">
        <f t="shared" si="33"/>
        <v>5-1</v>
      </c>
      <c r="AR347" s="576" t="str">
        <f t="shared" si="34"/>
        <v/>
      </c>
      <c r="AS347" s="578" t="str">
        <f t="shared" si="35"/>
        <v/>
      </c>
      <c r="AT347" s="580" t="str">
        <f t="shared" si="36"/>
        <v/>
      </c>
      <c r="AU347" s="582" t="str">
        <f t="shared" si="37"/>
        <v/>
      </c>
      <c r="AV347" s="584" t="str">
        <f t="shared" si="38"/>
        <v/>
      </c>
      <c r="AW347" s="662" t="str">
        <f>IFERROR(VLOOKUP(功能_33[[#This Row],[功能代號]],工作表3!C:C,1,FALSE),"未計SIT測試")</f>
        <v>未計SIT測試</v>
      </c>
    </row>
    <row r="348" spans="3:49" ht="13.5" x14ac:dyDescent="0.3">
      <c r="C348" s="292" t="s">
        <v>94</v>
      </c>
      <c r="D348" s="292" t="s">
        <v>2818</v>
      </c>
      <c r="E348" s="291" t="s">
        <v>998</v>
      </c>
      <c r="F348" s="292" t="s">
        <v>999</v>
      </c>
      <c r="G348" s="292"/>
      <c r="H348" s="291" t="s">
        <v>193</v>
      </c>
      <c r="I348" s="291" t="s">
        <v>137</v>
      </c>
      <c r="J348" s="298" t="s">
        <v>3131</v>
      </c>
      <c r="K348" s="299">
        <v>44524</v>
      </c>
      <c r="L348" s="299">
        <v>44524</v>
      </c>
      <c r="M348" s="299">
        <v>44536</v>
      </c>
      <c r="N348" s="291" t="s">
        <v>7</v>
      </c>
      <c r="O348" s="291" t="s">
        <v>24</v>
      </c>
      <c r="T348" s="291"/>
      <c r="V348" s="291"/>
      <c r="W348" s="291"/>
      <c r="X348" s="292" t="str">
        <f>VLOOKUP(功能_33[[#This Row],[User]],SKL放款!A:G,7,FALSE)</f>
        <v>放款服務課</v>
      </c>
      <c r="Y348" s="299">
        <v>44533</v>
      </c>
      <c r="Z348" s="299" t="s">
        <v>195</v>
      </c>
      <c r="AA348" s="299">
        <v>44531</v>
      </c>
      <c r="AB348" s="299">
        <v>44531</v>
      </c>
      <c r="AC348" s="299">
        <v>44544</v>
      </c>
      <c r="AD348" s="299"/>
      <c r="AE348" s="299"/>
      <c r="AF348" s="355"/>
      <c r="AG348" s="299" t="str">
        <f>IFERROR(IF(VLOOKUP(功能_33[[#This Row],[功能代號]],E:Q,11,FALSE)=0,"",VLOOKUP(功能_33[[#This Row],[功能代號]],E:Q,11,FALSE)),"")</f>
        <v>邵淑微</v>
      </c>
      <c r="AH348" s="299"/>
      <c r="AI348" s="299"/>
      <c r="AJ348" s="292"/>
      <c r="AK348" s="299"/>
      <c r="AL348" s="303" t="s">
        <v>3146</v>
      </c>
      <c r="AM348" s="292" t="s">
        <v>3147</v>
      </c>
      <c r="AN348" s="292" t="e">
        <f>VLOOKUP(功能_33[[#This Row],[功能代號]],需二審tmp!A:A,1,FALSE)</f>
        <v>#N/A</v>
      </c>
      <c r="AO348" s="356">
        <v>44526</v>
      </c>
      <c r="AQ348" s="574" t="str">
        <f t="shared" si="33"/>
        <v>5-1</v>
      </c>
      <c r="AR348" s="576" t="str">
        <f t="shared" si="34"/>
        <v/>
      </c>
      <c r="AS348" s="578" t="str">
        <f t="shared" si="35"/>
        <v/>
      </c>
      <c r="AT348" s="580" t="str">
        <f t="shared" si="36"/>
        <v/>
      </c>
      <c r="AU348" s="582" t="str">
        <f t="shared" si="37"/>
        <v/>
      </c>
      <c r="AV348" s="584" t="str">
        <f t="shared" si="38"/>
        <v/>
      </c>
      <c r="AW348" s="662" t="str">
        <f>IFERROR(VLOOKUP(功能_33[[#This Row],[功能代號]],工作表3!C:C,1,FALSE),"未計SIT測試")</f>
        <v>L5906</v>
      </c>
    </row>
    <row r="349" spans="3:49" ht="13.5" x14ac:dyDescent="0.3">
      <c r="C349" s="292" t="s">
        <v>94</v>
      </c>
      <c r="D349" s="292" t="s">
        <v>2818</v>
      </c>
      <c r="E349" s="291" t="s">
        <v>1000</v>
      </c>
      <c r="F349" s="292" t="s">
        <v>1001</v>
      </c>
      <c r="G349" s="292"/>
      <c r="H349" s="291" t="s">
        <v>193</v>
      </c>
      <c r="I349" s="291" t="s">
        <v>137</v>
      </c>
      <c r="J349" s="298" t="s">
        <v>3131</v>
      </c>
      <c r="K349" s="299">
        <v>44524</v>
      </c>
      <c r="L349" s="299">
        <v>44524</v>
      </c>
      <c r="M349" s="299">
        <v>44536</v>
      </c>
      <c r="N349" s="291" t="s">
        <v>7</v>
      </c>
      <c r="O349" s="291" t="s">
        <v>24</v>
      </c>
      <c r="T349" s="291"/>
      <c r="V349" s="291"/>
      <c r="W349" s="291"/>
      <c r="X349" s="292" t="str">
        <f>VLOOKUP(功能_33[[#This Row],[User]],SKL放款!A:G,7,FALSE)</f>
        <v>放款服務課</v>
      </c>
      <c r="Y349" s="299">
        <v>44533</v>
      </c>
      <c r="Z349" s="299" t="s">
        <v>195</v>
      </c>
      <c r="AA349" s="299">
        <v>44531</v>
      </c>
      <c r="AB349" s="299">
        <v>44531</v>
      </c>
      <c r="AC349" s="299">
        <v>44544</v>
      </c>
      <c r="AD349" s="299"/>
      <c r="AE349" s="299"/>
      <c r="AF349" s="355"/>
      <c r="AG349" s="299" t="str">
        <f>IFERROR(IF(VLOOKUP(功能_33[[#This Row],[功能代號]],E:Q,11,FALSE)=0,"",VLOOKUP(功能_33[[#This Row],[功能代號]],E:Q,11,FALSE)),"")</f>
        <v>邵淑微</v>
      </c>
      <c r="AH349" s="299"/>
      <c r="AI349" s="299"/>
      <c r="AJ349" s="292"/>
      <c r="AK349" s="299"/>
      <c r="AL349" s="303" t="s">
        <v>3146</v>
      </c>
      <c r="AM349" s="292" t="s">
        <v>3147</v>
      </c>
      <c r="AN349" s="292" t="e">
        <f>VLOOKUP(功能_33[[#This Row],[功能代號]],需二審tmp!A:A,1,FALSE)</f>
        <v>#N/A</v>
      </c>
      <c r="AO349" s="356">
        <v>44526</v>
      </c>
      <c r="AQ349" s="574" t="str">
        <f t="shared" ref="AQ349:AQ409" si="39">IF(COUNTA(AC349)=1,LEFT(D349,3),"")</f>
        <v>5-1</v>
      </c>
      <c r="AR349" s="576" t="str">
        <f t="shared" ref="AR349:AR409" si="40">IF(AND(COUNTA(L349)=1,COUNTA(M349)=1,COUNTA(Y349)=1,COUNTA(AB349)=1,COUNTA(AC349)=0),LEFT(D349,3),"")</f>
        <v/>
      </c>
      <c r="AS349" s="578" t="str">
        <f t="shared" ref="AS349:AS409" si="41">IF(AND(COUNTA(L349)=1,COUNTA(M349)=1,COUNTA(Y349)=1,COUNTA(AB349)=0,COUNTA(AC349)=0),LEFT(D349,3),"")</f>
        <v/>
      </c>
      <c r="AT349" s="580" t="str">
        <f t="shared" ref="AT349:AT409" si="42">IF(AND(COUNTA(M349)=0,COUNTA(Y349)=1),LEFT(D349,3),"")</f>
        <v/>
      </c>
      <c r="AU349" s="582" t="str">
        <f t="shared" ref="AU349:AU409" si="43">IF(AND(COUNTA(M349)=1,COUNTA(Y349)=0),LEFT(D349,3),"")</f>
        <v/>
      </c>
      <c r="AV349" s="584" t="str">
        <f t="shared" ref="AV349:AV409" si="44">IF(AND(COUNTA(M349)=0,COUNTA(Y349)=0),LEFT(D349,3),"")</f>
        <v/>
      </c>
      <c r="AW349" s="662" t="str">
        <f>IFERROR(VLOOKUP(功能_33[[#This Row],[功能代號]],工作表3!C:C,1,FALSE),"未計SIT測試")</f>
        <v>L5116</v>
      </c>
    </row>
    <row r="350" spans="3:49" ht="13.5" x14ac:dyDescent="0.3">
      <c r="C350" s="292" t="s">
        <v>94</v>
      </c>
      <c r="D350" s="292" t="s">
        <v>2818</v>
      </c>
      <c r="E350" s="291" t="s">
        <v>1003</v>
      </c>
      <c r="F350" s="281" t="s">
        <v>1004</v>
      </c>
      <c r="G350" s="292" t="s">
        <v>1005</v>
      </c>
      <c r="H350" s="291" t="s">
        <v>193</v>
      </c>
      <c r="I350" s="291" t="s">
        <v>137</v>
      </c>
      <c r="J350" s="298" t="s">
        <v>3131</v>
      </c>
      <c r="K350" s="299">
        <v>44505</v>
      </c>
      <c r="L350" s="299">
        <v>44504</v>
      </c>
      <c r="M350" s="299">
        <v>44536</v>
      </c>
      <c r="N350" s="291" t="s">
        <v>10</v>
      </c>
      <c r="O350" s="291" t="s">
        <v>25</v>
      </c>
      <c r="P350" s="270" t="s">
        <v>21</v>
      </c>
      <c r="T350" s="291"/>
      <c r="V350" s="291"/>
      <c r="W350" s="291"/>
      <c r="X350" s="292" t="s">
        <v>1006</v>
      </c>
      <c r="Y350" s="299">
        <v>44533</v>
      </c>
      <c r="Z350" s="299" t="s">
        <v>195</v>
      </c>
      <c r="AA350" s="299">
        <v>44525</v>
      </c>
      <c r="AB350" s="299">
        <v>44525</v>
      </c>
      <c r="AC350" s="299">
        <v>44544</v>
      </c>
      <c r="AD350" s="283"/>
      <c r="AE350" s="283"/>
      <c r="AF350" s="283"/>
      <c r="AG350" s="283" t="s">
        <v>25</v>
      </c>
      <c r="AH350" s="283"/>
      <c r="AI350" s="283"/>
      <c r="AJ350" s="292"/>
      <c r="AL350" s="291" t="s">
        <v>2976</v>
      </c>
      <c r="AM350" s="291" t="s">
        <v>2976</v>
      </c>
      <c r="AN350" s="292" t="e">
        <f>VLOOKUP(功能_33[[#This Row],[功能代號]],需二審tmp!A:A,1,FALSE)</f>
        <v>#N/A</v>
      </c>
      <c r="AO350" s="356">
        <v>44526</v>
      </c>
      <c r="AQ350" s="574" t="str">
        <f t="shared" si="39"/>
        <v>5-1</v>
      </c>
      <c r="AR350" s="576" t="str">
        <f t="shared" si="40"/>
        <v/>
      </c>
      <c r="AS350" s="578" t="str">
        <f t="shared" si="41"/>
        <v/>
      </c>
      <c r="AT350" s="580" t="str">
        <f t="shared" si="42"/>
        <v/>
      </c>
      <c r="AU350" s="582" t="str">
        <f t="shared" si="43"/>
        <v/>
      </c>
      <c r="AV350" s="584" t="str">
        <f t="shared" si="44"/>
        <v/>
      </c>
      <c r="AW350" s="662" t="str">
        <f>IFERROR(VLOOKUP(功能_33[[#This Row],[功能代號]],工作表3!C:C,1,FALSE),"未計SIT測試")</f>
        <v>未計SIT測試</v>
      </c>
    </row>
    <row r="351" spans="3:49" ht="13.5" x14ac:dyDescent="0.3">
      <c r="C351" s="292" t="s">
        <v>94</v>
      </c>
      <c r="D351" s="292" t="s">
        <v>2818</v>
      </c>
      <c r="E351" s="291" t="s">
        <v>1007</v>
      </c>
      <c r="F351" s="281" t="s">
        <v>1008</v>
      </c>
      <c r="G351" s="292" t="s">
        <v>1009</v>
      </c>
      <c r="H351" s="291" t="s">
        <v>193</v>
      </c>
      <c r="I351" s="291" t="s">
        <v>137</v>
      </c>
      <c r="J351" s="298" t="s">
        <v>3131</v>
      </c>
      <c r="K351" s="299">
        <v>44505</v>
      </c>
      <c r="L351" s="299">
        <v>44504</v>
      </c>
      <c r="M351" s="299">
        <v>44536</v>
      </c>
      <c r="N351" s="291" t="s">
        <v>10</v>
      </c>
      <c r="O351" s="291" t="s">
        <v>25</v>
      </c>
      <c r="P351" s="270" t="s">
        <v>21</v>
      </c>
      <c r="T351" s="291"/>
      <c r="V351" s="291"/>
      <c r="W351" s="291"/>
      <c r="X351" s="292" t="s">
        <v>1006</v>
      </c>
      <c r="Y351" s="299">
        <v>44533</v>
      </c>
      <c r="Z351" s="299" t="s">
        <v>195</v>
      </c>
      <c r="AA351" s="299">
        <v>44525</v>
      </c>
      <c r="AB351" s="299">
        <v>44525</v>
      </c>
      <c r="AC351" s="299">
        <v>44544</v>
      </c>
      <c r="AD351" s="283"/>
      <c r="AE351" s="283"/>
      <c r="AF351" s="283"/>
      <c r="AG351" s="283" t="s">
        <v>25</v>
      </c>
      <c r="AH351" s="283"/>
      <c r="AI351" s="283"/>
      <c r="AJ351" s="292"/>
      <c r="AL351" s="291" t="s">
        <v>2976</v>
      </c>
      <c r="AM351" s="291" t="s">
        <v>2976</v>
      </c>
      <c r="AN351" s="292" t="e">
        <f>VLOOKUP(功能_33[[#This Row],[功能代號]],需二審tmp!A:A,1,FALSE)</f>
        <v>#N/A</v>
      </c>
      <c r="AO351" s="356">
        <v>44526</v>
      </c>
      <c r="AQ351" s="574" t="str">
        <f t="shared" si="39"/>
        <v>5-1</v>
      </c>
      <c r="AR351" s="576" t="str">
        <f t="shared" si="40"/>
        <v/>
      </c>
      <c r="AS351" s="578" t="str">
        <f t="shared" si="41"/>
        <v/>
      </c>
      <c r="AT351" s="580" t="str">
        <f t="shared" si="42"/>
        <v/>
      </c>
      <c r="AU351" s="582" t="str">
        <f t="shared" si="43"/>
        <v/>
      </c>
      <c r="AV351" s="584" t="str">
        <f t="shared" si="44"/>
        <v/>
      </c>
      <c r="AW351" s="662" t="str">
        <f>IFERROR(VLOOKUP(功能_33[[#This Row],[功能代號]],工作表3!C:C,1,FALSE),"未計SIT測試")</f>
        <v>未計SIT測試</v>
      </c>
    </row>
    <row r="352" spans="3:49" ht="13.5" x14ac:dyDescent="0.3">
      <c r="C352" s="292" t="s">
        <v>95</v>
      </c>
      <c r="D352" s="292" t="s">
        <v>2816</v>
      </c>
      <c r="E352" s="291" t="s">
        <v>612</v>
      </c>
      <c r="F352" s="292" t="s">
        <v>613</v>
      </c>
      <c r="G352" s="292"/>
      <c r="H352" s="291" t="s">
        <v>193</v>
      </c>
      <c r="I352" s="291" t="s">
        <v>314</v>
      </c>
      <c r="J352" s="225" t="s">
        <v>3234</v>
      </c>
      <c r="K352" s="299">
        <v>44516</v>
      </c>
      <c r="L352" s="299">
        <v>44467</v>
      </c>
      <c r="M352" s="299">
        <v>44472</v>
      </c>
      <c r="N352" s="291" t="s">
        <v>12</v>
      </c>
      <c r="O352" s="291" t="s">
        <v>172</v>
      </c>
      <c r="T352" s="291"/>
      <c r="V352" s="291"/>
      <c r="W352" s="291"/>
      <c r="X352" s="292" t="str">
        <f>VLOOKUP(功能_33[[#This Row],[User]],SKL放款!A:G,7,FALSE)</f>
        <v>放款服務課</v>
      </c>
      <c r="Y352" s="299">
        <v>44472</v>
      </c>
      <c r="Z352" s="299" t="s">
        <v>133</v>
      </c>
      <c r="AA352" s="282">
        <v>44544</v>
      </c>
      <c r="AB352" s="282">
        <v>44544</v>
      </c>
      <c r="AC352" s="299">
        <v>44550</v>
      </c>
      <c r="AD352" s="299"/>
      <c r="AE352" s="299"/>
      <c r="AF352" s="355"/>
      <c r="AG352" s="299" t="str">
        <f>IFERROR(IF(VLOOKUP(功能_33[[#This Row],[功能代號]],E:Q,11,FALSE)=0,"",VLOOKUP(功能_33[[#This Row],[功能代號]],E:Q,11,FALSE)),"")</f>
        <v>陳政皓</v>
      </c>
      <c r="AH352" s="299"/>
      <c r="AI352" s="299"/>
      <c r="AJ352" s="292"/>
      <c r="AK352" s="299"/>
      <c r="AL352" s="303" t="s">
        <v>610</v>
      </c>
      <c r="AM352" s="304" t="s">
        <v>611</v>
      </c>
      <c r="AN352" s="292" t="str">
        <f>VLOOKUP(功能_33[[#This Row],[功能代號]],需二審tmp!A:A,1,FALSE)</f>
        <v>L6703</v>
      </c>
      <c r="AO352" s="356">
        <v>44526</v>
      </c>
      <c r="AQ352" s="574" t="str">
        <f t="shared" si="39"/>
        <v>6-7</v>
      </c>
      <c r="AR352" s="576" t="str">
        <f t="shared" si="40"/>
        <v/>
      </c>
      <c r="AS352" s="578" t="str">
        <f t="shared" si="41"/>
        <v/>
      </c>
      <c r="AT352" s="580" t="str">
        <f t="shared" si="42"/>
        <v/>
      </c>
      <c r="AU352" s="582" t="str">
        <f t="shared" si="43"/>
        <v/>
      </c>
      <c r="AV352" s="584" t="str">
        <f t="shared" si="44"/>
        <v/>
      </c>
      <c r="AW352" s="662" t="str">
        <f>IFERROR(VLOOKUP(功能_33[[#This Row],[功能代號]],工作表3!C:C,1,FALSE),"未計SIT測試")</f>
        <v>L6703</v>
      </c>
    </row>
    <row r="353" spans="3:49" ht="13.5" x14ac:dyDescent="0.3">
      <c r="C353" s="292" t="s">
        <v>95</v>
      </c>
      <c r="D353" s="292" t="s">
        <v>2816</v>
      </c>
      <c r="E353" s="291" t="s">
        <v>590</v>
      </c>
      <c r="F353" s="292" t="s">
        <v>591</v>
      </c>
      <c r="G353" s="292"/>
      <c r="H353" s="291" t="s">
        <v>193</v>
      </c>
      <c r="I353" s="291" t="s">
        <v>314</v>
      </c>
      <c r="J353" s="225" t="s">
        <v>3234</v>
      </c>
      <c r="K353" s="299">
        <v>44516</v>
      </c>
      <c r="L353" s="299">
        <v>44467</v>
      </c>
      <c r="M353" s="299">
        <v>44472</v>
      </c>
      <c r="N353" s="291" t="s">
        <v>12</v>
      </c>
      <c r="O353" s="291" t="s">
        <v>567</v>
      </c>
      <c r="T353" s="291"/>
      <c r="V353" s="291"/>
      <c r="W353" s="291"/>
      <c r="X353" s="292" t="str">
        <f>VLOOKUP(功能_33[[#This Row],[User]],SKL放款!A:G,7,FALSE)</f>
        <v>放款審查課</v>
      </c>
      <c r="Y353" s="299">
        <v>44472</v>
      </c>
      <c r="Z353" s="299" t="s">
        <v>133</v>
      </c>
      <c r="AA353" s="282">
        <v>44544</v>
      </c>
      <c r="AB353" s="282">
        <v>44544</v>
      </c>
      <c r="AC353" s="299">
        <v>44550</v>
      </c>
      <c r="AD353" s="299"/>
      <c r="AE353" s="299"/>
      <c r="AF353" s="355"/>
      <c r="AG353" s="299" t="str">
        <f>IFERROR(IF(VLOOKUP(功能_33[[#This Row],[功能代號]],E:Q,11,FALSE)=0,"",VLOOKUP(功能_33[[#This Row],[功能代號]],E:Q,11,FALSE)),"")</f>
        <v>鄧雪美</v>
      </c>
      <c r="AH353" s="299"/>
      <c r="AI353" s="299"/>
      <c r="AJ353" s="292"/>
      <c r="AK353" s="299"/>
      <c r="AL353" s="303" t="s">
        <v>580</v>
      </c>
      <c r="AM353" s="304" t="s">
        <v>581</v>
      </c>
      <c r="AN353" s="292" t="str">
        <f>VLOOKUP(功能_33[[#This Row],[功能代號]],需二審tmp!A:A,1,FALSE)</f>
        <v>L6704</v>
      </c>
      <c r="AO353" s="356">
        <v>44526</v>
      </c>
      <c r="AQ353" s="574" t="str">
        <f t="shared" si="39"/>
        <v>6-7</v>
      </c>
      <c r="AR353" s="576" t="str">
        <f t="shared" si="40"/>
        <v/>
      </c>
      <c r="AS353" s="578" t="str">
        <f t="shared" si="41"/>
        <v/>
      </c>
      <c r="AT353" s="580" t="str">
        <f t="shared" si="42"/>
        <v/>
      </c>
      <c r="AU353" s="582" t="str">
        <f t="shared" si="43"/>
        <v/>
      </c>
      <c r="AV353" s="584" t="str">
        <f t="shared" si="44"/>
        <v/>
      </c>
      <c r="AW353" s="662" t="str">
        <f>IFERROR(VLOOKUP(功能_33[[#This Row],[功能代號]],工作表3!C:C,1,FALSE),"未計SIT測試")</f>
        <v>L6704</v>
      </c>
    </row>
    <row r="354" spans="3:49" ht="17" x14ac:dyDescent="0.3">
      <c r="C354" s="292" t="s">
        <v>94</v>
      </c>
      <c r="D354" s="498" t="s">
        <v>2826</v>
      </c>
      <c r="E354" s="291" t="s">
        <v>1018</v>
      </c>
      <c r="F354" s="292" t="s">
        <v>1019</v>
      </c>
      <c r="G354" s="292"/>
      <c r="H354" s="291" t="s">
        <v>136</v>
      </c>
      <c r="I354" s="291" t="s">
        <v>137</v>
      </c>
      <c r="J354" s="298" t="s">
        <v>3240</v>
      </c>
      <c r="K354" s="299">
        <v>44396</v>
      </c>
      <c r="L354" s="299">
        <v>44396</v>
      </c>
      <c r="M354" s="299">
        <v>44540</v>
      </c>
      <c r="N354" s="291" t="s">
        <v>12</v>
      </c>
      <c r="O354" s="270" t="s">
        <v>3168</v>
      </c>
      <c r="Q354" s="291">
        <v>1</v>
      </c>
      <c r="R354" s="291" t="s">
        <v>1017</v>
      </c>
      <c r="T354" s="291"/>
      <c r="V354" s="291"/>
      <c r="W354" s="291"/>
      <c r="X354" s="292" t="e">
        <f>VLOOKUP(功能_33[[#This Row],[User]],SKL放款!A:G,7,FALSE)</f>
        <v>#N/A</v>
      </c>
      <c r="Y354" s="299">
        <v>44540</v>
      </c>
      <c r="Z354" s="299" t="s">
        <v>133</v>
      </c>
      <c r="AA354" s="282">
        <v>44550</v>
      </c>
      <c r="AB354" s="299">
        <v>44550</v>
      </c>
      <c r="AC354" s="299">
        <v>44550</v>
      </c>
      <c r="AD354" s="299"/>
      <c r="AE354" s="299"/>
      <c r="AF354" s="355"/>
      <c r="AG354" s="299" t="str">
        <f>IFERROR(IF(VLOOKUP(功能_33[[#This Row],[功能代號]],E:Q,11,FALSE)=0,"",VLOOKUP(功能_33[[#This Row],[功能代號]],E:Q,11,FALSE)),"")</f>
        <v>李珮君(張淑遠)</v>
      </c>
      <c r="AH354" s="299"/>
      <c r="AI354" s="299"/>
      <c r="AJ354" s="292"/>
      <c r="AK354" s="299">
        <v>44396</v>
      </c>
      <c r="AL354" s="661" t="s">
        <v>3171</v>
      </c>
      <c r="AM354" s="641" t="s">
        <v>3172</v>
      </c>
      <c r="AN354" s="292" t="str">
        <f>VLOOKUP(功能_33[[#This Row],[功能代號]],需二審tmp!A:A,1,FALSE)</f>
        <v>L5402</v>
      </c>
      <c r="AQ354" s="574" t="str">
        <f t="shared" si="39"/>
        <v>5-2</v>
      </c>
      <c r="AR354" s="576" t="str">
        <f t="shared" si="40"/>
        <v/>
      </c>
      <c r="AS354" s="578" t="str">
        <f t="shared" si="41"/>
        <v/>
      </c>
      <c r="AT354" s="580" t="str">
        <f t="shared" si="42"/>
        <v/>
      </c>
      <c r="AU354" s="582" t="str">
        <f t="shared" si="43"/>
        <v/>
      </c>
      <c r="AV354" s="584" t="str">
        <f t="shared" si="44"/>
        <v/>
      </c>
      <c r="AW354" s="662" t="str">
        <f>IFERROR(VLOOKUP(功能_33[[#This Row],[功能代號]],工作表3!C:C,1,FALSE),"未計SIT測試")</f>
        <v>L5402</v>
      </c>
    </row>
    <row r="355" spans="3:49" ht="17" x14ac:dyDescent="0.3">
      <c r="C355" s="292" t="s">
        <v>94</v>
      </c>
      <c r="D355" s="498" t="s">
        <v>2826</v>
      </c>
      <c r="E355" s="291" t="s">
        <v>1020</v>
      </c>
      <c r="F355" s="292" t="s">
        <v>1021</v>
      </c>
      <c r="G355" s="292"/>
      <c r="H355" s="291" t="s">
        <v>136</v>
      </c>
      <c r="I355" s="291" t="s">
        <v>137</v>
      </c>
      <c r="J355" s="298" t="s">
        <v>3240</v>
      </c>
      <c r="K355" s="299">
        <v>44396</v>
      </c>
      <c r="L355" s="299">
        <v>44396</v>
      </c>
      <c r="M355" s="299">
        <v>44533</v>
      </c>
      <c r="N355" s="291" t="s">
        <v>12</v>
      </c>
      <c r="O355" s="270" t="s">
        <v>3168</v>
      </c>
      <c r="Q355" s="291">
        <v>1</v>
      </c>
      <c r="R355" s="291" t="s">
        <v>1012</v>
      </c>
      <c r="T355" s="291"/>
      <c r="V355" s="291"/>
      <c r="W355" s="291"/>
      <c r="X355" s="292" t="e">
        <f>VLOOKUP(功能_33[[#This Row],[User]],SKL放款!A:G,7,FALSE)</f>
        <v>#N/A</v>
      </c>
      <c r="Y355" s="299">
        <v>44533</v>
      </c>
      <c r="Z355" s="299" t="s">
        <v>133</v>
      </c>
      <c r="AA355" s="282">
        <v>44550</v>
      </c>
      <c r="AB355" s="299">
        <v>44550</v>
      </c>
      <c r="AC355" s="299">
        <v>44550</v>
      </c>
      <c r="AD355" s="299"/>
      <c r="AE355" s="299"/>
      <c r="AF355" s="355"/>
      <c r="AG355" s="299" t="str">
        <f>IFERROR(IF(VLOOKUP(功能_33[[#This Row],[功能代號]],E:Q,11,FALSE)=0,"",VLOOKUP(功能_33[[#This Row],[功能代號]],E:Q,11,FALSE)),"")</f>
        <v>李珮君(張淑遠)</v>
      </c>
      <c r="AH355" s="299"/>
      <c r="AI355" s="299"/>
      <c r="AJ355" s="292"/>
      <c r="AK355" s="299">
        <v>44396</v>
      </c>
      <c r="AL355" s="661" t="s">
        <v>3171</v>
      </c>
      <c r="AM355" s="642" t="s">
        <v>3172</v>
      </c>
      <c r="AN355" s="292" t="str">
        <f>VLOOKUP(功能_33[[#This Row],[功能代號]],需二審tmp!A:A,1,FALSE)</f>
        <v>L5021</v>
      </c>
      <c r="AO355" s="356">
        <v>44526</v>
      </c>
      <c r="AQ355" s="574" t="str">
        <f t="shared" si="39"/>
        <v>5-2</v>
      </c>
      <c r="AR355" s="576" t="str">
        <f t="shared" si="40"/>
        <v/>
      </c>
      <c r="AS355" s="578" t="str">
        <f t="shared" si="41"/>
        <v/>
      </c>
      <c r="AT355" s="580" t="str">
        <f t="shared" si="42"/>
        <v/>
      </c>
      <c r="AU355" s="582" t="str">
        <f t="shared" si="43"/>
        <v/>
      </c>
      <c r="AV355" s="584" t="str">
        <f t="shared" si="44"/>
        <v/>
      </c>
      <c r="AW355" s="662" t="str">
        <f>IFERROR(VLOOKUP(功能_33[[#This Row],[功能代號]],工作表3!C:C,1,FALSE),"未計SIT測試")</f>
        <v>L5021</v>
      </c>
    </row>
    <row r="356" spans="3:49" ht="17" x14ac:dyDescent="0.3">
      <c r="C356" s="292" t="s">
        <v>94</v>
      </c>
      <c r="D356" s="498" t="s">
        <v>2826</v>
      </c>
      <c r="E356" s="291" t="s">
        <v>1022</v>
      </c>
      <c r="F356" s="292" t="s">
        <v>1023</v>
      </c>
      <c r="G356" s="292"/>
      <c r="H356" s="291" t="s">
        <v>136</v>
      </c>
      <c r="I356" s="291" t="s">
        <v>137</v>
      </c>
      <c r="J356" s="298" t="s">
        <v>3240</v>
      </c>
      <c r="K356" s="299">
        <v>44396</v>
      </c>
      <c r="L356" s="299">
        <v>44396</v>
      </c>
      <c r="M356" s="299">
        <v>44533</v>
      </c>
      <c r="N356" s="291" t="s">
        <v>12</v>
      </c>
      <c r="O356" s="270" t="s">
        <v>3168</v>
      </c>
      <c r="Q356" s="291">
        <v>1</v>
      </c>
      <c r="R356" s="291" t="s">
        <v>1017</v>
      </c>
      <c r="T356" s="291"/>
      <c r="V356" s="291"/>
      <c r="W356" s="291"/>
      <c r="X356" s="292" t="e">
        <f>VLOOKUP(功能_33[[#This Row],[User]],SKL放款!A:G,7,FALSE)</f>
        <v>#N/A</v>
      </c>
      <c r="Y356" s="299">
        <v>44533</v>
      </c>
      <c r="Z356" s="299" t="s">
        <v>133</v>
      </c>
      <c r="AA356" s="282">
        <v>44550</v>
      </c>
      <c r="AB356" s="299">
        <v>44550</v>
      </c>
      <c r="AC356" s="299">
        <v>44550</v>
      </c>
      <c r="AD356" s="299"/>
      <c r="AE356" s="299"/>
      <c r="AF356" s="355"/>
      <c r="AG356" s="299" t="str">
        <f>IFERROR(IF(VLOOKUP(功能_33[[#This Row],[功能代號]],E:Q,11,FALSE)=0,"",VLOOKUP(功能_33[[#This Row],[功能代號]],E:Q,11,FALSE)),"")</f>
        <v>李珮君(張淑遠)</v>
      </c>
      <c r="AH356" s="299"/>
      <c r="AI356" s="299"/>
      <c r="AJ356" s="292"/>
      <c r="AK356" s="299">
        <v>44396</v>
      </c>
      <c r="AL356" s="661" t="s">
        <v>3171</v>
      </c>
      <c r="AM356" s="643" t="s">
        <v>3172</v>
      </c>
      <c r="AN356" s="292" t="str">
        <f>VLOOKUP(功能_33[[#This Row],[功能代號]],需二審tmp!A:A,1,FALSE)</f>
        <v>L5401</v>
      </c>
      <c r="AO356" s="356">
        <v>44526</v>
      </c>
      <c r="AQ356" s="574" t="str">
        <f t="shared" si="39"/>
        <v>5-2</v>
      </c>
      <c r="AR356" s="576" t="str">
        <f t="shared" si="40"/>
        <v/>
      </c>
      <c r="AS356" s="578" t="str">
        <f t="shared" si="41"/>
        <v/>
      </c>
      <c r="AT356" s="580" t="str">
        <f t="shared" si="42"/>
        <v/>
      </c>
      <c r="AU356" s="582" t="str">
        <f t="shared" si="43"/>
        <v/>
      </c>
      <c r="AV356" s="584" t="str">
        <f t="shared" si="44"/>
        <v/>
      </c>
      <c r="AW356" s="662" t="str">
        <f>IFERROR(VLOOKUP(功能_33[[#This Row],[功能代號]],工作表3!C:C,1,FALSE),"未計SIT測試")</f>
        <v>L5401</v>
      </c>
    </row>
    <row r="357" spans="3:49" ht="17" x14ac:dyDescent="0.3">
      <c r="C357" s="292" t="s">
        <v>94</v>
      </c>
      <c r="D357" s="498" t="s">
        <v>2826</v>
      </c>
      <c r="E357" s="291" t="s">
        <v>1024</v>
      </c>
      <c r="F357" s="292" t="s">
        <v>1025</v>
      </c>
      <c r="G357" s="292"/>
      <c r="H357" s="291" t="s">
        <v>136</v>
      </c>
      <c r="I357" s="291" t="s">
        <v>137</v>
      </c>
      <c r="J357" s="298" t="s">
        <v>3240</v>
      </c>
      <c r="K357" s="299">
        <v>44397</v>
      </c>
      <c r="L357" s="299">
        <v>44397</v>
      </c>
      <c r="M357" s="299">
        <v>44533</v>
      </c>
      <c r="N357" s="291" t="s">
        <v>12</v>
      </c>
      <c r="O357" s="291" t="s">
        <v>13</v>
      </c>
      <c r="Q357" s="291">
        <v>1</v>
      </c>
      <c r="R357" s="291" t="s">
        <v>1012</v>
      </c>
      <c r="T357" s="291"/>
      <c r="V357" s="291"/>
      <c r="W357" s="291"/>
      <c r="X357" s="292" t="str">
        <f>VLOOKUP(功能_33[[#This Row],[User]],SKL放款!A:G,7,FALSE)</f>
        <v>放款推展課</v>
      </c>
      <c r="Y357" s="299">
        <v>44533</v>
      </c>
      <c r="Z357" s="299">
        <v>44533</v>
      </c>
      <c r="AA357" s="299">
        <v>44533</v>
      </c>
      <c r="AB357" s="299">
        <v>44533</v>
      </c>
      <c r="AC357" s="299">
        <v>44550</v>
      </c>
      <c r="AD357" s="299"/>
      <c r="AE357" s="299"/>
      <c r="AF357" s="355"/>
      <c r="AG357" s="299" t="str">
        <f>IFERROR(IF(VLOOKUP(功能_33[[#This Row],[功能代號]],E:Q,11,FALSE)=0,"",VLOOKUP(功能_33[[#This Row],[功能代號]],E:Q,11,FALSE)),"")</f>
        <v>李珮君</v>
      </c>
      <c r="AH357" s="299"/>
      <c r="AI357" s="299"/>
      <c r="AJ357" s="292"/>
      <c r="AK357" s="299">
        <v>44397</v>
      </c>
      <c r="AL357" s="661" t="s">
        <v>3171</v>
      </c>
      <c r="AM357" s="644" t="s">
        <v>3172</v>
      </c>
      <c r="AN357" s="292" t="str">
        <f>VLOOKUP(功能_33[[#This Row],[功能代號]],需二審tmp!A:A,1,FALSE)</f>
        <v>L5023</v>
      </c>
      <c r="AO357" s="356">
        <v>44526</v>
      </c>
      <c r="AQ357" s="574" t="str">
        <f t="shared" si="39"/>
        <v>5-2</v>
      </c>
      <c r="AR357" s="576" t="str">
        <f t="shared" si="40"/>
        <v/>
      </c>
      <c r="AS357" s="578" t="str">
        <f t="shared" si="41"/>
        <v/>
      </c>
      <c r="AT357" s="580" t="str">
        <f t="shared" si="42"/>
        <v/>
      </c>
      <c r="AU357" s="582" t="str">
        <f t="shared" si="43"/>
        <v/>
      </c>
      <c r="AV357" s="584" t="str">
        <f t="shared" si="44"/>
        <v/>
      </c>
      <c r="AW357" s="662" t="str">
        <f>IFERROR(VLOOKUP(功能_33[[#This Row],[功能代號]],工作表3!C:C,1,FALSE),"未計SIT測試")</f>
        <v>L5023</v>
      </c>
    </row>
    <row r="358" spans="3:49" ht="17" x14ac:dyDescent="0.3">
      <c r="C358" s="292" t="s">
        <v>94</v>
      </c>
      <c r="D358" s="498" t="s">
        <v>2826</v>
      </c>
      <c r="E358" s="291" t="s">
        <v>1026</v>
      </c>
      <c r="F358" s="292" t="s">
        <v>1027</v>
      </c>
      <c r="G358" s="292"/>
      <c r="H358" s="291" t="s">
        <v>136</v>
      </c>
      <c r="I358" s="291" t="s">
        <v>137</v>
      </c>
      <c r="J358" s="298" t="s">
        <v>3240</v>
      </c>
      <c r="K358" s="299">
        <v>44397</v>
      </c>
      <c r="L358" s="299">
        <v>44397</v>
      </c>
      <c r="M358" s="299">
        <v>44533</v>
      </c>
      <c r="N358" s="291" t="s">
        <v>12</v>
      </c>
      <c r="O358" s="291" t="s">
        <v>13</v>
      </c>
      <c r="Q358" s="291">
        <v>1</v>
      </c>
      <c r="R358" s="291" t="s">
        <v>1017</v>
      </c>
      <c r="T358" s="291"/>
      <c r="V358" s="291"/>
      <c r="W358" s="291"/>
      <c r="X358" s="292" t="str">
        <f>VLOOKUP(功能_33[[#This Row],[User]],SKL放款!A:G,7,FALSE)</f>
        <v>放款推展課</v>
      </c>
      <c r="Y358" s="299">
        <v>44533</v>
      </c>
      <c r="Z358" s="299">
        <v>44533</v>
      </c>
      <c r="AA358" s="299">
        <v>44533</v>
      </c>
      <c r="AB358" s="299">
        <v>44533</v>
      </c>
      <c r="AC358" s="299">
        <v>44550</v>
      </c>
      <c r="AD358" s="299"/>
      <c r="AE358" s="299"/>
      <c r="AF358" s="355"/>
      <c r="AG358" s="299" t="str">
        <f>IFERROR(IF(VLOOKUP(功能_33[[#This Row],[功能代號]],E:Q,11,FALSE)=0,"",VLOOKUP(功能_33[[#This Row],[功能代號]],E:Q,11,FALSE)),"")</f>
        <v>李珮君</v>
      </c>
      <c r="AH358" s="299"/>
      <c r="AI358" s="299"/>
      <c r="AJ358" s="292"/>
      <c r="AK358" s="299">
        <v>44397</v>
      </c>
      <c r="AL358" s="661" t="s">
        <v>3171</v>
      </c>
      <c r="AM358" s="645" t="s">
        <v>3172</v>
      </c>
      <c r="AN358" s="292" t="str">
        <f>VLOOKUP(功能_33[[#This Row],[功能代號]],需二審tmp!A:A,1,FALSE)</f>
        <v>L5406</v>
      </c>
      <c r="AO358" s="356">
        <v>44526</v>
      </c>
      <c r="AQ358" s="574" t="str">
        <f t="shared" si="39"/>
        <v>5-2</v>
      </c>
      <c r="AR358" s="576" t="str">
        <f t="shared" si="40"/>
        <v/>
      </c>
      <c r="AS358" s="578" t="str">
        <f t="shared" si="41"/>
        <v/>
      </c>
      <c r="AT358" s="580" t="str">
        <f t="shared" si="42"/>
        <v/>
      </c>
      <c r="AU358" s="582" t="str">
        <f t="shared" si="43"/>
        <v/>
      </c>
      <c r="AV358" s="584" t="str">
        <f t="shared" si="44"/>
        <v/>
      </c>
      <c r="AW358" s="662" t="str">
        <f>IFERROR(VLOOKUP(功能_33[[#This Row],[功能代號]],工作表3!C:C,1,FALSE),"未計SIT測試")</f>
        <v>L5406</v>
      </c>
    </row>
    <row r="359" spans="3:49" ht="17" x14ac:dyDescent="0.3">
      <c r="C359" s="292" t="s">
        <v>94</v>
      </c>
      <c r="D359" s="498" t="s">
        <v>2826</v>
      </c>
      <c r="E359" s="291" t="s">
        <v>1028</v>
      </c>
      <c r="F359" s="292" t="s">
        <v>1029</v>
      </c>
      <c r="G359" s="292"/>
      <c r="H359" s="291" t="s">
        <v>136</v>
      </c>
      <c r="I359" s="291" t="s">
        <v>137</v>
      </c>
      <c r="J359" s="298" t="s">
        <v>3240</v>
      </c>
      <c r="K359" s="299">
        <v>44396</v>
      </c>
      <c r="L359" s="299">
        <v>44396</v>
      </c>
      <c r="M359" s="299">
        <v>44396</v>
      </c>
      <c r="N359" s="291" t="s">
        <v>12</v>
      </c>
      <c r="O359" s="291" t="s">
        <v>3168</v>
      </c>
      <c r="Q359" s="291">
        <v>1</v>
      </c>
      <c r="R359" s="291" t="s">
        <v>1012</v>
      </c>
      <c r="T359" s="291"/>
      <c r="V359" s="291"/>
      <c r="W359" s="291"/>
      <c r="X359" s="292" t="e">
        <f>VLOOKUP(功能_33[[#This Row],[User]],SKL放款!A:G,7,FALSE)</f>
        <v>#N/A</v>
      </c>
      <c r="Y359" s="299">
        <v>44533</v>
      </c>
      <c r="Z359" s="299" t="s">
        <v>195</v>
      </c>
      <c r="AA359" s="299"/>
      <c r="AB359" s="299">
        <v>44396</v>
      </c>
      <c r="AC359" s="299">
        <v>44550</v>
      </c>
      <c r="AD359" s="299"/>
      <c r="AE359" s="299"/>
      <c r="AF359" s="355"/>
      <c r="AG359" s="299" t="str">
        <f>IFERROR(IF(VLOOKUP(功能_33[[#This Row],[功能代號]],E:Q,11,FALSE)=0,"",VLOOKUP(功能_33[[#This Row],[功能代號]],E:Q,11,FALSE)),"")</f>
        <v>李珮君(張淑遠)</v>
      </c>
      <c r="AH359" s="299"/>
      <c r="AI359" s="299"/>
      <c r="AJ359" s="292"/>
      <c r="AK359" s="299">
        <v>44396</v>
      </c>
      <c r="AL359" s="661" t="s">
        <v>3171</v>
      </c>
      <c r="AM359" s="646" t="s">
        <v>3172</v>
      </c>
      <c r="AN359" s="292" t="e">
        <f>VLOOKUP(功能_33[[#This Row],[功能代號]],需二審tmp!A:A,1,FALSE)</f>
        <v>#N/A</v>
      </c>
      <c r="AO359" s="356">
        <v>44526</v>
      </c>
      <c r="AQ359" s="574" t="str">
        <f t="shared" si="39"/>
        <v>5-2</v>
      </c>
      <c r="AR359" s="576" t="str">
        <f t="shared" si="40"/>
        <v/>
      </c>
      <c r="AS359" s="578" t="str">
        <f t="shared" si="41"/>
        <v/>
      </c>
      <c r="AT359" s="580" t="str">
        <f t="shared" si="42"/>
        <v/>
      </c>
      <c r="AU359" s="582" t="str">
        <f t="shared" si="43"/>
        <v/>
      </c>
      <c r="AV359" s="584" t="str">
        <f t="shared" si="44"/>
        <v/>
      </c>
      <c r="AW359" s="662" t="str">
        <f>IFERROR(VLOOKUP(功能_33[[#This Row],[功能代號]],工作表3!C:C,1,FALSE),"未計SIT測試")</f>
        <v>L5024</v>
      </c>
    </row>
    <row r="360" spans="3:49" ht="17" x14ac:dyDescent="0.3">
      <c r="C360" s="292" t="s">
        <v>94</v>
      </c>
      <c r="D360" s="498" t="s">
        <v>2826</v>
      </c>
      <c r="E360" s="291" t="s">
        <v>1030</v>
      </c>
      <c r="F360" s="292" t="s">
        <v>1031</v>
      </c>
      <c r="G360" s="292"/>
      <c r="H360" s="291" t="s">
        <v>136</v>
      </c>
      <c r="I360" s="291" t="s">
        <v>137</v>
      </c>
      <c r="J360" s="298" t="s">
        <v>3240</v>
      </c>
      <c r="K360" s="299">
        <v>44396</v>
      </c>
      <c r="L360" s="299">
        <v>44396</v>
      </c>
      <c r="M360" s="299">
        <v>44533</v>
      </c>
      <c r="N360" s="291" t="s">
        <v>12</v>
      </c>
      <c r="O360" s="270" t="s">
        <v>3168</v>
      </c>
      <c r="Q360" s="291">
        <v>1</v>
      </c>
      <c r="R360" s="291" t="s">
        <v>1017</v>
      </c>
      <c r="T360" s="291"/>
      <c r="V360" s="291"/>
      <c r="W360" s="291"/>
      <c r="X360" s="292" t="e">
        <f>VLOOKUP(功能_33[[#This Row],[User]],SKL放款!A:G,7,FALSE)</f>
        <v>#N/A</v>
      </c>
      <c r="Y360" s="299">
        <v>44533</v>
      </c>
      <c r="Z360" s="299" t="s">
        <v>133</v>
      </c>
      <c r="AA360" s="282">
        <v>44550</v>
      </c>
      <c r="AB360" s="299">
        <v>44550</v>
      </c>
      <c r="AC360" s="299">
        <v>44550</v>
      </c>
      <c r="AD360" s="299"/>
      <c r="AE360" s="299"/>
      <c r="AF360" s="355"/>
      <c r="AG360" s="299" t="str">
        <f>IFERROR(IF(VLOOKUP(功能_33[[#This Row],[功能代號]],E:Q,11,FALSE)=0,"",VLOOKUP(功能_33[[#This Row],[功能代號]],E:Q,11,FALSE)),"")</f>
        <v>李珮君(張淑遠)</v>
      </c>
      <c r="AH360" s="299"/>
      <c r="AI360" s="299"/>
      <c r="AJ360" s="292"/>
      <c r="AK360" s="299">
        <v>44396</v>
      </c>
      <c r="AL360" s="661" t="s">
        <v>3171</v>
      </c>
      <c r="AM360" s="647" t="s">
        <v>3172</v>
      </c>
      <c r="AN360" s="292" t="str">
        <f>VLOOKUP(功能_33[[#This Row],[功能代號]],需二審tmp!A:A,1,FALSE)</f>
        <v>L5405</v>
      </c>
      <c r="AO360" s="356">
        <v>44526</v>
      </c>
      <c r="AQ360" s="574" t="str">
        <f t="shared" si="39"/>
        <v>5-2</v>
      </c>
      <c r="AR360" s="576" t="str">
        <f t="shared" si="40"/>
        <v/>
      </c>
      <c r="AS360" s="578" t="str">
        <f t="shared" si="41"/>
        <v/>
      </c>
      <c r="AT360" s="580" t="str">
        <f t="shared" si="42"/>
        <v/>
      </c>
      <c r="AU360" s="582" t="str">
        <f t="shared" si="43"/>
        <v/>
      </c>
      <c r="AV360" s="584" t="str">
        <f t="shared" si="44"/>
        <v/>
      </c>
      <c r="AW360" s="662" t="str">
        <f>IFERROR(VLOOKUP(功能_33[[#This Row],[功能代號]],工作表3!C:C,1,FALSE),"未計SIT測試")</f>
        <v>L5405</v>
      </c>
    </row>
    <row r="361" spans="3:49" ht="17" x14ac:dyDescent="0.3">
      <c r="C361" s="292" t="s">
        <v>94</v>
      </c>
      <c r="D361" s="498" t="s">
        <v>2826</v>
      </c>
      <c r="E361" s="291" t="s">
        <v>1032</v>
      </c>
      <c r="F361" s="292" t="s">
        <v>1033</v>
      </c>
      <c r="G361" s="292"/>
      <c r="H361" s="291" t="s">
        <v>136</v>
      </c>
      <c r="I361" s="291" t="s">
        <v>137</v>
      </c>
      <c r="J361" s="298" t="s">
        <v>3240</v>
      </c>
      <c r="K361" s="299">
        <v>44397</v>
      </c>
      <c r="L361" s="299">
        <v>44397</v>
      </c>
      <c r="M361" s="299">
        <v>44533</v>
      </c>
      <c r="N361" s="291" t="s">
        <v>12</v>
      </c>
      <c r="O361" s="270" t="s">
        <v>3168</v>
      </c>
      <c r="Q361" s="291">
        <v>1</v>
      </c>
      <c r="R361" s="291" t="s">
        <v>1012</v>
      </c>
      <c r="T361" s="291"/>
      <c r="V361" s="291"/>
      <c r="W361" s="291"/>
      <c r="X361" s="292" t="e">
        <f>VLOOKUP(功能_33[[#This Row],[User]],SKL放款!A:G,7,FALSE)</f>
        <v>#N/A</v>
      </c>
      <c r="Y361" s="299">
        <v>44533</v>
      </c>
      <c r="Z361" s="299" t="s">
        <v>133</v>
      </c>
      <c r="AA361" s="282">
        <v>44550</v>
      </c>
      <c r="AB361" s="299">
        <v>44550</v>
      </c>
      <c r="AC361" s="299">
        <v>44550</v>
      </c>
      <c r="AD361" s="299"/>
      <c r="AE361" s="299"/>
      <c r="AF361" s="355"/>
      <c r="AG361" s="299" t="str">
        <f>IFERROR(IF(VLOOKUP(功能_33[[#This Row],[功能代號]],E:Q,11,FALSE)=0,"",VLOOKUP(功能_33[[#This Row],[功能代號]],E:Q,11,FALSE)),"")</f>
        <v>李珮君(張淑遠)</v>
      </c>
      <c r="AH361" s="299"/>
      <c r="AI361" s="299"/>
      <c r="AJ361" s="292"/>
      <c r="AK361" s="299">
        <v>44397</v>
      </c>
      <c r="AL361" s="661" t="s">
        <v>3171</v>
      </c>
      <c r="AM361" s="649" t="s">
        <v>3172</v>
      </c>
      <c r="AN361" s="292" t="str">
        <f>VLOOKUP(功能_33[[#This Row],[功能代號]],需二審tmp!A:A,1,FALSE)</f>
        <v>L5022</v>
      </c>
      <c r="AO361" s="356">
        <v>44526</v>
      </c>
      <c r="AQ361" s="574" t="str">
        <f t="shared" si="39"/>
        <v>5-2</v>
      </c>
      <c r="AR361" s="576" t="str">
        <f t="shared" si="40"/>
        <v/>
      </c>
      <c r="AS361" s="578" t="str">
        <f t="shared" si="41"/>
        <v/>
      </c>
      <c r="AT361" s="580" t="str">
        <f t="shared" si="42"/>
        <v/>
      </c>
      <c r="AU361" s="582" t="str">
        <f t="shared" si="43"/>
        <v/>
      </c>
      <c r="AV361" s="584" t="str">
        <f t="shared" si="44"/>
        <v/>
      </c>
      <c r="AW361" s="662" t="str">
        <f>IFERROR(VLOOKUP(功能_33[[#This Row],[功能代號]],工作表3!C:C,1,FALSE),"未計SIT測試")</f>
        <v>L5022</v>
      </c>
    </row>
    <row r="362" spans="3:49" ht="13.5" x14ac:dyDescent="0.3">
      <c r="C362" s="292" t="s">
        <v>94</v>
      </c>
      <c r="D362" s="498" t="s">
        <v>2826</v>
      </c>
      <c r="E362" s="291" t="s">
        <v>1034</v>
      </c>
      <c r="F362" s="292" t="s">
        <v>1035</v>
      </c>
      <c r="G362" s="292" t="s">
        <v>407</v>
      </c>
      <c r="H362" s="291" t="s">
        <v>136</v>
      </c>
      <c r="I362" s="291" t="s">
        <v>137</v>
      </c>
      <c r="J362" s="298" t="s">
        <v>3240</v>
      </c>
      <c r="K362" s="299">
        <v>44397</v>
      </c>
      <c r="L362" s="299">
        <v>44397</v>
      </c>
      <c r="M362" s="299">
        <v>44397</v>
      </c>
      <c r="N362" s="291" t="s">
        <v>12</v>
      </c>
      <c r="O362" s="291" t="s">
        <v>3168</v>
      </c>
      <c r="T362" s="291"/>
      <c r="V362" s="291"/>
      <c r="W362" s="291"/>
      <c r="X362" s="292" t="e">
        <f>VLOOKUP(功能_33[[#This Row],[User]],SKL放款!A:G,7,FALSE)</f>
        <v>#N/A</v>
      </c>
      <c r="Y362" s="299">
        <v>44533</v>
      </c>
      <c r="Z362" s="299" t="s">
        <v>195</v>
      </c>
      <c r="AA362" s="299"/>
      <c r="AB362" s="299">
        <v>44397</v>
      </c>
      <c r="AC362" s="299">
        <v>44550</v>
      </c>
      <c r="AD362" s="299"/>
      <c r="AE362" s="299"/>
      <c r="AF362" s="355"/>
      <c r="AG362" s="299" t="str">
        <f>IFERROR(IF(VLOOKUP(功能_33[[#This Row],[功能代號]],E:Q,11,FALSE)=0,"",VLOOKUP(功能_33[[#This Row],[功能代號]],E:Q,11,FALSE)),"")</f>
        <v>李珮君(張淑遠)</v>
      </c>
      <c r="AH362" s="299"/>
      <c r="AI362" s="299"/>
      <c r="AJ362" s="292"/>
      <c r="AK362" s="299"/>
      <c r="AL362" s="291" t="s">
        <v>2976</v>
      </c>
      <c r="AN362" s="292" t="e">
        <f>VLOOKUP(功能_33[[#This Row],[功能代號]],需二審tmp!A:A,1,FALSE)</f>
        <v>#N/A</v>
      </c>
      <c r="AO362" s="356">
        <v>44526</v>
      </c>
      <c r="AQ362" s="574" t="str">
        <f t="shared" si="39"/>
        <v>5-2</v>
      </c>
      <c r="AR362" s="576" t="str">
        <f t="shared" si="40"/>
        <v/>
      </c>
      <c r="AS362" s="578" t="str">
        <f t="shared" si="41"/>
        <v/>
      </c>
      <c r="AT362" s="580" t="str">
        <f t="shared" si="42"/>
        <v/>
      </c>
      <c r="AU362" s="582" t="str">
        <f t="shared" si="43"/>
        <v/>
      </c>
      <c r="AV362" s="584" t="str">
        <f t="shared" si="44"/>
        <v/>
      </c>
      <c r="AW362" s="662" t="str">
        <f>IFERROR(VLOOKUP(功能_33[[#This Row],[功能代號]],工作表3!C:C,1,FALSE),"未計SIT測試")</f>
        <v>L5914</v>
      </c>
    </row>
    <row r="363" spans="3:49" ht="17" x14ac:dyDescent="0.3">
      <c r="C363" s="292" t="s">
        <v>94</v>
      </c>
      <c r="D363" s="498" t="s">
        <v>2826</v>
      </c>
      <c r="E363" s="291" t="s">
        <v>1036</v>
      </c>
      <c r="F363" s="292" t="s">
        <v>1037</v>
      </c>
      <c r="G363" s="292"/>
      <c r="H363" s="291" t="s">
        <v>136</v>
      </c>
      <c r="I363" s="291" t="s">
        <v>137</v>
      </c>
      <c r="J363" s="298" t="s">
        <v>3240</v>
      </c>
      <c r="K363" s="299">
        <v>44397</v>
      </c>
      <c r="L363" s="299">
        <v>44397</v>
      </c>
      <c r="M363" s="299">
        <v>44533</v>
      </c>
      <c r="N363" s="291" t="s">
        <v>12</v>
      </c>
      <c r="O363" s="270" t="s">
        <v>3168</v>
      </c>
      <c r="Q363" s="291">
        <v>1</v>
      </c>
      <c r="R363" s="291" t="s">
        <v>1017</v>
      </c>
      <c r="T363" s="291"/>
      <c r="V363" s="291"/>
      <c r="W363" s="291"/>
      <c r="X363" s="292" t="e">
        <f>VLOOKUP(功能_33[[#This Row],[User]],SKL放款!A:G,7,FALSE)</f>
        <v>#N/A</v>
      </c>
      <c r="Y363" s="299">
        <v>44533</v>
      </c>
      <c r="Z363" s="299" t="s">
        <v>133</v>
      </c>
      <c r="AA363" s="282">
        <v>44550</v>
      </c>
      <c r="AB363" s="299">
        <v>44550</v>
      </c>
      <c r="AC363" s="299">
        <v>44550</v>
      </c>
      <c r="AD363" s="299"/>
      <c r="AE363" s="299"/>
      <c r="AF363" s="355"/>
      <c r="AG363" s="299" t="str">
        <f>IFERROR(IF(VLOOKUP(功能_33[[#This Row],[功能代號]],E:Q,11,FALSE)=0,"",VLOOKUP(功能_33[[#This Row],[功能代號]],E:Q,11,FALSE)),"")</f>
        <v>李珮君(張淑遠)</v>
      </c>
      <c r="AH363" s="299"/>
      <c r="AI363" s="299"/>
      <c r="AJ363" s="292"/>
      <c r="AK363" s="299">
        <v>44397</v>
      </c>
      <c r="AL363" s="661" t="s">
        <v>3171</v>
      </c>
      <c r="AM363" s="649" t="s">
        <v>3172</v>
      </c>
      <c r="AN363" s="292" t="str">
        <f>VLOOKUP(功能_33[[#This Row],[功能代號]],需二審tmp!A:A,1,FALSE)</f>
        <v>L5407</v>
      </c>
      <c r="AO363" s="356">
        <v>44526</v>
      </c>
      <c r="AQ363" s="574" t="str">
        <f t="shared" si="39"/>
        <v>5-2</v>
      </c>
      <c r="AR363" s="576" t="str">
        <f t="shared" si="40"/>
        <v/>
      </c>
      <c r="AS363" s="578" t="str">
        <f t="shared" si="41"/>
        <v/>
      </c>
      <c r="AT363" s="580" t="str">
        <f t="shared" si="42"/>
        <v/>
      </c>
      <c r="AU363" s="582" t="str">
        <f t="shared" si="43"/>
        <v/>
      </c>
      <c r="AV363" s="584" t="str">
        <f t="shared" si="44"/>
        <v/>
      </c>
      <c r="AW363" s="662" t="str">
        <f>IFERROR(VLOOKUP(功能_33[[#This Row],[功能代號]],工作表3!C:C,1,FALSE),"未計SIT測試")</f>
        <v>L5407</v>
      </c>
    </row>
    <row r="364" spans="3:49" ht="13.5" x14ac:dyDescent="0.3">
      <c r="C364" s="292" t="s">
        <v>95</v>
      </c>
      <c r="D364" s="292" t="s">
        <v>2816</v>
      </c>
      <c r="E364" s="291" t="s">
        <v>582</v>
      </c>
      <c r="F364" s="292" t="s">
        <v>581</v>
      </c>
      <c r="G364" s="292"/>
      <c r="H364" s="291" t="s">
        <v>193</v>
      </c>
      <c r="I364" s="291" t="s">
        <v>314</v>
      </c>
      <c r="J364" s="225" t="s">
        <v>3234</v>
      </c>
      <c r="K364" s="299">
        <v>44516</v>
      </c>
      <c r="L364" s="299">
        <v>44467</v>
      </c>
      <c r="M364" s="299">
        <v>44472</v>
      </c>
      <c r="N364" s="291" t="s">
        <v>12</v>
      </c>
      <c r="O364" s="291" t="s">
        <v>567</v>
      </c>
      <c r="T364" s="291"/>
      <c r="V364" s="291"/>
      <c r="W364" s="291"/>
      <c r="X364" s="292" t="str">
        <f>VLOOKUP(功能_33[[#This Row],[User]],SKL放款!A:G,7,FALSE)</f>
        <v>放款審查課</v>
      </c>
      <c r="Y364" s="299">
        <v>44472</v>
      </c>
      <c r="Z364" s="299" t="s">
        <v>133</v>
      </c>
      <c r="AA364" s="282">
        <v>44544</v>
      </c>
      <c r="AB364" s="282">
        <v>44544</v>
      </c>
      <c r="AC364" s="299">
        <v>44550</v>
      </c>
      <c r="AD364" s="299"/>
      <c r="AE364" s="299"/>
      <c r="AF364" s="355"/>
      <c r="AG364" s="299" t="str">
        <f>IFERROR(IF(VLOOKUP(功能_33[[#This Row],[功能代號]],E:Q,11,FALSE)=0,"",VLOOKUP(功能_33[[#This Row],[功能代號]],E:Q,11,FALSE)),"")</f>
        <v>鄧雪美</v>
      </c>
      <c r="AH364" s="299"/>
      <c r="AI364" s="299"/>
      <c r="AJ364" s="292"/>
      <c r="AK364" s="299"/>
      <c r="AL364" s="303" t="s">
        <v>580</v>
      </c>
      <c r="AM364" s="304" t="s">
        <v>581</v>
      </c>
      <c r="AN364" s="292" t="str">
        <f>VLOOKUP(功能_33[[#This Row],[功能代號]],需二審tmp!A:A,1,FALSE)</f>
        <v>L6705</v>
      </c>
      <c r="AO364" s="356">
        <v>44526</v>
      </c>
      <c r="AQ364" s="574" t="str">
        <f t="shared" si="39"/>
        <v>6-7</v>
      </c>
      <c r="AR364" s="576" t="str">
        <f t="shared" si="40"/>
        <v/>
      </c>
      <c r="AS364" s="578" t="str">
        <f t="shared" si="41"/>
        <v/>
      </c>
      <c r="AT364" s="580" t="str">
        <f t="shared" si="42"/>
        <v/>
      </c>
      <c r="AU364" s="582" t="str">
        <f t="shared" si="43"/>
        <v/>
      </c>
      <c r="AV364" s="584" t="str">
        <f t="shared" si="44"/>
        <v/>
      </c>
      <c r="AW364" s="662" t="str">
        <f>IFERROR(VLOOKUP(功能_33[[#This Row],[功能代號]],工作表3!C:C,1,FALSE),"未計SIT測試")</f>
        <v>L6705</v>
      </c>
    </row>
    <row r="365" spans="3:49" ht="13.5" x14ac:dyDescent="0.3">
      <c r="C365" s="292" t="s">
        <v>95</v>
      </c>
      <c r="D365" s="498" t="s">
        <v>2816</v>
      </c>
      <c r="E365" s="291" t="s">
        <v>1040</v>
      </c>
      <c r="F365" s="292" t="s">
        <v>1041</v>
      </c>
      <c r="G365" s="292"/>
      <c r="H365" s="291" t="s">
        <v>136</v>
      </c>
      <c r="I365" s="291" t="s">
        <v>137</v>
      </c>
      <c r="J365" s="225" t="s">
        <v>3234</v>
      </c>
      <c r="K365" s="299">
        <v>44398</v>
      </c>
      <c r="L365" s="299">
        <v>44398</v>
      </c>
      <c r="M365" s="299">
        <v>44533</v>
      </c>
      <c r="N365" s="291" t="s">
        <v>12</v>
      </c>
      <c r="O365" s="270" t="s">
        <v>3168</v>
      </c>
      <c r="T365" s="291"/>
      <c r="V365" s="291"/>
      <c r="W365" s="291"/>
      <c r="X365" s="292" t="e">
        <f>VLOOKUP(功能_33[[#This Row],[User]],SKL放款!A:G,7,FALSE)</f>
        <v>#N/A</v>
      </c>
      <c r="Y365" s="299">
        <v>44533</v>
      </c>
      <c r="Z365" s="299" t="s">
        <v>133</v>
      </c>
      <c r="AA365" s="282">
        <v>44550</v>
      </c>
      <c r="AB365" s="299">
        <v>44550</v>
      </c>
      <c r="AC365" s="299">
        <v>44550</v>
      </c>
      <c r="AD365" s="299"/>
      <c r="AE365" s="299"/>
      <c r="AF365" s="355"/>
      <c r="AG365" s="299" t="str">
        <f>IFERROR(IF(VLOOKUP(功能_33[[#This Row],[功能代號]],E:Q,11,FALSE)=0,"",VLOOKUP(功能_33[[#This Row],[功能代號]],E:Q,11,FALSE)),"")</f>
        <v>李珮君(張淑遠)</v>
      </c>
      <c r="AH365" s="299"/>
      <c r="AI365" s="299"/>
      <c r="AJ365" s="292"/>
      <c r="AK365" s="299">
        <v>44398</v>
      </c>
      <c r="AL365" s="291" t="s">
        <v>2976</v>
      </c>
      <c r="AN365" s="292" t="str">
        <f>VLOOKUP(功能_33[[#This Row],[功能代號]],需二審tmp!A:A,1,FALSE)</f>
        <v>L6994</v>
      </c>
      <c r="AO365" s="356">
        <v>44526</v>
      </c>
      <c r="AQ365" s="574" t="str">
        <f t="shared" si="39"/>
        <v>6-7</v>
      </c>
      <c r="AR365" s="576" t="str">
        <f t="shared" si="40"/>
        <v/>
      </c>
      <c r="AS365" s="578" t="str">
        <f t="shared" si="41"/>
        <v/>
      </c>
      <c r="AT365" s="580" t="str">
        <f t="shared" si="42"/>
        <v/>
      </c>
      <c r="AU365" s="582" t="str">
        <f t="shared" si="43"/>
        <v/>
      </c>
      <c r="AV365" s="584" t="str">
        <f t="shared" si="44"/>
        <v/>
      </c>
      <c r="AW365" s="662" t="str">
        <f>IFERROR(VLOOKUP(功能_33[[#This Row],[功能代號]],工作表3!C:C,1,FALSE),"未計SIT測試")</f>
        <v>L6994</v>
      </c>
    </row>
    <row r="366" spans="3:49" ht="13.5" x14ac:dyDescent="0.3">
      <c r="C366" s="292" t="s">
        <v>95</v>
      </c>
      <c r="D366" s="292" t="s">
        <v>2816</v>
      </c>
      <c r="E366" s="291" t="s">
        <v>560</v>
      </c>
      <c r="F366" s="292" t="s">
        <v>559</v>
      </c>
      <c r="G366" s="292"/>
      <c r="H366" s="291" t="s">
        <v>193</v>
      </c>
      <c r="I366" s="291" t="s">
        <v>314</v>
      </c>
      <c r="J366" s="225" t="s">
        <v>3234</v>
      </c>
      <c r="K366" s="299">
        <v>44515</v>
      </c>
      <c r="L366" s="299">
        <v>44466</v>
      </c>
      <c r="M366" s="299">
        <v>44466</v>
      </c>
      <c r="N366" s="291" t="s">
        <v>12</v>
      </c>
      <c r="O366" s="291" t="s">
        <v>11</v>
      </c>
      <c r="T366" s="291"/>
      <c r="V366" s="291"/>
      <c r="W366" s="291"/>
      <c r="X366" s="292" t="str">
        <f>VLOOKUP(功能_33[[#This Row],[User]],SKL放款!A:G,7,FALSE)</f>
        <v>放款服務課</v>
      </c>
      <c r="Y366" s="299">
        <v>44533</v>
      </c>
      <c r="Z366" s="299" t="s">
        <v>195</v>
      </c>
      <c r="AA366" s="299">
        <v>44529</v>
      </c>
      <c r="AB366" s="299">
        <v>44529</v>
      </c>
      <c r="AC366" s="299">
        <v>44550</v>
      </c>
      <c r="AD366" s="299"/>
      <c r="AE366" s="299"/>
      <c r="AF366" s="355"/>
      <c r="AG366" s="299" t="str">
        <f>IFERROR(IF(VLOOKUP(功能_33[[#This Row],[功能代號]],E:Q,11,FALSE)=0,"",VLOOKUP(功能_33[[#This Row],[功能代號]],E:Q,11,FALSE)),"")</f>
        <v>蔡珮瑜</v>
      </c>
      <c r="AH366" s="299"/>
      <c r="AI366" s="299"/>
      <c r="AJ366" s="292"/>
      <c r="AK366" s="299"/>
      <c r="AL366" s="303" t="s">
        <v>558</v>
      </c>
      <c r="AM366" s="304" t="s">
        <v>559</v>
      </c>
      <c r="AN366" s="292" t="e">
        <f>VLOOKUP(功能_33[[#This Row],[功能代號]],需二審tmp!A:A,1,FALSE)</f>
        <v>#N/A</v>
      </c>
      <c r="AO366" s="356">
        <v>44526</v>
      </c>
      <c r="AQ366" s="574" t="str">
        <f t="shared" si="39"/>
        <v>6-7</v>
      </c>
      <c r="AR366" s="576" t="str">
        <f t="shared" si="40"/>
        <v/>
      </c>
      <c r="AS366" s="578" t="str">
        <f t="shared" si="41"/>
        <v/>
      </c>
      <c r="AT366" s="580" t="str">
        <f t="shared" si="42"/>
        <v/>
      </c>
      <c r="AU366" s="582" t="str">
        <f t="shared" si="43"/>
        <v/>
      </c>
      <c r="AV366" s="584" t="str">
        <f t="shared" si="44"/>
        <v/>
      </c>
      <c r="AW366" s="662" t="str">
        <f>IFERROR(VLOOKUP(功能_33[[#This Row],[功能代號]],工作表3!C:C,1,FALSE),"未計SIT測試")</f>
        <v>L6707</v>
      </c>
    </row>
    <row r="367" spans="3:49" ht="13.5" x14ac:dyDescent="0.3">
      <c r="C367" s="292" t="s">
        <v>95</v>
      </c>
      <c r="D367" s="498" t="s">
        <v>2816</v>
      </c>
      <c r="E367" s="291" t="s">
        <v>1044</v>
      </c>
      <c r="F367" s="292" t="s">
        <v>1045</v>
      </c>
      <c r="G367" s="292"/>
      <c r="H367" s="291" t="s">
        <v>136</v>
      </c>
      <c r="I367" s="291" t="s">
        <v>137</v>
      </c>
      <c r="J367" s="225" t="s">
        <v>3234</v>
      </c>
      <c r="K367" s="299">
        <v>44398</v>
      </c>
      <c r="L367" s="299">
        <v>44398</v>
      </c>
      <c r="M367" s="299">
        <v>44536</v>
      </c>
      <c r="N367" s="291" t="s">
        <v>12</v>
      </c>
      <c r="O367" s="270" t="s">
        <v>3168</v>
      </c>
      <c r="T367" s="291"/>
      <c r="V367" s="291"/>
      <c r="W367" s="291"/>
      <c r="X367" s="292" t="e">
        <f>VLOOKUP(功能_33[[#This Row],[User]],SKL放款!A:G,7,FALSE)</f>
        <v>#N/A</v>
      </c>
      <c r="Y367" s="299">
        <v>44536</v>
      </c>
      <c r="Z367" s="299" t="s">
        <v>133</v>
      </c>
      <c r="AA367" s="282">
        <v>44550</v>
      </c>
      <c r="AB367" s="299">
        <v>44550</v>
      </c>
      <c r="AC367" s="299">
        <v>44550</v>
      </c>
      <c r="AD367" s="299"/>
      <c r="AE367" s="299"/>
      <c r="AF367" s="355"/>
      <c r="AG367" s="299" t="str">
        <f>IFERROR(IF(VLOOKUP(功能_33[[#This Row],[功能代號]],E:Q,11,FALSE)=0,"",VLOOKUP(功能_33[[#This Row],[功能代號]],E:Q,11,FALSE)),"")</f>
        <v>李珮君(張淑遠)</v>
      </c>
      <c r="AH367" s="299"/>
      <c r="AI367" s="299"/>
      <c r="AJ367" s="292"/>
      <c r="AK367" s="299">
        <v>44398</v>
      </c>
      <c r="AL367" s="291" t="s">
        <v>2976</v>
      </c>
      <c r="AN367" s="292" t="str">
        <f>VLOOKUP(功能_33[[#This Row],[功能代號]],需二審tmp!A:A,1,FALSE)</f>
        <v>L6757</v>
      </c>
      <c r="AO367" s="356">
        <v>44536</v>
      </c>
      <c r="AQ367" s="574" t="str">
        <f t="shared" si="39"/>
        <v>6-7</v>
      </c>
      <c r="AR367" s="576" t="str">
        <f t="shared" si="40"/>
        <v/>
      </c>
      <c r="AS367" s="578" t="str">
        <f t="shared" si="41"/>
        <v/>
      </c>
      <c r="AT367" s="580" t="str">
        <f t="shared" si="42"/>
        <v/>
      </c>
      <c r="AU367" s="582" t="str">
        <f t="shared" si="43"/>
        <v/>
      </c>
      <c r="AV367" s="584" t="str">
        <f t="shared" si="44"/>
        <v/>
      </c>
      <c r="AW367" s="662" t="str">
        <f>IFERROR(VLOOKUP(功能_33[[#This Row],[功能代號]],工作表3!C:C,1,FALSE),"未計SIT測試")</f>
        <v>L6757</v>
      </c>
    </row>
    <row r="368" spans="3:49" ht="13.5" x14ac:dyDescent="0.3">
      <c r="C368" s="292" t="s">
        <v>95</v>
      </c>
      <c r="D368" s="292" t="s">
        <v>2816</v>
      </c>
      <c r="E368" s="291" t="s">
        <v>563</v>
      </c>
      <c r="F368" s="292" t="s">
        <v>564</v>
      </c>
      <c r="G368" s="292"/>
      <c r="H368" s="291" t="s">
        <v>193</v>
      </c>
      <c r="I368" s="291" t="s">
        <v>314</v>
      </c>
      <c r="J368" s="225" t="s">
        <v>3234</v>
      </c>
      <c r="K368" s="299">
        <v>44515</v>
      </c>
      <c r="L368" s="299">
        <v>44466</v>
      </c>
      <c r="M368" s="299">
        <v>44466</v>
      </c>
      <c r="N368" s="291" t="s">
        <v>7</v>
      </c>
      <c r="O368" s="291" t="s">
        <v>11</v>
      </c>
      <c r="T368" s="291"/>
      <c r="V368" s="291"/>
      <c r="W368" s="291"/>
      <c r="X368" s="292" t="str">
        <f>VLOOKUP(功能_33[[#This Row],[User]],SKL放款!A:G,7,FALSE)</f>
        <v>放款服務課</v>
      </c>
      <c r="Y368" s="299">
        <v>44533</v>
      </c>
      <c r="Z368" s="299" t="s">
        <v>195</v>
      </c>
      <c r="AA368" s="299">
        <v>44529</v>
      </c>
      <c r="AB368" s="299">
        <v>44529</v>
      </c>
      <c r="AC368" s="299">
        <v>44550</v>
      </c>
      <c r="AD368" s="299"/>
      <c r="AE368" s="299"/>
      <c r="AF368" s="355"/>
      <c r="AG368" s="299" t="str">
        <f>IFERROR(IF(VLOOKUP(功能_33[[#This Row],[功能代號]],E:Q,11,FALSE)=0,"",VLOOKUP(功能_33[[#This Row],[功能代號]],E:Q,11,FALSE)),"")</f>
        <v>蔡珮瑜</v>
      </c>
      <c r="AH368" s="299"/>
      <c r="AI368" s="299"/>
      <c r="AJ368" s="292"/>
      <c r="AK368" s="299"/>
      <c r="AL368" s="291" t="s">
        <v>190</v>
      </c>
      <c r="AN368" s="292" t="e">
        <f>VLOOKUP(功能_33[[#This Row],[功能代號]],需二審tmp!A:A,1,FALSE)</f>
        <v>#N/A</v>
      </c>
      <c r="AO368" s="356">
        <v>44526</v>
      </c>
      <c r="AQ368" s="574" t="str">
        <f t="shared" si="39"/>
        <v>6-7</v>
      </c>
      <c r="AR368" s="576" t="str">
        <f t="shared" si="40"/>
        <v/>
      </c>
      <c r="AS368" s="578" t="str">
        <f t="shared" si="41"/>
        <v/>
      </c>
      <c r="AT368" s="580" t="str">
        <f t="shared" si="42"/>
        <v/>
      </c>
      <c r="AU368" s="582" t="str">
        <f t="shared" si="43"/>
        <v/>
      </c>
      <c r="AV368" s="584" t="str">
        <f t="shared" si="44"/>
        <v/>
      </c>
      <c r="AW368" s="662" t="str">
        <f>IFERROR(VLOOKUP(功能_33[[#This Row],[功能代號]],工作表3!C:C,1,FALSE),"未計SIT測試")</f>
        <v>L6708</v>
      </c>
    </row>
    <row r="369" spans="3:49" ht="13.5" x14ac:dyDescent="0.3">
      <c r="C369" s="292" t="s">
        <v>95</v>
      </c>
      <c r="D369" s="292" t="s">
        <v>2816</v>
      </c>
      <c r="E369" s="291" t="s">
        <v>618</v>
      </c>
      <c r="F369" s="292" t="s">
        <v>619</v>
      </c>
      <c r="G369" s="292"/>
      <c r="H369" s="291" t="s">
        <v>193</v>
      </c>
      <c r="I369" s="291" t="s">
        <v>314</v>
      </c>
      <c r="J369" s="225" t="s">
        <v>3234</v>
      </c>
      <c r="K369" s="299">
        <v>44516</v>
      </c>
      <c r="L369" s="299">
        <v>44467</v>
      </c>
      <c r="M369" s="299">
        <v>44467</v>
      </c>
      <c r="N369" s="291" t="s">
        <v>12</v>
      </c>
      <c r="O369" s="291" t="s">
        <v>172</v>
      </c>
      <c r="T369" s="291"/>
      <c r="V369" s="291"/>
      <c r="W369" s="291"/>
      <c r="X369" s="292" t="str">
        <f>VLOOKUP(功能_33[[#This Row],[User]],SKL放款!A:G,7,FALSE)</f>
        <v>放款服務課</v>
      </c>
      <c r="Y369" s="299">
        <v>44533</v>
      </c>
      <c r="Z369" s="299" t="s">
        <v>195</v>
      </c>
      <c r="AA369" s="299">
        <v>44529</v>
      </c>
      <c r="AB369" s="299">
        <v>44529</v>
      </c>
      <c r="AC369" s="299">
        <v>44550</v>
      </c>
      <c r="AD369" s="299"/>
      <c r="AE369" s="299"/>
      <c r="AF369" s="355"/>
      <c r="AG369" s="299" t="str">
        <f>IFERROR(IF(VLOOKUP(功能_33[[#This Row],[功能代號]],E:Q,11,FALSE)=0,"",VLOOKUP(功能_33[[#This Row],[功能代號]],E:Q,11,FALSE)),"")</f>
        <v>陳政皓</v>
      </c>
      <c r="AH369" s="299"/>
      <c r="AI369" s="299"/>
      <c r="AJ369" s="292"/>
      <c r="AK369" s="299"/>
      <c r="AL369" s="303" t="s">
        <v>616</v>
      </c>
      <c r="AM369" s="304" t="s">
        <v>617</v>
      </c>
      <c r="AN369" s="292" t="e">
        <f>VLOOKUP(功能_33[[#This Row],[功能代號]],需二審tmp!A:A,1,FALSE)</f>
        <v>#N/A</v>
      </c>
      <c r="AO369" s="356">
        <v>44526</v>
      </c>
      <c r="AQ369" s="574" t="str">
        <f t="shared" si="39"/>
        <v>6-7</v>
      </c>
      <c r="AR369" s="576" t="str">
        <f t="shared" si="40"/>
        <v/>
      </c>
      <c r="AS369" s="578" t="str">
        <f t="shared" si="41"/>
        <v/>
      </c>
      <c r="AT369" s="580" t="str">
        <f t="shared" si="42"/>
        <v/>
      </c>
      <c r="AU369" s="582" t="str">
        <f t="shared" si="43"/>
        <v/>
      </c>
      <c r="AV369" s="584" t="str">
        <f t="shared" si="44"/>
        <v/>
      </c>
      <c r="AW369" s="662" t="str">
        <f>IFERROR(VLOOKUP(功能_33[[#This Row],[功能代號]],工作表3!C:C,1,FALSE),"未計SIT測試")</f>
        <v>L6709</v>
      </c>
    </row>
    <row r="370" spans="3:49" ht="13.5" x14ac:dyDescent="0.3">
      <c r="C370" s="292" t="s">
        <v>95</v>
      </c>
      <c r="D370" s="498" t="s">
        <v>2816</v>
      </c>
      <c r="E370" s="291" t="s">
        <v>1050</v>
      </c>
      <c r="F370" s="292" t="s">
        <v>1051</v>
      </c>
      <c r="G370" s="292"/>
      <c r="H370" s="291" t="s">
        <v>136</v>
      </c>
      <c r="I370" s="291" t="s">
        <v>137</v>
      </c>
      <c r="J370" s="225" t="s">
        <v>3234</v>
      </c>
      <c r="K370" s="299">
        <v>44397</v>
      </c>
      <c r="L370" s="299">
        <v>44397</v>
      </c>
      <c r="M370" s="299">
        <v>44397</v>
      </c>
      <c r="N370" s="291" t="s">
        <v>12</v>
      </c>
      <c r="O370" s="291" t="s">
        <v>3168</v>
      </c>
      <c r="T370" s="291"/>
      <c r="V370" s="291"/>
      <c r="W370" s="291"/>
      <c r="X370" s="292" t="e">
        <f>VLOOKUP(功能_33[[#This Row],[User]],SKL放款!A:G,7,FALSE)</f>
        <v>#N/A</v>
      </c>
      <c r="Y370" s="299">
        <v>44533</v>
      </c>
      <c r="Z370" s="299" t="s">
        <v>195</v>
      </c>
      <c r="AA370" s="299"/>
      <c r="AB370" s="299">
        <v>44397</v>
      </c>
      <c r="AC370" s="299">
        <v>44550</v>
      </c>
      <c r="AD370" s="299"/>
      <c r="AE370" s="299"/>
      <c r="AF370" s="355"/>
      <c r="AG370" s="299" t="str">
        <f>IFERROR(IF(VLOOKUP(功能_33[[#This Row],[功能代號]],E:Q,11,FALSE)=0,"",VLOOKUP(功能_33[[#This Row],[功能代號]],E:Q,11,FALSE)),"")</f>
        <v>李珮君(張淑遠)</v>
      </c>
      <c r="AH370" s="299"/>
      <c r="AI370" s="299"/>
      <c r="AJ370" s="292"/>
      <c r="AK370" s="299">
        <v>44397</v>
      </c>
      <c r="AL370" s="291" t="s">
        <v>2976</v>
      </c>
      <c r="AN370" s="292" t="e">
        <f>VLOOKUP(功能_33[[#This Row],[功能代號]],需二審tmp!A:A,1,FALSE)</f>
        <v>#N/A</v>
      </c>
      <c r="AO370" s="356">
        <v>44526</v>
      </c>
      <c r="AQ370" s="574" t="str">
        <f t="shared" si="39"/>
        <v>6-7</v>
      </c>
      <c r="AR370" s="576" t="str">
        <f t="shared" si="40"/>
        <v/>
      </c>
      <c r="AS370" s="578" t="str">
        <f t="shared" si="41"/>
        <v/>
      </c>
      <c r="AT370" s="580" t="str">
        <f t="shared" si="42"/>
        <v/>
      </c>
      <c r="AU370" s="582" t="str">
        <f t="shared" si="43"/>
        <v/>
      </c>
      <c r="AV370" s="584" t="str">
        <f t="shared" si="44"/>
        <v/>
      </c>
      <c r="AW370" s="662" t="str">
        <f>IFERROR(VLOOKUP(功能_33[[#This Row],[功能代號]],工作表3!C:C,1,FALSE),"未計SIT測試")</f>
        <v>L6087</v>
      </c>
    </row>
    <row r="371" spans="3:49" ht="13.5" x14ac:dyDescent="0.3">
      <c r="C371" s="292" t="s">
        <v>95</v>
      </c>
      <c r="D371" s="498" t="s">
        <v>2816</v>
      </c>
      <c r="E371" s="291" t="s">
        <v>1052</v>
      </c>
      <c r="F371" s="292" t="s">
        <v>1053</v>
      </c>
      <c r="G371" s="292"/>
      <c r="H371" s="291" t="s">
        <v>136</v>
      </c>
      <c r="I371" s="291" t="s">
        <v>137</v>
      </c>
      <c r="J371" s="225" t="s">
        <v>3234</v>
      </c>
      <c r="K371" s="299">
        <v>44397</v>
      </c>
      <c r="L371" s="299">
        <v>44397</v>
      </c>
      <c r="M371" s="299">
        <v>44536</v>
      </c>
      <c r="N371" s="291" t="s">
        <v>12</v>
      </c>
      <c r="O371" s="270" t="s">
        <v>3168</v>
      </c>
      <c r="T371" s="291"/>
      <c r="V371" s="291"/>
      <c r="W371" s="291"/>
      <c r="X371" s="292" t="e">
        <f>VLOOKUP(功能_33[[#This Row],[User]],SKL放款!A:G,7,FALSE)</f>
        <v>#N/A</v>
      </c>
      <c r="Y371" s="299">
        <v>44536</v>
      </c>
      <c r="Z371" s="299" t="s">
        <v>133</v>
      </c>
      <c r="AA371" s="282">
        <v>44550</v>
      </c>
      <c r="AB371" s="299">
        <v>44550</v>
      </c>
      <c r="AC371" s="299">
        <v>44550</v>
      </c>
      <c r="AD371" s="299"/>
      <c r="AE371" s="299"/>
      <c r="AF371" s="355"/>
      <c r="AG371" s="299" t="str">
        <f>IFERROR(IF(VLOOKUP(功能_33[[#This Row],[功能代號]],E:Q,11,FALSE)=0,"",VLOOKUP(功能_33[[#This Row],[功能代號]],E:Q,11,FALSE)),"")</f>
        <v>李珮君(張淑遠)</v>
      </c>
      <c r="AH371" s="299"/>
      <c r="AI371" s="299"/>
      <c r="AJ371" s="292"/>
      <c r="AK371" s="299">
        <v>44397</v>
      </c>
      <c r="AL371" s="291" t="s">
        <v>2976</v>
      </c>
      <c r="AN371" s="292" t="str">
        <f>VLOOKUP(功能_33[[#This Row],[功能代號]],需二審tmp!A:A,1,FALSE)</f>
        <v>L6787</v>
      </c>
      <c r="AO371" s="356">
        <v>44536</v>
      </c>
      <c r="AQ371" s="574" t="str">
        <f t="shared" si="39"/>
        <v>6-7</v>
      </c>
      <c r="AR371" s="576" t="str">
        <f t="shared" si="40"/>
        <v/>
      </c>
      <c r="AS371" s="578" t="str">
        <f t="shared" si="41"/>
        <v/>
      </c>
      <c r="AT371" s="580" t="str">
        <f t="shared" si="42"/>
        <v/>
      </c>
      <c r="AU371" s="582" t="str">
        <f t="shared" si="43"/>
        <v/>
      </c>
      <c r="AV371" s="584" t="str">
        <f t="shared" si="44"/>
        <v/>
      </c>
      <c r="AW371" s="662" t="str">
        <f>IFERROR(VLOOKUP(功能_33[[#This Row],[功能代號]],工作表3!C:C,1,FALSE),"未計SIT測試")</f>
        <v>L6787</v>
      </c>
    </row>
    <row r="372" spans="3:49" ht="13.5" x14ac:dyDescent="0.3">
      <c r="C372" s="292" t="s">
        <v>95</v>
      </c>
      <c r="D372" s="498" t="s">
        <v>2814</v>
      </c>
      <c r="E372" s="291" t="s">
        <v>1054</v>
      </c>
      <c r="F372" s="292" t="s">
        <v>1055</v>
      </c>
      <c r="G372" s="292"/>
      <c r="H372" s="291" t="s">
        <v>193</v>
      </c>
      <c r="I372" s="291" t="s">
        <v>314</v>
      </c>
      <c r="J372" s="225" t="s">
        <v>417</v>
      </c>
      <c r="K372" s="299">
        <v>44397</v>
      </c>
      <c r="L372" s="299">
        <v>44397</v>
      </c>
      <c r="M372" s="299">
        <v>44537</v>
      </c>
      <c r="N372" s="291" t="s">
        <v>12</v>
      </c>
      <c r="O372" s="291" t="s">
        <v>172</v>
      </c>
      <c r="T372" s="291"/>
      <c r="V372" s="291"/>
      <c r="W372" s="291"/>
      <c r="X372" s="292" t="str">
        <f>VLOOKUP(功能_33[[#This Row],[User]],SKL放款!A:G,7,FALSE)</f>
        <v>放款服務課</v>
      </c>
      <c r="Y372" s="299">
        <v>44537</v>
      </c>
      <c r="Z372" s="299" t="s">
        <v>133</v>
      </c>
      <c r="AA372" s="282">
        <v>44544</v>
      </c>
      <c r="AB372" s="282">
        <v>44544</v>
      </c>
      <c r="AC372" s="299">
        <v>44544</v>
      </c>
      <c r="AD372" s="299"/>
      <c r="AE372" s="299"/>
      <c r="AF372" s="355"/>
      <c r="AG372" s="299" t="str">
        <f>IFERROR(IF(VLOOKUP(功能_33[[#This Row],[功能代號]],E:Q,11,FALSE)=0,"",VLOOKUP(功能_33[[#This Row],[功能代號]],E:Q,11,FALSE)),"")</f>
        <v>陳政皓</v>
      </c>
      <c r="AH372" s="299"/>
      <c r="AI372" s="299"/>
      <c r="AJ372" s="292"/>
      <c r="AK372" s="299">
        <v>44397</v>
      </c>
      <c r="AL372" s="291" t="s">
        <v>190</v>
      </c>
      <c r="AN372" s="292" t="str">
        <f>VLOOKUP(功能_33[[#This Row],[功能代號]],需二審tmp!A:A,1,FALSE)</f>
        <v>L6501</v>
      </c>
      <c r="AO372" s="356">
        <v>44526</v>
      </c>
      <c r="AQ372" s="574" t="str">
        <f t="shared" si="39"/>
        <v>6-5</v>
      </c>
      <c r="AR372" s="576" t="str">
        <f t="shared" si="40"/>
        <v/>
      </c>
      <c r="AS372" s="578" t="str">
        <f t="shared" si="41"/>
        <v/>
      </c>
      <c r="AT372" s="580" t="str">
        <f t="shared" si="42"/>
        <v/>
      </c>
      <c r="AU372" s="582" t="str">
        <f t="shared" si="43"/>
        <v/>
      </c>
      <c r="AV372" s="584" t="str">
        <f t="shared" si="44"/>
        <v/>
      </c>
      <c r="AW372" s="662" t="str">
        <f>IFERROR(VLOOKUP(功能_33[[#This Row],[功能代號]],工作表3!C:C,1,FALSE),"未計SIT測試")</f>
        <v>L6501</v>
      </c>
    </row>
    <row r="373" spans="3:49" ht="13.5" x14ac:dyDescent="0.3">
      <c r="C373" s="292" t="s">
        <v>95</v>
      </c>
      <c r="D373" s="498" t="s">
        <v>2814</v>
      </c>
      <c r="E373" s="291" t="s">
        <v>1056</v>
      </c>
      <c r="F373" s="270" t="s">
        <v>1057</v>
      </c>
      <c r="G373" s="270" t="s">
        <v>1058</v>
      </c>
      <c r="H373" s="291" t="s">
        <v>193</v>
      </c>
      <c r="I373" s="291" t="s">
        <v>137</v>
      </c>
      <c r="J373" s="225" t="s">
        <v>417</v>
      </c>
      <c r="K373" s="299">
        <v>44397</v>
      </c>
      <c r="L373" s="299">
        <v>44397</v>
      </c>
      <c r="M373" s="299">
        <v>44397</v>
      </c>
      <c r="N373" s="291" t="s">
        <v>12</v>
      </c>
      <c r="O373" s="291" t="s">
        <v>3168</v>
      </c>
      <c r="T373" s="291"/>
      <c r="V373" s="291"/>
      <c r="W373" s="291"/>
      <c r="X373" s="292" t="e">
        <f>VLOOKUP(功能_33[[#This Row],[User]],SKL放款!A:G,7,FALSE)</f>
        <v>#N/A</v>
      </c>
      <c r="Y373" s="299">
        <v>44533</v>
      </c>
      <c r="Z373" s="299" t="s">
        <v>195</v>
      </c>
      <c r="AA373" s="299"/>
      <c r="AB373" s="299">
        <v>44397</v>
      </c>
      <c r="AC373" s="299">
        <v>44544</v>
      </c>
      <c r="AD373" s="299"/>
      <c r="AE373" s="299"/>
      <c r="AF373" s="355"/>
      <c r="AG373" s="299" t="str">
        <f>IFERROR(IF(VLOOKUP(功能_33[[#This Row],[功能代號]],E:Q,11,FALSE)=0,"",VLOOKUP(功能_33[[#This Row],[功能代號]],E:Q,11,FALSE)),"")</f>
        <v>李珮君(張淑遠)</v>
      </c>
      <c r="AH373" s="299"/>
      <c r="AI373" s="299"/>
      <c r="AJ373" s="292"/>
      <c r="AK373" s="299">
        <v>44397</v>
      </c>
      <c r="AL373" s="291" t="s">
        <v>2976</v>
      </c>
      <c r="AN373" s="292" t="e">
        <f>VLOOKUP(功能_33[[#This Row],[功能代號]],需二審tmp!A:A,1,FALSE)</f>
        <v>#N/A</v>
      </c>
      <c r="AO373" s="356">
        <v>44526</v>
      </c>
      <c r="AQ373" s="574" t="str">
        <f t="shared" si="39"/>
        <v>6-5</v>
      </c>
      <c r="AR373" s="576" t="str">
        <f t="shared" si="40"/>
        <v/>
      </c>
      <c r="AS373" s="578" t="str">
        <f t="shared" si="41"/>
        <v/>
      </c>
      <c r="AT373" s="580" t="str">
        <f t="shared" si="42"/>
        <v/>
      </c>
      <c r="AU373" s="582" t="str">
        <f t="shared" si="43"/>
        <v/>
      </c>
      <c r="AV373" s="584" t="str">
        <f t="shared" si="44"/>
        <v/>
      </c>
      <c r="AW373" s="662" t="str">
        <f>IFERROR(VLOOKUP(功能_33[[#This Row],[功能代號]],工作表3!C:C,1,FALSE),"未計SIT測試")</f>
        <v>L650A</v>
      </c>
    </row>
    <row r="374" spans="3:49" ht="13.5" x14ac:dyDescent="0.3">
      <c r="C374" s="292" t="s">
        <v>95</v>
      </c>
      <c r="D374" s="498" t="s">
        <v>2814</v>
      </c>
      <c r="E374" s="291" t="s">
        <v>1059</v>
      </c>
      <c r="F374" s="270" t="s">
        <v>1060</v>
      </c>
      <c r="G374" s="270" t="s">
        <v>1061</v>
      </c>
      <c r="H374" s="291" t="s">
        <v>193</v>
      </c>
      <c r="I374" s="291" t="s">
        <v>137</v>
      </c>
      <c r="J374" s="225" t="s">
        <v>417</v>
      </c>
      <c r="K374" s="299">
        <v>44397</v>
      </c>
      <c r="L374" s="299">
        <v>44397</v>
      </c>
      <c r="M374" s="299">
        <v>44397</v>
      </c>
      <c r="N374" s="291" t="s">
        <v>12</v>
      </c>
      <c r="O374" s="291" t="s">
        <v>3168</v>
      </c>
      <c r="T374" s="291"/>
      <c r="V374" s="291"/>
      <c r="W374" s="291"/>
      <c r="X374" s="292" t="e">
        <f>VLOOKUP(功能_33[[#This Row],[User]],SKL放款!A:G,7,FALSE)</f>
        <v>#N/A</v>
      </c>
      <c r="Y374" s="299">
        <v>44533</v>
      </c>
      <c r="Z374" s="299" t="s">
        <v>195</v>
      </c>
      <c r="AA374" s="299"/>
      <c r="AB374" s="299">
        <v>44397</v>
      </c>
      <c r="AC374" s="299">
        <v>44544</v>
      </c>
      <c r="AD374" s="299"/>
      <c r="AE374" s="299"/>
      <c r="AF374" s="355"/>
      <c r="AG374" s="299" t="str">
        <f>IFERROR(IF(VLOOKUP(功能_33[[#This Row],[功能代號]],E:Q,11,FALSE)=0,"",VLOOKUP(功能_33[[#This Row],[功能代號]],E:Q,11,FALSE)),"")</f>
        <v>李珮君(張淑遠)</v>
      </c>
      <c r="AH374" s="299"/>
      <c r="AI374" s="299"/>
      <c r="AJ374" s="292"/>
      <c r="AK374" s="299">
        <v>44397</v>
      </c>
      <c r="AL374" s="291" t="s">
        <v>2976</v>
      </c>
      <c r="AN374" s="292" t="e">
        <f>VLOOKUP(功能_33[[#This Row],[功能代號]],需二審tmp!A:A,1,FALSE)</f>
        <v>#N/A</v>
      </c>
      <c r="AO374" s="356">
        <v>44526</v>
      </c>
      <c r="AQ374" s="574" t="str">
        <f t="shared" si="39"/>
        <v>6-5</v>
      </c>
      <c r="AR374" s="576" t="str">
        <f t="shared" si="40"/>
        <v/>
      </c>
      <c r="AS374" s="578" t="str">
        <f t="shared" si="41"/>
        <v/>
      </c>
      <c r="AT374" s="580" t="str">
        <f t="shared" si="42"/>
        <v/>
      </c>
      <c r="AU374" s="582" t="str">
        <f t="shared" si="43"/>
        <v/>
      </c>
      <c r="AV374" s="584" t="str">
        <f t="shared" si="44"/>
        <v/>
      </c>
      <c r="AW374" s="662" t="str">
        <f>IFERROR(VLOOKUP(功能_33[[#This Row],[功能代號]],工作表3!C:C,1,FALSE),"未計SIT測試")</f>
        <v>L650B</v>
      </c>
    </row>
    <row r="375" spans="3:49" ht="13.5" x14ac:dyDescent="0.3">
      <c r="C375" s="292" t="s">
        <v>95</v>
      </c>
      <c r="D375" s="498" t="s">
        <v>2814</v>
      </c>
      <c r="E375" s="291" t="s">
        <v>1062</v>
      </c>
      <c r="F375" s="270" t="s">
        <v>1063</v>
      </c>
      <c r="G375" s="270" t="s">
        <v>1061</v>
      </c>
      <c r="H375" s="291" t="s">
        <v>193</v>
      </c>
      <c r="I375" s="291" t="s">
        <v>137</v>
      </c>
      <c r="J375" s="225" t="s">
        <v>417</v>
      </c>
      <c r="K375" s="299">
        <v>44397</v>
      </c>
      <c r="L375" s="299">
        <v>44397</v>
      </c>
      <c r="M375" s="299">
        <v>44397</v>
      </c>
      <c r="N375" s="291" t="s">
        <v>12</v>
      </c>
      <c r="O375" s="291" t="s">
        <v>3168</v>
      </c>
      <c r="T375" s="291"/>
      <c r="V375" s="291"/>
      <c r="W375" s="291"/>
      <c r="X375" s="292" t="e">
        <f>VLOOKUP(功能_33[[#This Row],[User]],SKL放款!A:G,7,FALSE)</f>
        <v>#N/A</v>
      </c>
      <c r="Y375" s="299">
        <v>44533</v>
      </c>
      <c r="Z375" s="299" t="s">
        <v>195</v>
      </c>
      <c r="AA375" s="299"/>
      <c r="AB375" s="299">
        <v>44397</v>
      </c>
      <c r="AC375" s="299">
        <v>44544</v>
      </c>
      <c r="AD375" s="299"/>
      <c r="AE375" s="299"/>
      <c r="AF375" s="355"/>
      <c r="AG375" s="299" t="str">
        <f>IFERROR(IF(VLOOKUP(功能_33[[#This Row],[功能代號]],E:Q,11,FALSE)=0,"",VLOOKUP(功能_33[[#This Row],[功能代號]],E:Q,11,FALSE)),"")</f>
        <v>李珮君(張淑遠)</v>
      </c>
      <c r="AH375" s="299"/>
      <c r="AI375" s="299"/>
      <c r="AJ375" s="292"/>
      <c r="AK375" s="299">
        <v>44397</v>
      </c>
      <c r="AL375" s="291" t="s">
        <v>2976</v>
      </c>
      <c r="AN375" s="292" t="e">
        <f>VLOOKUP(功能_33[[#This Row],[功能代號]],需二審tmp!A:A,1,FALSE)</f>
        <v>#N/A</v>
      </c>
      <c r="AO375" s="356">
        <v>44526</v>
      </c>
      <c r="AQ375" s="574" t="str">
        <f t="shared" si="39"/>
        <v>6-5</v>
      </c>
      <c r="AR375" s="576" t="str">
        <f t="shared" si="40"/>
        <v/>
      </c>
      <c r="AS375" s="578" t="str">
        <f t="shared" si="41"/>
        <v/>
      </c>
      <c r="AT375" s="580" t="str">
        <f t="shared" si="42"/>
        <v/>
      </c>
      <c r="AU375" s="582" t="str">
        <f t="shared" si="43"/>
        <v/>
      </c>
      <c r="AV375" s="584" t="str">
        <f t="shared" si="44"/>
        <v/>
      </c>
      <c r="AW375" s="662" t="str">
        <f>IFERROR(VLOOKUP(功能_33[[#This Row],[功能代號]],工作表3!C:C,1,FALSE),"未計SIT測試")</f>
        <v>L650C</v>
      </c>
    </row>
    <row r="376" spans="3:49" ht="13.5" x14ac:dyDescent="0.3">
      <c r="C376" s="292" t="s">
        <v>95</v>
      </c>
      <c r="D376" s="498" t="s">
        <v>2814</v>
      </c>
      <c r="E376" s="291" t="s">
        <v>1064</v>
      </c>
      <c r="F376" s="270" t="s">
        <v>1065</v>
      </c>
      <c r="G376" s="270" t="s">
        <v>1061</v>
      </c>
      <c r="H376" s="291" t="s">
        <v>193</v>
      </c>
      <c r="I376" s="291" t="s">
        <v>137</v>
      </c>
      <c r="J376" s="225" t="s">
        <v>417</v>
      </c>
      <c r="K376" s="299">
        <v>44397</v>
      </c>
      <c r="L376" s="299">
        <v>44397</v>
      </c>
      <c r="M376" s="299">
        <v>44397</v>
      </c>
      <c r="N376" s="291" t="s">
        <v>12</v>
      </c>
      <c r="O376" s="291" t="s">
        <v>3168</v>
      </c>
      <c r="T376" s="291"/>
      <c r="V376" s="291"/>
      <c r="W376" s="291"/>
      <c r="X376" s="292" t="e">
        <f>VLOOKUP(功能_33[[#This Row],[User]],SKL放款!A:G,7,FALSE)</f>
        <v>#N/A</v>
      </c>
      <c r="Y376" s="299">
        <v>44533</v>
      </c>
      <c r="Z376" s="299" t="s">
        <v>195</v>
      </c>
      <c r="AA376" s="299"/>
      <c r="AB376" s="299">
        <v>44397</v>
      </c>
      <c r="AC376" s="299">
        <v>44544</v>
      </c>
      <c r="AD376" s="299"/>
      <c r="AE376" s="299"/>
      <c r="AF376" s="355"/>
      <c r="AG376" s="299" t="str">
        <f>IFERROR(IF(VLOOKUP(功能_33[[#This Row],[功能代號]],E:Q,11,FALSE)=0,"",VLOOKUP(功能_33[[#This Row],[功能代號]],E:Q,11,FALSE)),"")</f>
        <v>李珮君(張淑遠)</v>
      </c>
      <c r="AH376" s="299"/>
      <c r="AI376" s="299"/>
      <c r="AJ376" s="292"/>
      <c r="AK376" s="299">
        <v>44397</v>
      </c>
      <c r="AL376" s="291" t="s">
        <v>2976</v>
      </c>
      <c r="AN376" s="292" t="e">
        <f>VLOOKUP(功能_33[[#This Row],[功能代號]],需二審tmp!A:A,1,FALSE)</f>
        <v>#N/A</v>
      </c>
      <c r="AO376" s="356">
        <v>44526</v>
      </c>
      <c r="AQ376" s="574" t="str">
        <f t="shared" si="39"/>
        <v>6-5</v>
      </c>
      <c r="AR376" s="576" t="str">
        <f t="shared" si="40"/>
        <v/>
      </c>
      <c r="AS376" s="578" t="str">
        <f t="shared" si="41"/>
        <v/>
      </c>
      <c r="AT376" s="580" t="str">
        <f t="shared" si="42"/>
        <v/>
      </c>
      <c r="AU376" s="582" t="str">
        <f t="shared" si="43"/>
        <v/>
      </c>
      <c r="AV376" s="584" t="str">
        <f t="shared" si="44"/>
        <v/>
      </c>
      <c r="AW376" s="662" t="str">
        <f>IFERROR(VLOOKUP(功能_33[[#This Row],[功能代號]],工作表3!C:C,1,FALSE),"未計SIT測試")</f>
        <v>L650D</v>
      </c>
    </row>
    <row r="377" spans="3:49" ht="13.5" x14ac:dyDescent="0.3">
      <c r="C377" s="292" t="s">
        <v>94</v>
      </c>
      <c r="D377" s="498" t="s">
        <v>2802</v>
      </c>
      <c r="E377" s="291" t="s">
        <v>1066</v>
      </c>
      <c r="F377" s="270" t="s">
        <v>1067</v>
      </c>
      <c r="G377" s="292"/>
      <c r="H377" s="291" t="s">
        <v>136</v>
      </c>
      <c r="I377" s="291" t="s">
        <v>136</v>
      </c>
      <c r="J377" s="298" t="s">
        <v>3240</v>
      </c>
      <c r="K377" s="299">
        <v>44518</v>
      </c>
      <c r="L377" s="299">
        <v>44517</v>
      </c>
      <c r="M377" s="299">
        <v>44547</v>
      </c>
      <c r="N377" s="291" t="s">
        <v>12</v>
      </c>
      <c r="O377" s="291" t="s">
        <v>13</v>
      </c>
      <c r="T377" s="291"/>
      <c r="V377" s="291"/>
      <c r="W377" s="291"/>
      <c r="X377" s="292" t="str">
        <f>VLOOKUP(功能_33[[#This Row],[User]],SKL放款!A:G,7,FALSE)</f>
        <v>放款推展課</v>
      </c>
      <c r="Y377" s="299">
        <v>44533</v>
      </c>
      <c r="Z377" s="299">
        <v>44533</v>
      </c>
      <c r="AA377" s="299">
        <v>44533</v>
      </c>
      <c r="AB377" s="299">
        <v>44533</v>
      </c>
      <c r="AC377" s="299">
        <v>44550</v>
      </c>
      <c r="AD377" s="299"/>
      <c r="AE377" s="299"/>
      <c r="AF377" s="355"/>
      <c r="AG377" s="299" t="str">
        <f>IFERROR(IF(VLOOKUP(功能_33[[#This Row],[功能代號]],E:Q,11,FALSE)=0,"",VLOOKUP(功能_33[[#This Row],[功能代號]],E:Q,11,FALSE)),"")</f>
        <v>李珮君</v>
      </c>
      <c r="AH377" s="299"/>
      <c r="AI377" s="299"/>
      <c r="AJ377" s="292"/>
      <c r="AK377" s="299"/>
      <c r="AL377" s="291" t="s">
        <v>2976</v>
      </c>
      <c r="AN377" s="292" t="str">
        <f>VLOOKUP(功能_33[[#This Row],[功能代號]],需二審tmp!A:A,1,FALSE)</f>
        <v>L5051</v>
      </c>
      <c r="AQ377" s="574" t="str">
        <f t="shared" si="39"/>
        <v>5-3</v>
      </c>
      <c r="AR377" s="576" t="str">
        <f t="shared" si="40"/>
        <v/>
      </c>
      <c r="AS377" s="578" t="str">
        <f t="shared" si="41"/>
        <v/>
      </c>
      <c r="AT377" s="580" t="str">
        <f t="shared" si="42"/>
        <v/>
      </c>
      <c r="AU377" s="582" t="str">
        <f t="shared" si="43"/>
        <v/>
      </c>
      <c r="AV377" s="584" t="str">
        <f t="shared" si="44"/>
        <v/>
      </c>
      <c r="AW377" s="662" t="str">
        <f>IFERROR(VLOOKUP(功能_33[[#This Row],[功能代號]],工作表3!C:C,1,FALSE),"未計SIT測試")</f>
        <v>未計SIT測試</v>
      </c>
    </row>
    <row r="378" spans="3:49" ht="13.5" x14ac:dyDescent="0.3">
      <c r="C378" s="292" t="s">
        <v>94</v>
      </c>
      <c r="D378" s="498" t="s">
        <v>2802</v>
      </c>
      <c r="E378" s="291" t="s">
        <v>1068</v>
      </c>
      <c r="F378" s="270" t="s">
        <v>1069</v>
      </c>
      <c r="G378" s="292"/>
      <c r="H378" s="291" t="s">
        <v>136</v>
      </c>
      <c r="I378" s="291" t="s">
        <v>136</v>
      </c>
      <c r="J378" s="298" t="s">
        <v>3240</v>
      </c>
      <c r="K378" s="299">
        <v>44518</v>
      </c>
      <c r="L378" s="299">
        <v>44517</v>
      </c>
      <c r="M378" s="299">
        <v>44547</v>
      </c>
      <c r="N378" s="291" t="s">
        <v>12</v>
      </c>
      <c r="O378" s="291" t="s">
        <v>13</v>
      </c>
      <c r="T378" s="291"/>
      <c r="V378" s="291"/>
      <c r="W378" s="291"/>
      <c r="X378" s="292" t="str">
        <f>VLOOKUP(功能_33[[#This Row],[User]],SKL放款!A:G,7,FALSE)</f>
        <v>放款推展課</v>
      </c>
      <c r="Y378" s="299">
        <v>44533</v>
      </c>
      <c r="Z378" s="299">
        <v>44533</v>
      </c>
      <c r="AA378" s="299">
        <v>44533</v>
      </c>
      <c r="AB378" s="299">
        <v>44533</v>
      </c>
      <c r="AC378" s="299">
        <v>44550</v>
      </c>
      <c r="AD378" s="299"/>
      <c r="AE378" s="299"/>
      <c r="AF378" s="355"/>
      <c r="AG378" s="299" t="str">
        <f>IFERROR(IF(VLOOKUP(功能_33[[#This Row],[功能代號]],E:Q,11,FALSE)=0,"",VLOOKUP(功能_33[[#This Row],[功能代號]],E:Q,11,FALSE)),"")</f>
        <v>李珮君</v>
      </c>
      <c r="AH378" s="299"/>
      <c r="AI378" s="299"/>
      <c r="AJ378" s="292"/>
      <c r="AK378" s="299"/>
      <c r="AL378" s="291" t="s">
        <v>3178</v>
      </c>
      <c r="AM378" s="292" t="s">
        <v>3110</v>
      </c>
      <c r="AN378" s="292" t="e">
        <f>VLOOKUP(功能_33[[#This Row],[功能代號]],需二審tmp!A:A,1,FALSE)</f>
        <v>#N/A</v>
      </c>
      <c r="AQ378" s="574" t="str">
        <f t="shared" si="39"/>
        <v>5-3</v>
      </c>
      <c r="AR378" s="576" t="str">
        <f t="shared" si="40"/>
        <v/>
      </c>
      <c r="AS378" s="578" t="str">
        <f t="shared" si="41"/>
        <v/>
      </c>
      <c r="AT378" s="580" t="str">
        <f t="shared" si="42"/>
        <v/>
      </c>
      <c r="AU378" s="582" t="str">
        <f t="shared" si="43"/>
        <v/>
      </c>
      <c r="AV378" s="584" t="str">
        <f t="shared" si="44"/>
        <v/>
      </c>
      <c r="AW378" s="662" t="str">
        <f>IFERROR(VLOOKUP(功能_33[[#This Row],[功能代號]],工作表3!C:C,1,FALSE),"未計SIT測試")</f>
        <v>未計SIT測試</v>
      </c>
    </row>
    <row r="379" spans="3:49" ht="13.5" x14ac:dyDescent="0.3">
      <c r="C379" s="292" t="s">
        <v>94</v>
      </c>
      <c r="D379" s="499" t="s">
        <v>2802</v>
      </c>
      <c r="E379" s="291" t="s">
        <v>1070</v>
      </c>
      <c r="F379" s="270" t="s">
        <v>1071</v>
      </c>
      <c r="G379" s="281" t="s">
        <v>1072</v>
      </c>
      <c r="H379" s="291" t="s">
        <v>136</v>
      </c>
      <c r="I379" s="291" t="s">
        <v>136</v>
      </c>
      <c r="J379" s="298" t="s">
        <v>3240</v>
      </c>
      <c r="K379" s="299">
        <v>44518</v>
      </c>
      <c r="L379" s="299">
        <v>44517</v>
      </c>
      <c r="M379" s="299">
        <v>44547</v>
      </c>
      <c r="N379" s="291" t="s">
        <v>12</v>
      </c>
      <c r="O379" s="291" t="s">
        <v>13</v>
      </c>
      <c r="T379" s="291"/>
      <c r="V379" s="291"/>
      <c r="W379" s="291"/>
      <c r="X379" s="292" t="str">
        <f>VLOOKUP(功能_33[[#This Row],[User]],SKL放款!A:G,7,FALSE)</f>
        <v>放款推展課</v>
      </c>
      <c r="Y379" s="299">
        <v>44533</v>
      </c>
      <c r="Z379" s="299" t="s">
        <v>195</v>
      </c>
      <c r="AA379" s="299"/>
      <c r="AB379" s="299">
        <v>44533</v>
      </c>
      <c r="AC379" s="299">
        <v>44550</v>
      </c>
      <c r="AD379" s="283"/>
      <c r="AE379" s="283"/>
      <c r="AF379" s="283"/>
      <c r="AG379" s="283" t="str">
        <f>IFERROR(IF(VLOOKUP(功能_33[[#This Row],[功能代號]],E:Q,11,FALSE)=0,"",VLOOKUP(功能_33[[#This Row],[功能代號]],E:Q,11,FALSE)),"")</f>
        <v>李珮君</v>
      </c>
      <c r="AH379" s="283"/>
      <c r="AI379" s="283"/>
      <c r="AJ379" s="292"/>
      <c r="AL379" s="291" t="s">
        <v>3174</v>
      </c>
      <c r="AM379" s="292" t="s">
        <v>3175</v>
      </c>
      <c r="AN379" s="292" t="e">
        <f>VLOOKUP(功能_33[[#This Row],[功能代號]],需二審tmp!A:A,1,FALSE)</f>
        <v>#N/A</v>
      </c>
      <c r="AQ379" s="574" t="str">
        <f t="shared" si="39"/>
        <v>5-3</v>
      </c>
      <c r="AR379" s="576" t="str">
        <f t="shared" si="40"/>
        <v/>
      </c>
      <c r="AS379" s="578" t="str">
        <f t="shared" si="41"/>
        <v/>
      </c>
      <c r="AT379" s="580" t="str">
        <f t="shared" si="42"/>
        <v/>
      </c>
      <c r="AU379" s="582" t="str">
        <f t="shared" si="43"/>
        <v/>
      </c>
      <c r="AV379" s="584" t="str">
        <f t="shared" si="44"/>
        <v/>
      </c>
      <c r="AW379" s="662" t="str">
        <f>IFERROR(VLOOKUP(功能_33[[#This Row],[功能代號]],工作表3!C:C,1,FALSE),"未計SIT測試")</f>
        <v>未計SIT測試</v>
      </c>
    </row>
    <row r="380" spans="3:49" ht="13.5" x14ac:dyDescent="0.3">
      <c r="C380" s="292" t="s">
        <v>94</v>
      </c>
      <c r="D380" s="498" t="s">
        <v>2802</v>
      </c>
      <c r="E380" s="291" t="s">
        <v>1073</v>
      </c>
      <c r="F380" s="270" t="s">
        <v>1074</v>
      </c>
      <c r="G380" s="292"/>
      <c r="H380" s="291" t="s">
        <v>136</v>
      </c>
      <c r="I380" s="291" t="s">
        <v>136</v>
      </c>
      <c r="J380" s="298" t="s">
        <v>3240</v>
      </c>
      <c r="K380" s="299">
        <v>44518</v>
      </c>
      <c r="L380" s="299">
        <v>44517</v>
      </c>
      <c r="M380" s="299">
        <v>44547</v>
      </c>
      <c r="N380" s="291" t="s">
        <v>12</v>
      </c>
      <c r="O380" s="291" t="s">
        <v>13</v>
      </c>
      <c r="T380" s="291"/>
      <c r="V380" s="291"/>
      <c r="W380" s="291"/>
      <c r="X380" s="292" t="str">
        <f>VLOOKUP(功能_33[[#This Row],[User]],SKL放款!A:G,7,FALSE)</f>
        <v>放款推展課</v>
      </c>
      <c r="Y380" s="299">
        <v>44546</v>
      </c>
      <c r="Z380" s="299">
        <v>44533</v>
      </c>
      <c r="AA380" s="299">
        <v>44533</v>
      </c>
      <c r="AB380" s="299">
        <v>44533</v>
      </c>
      <c r="AC380" s="299">
        <v>44550</v>
      </c>
      <c r="AD380" s="299"/>
      <c r="AE380" s="299"/>
      <c r="AF380" s="355"/>
      <c r="AG380" s="299" t="str">
        <f>IFERROR(IF(VLOOKUP(功能_33[[#This Row],[功能代號]],E:Q,11,FALSE)=0,"",VLOOKUP(功能_33[[#This Row],[功能代號]],E:Q,11,FALSE)),"")</f>
        <v>李珮君</v>
      </c>
      <c r="AH380" s="299"/>
      <c r="AI380" s="299"/>
      <c r="AJ380" s="292"/>
      <c r="AK380" s="299"/>
      <c r="AL380" s="291" t="s">
        <v>2976</v>
      </c>
      <c r="AN380" s="292" t="str">
        <f>VLOOKUP(功能_33[[#This Row],[功能代號]],需二審tmp!A:A,1,FALSE)</f>
        <v>L5052</v>
      </c>
      <c r="AQ380" s="574" t="str">
        <f t="shared" si="39"/>
        <v>5-3</v>
      </c>
      <c r="AR380" s="576" t="str">
        <f t="shared" si="40"/>
        <v/>
      </c>
      <c r="AS380" s="578" t="str">
        <f t="shared" si="41"/>
        <v/>
      </c>
      <c r="AT380" s="580" t="str">
        <f t="shared" si="42"/>
        <v/>
      </c>
      <c r="AU380" s="582" t="str">
        <f t="shared" si="43"/>
        <v/>
      </c>
      <c r="AV380" s="584" t="str">
        <f t="shared" si="44"/>
        <v/>
      </c>
      <c r="AW380" s="662" t="str">
        <f>IFERROR(VLOOKUP(功能_33[[#This Row],[功能代號]],工作表3!C:C,1,FALSE),"未計SIT測試")</f>
        <v>L5052</v>
      </c>
    </row>
    <row r="381" spans="3:49" ht="13.5" x14ac:dyDescent="0.3">
      <c r="C381" s="292" t="s">
        <v>94</v>
      </c>
      <c r="D381" s="498" t="s">
        <v>2802</v>
      </c>
      <c r="E381" s="291" t="s">
        <v>1075</v>
      </c>
      <c r="F381" s="270" t="s">
        <v>1076</v>
      </c>
      <c r="G381" s="292"/>
      <c r="H381" s="291" t="s">
        <v>136</v>
      </c>
      <c r="I381" s="291" t="s">
        <v>136</v>
      </c>
      <c r="J381" s="298" t="s">
        <v>3240</v>
      </c>
      <c r="K381" s="299">
        <v>44518</v>
      </c>
      <c r="L381" s="299">
        <v>44517</v>
      </c>
      <c r="M381" s="299">
        <v>44547</v>
      </c>
      <c r="N381" s="291" t="s">
        <v>12</v>
      </c>
      <c r="O381" s="291" t="s">
        <v>13</v>
      </c>
      <c r="T381" s="291"/>
      <c r="V381" s="291"/>
      <c r="W381" s="291"/>
      <c r="X381" s="292" t="str">
        <f>VLOOKUP(功能_33[[#This Row],[User]],SKL放款!A:G,7,FALSE)</f>
        <v>放款推展課</v>
      </c>
      <c r="Y381" s="299" t="s">
        <v>3224</v>
      </c>
      <c r="Z381" s="299">
        <v>44533</v>
      </c>
      <c r="AA381" s="299">
        <v>44533</v>
      </c>
      <c r="AB381" s="299">
        <v>44533</v>
      </c>
      <c r="AC381" s="299">
        <v>44550</v>
      </c>
      <c r="AD381" s="299"/>
      <c r="AE381" s="299"/>
      <c r="AF381" s="355"/>
      <c r="AG381" s="299" t="str">
        <f>IFERROR(IF(VLOOKUP(功能_33[[#This Row],[功能代號]],E:Q,11,FALSE)=0,"",VLOOKUP(功能_33[[#This Row],[功能代號]],E:Q,11,FALSE)),"")</f>
        <v>李珮君</v>
      </c>
      <c r="AH381" s="299"/>
      <c r="AI381" s="299"/>
      <c r="AJ381" s="292"/>
      <c r="AK381" s="299"/>
      <c r="AL381" s="291" t="s">
        <v>3176</v>
      </c>
      <c r="AM381" s="270" t="s">
        <v>1076</v>
      </c>
      <c r="AN381" s="292" t="e">
        <f>VLOOKUP(功能_33[[#This Row],[功能代號]],需二審tmp!A:A,1,FALSE)</f>
        <v>#N/A</v>
      </c>
      <c r="AQ381" s="574" t="str">
        <f t="shared" si="39"/>
        <v>5-3</v>
      </c>
      <c r="AR381" s="576" t="str">
        <f t="shared" si="40"/>
        <v/>
      </c>
      <c r="AS381" s="578" t="str">
        <f t="shared" si="41"/>
        <v/>
      </c>
      <c r="AT381" s="580" t="str">
        <f t="shared" si="42"/>
        <v/>
      </c>
      <c r="AU381" s="582" t="str">
        <f t="shared" si="43"/>
        <v/>
      </c>
      <c r="AV381" s="584" t="str">
        <f t="shared" si="44"/>
        <v/>
      </c>
      <c r="AW381" s="662" t="str">
        <f>IFERROR(VLOOKUP(功能_33[[#This Row],[功能代號]],工作表3!C:C,1,FALSE),"未計SIT測試")</f>
        <v>L5502</v>
      </c>
    </row>
    <row r="382" spans="3:49" ht="13.5" x14ac:dyDescent="0.3">
      <c r="C382" s="292" t="s">
        <v>94</v>
      </c>
      <c r="D382" s="499" t="s">
        <v>2802</v>
      </c>
      <c r="E382" s="291" t="s">
        <v>1077</v>
      </c>
      <c r="F382" s="270" t="s">
        <v>1078</v>
      </c>
      <c r="G382" s="281" t="s">
        <v>1072</v>
      </c>
      <c r="H382" s="291" t="s">
        <v>136</v>
      </c>
      <c r="I382" s="291" t="s">
        <v>136</v>
      </c>
      <c r="J382" s="298" t="s">
        <v>3240</v>
      </c>
      <c r="K382" s="299">
        <v>44518</v>
      </c>
      <c r="L382" s="299">
        <v>44518</v>
      </c>
      <c r="M382" s="299">
        <v>44547</v>
      </c>
      <c r="N382" s="291" t="s">
        <v>12</v>
      </c>
      <c r="O382" s="291" t="s">
        <v>13</v>
      </c>
      <c r="T382" s="291"/>
      <c r="V382" s="291"/>
      <c r="W382" s="291"/>
      <c r="X382" s="292" t="str">
        <f>VLOOKUP(功能_33[[#This Row],[User]],SKL放款!A:G,7,FALSE)</f>
        <v>放款推展課</v>
      </c>
      <c r="Y382" s="299">
        <v>44533</v>
      </c>
      <c r="Z382" s="299" t="s">
        <v>195</v>
      </c>
      <c r="AA382" s="299"/>
      <c r="AB382" s="299">
        <v>44533</v>
      </c>
      <c r="AC382" s="299">
        <v>44550</v>
      </c>
      <c r="AD382" s="283"/>
      <c r="AE382" s="283"/>
      <c r="AF382" s="283"/>
      <c r="AG382" s="283" t="str">
        <f>IFERROR(IF(VLOOKUP(功能_33[[#This Row],[功能代號]],E:Q,11,FALSE)=0,"",VLOOKUP(功能_33[[#This Row],[功能代號]],E:Q,11,FALSE)),"")</f>
        <v>李珮君</v>
      </c>
      <c r="AH382" s="283"/>
      <c r="AI382" s="283"/>
      <c r="AJ382" s="292"/>
      <c r="AL382" s="291" t="s">
        <v>2976</v>
      </c>
      <c r="AM382" s="270"/>
      <c r="AN382" s="292" t="e">
        <f>VLOOKUP(功能_33[[#This Row],[功能代號]],需二審tmp!A:A,1,FALSE)</f>
        <v>#N/A</v>
      </c>
      <c r="AQ382" s="574" t="str">
        <f t="shared" si="39"/>
        <v>5-3</v>
      </c>
      <c r="AR382" s="576" t="str">
        <f t="shared" si="40"/>
        <v/>
      </c>
      <c r="AS382" s="578" t="str">
        <f t="shared" si="41"/>
        <v/>
      </c>
      <c r="AT382" s="580" t="str">
        <f t="shared" si="42"/>
        <v/>
      </c>
      <c r="AU382" s="582" t="str">
        <f t="shared" si="43"/>
        <v/>
      </c>
      <c r="AV382" s="584" t="str">
        <f t="shared" si="44"/>
        <v/>
      </c>
      <c r="AW382" s="662" t="str">
        <f>IFERROR(VLOOKUP(功能_33[[#This Row],[功能代號]],工作表3!C:C,1,FALSE),"未計SIT測試")</f>
        <v>未計SIT測試</v>
      </c>
    </row>
    <row r="383" spans="3:49" ht="13.5" x14ac:dyDescent="0.3">
      <c r="C383" s="292" t="s">
        <v>94</v>
      </c>
      <c r="D383" s="499" t="s">
        <v>2802</v>
      </c>
      <c r="E383" s="291" t="s">
        <v>1079</v>
      </c>
      <c r="F383" s="270" t="s">
        <v>1080</v>
      </c>
      <c r="G383" s="281" t="s">
        <v>1072</v>
      </c>
      <c r="H383" s="291" t="s">
        <v>136</v>
      </c>
      <c r="I383" s="291" t="s">
        <v>136</v>
      </c>
      <c r="J383" s="298" t="s">
        <v>3240</v>
      </c>
      <c r="K383" s="299">
        <v>44518</v>
      </c>
      <c r="L383" s="299">
        <v>44518</v>
      </c>
      <c r="M383" s="299">
        <v>44547</v>
      </c>
      <c r="N383" s="291" t="s">
        <v>12</v>
      </c>
      <c r="O383" s="291" t="s">
        <v>13</v>
      </c>
      <c r="T383" s="291"/>
      <c r="V383" s="291"/>
      <c r="W383" s="291"/>
      <c r="X383" s="292" t="str">
        <f>VLOOKUP(功能_33[[#This Row],[User]],SKL放款!A:G,7,FALSE)</f>
        <v>放款推展課</v>
      </c>
      <c r="Y383" s="299">
        <v>44533</v>
      </c>
      <c r="Z383" s="299" t="s">
        <v>195</v>
      </c>
      <c r="AA383" s="299"/>
      <c r="AB383" s="299">
        <v>44533</v>
      </c>
      <c r="AC383" s="299">
        <v>44550</v>
      </c>
      <c r="AD383" s="283"/>
      <c r="AE383" s="283"/>
      <c r="AF383" s="283"/>
      <c r="AG383" s="283" t="str">
        <f>IFERROR(IF(VLOOKUP(功能_33[[#This Row],[功能代號]],E:Q,11,FALSE)=0,"",VLOOKUP(功能_33[[#This Row],[功能代號]],E:Q,11,FALSE)),"")</f>
        <v>李珮君</v>
      </c>
      <c r="AH383" s="283"/>
      <c r="AI383" s="283"/>
      <c r="AJ383" s="292"/>
      <c r="AL383" s="291" t="s">
        <v>3177</v>
      </c>
      <c r="AM383" s="270" t="s">
        <v>1080</v>
      </c>
      <c r="AN383" s="292" t="e">
        <f>VLOOKUP(功能_33[[#This Row],[功能代號]],需二審tmp!A:A,1,FALSE)</f>
        <v>#N/A</v>
      </c>
      <c r="AQ383" s="574" t="str">
        <f t="shared" si="39"/>
        <v>5-3</v>
      </c>
      <c r="AR383" s="576" t="str">
        <f t="shared" si="40"/>
        <v/>
      </c>
      <c r="AS383" s="578" t="str">
        <f t="shared" si="41"/>
        <v/>
      </c>
      <c r="AT383" s="580" t="str">
        <f t="shared" si="42"/>
        <v/>
      </c>
      <c r="AU383" s="582" t="str">
        <f t="shared" si="43"/>
        <v/>
      </c>
      <c r="AV383" s="584" t="str">
        <f t="shared" si="44"/>
        <v/>
      </c>
      <c r="AW383" s="662" t="str">
        <f>IFERROR(VLOOKUP(功能_33[[#This Row],[功能代號]],工作表3!C:C,1,FALSE),"未計SIT測試")</f>
        <v>未計SIT測試</v>
      </c>
    </row>
    <row r="384" spans="3:49" ht="13.5" x14ac:dyDescent="0.3">
      <c r="C384" s="292" t="s">
        <v>94</v>
      </c>
      <c r="D384" s="498" t="s">
        <v>3066</v>
      </c>
      <c r="E384" s="291" t="s">
        <v>1081</v>
      </c>
      <c r="F384" s="270" t="s">
        <v>1082</v>
      </c>
      <c r="G384" s="292"/>
      <c r="H384" s="291" t="s">
        <v>136</v>
      </c>
      <c r="I384" s="291" t="s">
        <v>136</v>
      </c>
      <c r="J384" s="298" t="s">
        <v>3240</v>
      </c>
      <c r="K384" s="299">
        <v>44517</v>
      </c>
      <c r="L384" s="299">
        <v>44518</v>
      </c>
      <c r="M384" s="299">
        <v>44547</v>
      </c>
      <c r="N384" s="291" t="s">
        <v>12</v>
      </c>
      <c r="O384" s="270" t="s">
        <v>3168</v>
      </c>
      <c r="T384" s="291"/>
      <c r="V384" s="291"/>
      <c r="W384" s="291"/>
      <c r="X384" s="292" t="e">
        <f>VLOOKUP(功能_33[[#This Row],[User]],SKL放款!A:G,7,FALSE)</f>
        <v>#N/A</v>
      </c>
      <c r="Y384" s="299">
        <v>44546</v>
      </c>
      <c r="Z384" s="299" t="s">
        <v>133</v>
      </c>
      <c r="AA384" s="282">
        <v>44550</v>
      </c>
      <c r="AB384" s="299">
        <v>44550</v>
      </c>
      <c r="AC384" s="299">
        <v>44550</v>
      </c>
      <c r="AD384" s="299"/>
      <c r="AE384" s="299"/>
      <c r="AF384" s="355"/>
      <c r="AG384" s="299" t="str">
        <f>IFERROR(IF(VLOOKUP(功能_33[[#This Row],[功能代號]],E:Q,11,FALSE)=0,"",VLOOKUP(功能_33[[#This Row],[功能代號]],E:Q,11,FALSE)),"")</f>
        <v>李珮君(張淑遠)</v>
      </c>
      <c r="AH384" s="299"/>
      <c r="AI384" s="299"/>
      <c r="AJ384" s="292"/>
      <c r="AK384" s="299">
        <v>44398</v>
      </c>
      <c r="AL384" s="291" t="s">
        <v>2976</v>
      </c>
      <c r="AN384" s="292" t="str">
        <f>VLOOKUP(功能_33[[#This Row],[功能代號]],需二審tmp!A:A,1,FALSE)</f>
        <v>L5500</v>
      </c>
      <c r="AQ384" s="574" t="str">
        <f t="shared" si="39"/>
        <v>5-3</v>
      </c>
      <c r="AR384" s="576" t="str">
        <f t="shared" si="40"/>
        <v/>
      </c>
      <c r="AS384" s="578" t="str">
        <f t="shared" si="41"/>
        <v/>
      </c>
      <c r="AT384" s="580" t="str">
        <f t="shared" si="42"/>
        <v/>
      </c>
      <c r="AU384" s="582" t="str">
        <f t="shared" si="43"/>
        <v/>
      </c>
      <c r="AV384" s="584" t="str">
        <f t="shared" si="44"/>
        <v/>
      </c>
      <c r="AW384" s="662" t="str">
        <f>IFERROR(VLOOKUP(功能_33[[#This Row],[功能代號]],工作表3!C:C,1,FALSE),"未計SIT測試")</f>
        <v>未計SIT測試</v>
      </c>
    </row>
    <row r="385" spans="3:49" ht="13.5" x14ac:dyDescent="0.3">
      <c r="C385" s="292" t="s">
        <v>94</v>
      </c>
      <c r="D385" s="498" t="s">
        <v>2802</v>
      </c>
      <c r="E385" s="291" t="s">
        <v>1083</v>
      </c>
      <c r="F385" s="270" t="s">
        <v>1084</v>
      </c>
      <c r="G385" s="292"/>
      <c r="H385" s="291" t="s">
        <v>136</v>
      </c>
      <c r="I385" s="291" t="s">
        <v>136</v>
      </c>
      <c r="J385" s="298" t="s">
        <v>3240</v>
      </c>
      <c r="K385" s="299">
        <v>44518</v>
      </c>
      <c r="L385" s="299">
        <v>44518</v>
      </c>
      <c r="M385" s="299">
        <v>44547</v>
      </c>
      <c r="N385" s="291" t="s">
        <v>12</v>
      </c>
      <c r="O385" s="291" t="s">
        <v>3168</v>
      </c>
      <c r="T385" s="291"/>
      <c r="V385" s="291"/>
      <c r="W385" s="291"/>
      <c r="X385" s="292" t="e">
        <f>VLOOKUP(功能_33[[#This Row],[User]],SKL放款!A:G,7,FALSE)</f>
        <v>#N/A</v>
      </c>
      <c r="Y385" s="299">
        <v>44533</v>
      </c>
      <c r="Z385" s="299" t="s">
        <v>195</v>
      </c>
      <c r="AA385" s="282">
        <v>44550</v>
      </c>
      <c r="AB385" s="299">
        <v>44550</v>
      </c>
      <c r="AC385" s="299">
        <v>44550</v>
      </c>
      <c r="AD385" s="299"/>
      <c r="AE385" s="299"/>
      <c r="AF385" s="355"/>
      <c r="AG385" s="299" t="str">
        <f>IFERROR(IF(VLOOKUP(功能_33[[#This Row],[功能代號]],E:Q,11,FALSE)=0,"",VLOOKUP(功能_33[[#This Row],[功能代號]],E:Q,11,FALSE)),"")</f>
        <v>李珮君(張淑遠)</v>
      </c>
      <c r="AH385" s="299"/>
      <c r="AI385" s="299"/>
      <c r="AJ385" s="292"/>
      <c r="AK385" s="299"/>
      <c r="AL385" s="291" t="s">
        <v>2976</v>
      </c>
      <c r="AN385" s="292" t="e">
        <f>VLOOKUP(功能_33[[#This Row],[功能代號]],需二審tmp!A:A,1,FALSE)</f>
        <v>#N/A</v>
      </c>
      <c r="AQ385" s="574" t="str">
        <f t="shared" si="39"/>
        <v>5-3</v>
      </c>
      <c r="AR385" s="576" t="str">
        <f t="shared" si="40"/>
        <v/>
      </c>
      <c r="AS385" s="578" t="str">
        <f t="shared" si="41"/>
        <v/>
      </c>
      <c r="AT385" s="580" t="str">
        <f t="shared" si="42"/>
        <v/>
      </c>
      <c r="AU385" s="582" t="str">
        <f t="shared" si="43"/>
        <v/>
      </c>
      <c r="AV385" s="584" t="str">
        <f t="shared" si="44"/>
        <v/>
      </c>
      <c r="AW385" s="662" t="str">
        <f>IFERROR(VLOOKUP(功能_33[[#This Row],[功能代號]],工作表3!C:C,1,FALSE),"未計SIT測試")</f>
        <v>未計SIT測試</v>
      </c>
    </row>
    <row r="386" spans="3:49" ht="13.5" x14ac:dyDescent="0.3">
      <c r="C386" s="292" t="s">
        <v>94</v>
      </c>
      <c r="D386" s="498" t="s">
        <v>2802</v>
      </c>
      <c r="E386" s="291" t="s">
        <v>1085</v>
      </c>
      <c r="F386" s="270" t="s">
        <v>3173</v>
      </c>
      <c r="G386" s="292"/>
      <c r="H386" s="291" t="s">
        <v>136</v>
      </c>
      <c r="I386" s="291" t="s">
        <v>136</v>
      </c>
      <c r="J386" s="298" t="s">
        <v>3240</v>
      </c>
      <c r="K386" s="299">
        <v>44523</v>
      </c>
      <c r="L386" s="299">
        <v>44524</v>
      </c>
      <c r="M386" s="299">
        <v>44547</v>
      </c>
      <c r="N386" s="291" t="s">
        <v>12</v>
      </c>
      <c r="O386" s="291" t="s">
        <v>18</v>
      </c>
      <c r="T386" s="291"/>
      <c r="V386" s="291"/>
      <c r="W386" s="291"/>
      <c r="X386" s="292" t="str">
        <f>VLOOKUP(功能_33[[#This Row],[User]],SKL放款!A:G,7,FALSE)</f>
        <v>放款服務課</v>
      </c>
      <c r="Y386" s="299">
        <v>44533</v>
      </c>
      <c r="Z386" s="299" t="s">
        <v>133</v>
      </c>
      <c r="AA386" s="282">
        <v>44550</v>
      </c>
      <c r="AB386" s="299">
        <v>44550</v>
      </c>
      <c r="AC386" s="299">
        <v>44550</v>
      </c>
      <c r="AD386" s="299"/>
      <c r="AE386" s="299"/>
      <c r="AF386" s="355"/>
      <c r="AG386" s="299" t="str">
        <f>IFERROR(IF(VLOOKUP(功能_33[[#This Row],[功能代號]],E:Q,11,FALSE)=0,"",VLOOKUP(功能_33[[#This Row],[功能代號]],E:Q,11,FALSE)),"")</f>
        <v>尹少玄</v>
      </c>
      <c r="AH386" s="299"/>
      <c r="AI386" s="299"/>
      <c r="AJ386" s="292"/>
      <c r="AK386" s="299"/>
      <c r="AL386" s="291" t="s">
        <v>2976</v>
      </c>
      <c r="AN386" s="292" t="e">
        <f>VLOOKUP(功能_33[[#This Row],[功能代號]],需二審tmp!A:A,1,FALSE)</f>
        <v>#N/A</v>
      </c>
      <c r="AQ386" s="574" t="str">
        <f t="shared" si="39"/>
        <v>5-3</v>
      </c>
      <c r="AR386" s="576" t="str">
        <f t="shared" si="40"/>
        <v/>
      </c>
      <c r="AS386" s="578" t="str">
        <f t="shared" si="41"/>
        <v/>
      </c>
      <c r="AT386" s="580" t="str">
        <f t="shared" si="42"/>
        <v/>
      </c>
      <c r="AU386" s="582" t="str">
        <f t="shared" si="43"/>
        <v/>
      </c>
      <c r="AV386" s="584" t="str">
        <f t="shared" si="44"/>
        <v/>
      </c>
      <c r="AW386" s="662" t="str">
        <f>IFERROR(VLOOKUP(功能_33[[#This Row],[功能代號]],工作表3!C:C,1,FALSE),"未計SIT測試")</f>
        <v>未計SIT測試</v>
      </c>
    </row>
    <row r="387" spans="3:49" ht="13.5" x14ac:dyDescent="0.3">
      <c r="C387" s="292" t="s">
        <v>94</v>
      </c>
      <c r="D387" s="498" t="s">
        <v>2802</v>
      </c>
      <c r="E387" s="291" t="s">
        <v>1086</v>
      </c>
      <c r="F387" s="270" t="s">
        <v>1087</v>
      </c>
      <c r="G387" s="292"/>
      <c r="H387" s="291" t="s">
        <v>136</v>
      </c>
      <c r="I387" s="291" t="s">
        <v>136</v>
      </c>
      <c r="J387" s="298" t="s">
        <v>3240</v>
      </c>
      <c r="K387" s="299">
        <v>44523</v>
      </c>
      <c r="L387" s="299">
        <v>44524</v>
      </c>
      <c r="M387" s="299">
        <v>44547</v>
      </c>
      <c r="N387" s="291" t="s">
        <v>12</v>
      </c>
      <c r="O387" s="291" t="s">
        <v>18</v>
      </c>
      <c r="T387" s="291"/>
      <c r="V387" s="291"/>
      <c r="W387" s="291"/>
      <c r="X387" s="292" t="str">
        <f>VLOOKUP(功能_33[[#This Row],[User]],SKL放款!A:G,7,FALSE)</f>
        <v>放款服務課</v>
      </c>
      <c r="Y387" s="299">
        <v>44533</v>
      </c>
      <c r="Z387" s="299" t="s">
        <v>133</v>
      </c>
      <c r="AA387" s="282">
        <v>44550</v>
      </c>
      <c r="AB387" s="299">
        <v>44550</v>
      </c>
      <c r="AC387" s="299">
        <v>44550</v>
      </c>
      <c r="AD387" s="299"/>
      <c r="AE387" s="299"/>
      <c r="AF387" s="355"/>
      <c r="AG387" s="299" t="str">
        <f>IFERROR(IF(VLOOKUP(功能_33[[#This Row],[功能代號]],E:Q,11,FALSE)=0,"",VLOOKUP(功能_33[[#This Row],[功能代號]],E:Q,11,FALSE)),"")</f>
        <v>尹少玄</v>
      </c>
      <c r="AH387" s="299"/>
      <c r="AI387" s="299"/>
      <c r="AJ387" s="292"/>
      <c r="AK387" s="299"/>
      <c r="AL387" s="291" t="s">
        <v>2976</v>
      </c>
      <c r="AN387" s="292" t="e">
        <f>VLOOKUP(功能_33[[#This Row],[功能代號]],需二審tmp!A:A,1,FALSE)</f>
        <v>#N/A</v>
      </c>
      <c r="AQ387" s="574" t="str">
        <f t="shared" si="39"/>
        <v>5-3</v>
      </c>
      <c r="AR387" s="576" t="str">
        <f t="shared" si="40"/>
        <v/>
      </c>
      <c r="AS387" s="578" t="str">
        <f t="shared" si="41"/>
        <v/>
      </c>
      <c r="AT387" s="580" t="str">
        <f t="shared" si="42"/>
        <v/>
      </c>
      <c r="AU387" s="582" t="str">
        <f t="shared" si="43"/>
        <v/>
      </c>
      <c r="AV387" s="584" t="str">
        <f t="shared" si="44"/>
        <v/>
      </c>
      <c r="AW387" s="662" t="str">
        <f>IFERROR(VLOOKUP(功能_33[[#This Row],[功能代號]],工作表3!C:C,1,FALSE),"未計SIT測試")</f>
        <v>未計SIT測試</v>
      </c>
    </row>
    <row r="388" spans="3:49" ht="13.5" x14ac:dyDescent="0.3">
      <c r="C388" s="292" t="s">
        <v>94</v>
      </c>
      <c r="D388" s="498" t="s">
        <v>2802</v>
      </c>
      <c r="E388" s="291" t="s">
        <v>1088</v>
      </c>
      <c r="F388" s="270" t="s">
        <v>1089</v>
      </c>
      <c r="G388" s="292"/>
      <c r="H388" s="291" t="s">
        <v>136</v>
      </c>
      <c r="I388" s="291" t="s">
        <v>136</v>
      </c>
      <c r="J388" s="298" t="s">
        <v>3240</v>
      </c>
      <c r="K388" s="299">
        <v>44523</v>
      </c>
      <c r="L388" s="299">
        <v>44524</v>
      </c>
      <c r="M388" s="299">
        <v>44547</v>
      </c>
      <c r="N388" s="291" t="s">
        <v>12</v>
      </c>
      <c r="O388" s="291" t="s">
        <v>18</v>
      </c>
      <c r="T388" s="291"/>
      <c r="V388" s="291"/>
      <c r="W388" s="291"/>
      <c r="X388" s="292" t="str">
        <f>VLOOKUP(功能_33[[#This Row],[User]],SKL放款!A:G,7,FALSE)</f>
        <v>放款服務課</v>
      </c>
      <c r="Y388" s="299">
        <v>44533</v>
      </c>
      <c r="Z388" s="299" t="s">
        <v>133</v>
      </c>
      <c r="AA388" s="282">
        <v>44550</v>
      </c>
      <c r="AB388" s="299">
        <v>44550</v>
      </c>
      <c r="AC388" s="299">
        <v>44550</v>
      </c>
      <c r="AD388" s="299"/>
      <c r="AE388" s="299"/>
      <c r="AF388" s="355"/>
      <c r="AG388" s="299" t="str">
        <f>IFERROR(IF(VLOOKUP(功能_33[[#This Row],[功能代號]],E:Q,11,FALSE)=0,"",VLOOKUP(功能_33[[#This Row],[功能代號]],E:Q,11,FALSE)),"")</f>
        <v>尹少玄</v>
      </c>
      <c r="AH388" s="299"/>
      <c r="AI388" s="299"/>
      <c r="AJ388" s="292"/>
      <c r="AK388" s="299"/>
      <c r="AL388" s="291" t="s">
        <v>2976</v>
      </c>
      <c r="AN388" s="292" t="e">
        <f>VLOOKUP(功能_33[[#This Row],[功能代號]],需二審tmp!A:A,1,FALSE)</f>
        <v>#N/A</v>
      </c>
      <c r="AQ388" s="574" t="str">
        <f t="shared" si="39"/>
        <v>5-3</v>
      </c>
      <c r="AR388" s="576" t="str">
        <f t="shared" si="40"/>
        <v/>
      </c>
      <c r="AS388" s="578" t="str">
        <f t="shared" si="41"/>
        <v/>
      </c>
      <c r="AT388" s="580" t="str">
        <f t="shared" si="42"/>
        <v/>
      </c>
      <c r="AU388" s="582" t="str">
        <f t="shared" si="43"/>
        <v/>
      </c>
      <c r="AV388" s="584" t="str">
        <f t="shared" si="44"/>
        <v/>
      </c>
      <c r="AW388" s="662" t="str">
        <f>IFERROR(VLOOKUP(功能_33[[#This Row],[功能代號]],工作表3!C:C,1,FALSE),"未計SIT測試")</f>
        <v>未計SIT測試</v>
      </c>
    </row>
    <row r="389" spans="3:49" ht="13.5" x14ac:dyDescent="0.3">
      <c r="C389" s="292" t="s">
        <v>94</v>
      </c>
      <c r="D389" s="498" t="s">
        <v>2802</v>
      </c>
      <c r="E389" s="291" t="s">
        <v>1090</v>
      </c>
      <c r="F389" s="270" t="s">
        <v>1091</v>
      </c>
      <c r="G389" s="292"/>
      <c r="H389" s="291" t="s">
        <v>136</v>
      </c>
      <c r="I389" s="291" t="s">
        <v>136</v>
      </c>
      <c r="J389" s="298" t="s">
        <v>3240</v>
      </c>
      <c r="K389" s="299">
        <v>44519</v>
      </c>
      <c r="L389" s="299">
        <v>44518</v>
      </c>
      <c r="M389" s="299">
        <v>44547</v>
      </c>
      <c r="N389" s="291" t="s">
        <v>12</v>
      </c>
      <c r="O389" s="291" t="s">
        <v>3168</v>
      </c>
      <c r="T389" s="291"/>
      <c r="V389" s="291"/>
      <c r="W389" s="291"/>
      <c r="X389" s="292" t="e">
        <f>VLOOKUP(功能_33[[#This Row],[User]],SKL放款!A:G,7,FALSE)</f>
        <v>#N/A</v>
      </c>
      <c r="Y389" s="299">
        <v>44533</v>
      </c>
      <c r="Z389" s="299" t="s">
        <v>195</v>
      </c>
      <c r="AA389" s="282">
        <v>44550</v>
      </c>
      <c r="AB389" s="299">
        <v>44550</v>
      </c>
      <c r="AC389" s="299">
        <v>44550</v>
      </c>
      <c r="AD389" s="299"/>
      <c r="AE389" s="299"/>
      <c r="AF389" s="355"/>
      <c r="AG389" s="299" t="str">
        <f>IFERROR(IF(VLOOKUP(功能_33[[#This Row],[功能代號]],E:Q,11,FALSE)=0,"",VLOOKUP(功能_33[[#This Row],[功能代號]],E:Q,11,FALSE)),"")</f>
        <v>李珮君(張淑遠)</v>
      </c>
      <c r="AH389" s="299"/>
      <c r="AI389" s="299"/>
      <c r="AJ389" s="292"/>
      <c r="AK389" s="299"/>
      <c r="AL389" s="291" t="s">
        <v>2976</v>
      </c>
      <c r="AN389" s="292" t="e">
        <f>VLOOKUP(功能_33[[#This Row],[功能代號]],需二審tmp!A:A,1,FALSE)</f>
        <v>#N/A</v>
      </c>
      <c r="AQ389" s="574" t="str">
        <f t="shared" si="39"/>
        <v>5-3</v>
      </c>
      <c r="AR389" s="576" t="str">
        <f t="shared" si="40"/>
        <v/>
      </c>
      <c r="AS389" s="578" t="str">
        <f t="shared" si="41"/>
        <v/>
      </c>
      <c r="AT389" s="580" t="str">
        <f t="shared" si="42"/>
        <v/>
      </c>
      <c r="AU389" s="582" t="str">
        <f t="shared" si="43"/>
        <v/>
      </c>
      <c r="AV389" s="584" t="str">
        <f t="shared" si="44"/>
        <v/>
      </c>
      <c r="AW389" s="662" t="str">
        <f>IFERROR(VLOOKUP(功能_33[[#This Row],[功能代號]],工作表3!C:C,1,FALSE),"未計SIT測試")</f>
        <v>未計SIT測試</v>
      </c>
    </row>
    <row r="390" spans="3:49" ht="13.5" x14ac:dyDescent="0.3">
      <c r="C390" s="292" t="s">
        <v>94</v>
      </c>
      <c r="D390" s="498" t="s">
        <v>2802</v>
      </c>
      <c r="E390" s="291" t="s">
        <v>1092</v>
      </c>
      <c r="F390" s="270" t="s">
        <v>1093</v>
      </c>
      <c r="G390" s="292"/>
      <c r="H390" s="291" t="s">
        <v>136</v>
      </c>
      <c r="I390" s="291" t="s">
        <v>136</v>
      </c>
      <c r="J390" s="298" t="s">
        <v>3240</v>
      </c>
      <c r="K390" s="299">
        <v>44519</v>
      </c>
      <c r="L390" s="299">
        <v>44518</v>
      </c>
      <c r="M390" s="299">
        <v>44547</v>
      </c>
      <c r="N390" s="291" t="s">
        <v>12</v>
      </c>
      <c r="O390" s="291" t="s">
        <v>3168</v>
      </c>
      <c r="T390" s="291"/>
      <c r="V390" s="291"/>
      <c r="W390" s="291"/>
      <c r="X390" s="292" t="e">
        <f>VLOOKUP(功能_33[[#This Row],[User]],SKL放款!A:G,7,FALSE)</f>
        <v>#N/A</v>
      </c>
      <c r="Y390" s="299">
        <v>44533</v>
      </c>
      <c r="Z390" s="299" t="s">
        <v>195</v>
      </c>
      <c r="AA390" s="282">
        <v>44550</v>
      </c>
      <c r="AB390" s="299">
        <v>44550</v>
      </c>
      <c r="AC390" s="299">
        <v>44550</v>
      </c>
      <c r="AD390" s="299"/>
      <c r="AE390" s="299"/>
      <c r="AF390" s="355"/>
      <c r="AG390" s="299" t="str">
        <f>IFERROR(IF(VLOOKUP(功能_33[[#This Row],[功能代號]],E:Q,11,FALSE)=0,"",VLOOKUP(功能_33[[#This Row],[功能代號]],E:Q,11,FALSE)),"")</f>
        <v>李珮君(張淑遠)</v>
      </c>
      <c r="AH390" s="299"/>
      <c r="AI390" s="299"/>
      <c r="AJ390" s="292"/>
      <c r="AK390" s="299"/>
      <c r="AL390" s="291" t="s">
        <v>2976</v>
      </c>
      <c r="AN390" s="292" t="e">
        <f>VLOOKUP(功能_33[[#This Row],[功能代號]],需二審tmp!A:A,1,FALSE)</f>
        <v>#N/A</v>
      </c>
      <c r="AQ390" s="574" t="str">
        <f t="shared" si="39"/>
        <v>5-3</v>
      </c>
      <c r="AR390" s="576" t="str">
        <f t="shared" si="40"/>
        <v/>
      </c>
      <c r="AS390" s="578" t="str">
        <f t="shared" si="41"/>
        <v/>
      </c>
      <c r="AT390" s="580" t="str">
        <f t="shared" si="42"/>
        <v/>
      </c>
      <c r="AU390" s="582" t="str">
        <f t="shared" si="43"/>
        <v/>
      </c>
      <c r="AV390" s="584" t="str">
        <f t="shared" si="44"/>
        <v/>
      </c>
      <c r="AW390" s="662" t="str">
        <f>IFERROR(VLOOKUP(功能_33[[#This Row],[功能代號]],工作表3!C:C,1,FALSE),"未計SIT測試")</f>
        <v>未計SIT測試</v>
      </c>
    </row>
    <row r="391" spans="3:49" ht="13.5" x14ac:dyDescent="0.3">
      <c r="C391" s="292" t="s">
        <v>94</v>
      </c>
      <c r="D391" s="498" t="s">
        <v>2802</v>
      </c>
      <c r="E391" s="291" t="s">
        <v>1094</v>
      </c>
      <c r="F391" s="270" t="s">
        <v>1095</v>
      </c>
      <c r="G391" s="292"/>
      <c r="H391" s="291" t="s">
        <v>136</v>
      </c>
      <c r="I391" s="291" t="s">
        <v>136</v>
      </c>
      <c r="J391" s="298" t="s">
        <v>3240</v>
      </c>
      <c r="K391" s="299">
        <v>44519</v>
      </c>
      <c r="L391" s="299">
        <v>44518</v>
      </c>
      <c r="M391" s="299">
        <v>44547</v>
      </c>
      <c r="N391" s="291" t="s">
        <v>12</v>
      </c>
      <c r="O391" s="291" t="s">
        <v>3168</v>
      </c>
      <c r="T391" s="291"/>
      <c r="V391" s="291"/>
      <c r="W391" s="291"/>
      <c r="X391" s="292" t="e">
        <f>VLOOKUP(功能_33[[#This Row],[User]],SKL放款!A:G,7,FALSE)</f>
        <v>#N/A</v>
      </c>
      <c r="Y391" s="299">
        <v>44533</v>
      </c>
      <c r="Z391" s="299" t="s">
        <v>195</v>
      </c>
      <c r="AA391" s="282">
        <v>44550</v>
      </c>
      <c r="AB391" s="299">
        <v>44550</v>
      </c>
      <c r="AC391" s="299">
        <v>44550</v>
      </c>
      <c r="AD391" s="299"/>
      <c r="AE391" s="299"/>
      <c r="AF391" s="355"/>
      <c r="AG391" s="299" t="str">
        <f>IFERROR(IF(VLOOKUP(功能_33[[#This Row],[功能代號]],E:Q,11,FALSE)=0,"",VLOOKUP(功能_33[[#This Row],[功能代號]],E:Q,11,FALSE)),"")</f>
        <v>李珮君(張淑遠)</v>
      </c>
      <c r="AH391" s="299"/>
      <c r="AI391" s="299"/>
      <c r="AJ391" s="292"/>
      <c r="AK391" s="299"/>
      <c r="AL391" s="291" t="s">
        <v>2976</v>
      </c>
      <c r="AN391" s="292" t="e">
        <f>VLOOKUP(功能_33[[#This Row],[功能代號]],需二審tmp!A:A,1,FALSE)</f>
        <v>#N/A</v>
      </c>
      <c r="AQ391" s="574" t="str">
        <f t="shared" si="39"/>
        <v>5-3</v>
      </c>
      <c r="AR391" s="576" t="str">
        <f t="shared" si="40"/>
        <v/>
      </c>
      <c r="AS391" s="578" t="str">
        <f t="shared" si="41"/>
        <v/>
      </c>
      <c r="AT391" s="580" t="str">
        <f t="shared" si="42"/>
        <v/>
      </c>
      <c r="AU391" s="582" t="str">
        <f t="shared" si="43"/>
        <v/>
      </c>
      <c r="AV391" s="584" t="str">
        <f t="shared" si="44"/>
        <v/>
      </c>
      <c r="AW391" s="662" t="str">
        <f>IFERROR(VLOOKUP(功能_33[[#This Row],[功能代號]],工作表3!C:C,1,FALSE),"未計SIT測試")</f>
        <v>未計SIT測試</v>
      </c>
    </row>
    <row r="392" spans="3:49" ht="17" x14ac:dyDescent="0.3">
      <c r="C392" s="292" t="s">
        <v>94</v>
      </c>
      <c r="D392" s="498" t="s">
        <v>2826</v>
      </c>
      <c r="E392" s="291" t="s">
        <v>1099</v>
      </c>
      <c r="F392" s="270" t="s">
        <v>1100</v>
      </c>
      <c r="G392" s="292"/>
      <c r="H392" s="291" t="s">
        <v>136</v>
      </c>
      <c r="I392" s="291" t="s">
        <v>137</v>
      </c>
      <c r="J392" s="298" t="s">
        <v>3240</v>
      </c>
      <c r="K392" s="299">
        <v>44519</v>
      </c>
      <c r="L392" s="299">
        <v>44518</v>
      </c>
      <c r="M392" s="299">
        <v>44533</v>
      </c>
      <c r="N392" s="291" t="s">
        <v>12</v>
      </c>
      <c r="O392" s="270" t="s">
        <v>3168</v>
      </c>
      <c r="T392" s="291"/>
      <c r="V392" s="291"/>
      <c r="W392" s="291"/>
      <c r="X392" s="292" t="e">
        <f>VLOOKUP(功能_33[[#This Row],[User]],SKL放款!A:G,7,FALSE)</f>
        <v>#N/A</v>
      </c>
      <c r="Y392" s="299">
        <v>44533</v>
      </c>
      <c r="Z392" s="299" t="s">
        <v>2733</v>
      </c>
      <c r="AA392" s="282">
        <v>44550</v>
      </c>
      <c r="AB392" s="299">
        <v>44550</v>
      </c>
      <c r="AC392" s="299">
        <v>44550</v>
      </c>
      <c r="AD392" s="299"/>
      <c r="AE392" s="299"/>
      <c r="AF392" s="355"/>
      <c r="AG392" s="299" t="str">
        <f>IFERROR(IF(VLOOKUP(功能_33[[#This Row],[功能代號]],E:Q,11,FALSE)=0,"",VLOOKUP(功能_33[[#This Row],[功能代號]],E:Q,11,FALSE)),"")</f>
        <v>李珮君(張淑遠)</v>
      </c>
      <c r="AH392" s="299"/>
      <c r="AI392" s="299"/>
      <c r="AJ392" s="292"/>
      <c r="AK392" s="299"/>
      <c r="AL392" s="661" t="s">
        <v>3171</v>
      </c>
      <c r="AM392" s="649" t="s">
        <v>3172</v>
      </c>
      <c r="AN392" s="292" t="e">
        <f>VLOOKUP(功能_33[[#This Row],[功能代號]],需二審tmp!A:A,1,FALSE)</f>
        <v>#N/A</v>
      </c>
      <c r="AO392" s="356">
        <v>44533</v>
      </c>
      <c r="AQ392" s="574" t="str">
        <f t="shared" si="39"/>
        <v>5-2</v>
      </c>
      <c r="AR392" s="576" t="str">
        <f t="shared" si="40"/>
        <v/>
      </c>
      <c r="AS392" s="578" t="str">
        <f t="shared" si="41"/>
        <v/>
      </c>
      <c r="AT392" s="580" t="str">
        <f t="shared" si="42"/>
        <v/>
      </c>
      <c r="AU392" s="582" t="str">
        <f t="shared" si="43"/>
        <v/>
      </c>
      <c r="AV392" s="584" t="str">
        <f t="shared" si="44"/>
        <v/>
      </c>
      <c r="AW392" s="662" t="str">
        <f>IFERROR(VLOOKUP(功能_33[[#This Row],[功能代號]],工作表3!C:C,1,FALSE),"未計SIT測試")</f>
        <v>L5910</v>
      </c>
    </row>
    <row r="393" spans="3:49" ht="17" x14ac:dyDescent="0.3">
      <c r="C393" s="292" t="s">
        <v>94</v>
      </c>
      <c r="D393" s="498" t="s">
        <v>2826</v>
      </c>
      <c r="E393" s="291" t="s">
        <v>1101</v>
      </c>
      <c r="F393" s="270" t="s">
        <v>1102</v>
      </c>
      <c r="G393" s="292"/>
      <c r="H393" s="291" t="s">
        <v>136</v>
      </c>
      <c r="I393" s="291" t="s">
        <v>137</v>
      </c>
      <c r="J393" s="298" t="s">
        <v>3240</v>
      </c>
      <c r="K393" s="299">
        <v>44519</v>
      </c>
      <c r="L393" s="299">
        <v>44518</v>
      </c>
      <c r="M393" s="299">
        <v>44533</v>
      </c>
      <c r="N393" s="291" t="s">
        <v>12</v>
      </c>
      <c r="O393" s="270" t="s">
        <v>3168</v>
      </c>
      <c r="T393" s="291"/>
      <c r="V393" s="291"/>
      <c r="W393" s="291"/>
      <c r="X393" s="292" t="e">
        <f>VLOOKUP(功能_33[[#This Row],[User]],SKL放款!A:G,7,FALSE)</f>
        <v>#N/A</v>
      </c>
      <c r="Y393" s="299">
        <v>44533</v>
      </c>
      <c r="Z393" s="299" t="s">
        <v>2733</v>
      </c>
      <c r="AA393" s="282">
        <v>44550</v>
      </c>
      <c r="AB393" s="299">
        <v>44550</v>
      </c>
      <c r="AC393" s="299">
        <v>44550</v>
      </c>
      <c r="AD393" s="299"/>
      <c r="AE393" s="299"/>
      <c r="AF393" s="355"/>
      <c r="AG393" s="299" t="str">
        <f>IFERROR(IF(VLOOKUP(功能_33[[#This Row],[功能代號]],E:Q,11,FALSE)=0,"",VLOOKUP(功能_33[[#This Row],[功能代號]],E:Q,11,FALSE)),"")</f>
        <v>李珮君(張淑遠)</v>
      </c>
      <c r="AH393" s="299"/>
      <c r="AI393" s="299"/>
      <c r="AJ393" s="292"/>
      <c r="AK393" s="299"/>
      <c r="AL393" s="661" t="s">
        <v>3171</v>
      </c>
      <c r="AM393" s="648" t="s">
        <v>3172</v>
      </c>
      <c r="AN393" s="292" t="e">
        <f>VLOOKUP(功能_33[[#This Row],[功能代號]],需二審tmp!A:A,1,FALSE)</f>
        <v>#N/A</v>
      </c>
      <c r="AO393" s="356">
        <v>44533</v>
      </c>
      <c r="AQ393" s="574" t="str">
        <f t="shared" si="39"/>
        <v>5-2</v>
      </c>
      <c r="AR393" s="576" t="str">
        <f t="shared" si="40"/>
        <v/>
      </c>
      <c r="AS393" s="578" t="str">
        <f t="shared" si="41"/>
        <v/>
      </c>
      <c r="AT393" s="580" t="str">
        <f t="shared" si="42"/>
        <v/>
      </c>
      <c r="AU393" s="582" t="str">
        <f t="shared" si="43"/>
        <v/>
      </c>
      <c r="AV393" s="584" t="str">
        <f t="shared" si="44"/>
        <v/>
      </c>
      <c r="AW393" s="662" t="str">
        <f>IFERROR(VLOOKUP(功能_33[[#This Row],[功能代號]],工作表3!C:C,1,FALSE),"未計SIT測試")</f>
        <v>L5912</v>
      </c>
    </row>
    <row r="394" spans="3:49" ht="13.5" x14ac:dyDescent="0.3">
      <c r="C394" s="292" t="s">
        <v>95</v>
      </c>
      <c r="D394" s="498" t="s">
        <v>2813</v>
      </c>
      <c r="E394" s="291" t="s">
        <v>1103</v>
      </c>
      <c r="F394" s="270" t="s">
        <v>1104</v>
      </c>
      <c r="G394" s="292"/>
      <c r="H394" s="291" t="s">
        <v>136</v>
      </c>
      <c r="I394" s="291" t="s">
        <v>314</v>
      </c>
      <c r="J394" s="225" t="s">
        <v>417</v>
      </c>
      <c r="K394" s="299">
        <v>44529</v>
      </c>
      <c r="L394" s="299">
        <v>44529</v>
      </c>
      <c r="M394" s="299">
        <v>44533</v>
      </c>
      <c r="N394" s="291" t="s">
        <v>12</v>
      </c>
      <c r="O394" s="291" t="s">
        <v>11</v>
      </c>
      <c r="T394" s="291"/>
      <c r="V394" s="291"/>
      <c r="W394" s="291"/>
      <c r="X394" s="292" t="str">
        <f>VLOOKUP(功能_33[[#This Row],[User]],SKL放款!A:G,7,FALSE)</f>
        <v>放款服務課</v>
      </c>
      <c r="Y394" s="299">
        <v>44533</v>
      </c>
      <c r="Z394" s="299" t="s">
        <v>133</v>
      </c>
      <c r="AA394" s="299" t="s">
        <v>2958</v>
      </c>
      <c r="AB394" s="299">
        <v>44544</v>
      </c>
      <c r="AC394" s="299">
        <v>44544</v>
      </c>
      <c r="AD394" s="299"/>
      <c r="AE394" s="299"/>
      <c r="AF394" s="355"/>
      <c r="AG394" s="299" t="str">
        <f>IFERROR(IF(VLOOKUP(功能_33[[#This Row],[功能代號]],E:Q,11,FALSE)=0,"",VLOOKUP(功能_33[[#This Row],[功能代號]],E:Q,11,FALSE)),"")</f>
        <v>蔡珮瑜</v>
      </c>
      <c r="AH394" s="299"/>
      <c r="AI394" s="299"/>
      <c r="AJ394" s="292"/>
      <c r="AK394" s="299">
        <v>44491</v>
      </c>
      <c r="AL394" s="291" t="s">
        <v>190</v>
      </c>
      <c r="AN394" s="292" t="str">
        <f>VLOOKUP(功能_33[[#This Row],[功能代號]],需二審tmp!A:A,1,FALSE)</f>
        <v>L6042</v>
      </c>
      <c r="AQ394" s="574" t="str">
        <f t="shared" si="39"/>
        <v>6-4</v>
      </c>
      <c r="AR394" s="576" t="str">
        <f t="shared" si="40"/>
        <v/>
      </c>
      <c r="AS394" s="578" t="str">
        <f t="shared" si="41"/>
        <v/>
      </c>
      <c r="AT394" s="580" t="str">
        <f t="shared" si="42"/>
        <v/>
      </c>
      <c r="AU394" s="582" t="str">
        <f t="shared" si="43"/>
        <v/>
      </c>
      <c r="AV394" s="584" t="str">
        <f t="shared" si="44"/>
        <v/>
      </c>
      <c r="AW394" s="662" t="str">
        <f>IFERROR(VLOOKUP(功能_33[[#This Row],[功能代號]],工作表3!C:C,1,FALSE),"未計SIT測試")</f>
        <v>L6042</v>
      </c>
    </row>
    <row r="395" spans="3:49" ht="13.5" x14ac:dyDescent="0.3">
      <c r="C395" s="292" t="s">
        <v>95</v>
      </c>
      <c r="D395" s="498" t="s">
        <v>2813</v>
      </c>
      <c r="E395" s="291" t="s">
        <v>1105</v>
      </c>
      <c r="F395" s="270" t="s">
        <v>1106</v>
      </c>
      <c r="G395" s="292"/>
      <c r="H395" s="291" t="s">
        <v>136</v>
      </c>
      <c r="I395" s="291" t="s">
        <v>314</v>
      </c>
      <c r="J395" s="225" t="s">
        <v>417</v>
      </c>
      <c r="K395" s="299">
        <v>44529</v>
      </c>
      <c r="L395" s="299">
        <v>44529</v>
      </c>
      <c r="M395" s="299">
        <v>44533</v>
      </c>
      <c r="N395" s="291" t="s">
        <v>12</v>
      </c>
      <c r="O395" s="291" t="s">
        <v>11</v>
      </c>
      <c r="T395" s="291"/>
      <c r="V395" s="291"/>
      <c r="W395" s="291"/>
      <c r="X395" s="292" t="str">
        <f>VLOOKUP(功能_33[[#This Row],[User]],SKL放款!A:G,7,FALSE)</f>
        <v>放款服務課</v>
      </c>
      <c r="Y395" s="299">
        <v>44533</v>
      </c>
      <c r="Z395" s="299" t="s">
        <v>133</v>
      </c>
      <c r="AA395" s="299" t="s">
        <v>2958</v>
      </c>
      <c r="AB395" s="299">
        <v>44544</v>
      </c>
      <c r="AC395" s="299">
        <v>44544</v>
      </c>
      <c r="AD395" s="299"/>
      <c r="AE395" s="299"/>
      <c r="AF395" s="355"/>
      <c r="AG395" s="299" t="str">
        <f>IFERROR(IF(VLOOKUP(功能_33[[#This Row],[功能代號]],E:Q,11,FALSE)=0,"",VLOOKUP(功能_33[[#This Row],[功能代號]],E:Q,11,FALSE)),"")</f>
        <v>蔡珮瑜</v>
      </c>
      <c r="AH395" s="299"/>
      <c r="AI395" s="299"/>
      <c r="AJ395" s="292"/>
      <c r="AK395" s="299"/>
      <c r="AL395" s="291" t="s">
        <v>190</v>
      </c>
      <c r="AN395" s="292" t="str">
        <f>VLOOKUP(功能_33[[#This Row],[功能代號]],需二審tmp!A:A,1,FALSE)</f>
        <v>L6402</v>
      </c>
      <c r="AQ395" s="574" t="str">
        <f t="shared" si="39"/>
        <v>6-4</v>
      </c>
      <c r="AR395" s="576" t="str">
        <f t="shared" si="40"/>
        <v/>
      </c>
      <c r="AS395" s="578" t="str">
        <f t="shared" si="41"/>
        <v/>
      </c>
      <c r="AT395" s="580" t="str">
        <f t="shared" si="42"/>
        <v/>
      </c>
      <c r="AU395" s="582" t="str">
        <f t="shared" si="43"/>
        <v/>
      </c>
      <c r="AV395" s="584" t="str">
        <f t="shared" si="44"/>
        <v/>
      </c>
      <c r="AW395" s="662" t="str">
        <f>IFERROR(VLOOKUP(功能_33[[#This Row],[功能代號]],工作表3!C:C,1,FALSE),"未計SIT測試")</f>
        <v>L6402</v>
      </c>
    </row>
    <row r="396" spans="3:49" ht="13.5" x14ac:dyDescent="0.3">
      <c r="C396" s="292" t="s">
        <v>95</v>
      </c>
      <c r="D396" s="498" t="s">
        <v>2813</v>
      </c>
      <c r="E396" s="291" t="s">
        <v>1111</v>
      </c>
      <c r="F396" s="270" t="s">
        <v>1112</v>
      </c>
      <c r="G396" s="292"/>
      <c r="H396" s="291" t="s">
        <v>136</v>
      </c>
      <c r="I396" s="291" t="s">
        <v>314</v>
      </c>
      <c r="J396" s="225" t="s">
        <v>417</v>
      </c>
      <c r="K396" s="299">
        <v>44529</v>
      </c>
      <c r="L396" s="299">
        <v>44529</v>
      </c>
      <c r="M396" s="299">
        <v>44533</v>
      </c>
      <c r="N396" s="291" t="s">
        <v>12</v>
      </c>
      <c r="O396" s="291" t="s">
        <v>11</v>
      </c>
      <c r="T396" s="291"/>
      <c r="V396" s="291"/>
      <c r="W396" s="291"/>
      <c r="X396" s="292" t="str">
        <f>VLOOKUP(功能_33[[#This Row],[User]],SKL放款!A:G,7,FALSE)</f>
        <v>放款服務課</v>
      </c>
      <c r="Y396" s="299">
        <v>44533</v>
      </c>
      <c r="Z396" s="299" t="s">
        <v>2926</v>
      </c>
      <c r="AA396" s="299" t="s">
        <v>2958</v>
      </c>
      <c r="AB396" s="299">
        <v>44544</v>
      </c>
      <c r="AC396" s="299">
        <v>44544</v>
      </c>
      <c r="AD396" s="299"/>
      <c r="AE396" s="299"/>
      <c r="AF396" s="355"/>
      <c r="AG396" s="299" t="str">
        <f>IFERROR(IF(VLOOKUP(功能_33[[#This Row],[功能代號]],E:Q,11,FALSE)=0,"",VLOOKUP(功能_33[[#This Row],[功能代號]],E:Q,11,FALSE)),"")</f>
        <v>蔡珮瑜</v>
      </c>
      <c r="AH396" s="299"/>
      <c r="AI396" s="299"/>
      <c r="AJ396" s="292"/>
      <c r="AK396" s="299"/>
      <c r="AL396" s="291" t="s">
        <v>190</v>
      </c>
      <c r="AN396" s="292" t="e">
        <f>VLOOKUP(功能_33[[#This Row],[功能代號]],需二審tmp!A:A,1,FALSE)</f>
        <v>#N/A</v>
      </c>
      <c r="AQ396" s="574" t="str">
        <f t="shared" si="39"/>
        <v>6-4</v>
      </c>
      <c r="AR396" s="576" t="str">
        <f t="shared" si="40"/>
        <v/>
      </c>
      <c r="AS396" s="578" t="str">
        <f t="shared" si="41"/>
        <v/>
      </c>
      <c r="AT396" s="580" t="str">
        <f t="shared" si="42"/>
        <v/>
      </c>
      <c r="AU396" s="582" t="str">
        <f t="shared" si="43"/>
        <v/>
      </c>
      <c r="AV396" s="584" t="str">
        <f t="shared" si="44"/>
        <v/>
      </c>
      <c r="AW396" s="662" t="str">
        <f>IFERROR(VLOOKUP(功能_33[[#This Row],[功能代號]],工作表3!C:C,1,FALSE),"未計SIT測試")</f>
        <v>L6043</v>
      </c>
    </row>
    <row r="397" spans="3:49" ht="13.5" x14ac:dyDescent="0.3">
      <c r="C397" s="292" t="s">
        <v>95</v>
      </c>
      <c r="D397" s="498" t="s">
        <v>2813</v>
      </c>
      <c r="E397" s="291" t="s">
        <v>1113</v>
      </c>
      <c r="F397" s="292" t="s">
        <v>1114</v>
      </c>
      <c r="G397" s="292"/>
      <c r="H397" s="291" t="s">
        <v>136</v>
      </c>
      <c r="I397" s="291" t="s">
        <v>314</v>
      </c>
      <c r="J397" s="225" t="s">
        <v>417</v>
      </c>
      <c r="K397" s="299">
        <v>44529</v>
      </c>
      <c r="L397" s="299">
        <v>44529</v>
      </c>
      <c r="M397" s="299">
        <v>44533</v>
      </c>
      <c r="N397" s="291" t="s">
        <v>12</v>
      </c>
      <c r="O397" s="291" t="s">
        <v>11</v>
      </c>
      <c r="T397" s="291"/>
      <c r="V397" s="291"/>
      <c r="W397" s="291"/>
      <c r="X397" s="292" t="str">
        <f>VLOOKUP(功能_33[[#This Row],[User]],SKL放款!A:G,7,FALSE)</f>
        <v>放款服務課</v>
      </c>
      <c r="Y397" s="299">
        <v>44533</v>
      </c>
      <c r="Z397" s="299" t="s">
        <v>2926</v>
      </c>
      <c r="AA397" s="299" t="s">
        <v>2958</v>
      </c>
      <c r="AB397" s="299">
        <v>44544</v>
      </c>
      <c r="AC397" s="299">
        <v>44544</v>
      </c>
      <c r="AD397" s="299"/>
      <c r="AE397" s="299"/>
      <c r="AF397" s="355"/>
      <c r="AG397" s="299" t="str">
        <f>IFERROR(IF(VLOOKUP(功能_33[[#This Row],[功能代號]],E:Q,11,FALSE)=0,"",VLOOKUP(功能_33[[#This Row],[功能代號]],E:Q,11,FALSE)),"")</f>
        <v>蔡珮瑜</v>
      </c>
      <c r="AH397" s="299"/>
      <c r="AI397" s="299"/>
      <c r="AJ397" s="292"/>
      <c r="AK397" s="299"/>
      <c r="AL397" s="291" t="s">
        <v>190</v>
      </c>
      <c r="AN397" s="292" t="e">
        <f>VLOOKUP(功能_33[[#This Row],[功能代號]],需二審tmp!A:A,1,FALSE)</f>
        <v>#N/A</v>
      </c>
      <c r="AQ397" s="574" t="str">
        <f t="shared" si="39"/>
        <v>6-4</v>
      </c>
      <c r="AR397" s="576" t="str">
        <f t="shared" si="40"/>
        <v/>
      </c>
      <c r="AS397" s="578" t="str">
        <f t="shared" si="41"/>
        <v/>
      </c>
      <c r="AT397" s="580" t="str">
        <f t="shared" si="42"/>
        <v/>
      </c>
      <c r="AU397" s="582" t="str">
        <f t="shared" si="43"/>
        <v/>
      </c>
      <c r="AV397" s="584" t="str">
        <f t="shared" si="44"/>
        <v/>
      </c>
      <c r="AW397" s="662" t="str">
        <f>IFERROR(VLOOKUP(功能_33[[#This Row],[功能代號]],工作表3!C:C,1,FALSE),"未計SIT測試")</f>
        <v>L6403</v>
      </c>
    </row>
    <row r="398" spans="3:49" ht="13.5" x14ac:dyDescent="0.3">
      <c r="C398" s="292" t="s">
        <v>95</v>
      </c>
      <c r="D398" s="498" t="s">
        <v>2816</v>
      </c>
      <c r="E398" s="291" t="s">
        <v>1048</v>
      </c>
      <c r="F398" s="292" t="s">
        <v>1049</v>
      </c>
      <c r="G398" s="292"/>
      <c r="H398" s="291" t="s">
        <v>193</v>
      </c>
      <c r="I398" s="291" t="s">
        <v>314</v>
      </c>
      <c r="J398" s="225" t="s">
        <v>3234</v>
      </c>
      <c r="K398" s="299">
        <v>44397</v>
      </c>
      <c r="L398" s="299">
        <v>44397</v>
      </c>
      <c r="M398" s="299">
        <v>44402</v>
      </c>
      <c r="N398" s="291" t="s">
        <v>8</v>
      </c>
      <c r="O398" s="270" t="s">
        <v>3168</v>
      </c>
      <c r="T398" s="291"/>
      <c r="V398" s="291"/>
      <c r="W398" s="291"/>
      <c r="X398" s="292" t="e">
        <f>VLOOKUP(功能_33[[#This Row],[User]],SKL放款!A:G,7,FALSE)</f>
        <v>#N/A</v>
      </c>
      <c r="Y398" s="299">
        <v>44402</v>
      </c>
      <c r="Z398" s="299" t="s">
        <v>133</v>
      </c>
      <c r="AA398" s="282">
        <v>44550</v>
      </c>
      <c r="AB398" s="299">
        <v>44550</v>
      </c>
      <c r="AC398" s="299">
        <v>44550</v>
      </c>
      <c r="AD398" s="299"/>
      <c r="AE398" s="299"/>
      <c r="AF398" s="355"/>
      <c r="AG398" s="299" t="str">
        <f>IFERROR(IF(VLOOKUP(功能_33[[#This Row],[功能代號]],E:Q,11,FALSE)=0,"",VLOOKUP(功能_33[[#This Row],[功能代號]],E:Q,11,FALSE)),"")</f>
        <v>李珮君(張淑遠)</v>
      </c>
      <c r="AH398" s="299"/>
      <c r="AI398" s="299"/>
      <c r="AJ398" s="292"/>
      <c r="AK398" s="299">
        <v>44397</v>
      </c>
      <c r="AL398" s="291" t="s">
        <v>190</v>
      </c>
      <c r="AN398" s="292" t="str">
        <f>VLOOKUP(功能_33[[#This Row],[功能代號]],需二審tmp!A:A,1,FALSE)</f>
        <v>L6751</v>
      </c>
      <c r="AO398" s="356">
        <v>44526</v>
      </c>
      <c r="AQ398" s="574" t="str">
        <f t="shared" si="39"/>
        <v>6-7</v>
      </c>
      <c r="AR398" s="576" t="str">
        <f t="shared" si="40"/>
        <v/>
      </c>
      <c r="AS398" s="578" t="str">
        <f t="shared" si="41"/>
        <v/>
      </c>
      <c r="AT398" s="580" t="str">
        <f t="shared" si="42"/>
        <v/>
      </c>
      <c r="AU398" s="582" t="str">
        <f t="shared" si="43"/>
        <v/>
      </c>
      <c r="AV398" s="584" t="str">
        <f t="shared" si="44"/>
        <v/>
      </c>
      <c r="AW398" s="662" t="str">
        <f>IFERROR(VLOOKUP(功能_33[[#This Row],[功能代號]],工作表3!C:C,1,FALSE),"未計SIT測試")</f>
        <v>L6751</v>
      </c>
    </row>
    <row r="399" spans="3:49" ht="13.5" x14ac:dyDescent="0.3">
      <c r="C399" s="292" t="s">
        <v>95</v>
      </c>
      <c r="D399" s="498" t="s">
        <v>2816</v>
      </c>
      <c r="E399" s="291" t="s">
        <v>1015</v>
      </c>
      <c r="F399" s="292" t="s">
        <v>1016</v>
      </c>
      <c r="G399" s="292"/>
      <c r="H399" s="291" t="s">
        <v>193</v>
      </c>
      <c r="I399" s="291" t="s">
        <v>314</v>
      </c>
      <c r="J399" s="225" t="s">
        <v>3234</v>
      </c>
      <c r="K399" s="299">
        <v>44396</v>
      </c>
      <c r="L399" s="299">
        <v>44396</v>
      </c>
      <c r="M399" s="299">
        <v>44402</v>
      </c>
      <c r="N399" s="291" t="s">
        <v>12</v>
      </c>
      <c r="O399" s="270" t="s">
        <v>3168</v>
      </c>
      <c r="Q399" s="291">
        <v>1</v>
      </c>
      <c r="R399" s="291" t="s">
        <v>1017</v>
      </c>
      <c r="T399" s="291"/>
      <c r="V399" s="291"/>
      <c r="W399" s="291"/>
      <c r="X399" s="292" t="e">
        <f>VLOOKUP(功能_33[[#This Row],[User]],SKL放款!A:G,7,FALSE)</f>
        <v>#N/A</v>
      </c>
      <c r="Y399" s="299">
        <v>44402</v>
      </c>
      <c r="Z399" s="299" t="s">
        <v>133</v>
      </c>
      <c r="AA399" s="282">
        <v>44550</v>
      </c>
      <c r="AB399" s="299">
        <v>44550</v>
      </c>
      <c r="AC399" s="299">
        <v>44550</v>
      </c>
      <c r="AD399" s="299"/>
      <c r="AE399" s="299"/>
      <c r="AF399" s="355"/>
      <c r="AG399" s="299" t="str">
        <f>IFERROR(IF(VLOOKUP(功能_33[[#This Row],[功能代號]],E:Q,11,FALSE)=0,"",VLOOKUP(功能_33[[#This Row],[功能代號]],E:Q,11,FALSE)),"")</f>
        <v>李珮君(張淑遠)</v>
      </c>
      <c r="AH399" s="299"/>
      <c r="AI399" s="299"/>
      <c r="AJ399" s="292"/>
      <c r="AK399" s="299">
        <v>44396</v>
      </c>
      <c r="AL399" s="303" t="s">
        <v>1013</v>
      </c>
      <c r="AM399" s="304" t="s">
        <v>1014</v>
      </c>
      <c r="AN399" s="292" t="str">
        <f>VLOOKUP(功能_33[[#This Row],[功能代號]],需二審tmp!A:A,1,FALSE)</f>
        <v>L6752</v>
      </c>
      <c r="AO399" s="356">
        <v>44526</v>
      </c>
      <c r="AQ399" s="574" t="str">
        <f t="shared" si="39"/>
        <v>6-7</v>
      </c>
      <c r="AR399" s="576" t="str">
        <f t="shared" si="40"/>
        <v/>
      </c>
      <c r="AS399" s="578" t="str">
        <f t="shared" si="41"/>
        <v/>
      </c>
      <c r="AT399" s="580" t="str">
        <f t="shared" si="42"/>
        <v/>
      </c>
      <c r="AU399" s="582" t="str">
        <f t="shared" si="43"/>
        <v/>
      </c>
      <c r="AV399" s="584" t="str">
        <f t="shared" si="44"/>
        <v/>
      </c>
      <c r="AW399" s="662" t="str">
        <f>IFERROR(VLOOKUP(功能_33[[#This Row],[功能代號]],工作表3!C:C,1,FALSE),"未計SIT測試")</f>
        <v>L6752</v>
      </c>
    </row>
    <row r="400" spans="3:49" ht="13.5" x14ac:dyDescent="0.3">
      <c r="C400" s="292" t="s">
        <v>95</v>
      </c>
      <c r="D400" s="498" t="s">
        <v>2813</v>
      </c>
      <c r="E400" s="291" t="s">
        <v>1122</v>
      </c>
      <c r="F400" s="292" t="s">
        <v>1123</v>
      </c>
      <c r="G400" s="292"/>
      <c r="H400" s="291" t="s">
        <v>136</v>
      </c>
      <c r="I400" s="291" t="s">
        <v>314</v>
      </c>
      <c r="J400" s="225" t="s">
        <v>3238</v>
      </c>
      <c r="K400" s="299">
        <v>44529</v>
      </c>
      <c r="L400" s="299">
        <v>44529</v>
      </c>
      <c r="M400" s="299">
        <v>44533</v>
      </c>
      <c r="N400" s="291" t="s">
        <v>12</v>
      </c>
      <c r="O400" s="291" t="s">
        <v>11</v>
      </c>
      <c r="T400" s="291"/>
      <c r="V400" s="291"/>
      <c r="W400" s="291"/>
      <c r="X400" s="292" t="str">
        <f>VLOOKUP(功能_33[[#This Row],[User]],SKL放款!A:G,7,FALSE)</f>
        <v>放款服務課</v>
      </c>
      <c r="Y400" s="299">
        <v>44533</v>
      </c>
      <c r="Z400" s="299" t="s">
        <v>133</v>
      </c>
      <c r="AA400" s="299" t="s">
        <v>2958</v>
      </c>
      <c r="AB400" s="299">
        <v>44544</v>
      </c>
      <c r="AC400" s="299">
        <v>44544</v>
      </c>
      <c r="AD400" s="299"/>
      <c r="AE400" s="299"/>
      <c r="AF400" s="355"/>
      <c r="AG400" s="299" t="str">
        <f>IFERROR(IF(VLOOKUP(功能_33[[#This Row],[功能代號]],E:Q,11,FALSE)=0,"",VLOOKUP(功能_33[[#This Row],[功能代號]],E:Q,11,FALSE)),"")</f>
        <v>蔡珮瑜</v>
      </c>
      <c r="AH400" s="299"/>
      <c r="AI400" s="299"/>
      <c r="AJ400" s="292"/>
      <c r="AK400" s="299"/>
      <c r="AL400" s="291" t="s">
        <v>190</v>
      </c>
      <c r="AN400" s="292" t="str">
        <f>VLOOKUP(功能_33[[#This Row],[功能代號]],需二審tmp!A:A,1,FALSE)</f>
        <v>L6041</v>
      </c>
      <c r="AQ400" s="574" t="str">
        <f t="shared" si="39"/>
        <v>6-4</v>
      </c>
      <c r="AR400" s="576" t="str">
        <f t="shared" si="40"/>
        <v/>
      </c>
      <c r="AS400" s="578" t="str">
        <f t="shared" si="41"/>
        <v/>
      </c>
      <c r="AT400" s="580" t="str">
        <f t="shared" si="42"/>
        <v/>
      </c>
      <c r="AU400" s="582" t="str">
        <f t="shared" si="43"/>
        <v/>
      </c>
      <c r="AV400" s="584" t="str">
        <f t="shared" si="44"/>
        <v/>
      </c>
      <c r="AW400" s="662" t="str">
        <f>IFERROR(VLOOKUP(功能_33[[#This Row],[功能代號]],工作表3!C:C,1,FALSE),"未計SIT測試")</f>
        <v>L6041</v>
      </c>
    </row>
    <row r="401" spans="1:49" ht="13.5" x14ac:dyDescent="0.3">
      <c r="C401" s="292" t="s">
        <v>95</v>
      </c>
      <c r="D401" s="498" t="s">
        <v>2813</v>
      </c>
      <c r="E401" s="291" t="s">
        <v>1124</v>
      </c>
      <c r="F401" s="292" t="s">
        <v>1125</v>
      </c>
      <c r="G401" s="292"/>
      <c r="H401" s="291" t="s">
        <v>136</v>
      </c>
      <c r="I401" s="291" t="s">
        <v>314</v>
      </c>
      <c r="J401" s="225" t="s">
        <v>3238</v>
      </c>
      <c r="K401" s="299">
        <v>44529</v>
      </c>
      <c r="L401" s="299">
        <v>44520</v>
      </c>
      <c r="M401" s="299">
        <v>44533</v>
      </c>
      <c r="N401" s="291" t="s">
        <v>12</v>
      </c>
      <c r="O401" s="291" t="s">
        <v>172</v>
      </c>
      <c r="T401" s="291"/>
      <c r="V401" s="291"/>
      <c r="W401" s="291"/>
      <c r="X401" s="292" t="str">
        <f>VLOOKUP(功能_33[[#This Row],[User]],SKL放款!A:G,7,FALSE)</f>
        <v>放款服務課</v>
      </c>
      <c r="Y401" s="299">
        <v>44533</v>
      </c>
      <c r="Z401" s="299" t="s">
        <v>133</v>
      </c>
      <c r="AA401" s="299" t="s">
        <v>2958</v>
      </c>
      <c r="AB401" s="299">
        <v>44544</v>
      </c>
      <c r="AC401" s="299" t="s">
        <v>3243</v>
      </c>
      <c r="AD401" s="299"/>
      <c r="AE401" s="299"/>
      <c r="AF401" s="355"/>
      <c r="AG401" s="299" t="str">
        <f>IFERROR(IF(VLOOKUP(功能_33[[#This Row],[功能代號]],E:Q,11,FALSE)=0,"",VLOOKUP(功能_33[[#This Row],[功能代號]],E:Q,11,FALSE)),"")</f>
        <v>陳政皓</v>
      </c>
      <c r="AH401" s="299"/>
      <c r="AI401" s="299"/>
      <c r="AJ401" s="292"/>
      <c r="AK401" s="299"/>
      <c r="AL401" s="291" t="s">
        <v>190</v>
      </c>
      <c r="AN401" s="292" t="str">
        <f>VLOOKUP(功能_33[[#This Row],[功能代號]],需二審tmp!A:A,1,FALSE)</f>
        <v>L6401</v>
      </c>
      <c r="AQ401" s="574" t="str">
        <f t="shared" si="39"/>
        <v>6-4</v>
      </c>
      <c r="AR401" s="576" t="str">
        <f t="shared" si="40"/>
        <v/>
      </c>
      <c r="AS401" s="578" t="str">
        <f t="shared" si="41"/>
        <v/>
      </c>
      <c r="AT401" s="580" t="str">
        <f t="shared" si="42"/>
        <v/>
      </c>
      <c r="AU401" s="582" t="str">
        <f t="shared" si="43"/>
        <v/>
      </c>
      <c r="AV401" s="584" t="str">
        <f t="shared" si="44"/>
        <v/>
      </c>
      <c r="AW401" s="662" t="str">
        <f>IFERROR(VLOOKUP(功能_33[[#This Row],[功能代號]],工作表3!C:C,1,FALSE),"未計SIT測試")</f>
        <v>L6401</v>
      </c>
    </row>
    <row r="402" spans="1:49" ht="13.5" x14ac:dyDescent="0.3">
      <c r="A402" s="634"/>
      <c r="B402" s="423"/>
      <c r="C402" s="292" t="s">
        <v>95</v>
      </c>
      <c r="D402" s="498" t="s">
        <v>2813</v>
      </c>
      <c r="E402" s="291" t="s">
        <v>3231</v>
      </c>
      <c r="F402" s="292" t="s">
        <v>3232</v>
      </c>
      <c r="G402" s="281" t="s">
        <v>3233</v>
      </c>
      <c r="H402" s="291" t="s">
        <v>136</v>
      </c>
      <c r="I402" s="291" t="s">
        <v>314</v>
      </c>
      <c r="J402" s="225" t="s">
        <v>3234</v>
      </c>
      <c r="K402" s="299">
        <v>44529</v>
      </c>
      <c r="L402" s="299">
        <v>44520</v>
      </c>
      <c r="M402" s="299">
        <v>44533</v>
      </c>
      <c r="N402" s="291" t="s">
        <v>12</v>
      </c>
      <c r="O402" s="291" t="s">
        <v>172</v>
      </c>
      <c r="T402" s="291"/>
      <c r="V402" s="291"/>
      <c r="W402" s="291"/>
      <c r="X402" s="423" t="str">
        <f>VLOOKUP(功能_33[[#This Row],[User]],SKL放款!A:G,7,FALSE)</f>
        <v>放款服務課</v>
      </c>
      <c r="Y402" s="299">
        <v>44533</v>
      </c>
      <c r="Z402" s="299" t="s">
        <v>2791</v>
      </c>
      <c r="AA402" s="299" t="s">
        <v>2958</v>
      </c>
      <c r="AB402" s="299">
        <v>44544</v>
      </c>
      <c r="AC402" s="299">
        <v>44550</v>
      </c>
      <c r="AD402" s="283"/>
      <c r="AE402" s="283"/>
      <c r="AF402" s="283"/>
      <c r="AG402" s="283" t="str">
        <f>IFERROR(IF(VLOOKUP(功能_33[[#This Row],[功能代號]],E:Q,11,FALSE)=0,"",VLOOKUP(功能_33[[#This Row],[功能代號]],E:Q,11,FALSE)),"")</f>
        <v>陳政皓</v>
      </c>
      <c r="AH402" s="283"/>
      <c r="AI402" s="283"/>
      <c r="AJ402" s="423"/>
      <c r="AL402" s="291" t="s">
        <v>190</v>
      </c>
      <c r="AM402" s="423" t="e">
        <f>VLOOKUP(功能_33[[#This Row],[功能代號]],'[4]20211001'!$A:$J,9,FALSE)</f>
        <v>#N/A</v>
      </c>
      <c r="AN402" s="423" t="e">
        <f>VLOOKUP(功能_33[[#This Row],[功能代號]],需二審tmp!A:A,1,FALSE)</f>
        <v>#N/A</v>
      </c>
      <c r="AQ402" s="635" t="str">
        <f>IF(COUNTA(AC402)=1,LEFT(D402,3),"")</f>
        <v>6-4</v>
      </c>
      <c r="AR402" s="576" t="str">
        <f>IF(AND(COUNTA(L402)=1,COUNTA(M402)=1,COUNTA(Y402)=1,COUNTA(AB402)=1,COUNTA(AC402)=0),LEFT(D402,3),"")</f>
        <v/>
      </c>
      <c r="AS402" s="578" t="str">
        <f>IF(AND(COUNTA(L402)=1,COUNTA(M402)=1,COUNTA(Y402)=1,COUNTA(AB402)=0,COUNTA(AC402)=0),LEFT(D402,3),"")</f>
        <v/>
      </c>
      <c r="AT402" s="580" t="str">
        <f>IF(AND(COUNTA(M402)=0,COUNTA(Y402)=1),LEFT(D402,3),"")</f>
        <v/>
      </c>
      <c r="AU402" s="582" t="str">
        <f>IF(AND(COUNTA(M402)=1,COUNTA(Y402)=0),LEFT(D402,3),"")</f>
        <v/>
      </c>
      <c r="AV402" s="584" t="str">
        <f>IF(AND(COUNTA(M402)=0,COUNTA(Y402)=0),LEFT(D402,3),"")</f>
        <v/>
      </c>
      <c r="AW402" s="662" t="str">
        <f>IFERROR(VLOOKUP(功能_33[[#This Row],[功能代號]],工作表3!C:C,1,FALSE),"未計SIT測試")</f>
        <v>L6943</v>
      </c>
    </row>
    <row r="403" spans="1:49" ht="13.5" x14ac:dyDescent="0.3">
      <c r="C403" s="292" t="s">
        <v>95</v>
      </c>
      <c r="D403" s="498" t="s">
        <v>2810</v>
      </c>
      <c r="E403" s="291" t="s">
        <v>1126</v>
      </c>
      <c r="F403" s="292" t="s">
        <v>1127</v>
      </c>
      <c r="G403" s="292"/>
      <c r="H403" s="291" t="s">
        <v>136</v>
      </c>
      <c r="I403" s="291" t="s">
        <v>314</v>
      </c>
      <c r="J403" s="225" t="s">
        <v>3234</v>
      </c>
      <c r="K403" s="299">
        <v>44529</v>
      </c>
      <c r="L403" s="299">
        <v>44529</v>
      </c>
      <c r="M403" s="299">
        <v>44533</v>
      </c>
      <c r="N403" s="291" t="s">
        <v>12</v>
      </c>
      <c r="O403" s="291" t="s">
        <v>172</v>
      </c>
      <c r="T403" s="291"/>
      <c r="V403" s="291"/>
      <c r="W403" s="291"/>
      <c r="X403" s="292" t="str">
        <f>VLOOKUP(功能_33[[#This Row],[User]],SKL放款!A:G,7,FALSE)</f>
        <v>放款服務課</v>
      </c>
      <c r="Y403" s="299">
        <v>44533</v>
      </c>
      <c r="Z403" s="299" t="s">
        <v>2926</v>
      </c>
      <c r="AA403" s="299">
        <v>44533</v>
      </c>
      <c r="AB403" s="299">
        <v>44533</v>
      </c>
      <c r="AC403" s="299">
        <v>44550</v>
      </c>
      <c r="AD403" s="299"/>
      <c r="AE403" s="299"/>
      <c r="AF403" s="355"/>
      <c r="AG403" s="299" t="str">
        <f>IFERROR(IF(VLOOKUP(功能_33[[#This Row],[功能代號]],E:Q,11,FALSE)=0,"",VLOOKUP(功能_33[[#This Row],[功能代號]],E:Q,11,FALSE)),"")</f>
        <v>陳政皓</v>
      </c>
      <c r="AH403" s="299"/>
      <c r="AI403" s="299"/>
      <c r="AJ403" s="292"/>
      <c r="AK403" s="299"/>
      <c r="AL403" s="291" t="s">
        <v>190</v>
      </c>
      <c r="AN403" s="292" t="e">
        <f>VLOOKUP(功能_33[[#This Row],[功能代號]],需二審tmp!A:A,1,FALSE)</f>
        <v>#N/A</v>
      </c>
      <c r="AQ403" s="574" t="str">
        <f t="shared" si="39"/>
        <v>6-1</v>
      </c>
      <c r="AR403" s="576" t="str">
        <f t="shared" si="40"/>
        <v/>
      </c>
      <c r="AS403" s="578" t="str">
        <f t="shared" si="41"/>
        <v/>
      </c>
      <c r="AT403" s="580" t="str">
        <f t="shared" si="42"/>
        <v/>
      </c>
      <c r="AU403" s="582" t="str">
        <f t="shared" si="43"/>
        <v/>
      </c>
      <c r="AV403" s="584" t="str">
        <f t="shared" si="44"/>
        <v/>
      </c>
      <c r="AW403" s="662" t="str">
        <f>IFERROR(VLOOKUP(功能_33[[#This Row],[功能代號]],工作表3!C:C,1,FALSE),"未計SIT測試")</f>
        <v>L6104</v>
      </c>
    </row>
    <row r="404" spans="1:49" ht="13.5" x14ac:dyDescent="0.3">
      <c r="C404" s="292" t="s">
        <v>95</v>
      </c>
      <c r="D404" s="498" t="s">
        <v>2813</v>
      </c>
      <c r="E404" s="291" t="s">
        <v>1128</v>
      </c>
      <c r="F404" s="292" t="s">
        <v>1129</v>
      </c>
      <c r="G404" s="292"/>
      <c r="H404" s="291" t="s">
        <v>136</v>
      </c>
      <c r="I404" s="291" t="s">
        <v>314</v>
      </c>
      <c r="J404" s="225" t="s">
        <v>417</v>
      </c>
      <c r="K404" s="299">
        <v>44529</v>
      </c>
      <c r="L404" s="299">
        <v>44529</v>
      </c>
      <c r="M404" s="299">
        <v>44533</v>
      </c>
      <c r="N404" s="291" t="s">
        <v>12</v>
      </c>
      <c r="O404" s="291" t="s">
        <v>11</v>
      </c>
      <c r="T404" s="291"/>
      <c r="V404" s="291"/>
      <c r="W404" s="291"/>
      <c r="X404" s="292" t="str">
        <f>VLOOKUP(功能_33[[#This Row],[User]],SKL放款!A:G,7,FALSE)</f>
        <v>放款服務課</v>
      </c>
      <c r="Y404" s="299">
        <v>44533</v>
      </c>
      <c r="Z404" s="299" t="s">
        <v>2926</v>
      </c>
      <c r="AA404" s="299" t="s">
        <v>2958</v>
      </c>
      <c r="AB404" s="299">
        <v>44544</v>
      </c>
      <c r="AC404" s="299" t="s">
        <v>3243</v>
      </c>
      <c r="AD404" s="299"/>
      <c r="AE404" s="299"/>
      <c r="AF404" s="355"/>
      <c r="AG404" s="299" t="str">
        <f>IFERROR(IF(VLOOKUP(功能_33[[#This Row],[功能代號]],E:Q,11,FALSE)=0,"",VLOOKUP(功能_33[[#This Row],[功能代號]],E:Q,11,FALSE)),"")</f>
        <v>蔡珮瑜</v>
      </c>
      <c r="AH404" s="299"/>
      <c r="AI404" s="299"/>
      <c r="AJ404" s="292"/>
      <c r="AK404" s="299"/>
      <c r="AL404" s="291" t="s">
        <v>190</v>
      </c>
      <c r="AN404" s="292" t="e">
        <f>VLOOKUP(功能_33[[#This Row],[功能代號]],需二審tmp!A:A,1,FALSE)</f>
        <v>#N/A</v>
      </c>
      <c r="AQ404" s="574" t="str">
        <f t="shared" si="39"/>
        <v>6-4</v>
      </c>
      <c r="AR404" s="576" t="str">
        <f t="shared" si="40"/>
        <v/>
      </c>
      <c r="AS404" s="578" t="str">
        <f t="shared" si="41"/>
        <v/>
      </c>
      <c r="AT404" s="580" t="str">
        <f t="shared" si="42"/>
        <v/>
      </c>
      <c r="AU404" s="582" t="str">
        <f t="shared" si="43"/>
        <v/>
      </c>
      <c r="AV404" s="584" t="str">
        <f t="shared" si="44"/>
        <v/>
      </c>
      <c r="AW404" s="662" t="str">
        <f>IFERROR(VLOOKUP(功能_33[[#This Row],[功能代號]],工作表3!C:C,1,FALSE),"未計SIT測試")</f>
        <v>L6044</v>
      </c>
    </row>
    <row r="405" spans="1:49" ht="13.5" x14ac:dyDescent="0.3">
      <c r="C405" s="292" t="s">
        <v>95</v>
      </c>
      <c r="D405" s="498" t="s">
        <v>2813</v>
      </c>
      <c r="E405" s="291" t="s">
        <v>1130</v>
      </c>
      <c r="F405" s="292" t="s">
        <v>1131</v>
      </c>
      <c r="G405" s="292"/>
      <c r="H405" s="291" t="s">
        <v>193</v>
      </c>
      <c r="I405" s="291" t="s">
        <v>314</v>
      </c>
      <c r="J405" s="225" t="s">
        <v>417</v>
      </c>
      <c r="K405" s="299">
        <v>44529</v>
      </c>
      <c r="L405" s="299">
        <v>44529</v>
      </c>
      <c r="M405" s="299">
        <v>44538</v>
      </c>
      <c r="N405" s="291" t="s">
        <v>12</v>
      </c>
      <c r="O405" s="291" t="s">
        <v>172</v>
      </c>
      <c r="T405" s="291"/>
      <c r="V405" s="291"/>
      <c r="W405" s="291"/>
      <c r="X405" s="292" t="str">
        <f>VLOOKUP(功能_33[[#This Row],[User]],SKL放款!A:G,7,FALSE)</f>
        <v>放款服務課</v>
      </c>
      <c r="Y405" s="299">
        <v>44533</v>
      </c>
      <c r="Z405" s="299" t="s">
        <v>133</v>
      </c>
      <c r="AA405" s="299" t="s">
        <v>2958</v>
      </c>
      <c r="AB405" s="299">
        <v>44544</v>
      </c>
      <c r="AC405" s="299">
        <v>44544</v>
      </c>
      <c r="AD405" s="299"/>
      <c r="AE405" s="299"/>
      <c r="AF405" s="355"/>
      <c r="AG405" s="299" t="str">
        <f>IFERROR(IF(VLOOKUP(功能_33[[#This Row],[功能代號]],E:Q,11,FALSE)=0,"",VLOOKUP(功能_33[[#This Row],[功能代號]],E:Q,11,FALSE)),"")</f>
        <v>陳政皓</v>
      </c>
      <c r="AH405" s="299"/>
      <c r="AI405" s="299"/>
      <c r="AJ405" s="292"/>
      <c r="AK405" s="299"/>
      <c r="AL405" s="291" t="s">
        <v>190</v>
      </c>
      <c r="AN405" s="292" t="e">
        <f>VLOOKUP(功能_33[[#This Row],[功能代號]],需二審tmp!A:A,1,FALSE)</f>
        <v>#N/A</v>
      </c>
      <c r="AQ405" s="574" t="str">
        <f t="shared" si="39"/>
        <v>6-4</v>
      </c>
      <c r="AR405" s="576" t="str">
        <f t="shared" si="40"/>
        <v/>
      </c>
      <c r="AS405" s="578" t="str">
        <f t="shared" si="41"/>
        <v/>
      </c>
      <c r="AT405" s="580" t="str">
        <f t="shared" si="42"/>
        <v/>
      </c>
      <c r="AU405" s="582" t="str">
        <f t="shared" si="43"/>
        <v/>
      </c>
      <c r="AV405" s="584" t="str">
        <f t="shared" si="44"/>
        <v/>
      </c>
      <c r="AW405" s="662" t="str">
        <f>IFERROR(VLOOKUP(功能_33[[#This Row],[功能代號]],工作表3!C:C,1,FALSE),"未計SIT測試")</f>
        <v>L6932</v>
      </c>
    </row>
    <row r="406" spans="1:49" ht="13.5" x14ac:dyDescent="0.3">
      <c r="A406" s="634"/>
      <c r="B406" s="423"/>
      <c r="C406" s="292" t="s">
        <v>95</v>
      </c>
      <c r="D406" s="498" t="s">
        <v>2813</v>
      </c>
      <c r="E406" s="291" t="s">
        <v>3184</v>
      </c>
      <c r="F406" s="292" t="s">
        <v>3186</v>
      </c>
      <c r="G406" s="292" t="s">
        <v>3188</v>
      </c>
      <c r="H406" s="291" t="s">
        <v>193</v>
      </c>
      <c r="I406" s="291" t="s">
        <v>314</v>
      </c>
      <c r="J406" s="225" t="s">
        <v>417</v>
      </c>
      <c r="K406" s="299">
        <v>44529</v>
      </c>
      <c r="L406" s="299">
        <v>44529</v>
      </c>
      <c r="M406" s="299">
        <v>44538</v>
      </c>
      <c r="N406" s="291" t="s">
        <v>12</v>
      </c>
      <c r="O406" s="291" t="s">
        <v>172</v>
      </c>
      <c r="Q406" s="299">
        <v>44533</v>
      </c>
      <c r="R406" s="299" t="s">
        <v>133</v>
      </c>
      <c r="S406" s="299" t="s">
        <v>2958</v>
      </c>
      <c r="T406" s="299">
        <v>44544</v>
      </c>
      <c r="U406" s="299">
        <v>44544</v>
      </c>
      <c r="V406" s="291" t="s">
        <v>190</v>
      </c>
      <c r="X406" s="292" t="e">
        <v>#N/A</v>
      </c>
      <c r="Y406" s="299">
        <v>44544</v>
      </c>
      <c r="Z406" s="299" t="s">
        <v>2926</v>
      </c>
      <c r="AA406" s="299" t="s">
        <v>2958</v>
      </c>
      <c r="AB406" s="299">
        <v>44544</v>
      </c>
      <c r="AC406" s="299">
        <v>44544</v>
      </c>
      <c r="AD406" s="283"/>
      <c r="AE406" s="283"/>
      <c r="AF406" s="283"/>
      <c r="AG406" s="283" t="str">
        <f>IFERROR(IF(VLOOKUP(功能_33[[#This Row],[功能代號]],E:Q,11,FALSE)=0,"",VLOOKUP(功能_33[[#This Row],[功能代號]],E:Q,11,FALSE)),"")</f>
        <v>陳政皓</v>
      </c>
      <c r="AH406" s="283"/>
      <c r="AI406" s="283"/>
      <c r="AJ406" s="423"/>
      <c r="AL406" s="291" t="s">
        <v>190</v>
      </c>
      <c r="AM406" s="423"/>
      <c r="AN406" s="423" t="e">
        <f>VLOOKUP(功能_33[[#This Row],[功能代號]],需二審tmp!A:A,1,FALSE)</f>
        <v>#N/A</v>
      </c>
      <c r="AQ406" s="635" t="str">
        <f t="shared" si="39"/>
        <v>6-4</v>
      </c>
      <c r="AR406" s="576" t="str">
        <f t="shared" si="40"/>
        <v/>
      </c>
      <c r="AS406" s="578" t="str">
        <f t="shared" si="41"/>
        <v/>
      </c>
      <c r="AT406" s="580" t="str">
        <f t="shared" si="42"/>
        <v/>
      </c>
      <c r="AU406" s="582" t="str">
        <f t="shared" si="43"/>
        <v/>
      </c>
      <c r="AV406" s="584" t="str">
        <f t="shared" si="44"/>
        <v/>
      </c>
      <c r="AW406" s="662" t="str">
        <f>IFERROR(VLOOKUP(功能_33[[#This Row],[功能代號]],工作表3!C:C,1,FALSE),"未計SIT測試")</f>
        <v>L6933</v>
      </c>
    </row>
    <row r="407" spans="1:49" ht="13.5" x14ac:dyDescent="0.3">
      <c r="A407" s="634"/>
      <c r="B407" s="423"/>
      <c r="C407" s="292" t="s">
        <v>95</v>
      </c>
      <c r="D407" s="498" t="s">
        <v>2813</v>
      </c>
      <c r="E407" s="291" t="s">
        <v>3185</v>
      </c>
      <c r="F407" s="292" t="s">
        <v>3187</v>
      </c>
      <c r="G407" s="292" t="s">
        <v>3188</v>
      </c>
      <c r="H407" s="291" t="s">
        <v>193</v>
      </c>
      <c r="I407" s="291" t="s">
        <v>314</v>
      </c>
      <c r="J407" s="225" t="s">
        <v>3238</v>
      </c>
      <c r="K407" s="299">
        <v>44529</v>
      </c>
      <c r="L407" s="299">
        <v>44529</v>
      </c>
      <c r="M407" s="299">
        <v>44538</v>
      </c>
      <c r="N407" s="291" t="s">
        <v>12</v>
      </c>
      <c r="O407" s="291" t="s">
        <v>172</v>
      </c>
      <c r="Q407" s="299">
        <v>44533</v>
      </c>
      <c r="R407" s="299" t="s">
        <v>133</v>
      </c>
      <c r="S407" s="299" t="s">
        <v>2958</v>
      </c>
      <c r="T407" s="299">
        <v>44544</v>
      </c>
      <c r="U407" s="299">
        <v>44544</v>
      </c>
      <c r="V407" s="291" t="s">
        <v>190</v>
      </c>
      <c r="X407" s="292" t="e">
        <v>#N/A</v>
      </c>
      <c r="Y407" s="299">
        <v>44544</v>
      </c>
      <c r="Z407" s="299" t="s">
        <v>2926</v>
      </c>
      <c r="AA407" s="299" t="s">
        <v>2958</v>
      </c>
      <c r="AB407" s="299">
        <v>44544</v>
      </c>
      <c r="AC407" s="299">
        <v>44544</v>
      </c>
      <c r="AD407" s="283"/>
      <c r="AE407" s="283"/>
      <c r="AF407" s="283"/>
      <c r="AG407" s="283" t="str">
        <f>IFERROR(IF(VLOOKUP(功能_33[[#This Row],[功能代號]],E:Q,11,FALSE)=0,"",VLOOKUP(功能_33[[#This Row],[功能代號]],E:Q,11,FALSE)),"")</f>
        <v>陳政皓</v>
      </c>
      <c r="AH407" s="283"/>
      <c r="AI407" s="283"/>
      <c r="AJ407" s="423"/>
      <c r="AL407" s="291" t="s">
        <v>190</v>
      </c>
      <c r="AM407" s="423"/>
      <c r="AN407" s="423" t="e">
        <f>VLOOKUP(功能_33[[#This Row],[功能代號]],需二審tmp!A:A,1,FALSE)</f>
        <v>#N/A</v>
      </c>
      <c r="AQ407" s="635" t="str">
        <f t="shared" si="39"/>
        <v>6-4</v>
      </c>
      <c r="AR407" s="576" t="str">
        <f t="shared" si="40"/>
        <v/>
      </c>
      <c r="AS407" s="578" t="str">
        <f t="shared" si="41"/>
        <v/>
      </c>
      <c r="AT407" s="580" t="str">
        <f t="shared" si="42"/>
        <v/>
      </c>
      <c r="AU407" s="582" t="str">
        <f t="shared" si="43"/>
        <v/>
      </c>
      <c r="AV407" s="584" t="str">
        <f t="shared" si="44"/>
        <v/>
      </c>
      <c r="AW407" s="662" t="str">
        <f>IFERROR(VLOOKUP(功能_33[[#This Row],[功能代號]],工作表3!C:C,1,FALSE),"未計SIT測試")</f>
        <v>L6934</v>
      </c>
    </row>
    <row r="408" spans="1:49" ht="13.5" x14ac:dyDescent="0.3">
      <c r="C408" s="292" t="s">
        <v>95</v>
      </c>
      <c r="D408" s="498" t="s">
        <v>2816</v>
      </c>
      <c r="E408" s="291" t="s">
        <v>1042</v>
      </c>
      <c r="F408" s="292" t="s">
        <v>1043</v>
      </c>
      <c r="G408" s="292"/>
      <c r="H408" s="291" t="s">
        <v>193</v>
      </c>
      <c r="I408" s="291" t="s">
        <v>314</v>
      </c>
      <c r="J408" s="225" t="s">
        <v>3234</v>
      </c>
      <c r="K408" s="299">
        <v>44398</v>
      </c>
      <c r="L408" s="299">
        <v>44398</v>
      </c>
      <c r="M408" s="299">
        <v>44402</v>
      </c>
      <c r="N408" s="291" t="s">
        <v>12</v>
      </c>
      <c r="O408" s="291" t="s">
        <v>172</v>
      </c>
      <c r="T408" s="291"/>
      <c r="V408" s="291"/>
      <c r="W408" s="291"/>
      <c r="X408" s="292" t="str">
        <f>VLOOKUP(功能_33[[#This Row],[User]],SKL放款!A:G,7,FALSE)</f>
        <v>放款服務課</v>
      </c>
      <c r="Y408" s="299">
        <v>44402</v>
      </c>
      <c r="Z408" s="299" t="s">
        <v>133</v>
      </c>
      <c r="AA408" s="282">
        <v>44544</v>
      </c>
      <c r="AB408" s="282">
        <v>44544</v>
      </c>
      <c r="AC408" s="299">
        <v>44550</v>
      </c>
      <c r="AD408" s="299"/>
      <c r="AE408" s="299"/>
      <c r="AF408" s="355"/>
      <c r="AG408" s="299" t="str">
        <f>IFERROR(IF(VLOOKUP(功能_33[[#This Row],[功能代號]],E:Q,11,FALSE)=0,"",VLOOKUP(功能_33[[#This Row],[功能代號]],E:Q,11,FALSE)),"")</f>
        <v>陳政皓</v>
      </c>
      <c r="AH408" s="299"/>
      <c r="AI408" s="299"/>
      <c r="AJ408" s="292"/>
      <c r="AK408" s="299">
        <v>44398</v>
      </c>
      <c r="AL408" s="291" t="s">
        <v>190</v>
      </c>
      <c r="AN408" s="292" t="str">
        <f>VLOOKUP(功能_33[[#This Row],[功能代號]],需二審tmp!A:A,1,FALSE)</f>
        <v>L6754</v>
      </c>
      <c r="AO408" s="356">
        <v>44526</v>
      </c>
      <c r="AQ408" s="574" t="str">
        <f t="shared" si="39"/>
        <v>6-7</v>
      </c>
      <c r="AR408" s="576" t="str">
        <f t="shared" si="40"/>
        <v/>
      </c>
      <c r="AS408" s="578" t="str">
        <f t="shared" si="41"/>
        <v/>
      </c>
      <c r="AT408" s="580" t="str">
        <f t="shared" si="42"/>
        <v/>
      </c>
      <c r="AU408" s="582" t="str">
        <f t="shared" si="43"/>
        <v/>
      </c>
      <c r="AV408" s="584" t="str">
        <f t="shared" si="44"/>
        <v/>
      </c>
      <c r="AW408" s="662" t="str">
        <f>IFERROR(VLOOKUP(功能_33[[#This Row],[功能代號]],工作表3!C:C,1,FALSE),"未計SIT測試")</f>
        <v>L6754</v>
      </c>
    </row>
    <row r="409" spans="1:49" ht="13.5" x14ac:dyDescent="0.3">
      <c r="C409" s="292" t="s">
        <v>95</v>
      </c>
      <c r="D409" s="292" t="s">
        <v>2816</v>
      </c>
      <c r="E409" s="291" t="s">
        <v>538</v>
      </c>
      <c r="F409" s="292" t="s">
        <v>539</v>
      </c>
      <c r="G409" s="292"/>
      <c r="H409" s="291" t="s">
        <v>193</v>
      </c>
      <c r="I409" s="291" t="s">
        <v>314</v>
      </c>
      <c r="J409" s="225" t="s">
        <v>3234</v>
      </c>
      <c r="K409" s="299">
        <v>44515</v>
      </c>
      <c r="L409" s="299">
        <v>44466</v>
      </c>
      <c r="M409" s="299">
        <f>IFERROR(IF(VLOOKUP(功能_33[[#This Row],[功能代號]],討論項目!A:H,8,FALSE)=0,"",VLOOKUP(功能_33[[#This Row],[功能代號]],討論項目!A:H,8,FALSE)),"")</f>
        <v>44475</v>
      </c>
      <c r="N409" s="291" t="s">
        <v>12</v>
      </c>
      <c r="O409" s="291" t="s">
        <v>13</v>
      </c>
      <c r="P409" s="270" t="s">
        <v>535</v>
      </c>
      <c r="T409" s="291"/>
      <c r="V409" s="291"/>
      <c r="W409" s="291"/>
      <c r="X409" s="292" t="str">
        <f>VLOOKUP(功能_33[[#This Row],[User]],SKL放款!A:G,7,FALSE)</f>
        <v>放款推展課</v>
      </c>
      <c r="Y409" s="299">
        <v>44533</v>
      </c>
      <c r="Z409" s="299">
        <v>44533</v>
      </c>
      <c r="AA409" s="299">
        <v>44533</v>
      </c>
      <c r="AB409" s="299">
        <v>44533</v>
      </c>
      <c r="AC409" s="299">
        <v>44550</v>
      </c>
      <c r="AD409" s="299"/>
      <c r="AE409" s="299"/>
      <c r="AF409" s="355"/>
      <c r="AG409" s="299" t="str">
        <f>IFERROR(IF(VLOOKUP(功能_33[[#This Row],[功能代號]],E:Q,11,FALSE)=0,"",VLOOKUP(功能_33[[#This Row],[功能代號]],E:Q,11,FALSE)),"")</f>
        <v>李珮君</v>
      </c>
      <c r="AH409" s="299"/>
      <c r="AI409" s="299"/>
      <c r="AJ409" s="292"/>
      <c r="AK409" s="299"/>
      <c r="AL409" s="303" t="s">
        <v>536</v>
      </c>
      <c r="AM409" s="304" t="s">
        <v>537</v>
      </c>
      <c r="AN409" s="292" t="str">
        <f>VLOOKUP(功能_33[[#This Row],[功能代號]],需二審tmp!A:A,1,FALSE)</f>
        <v>L6755</v>
      </c>
      <c r="AO409" s="356">
        <v>44526</v>
      </c>
      <c r="AQ409" s="574" t="str">
        <f t="shared" si="39"/>
        <v>6-7</v>
      </c>
      <c r="AR409" s="576" t="str">
        <f t="shared" si="40"/>
        <v/>
      </c>
      <c r="AS409" s="578" t="str">
        <f t="shared" si="41"/>
        <v/>
      </c>
      <c r="AT409" s="580" t="str">
        <f t="shared" si="42"/>
        <v/>
      </c>
      <c r="AU409" s="582" t="str">
        <f t="shared" si="43"/>
        <v/>
      </c>
      <c r="AV409" s="584" t="str">
        <f t="shared" si="44"/>
        <v/>
      </c>
      <c r="AW409" s="662" t="str">
        <f>IFERROR(VLOOKUP(功能_33[[#This Row],[功能代號]],工作表3!C:C,1,FALSE),"未計SIT測試")</f>
        <v>L6755</v>
      </c>
    </row>
    <row r="410" spans="1:49" ht="13.5" x14ac:dyDescent="0.3">
      <c r="C410" s="292" t="s">
        <v>95</v>
      </c>
      <c r="D410" s="292" t="s">
        <v>2810</v>
      </c>
      <c r="E410" s="291" t="s">
        <v>1115</v>
      </c>
      <c r="F410" s="292" t="s">
        <v>1116</v>
      </c>
      <c r="G410" s="292"/>
      <c r="H410" s="291" t="s">
        <v>193</v>
      </c>
      <c r="I410" s="291" t="s">
        <v>314</v>
      </c>
      <c r="J410" s="225" t="s">
        <v>3234</v>
      </c>
      <c r="K410" s="299">
        <v>44529</v>
      </c>
      <c r="L410" s="299">
        <v>44533</v>
      </c>
      <c r="M410" s="299">
        <v>44533</v>
      </c>
      <c r="N410" s="291" t="s">
        <v>12</v>
      </c>
      <c r="O410" s="291" t="s">
        <v>172</v>
      </c>
      <c r="T410" s="291"/>
      <c r="V410" s="291"/>
      <c r="W410" s="291"/>
      <c r="X410" s="292" t="str">
        <f>VLOOKUP(功能_33[[#This Row],[User]],SKL放款!A:G,7,FALSE)</f>
        <v>放款服務課</v>
      </c>
      <c r="Y410" s="299">
        <v>44533</v>
      </c>
      <c r="Z410" s="299" t="s">
        <v>2926</v>
      </c>
      <c r="AA410" s="299">
        <v>44533</v>
      </c>
      <c r="AB410" s="299">
        <v>44533</v>
      </c>
      <c r="AC410" s="299">
        <v>44550</v>
      </c>
      <c r="AD410" s="299"/>
      <c r="AE410" s="299"/>
      <c r="AF410" s="355"/>
      <c r="AG410" s="299" t="str">
        <f>IFERROR(IF(VLOOKUP(功能_33[[#This Row],[功能代號]],E:Q,11,FALSE)=0,"",VLOOKUP(功能_33[[#This Row],[功能代號]],E:Q,11,FALSE)),"")</f>
        <v>陳政皓</v>
      </c>
      <c r="AH410" s="299"/>
      <c r="AI410" s="299"/>
      <c r="AJ410" s="292"/>
      <c r="AK410" s="299"/>
      <c r="AL410" s="291" t="s">
        <v>190</v>
      </c>
      <c r="AN410" s="292" t="e">
        <f>VLOOKUP(功能_33[[#This Row],[功能代號]],需二審tmp!A:A,1,FALSE)</f>
        <v>#N/A</v>
      </c>
      <c r="AQ410" s="574" t="str">
        <f t="shared" ref="AQ410:AQ458" si="45">IF(COUNTA(AC410)=1,LEFT(D410,3),"")</f>
        <v>6-1</v>
      </c>
      <c r="AR410" s="576" t="str">
        <f t="shared" ref="AR410:AR458" si="46">IF(AND(COUNTA(L410)=1,COUNTA(M410)=1,COUNTA(Y410)=1,COUNTA(AB410)=1,COUNTA(AC410)=0),LEFT(D410,3),"")</f>
        <v/>
      </c>
      <c r="AS410" s="578" t="str">
        <f t="shared" ref="AS410:AS458" si="47">IF(AND(COUNTA(L410)=1,COUNTA(M410)=1,COUNTA(Y410)=1,COUNTA(AB410)=0,COUNTA(AC410)=0),LEFT(D410,3),"")</f>
        <v/>
      </c>
      <c r="AT410" s="580" t="str">
        <f t="shared" ref="AT410:AT458" si="48">IF(AND(COUNTA(M410)=0,COUNTA(Y410)=1),LEFT(D410,3),"")</f>
        <v/>
      </c>
      <c r="AU410" s="582" t="str">
        <f t="shared" ref="AU410:AU458" si="49">IF(AND(COUNTA(M410)=1,COUNTA(Y410)=0),LEFT(D410,3),"")</f>
        <v/>
      </c>
      <c r="AV410" s="584" t="str">
        <f t="shared" ref="AV410:AV458" si="50">IF(AND(COUNTA(M410)=0,COUNTA(Y410)=0),LEFT(D410,3),"")</f>
        <v/>
      </c>
      <c r="AW410" s="662" t="str">
        <f>IFERROR(VLOOKUP(功能_33[[#This Row],[功能代號]],工作表3!C:C,1,FALSE),"未計SIT測試")</f>
        <v>L6103</v>
      </c>
    </row>
    <row r="411" spans="1:49" ht="13.5" x14ac:dyDescent="0.3">
      <c r="C411" s="292" t="s">
        <v>97</v>
      </c>
      <c r="D411" s="292" t="s">
        <v>2827</v>
      </c>
      <c r="E411" s="291" t="s">
        <v>1132</v>
      </c>
      <c r="F411" s="292" t="s">
        <v>1133</v>
      </c>
      <c r="G411" s="292" t="s">
        <v>1134</v>
      </c>
      <c r="H411" s="291" t="s">
        <v>136</v>
      </c>
      <c r="I411" s="291" t="s">
        <v>137</v>
      </c>
      <c r="J411" s="298" t="s">
        <v>3181</v>
      </c>
      <c r="K411" s="299">
        <v>44515</v>
      </c>
      <c r="L411" s="299">
        <v>44517</v>
      </c>
      <c r="M411" s="299">
        <v>44533</v>
      </c>
      <c r="N411" s="291" t="s">
        <v>7</v>
      </c>
      <c r="O411" s="291" t="s">
        <v>25</v>
      </c>
      <c r="T411" s="291"/>
      <c r="V411" s="291"/>
      <c r="W411" s="291"/>
      <c r="X411" s="292" t="str">
        <f>VLOOKUP(功能_33[[#This Row],[User]],SKL放款!A:G,7,FALSE)</f>
        <v>放款管理課</v>
      </c>
      <c r="Y411" s="299">
        <v>44533</v>
      </c>
      <c r="Z411" s="299" t="s">
        <v>133</v>
      </c>
      <c r="AA411" s="299">
        <v>44540</v>
      </c>
      <c r="AB411" s="299">
        <v>44540</v>
      </c>
      <c r="AC411" s="299">
        <v>44545</v>
      </c>
      <c r="AD411" s="299"/>
      <c r="AE411" s="299"/>
      <c r="AF411" s="355"/>
      <c r="AG411" s="299" t="str">
        <f>IFERROR(IF(VLOOKUP(功能_33[[#This Row],[功能代號]],E:Q,11,FALSE)=0,"",VLOOKUP(功能_33[[#This Row],[功能代號]],E:Q,11,FALSE)),"")</f>
        <v>邱怡婷</v>
      </c>
      <c r="AH411" s="299"/>
      <c r="AI411" s="299"/>
      <c r="AJ411" s="292"/>
      <c r="AL411" s="291" t="s">
        <v>3054</v>
      </c>
      <c r="AM411" s="292" t="s">
        <v>3169</v>
      </c>
      <c r="AN411" s="292" t="str">
        <f>VLOOKUP(功能_33[[#This Row],[功能代號]],需二審tmp!A:A,1,FALSE)</f>
        <v>L8030</v>
      </c>
      <c r="AO411" s="356">
        <v>44533</v>
      </c>
      <c r="AQ411" s="574" t="str">
        <f t="shared" si="45"/>
        <v>8-3</v>
      </c>
      <c r="AR411" s="576" t="str">
        <f t="shared" si="46"/>
        <v/>
      </c>
      <c r="AS411" s="578" t="str">
        <f t="shared" si="47"/>
        <v/>
      </c>
      <c r="AT411" s="580" t="str">
        <f t="shared" si="48"/>
        <v/>
      </c>
      <c r="AU411" s="582" t="str">
        <f t="shared" si="49"/>
        <v/>
      </c>
      <c r="AV411" s="584" t="str">
        <f t="shared" si="50"/>
        <v/>
      </c>
      <c r="AW411" s="662" t="str">
        <f>IFERROR(VLOOKUP(功能_33[[#This Row],[功能代號]],工作表3!C:C,1,FALSE),"未計SIT測試")</f>
        <v>未計SIT測試</v>
      </c>
    </row>
    <row r="412" spans="1:49" ht="13.5" x14ac:dyDescent="0.3">
      <c r="C412" s="292" t="s">
        <v>97</v>
      </c>
      <c r="D412" s="292" t="s">
        <v>2827</v>
      </c>
      <c r="E412" s="291" t="s">
        <v>1135</v>
      </c>
      <c r="F412" s="292" t="s">
        <v>1136</v>
      </c>
      <c r="G412" s="292" t="s">
        <v>1134</v>
      </c>
      <c r="H412" s="291" t="s">
        <v>136</v>
      </c>
      <c r="I412" s="291" t="s">
        <v>137</v>
      </c>
      <c r="J412" s="298" t="s">
        <v>3181</v>
      </c>
      <c r="K412" s="299">
        <v>44515</v>
      </c>
      <c r="L412" s="299">
        <v>44517</v>
      </c>
      <c r="M412" s="299">
        <v>44536</v>
      </c>
      <c r="N412" s="291" t="s">
        <v>7</v>
      </c>
      <c r="O412" s="291" t="s">
        <v>25</v>
      </c>
      <c r="T412" s="291"/>
      <c r="V412" s="291"/>
      <c r="W412" s="291"/>
      <c r="X412" s="292" t="str">
        <f>VLOOKUP(功能_33[[#This Row],[User]],SKL放款!A:G,7,FALSE)</f>
        <v>放款管理課</v>
      </c>
      <c r="Y412" s="299">
        <v>44533</v>
      </c>
      <c r="Z412" s="299" t="s">
        <v>195</v>
      </c>
      <c r="AA412" s="299">
        <v>44540</v>
      </c>
      <c r="AB412" s="299">
        <v>44540</v>
      </c>
      <c r="AC412" s="299">
        <v>44545</v>
      </c>
      <c r="AD412" s="299"/>
      <c r="AE412" s="299"/>
      <c r="AF412" s="355"/>
      <c r="AG412" s="299" t="str">
        <f>IFERROR(IF(VLOOKUP(功能_33[[#This Row],[功能代號]],E:Q,11,FALSE)=0,"",VLOOKUP(功能_33[[#This Row],[功能代號]],E:Q,11,FALSE)),"")</f>
        <v>邱怡婷</v>
      </c>
      <c r="AH412" s="299"/>
      <c r="AI412" s="299"/>
      <c r="AJ412" s="292"/>
      <c r="AL412" s="291" t="s">
        <v>2976</v>
      </c>
      <c r="AN412" s="292" t="e">
        <f>VLOOKUP(功能_33[[#This Row],[功能代號]],需二審tmp!A:A,1,FALSE)</f>
        <v>#N/A</v>
      </c>
      <c r="AO412" s="356">
        <v>44533</v>
      </c>
      <c r="AQ412" s="574" t="str">
        <f t="shared" si="45"/>
        <v>8-3</v>
      </c>
      <c r="AR412" s="576" t="str">
        <f t="shared" si="46"/>
        <v/>
      </c>
      <c r="AS412" s="578" t="str">
        <f t="shared" si="47"/>
        <v/>
      </c>
      <c r="AT412" s="580" t="str">
        <f t="shared" si="48"/>
        <v/>
      </c>
      <c r="AU412" s="582" t="str">
        <f t="shared" si="49"/>
        <v/>
      </c>
      <c r="AV412" s="584" t="str">
        <f t="shared" si="50"/>
        <v/>
      </c>
      <c r="AW412" s="662" t="str">
        <f>IFERROR(VLOOKUP(功能_33[[#This Row],[功能代號]],工作表3!C:C,1,FALSE),"未計SIT測試")</f>
        <v>未計SIT測試</v>
      </c>
    </row>
    <row r="413" spans="1:49" ht="13.5" x14ac:dyDescent="0.3">
      <c r="C413" s="292" t="s">
        <v>97</v>
      </c>
      <c r="D413" s="292" t="s">
        <v>2827</v>
      </c>
      <c r="E413" s="291" t="s">
        <v>1137</v>
      </c>
      <c r="F413" s="292" t="s">
        <v>1138</v>
      </c>
      <c r="G413" s="292" t="s">
        <v>1134</v>
      </c>
      <c r="H413" s="291" t="s">
        <v>136</v>
      </c>
      <c r="I413" s="291" t="s">
        <v>137</v>
      </c>
      <c r="J413" s="298" t="s">
        <v>3181</v>
      </c>
      <c r="K413" s="299">
        <v>44515</v>
      </c>
      <c r="L413" s="299">
        <v>44517</v>
      </c>
      <c r="M413" s="299">
        <v>44533</v>
      </c>
      <c r="N413" s="291" t="s">
        <v>7</v>
      </c>
      <c r="O413" s="291" t="s">
        <v>25</v>
      </c>
      <c r="T413" s="291"/>
      <c r="V413" s="291"/>
      <c r="W413" s="291"/>
      <c r="X413" s="292" t="str">
        <f>VLOOKUP(功能_33[[#This Row],[User]],SKL放款!A:G,7,FALSE)</f>
        <v>放款管理課</v>
      </c>
      <c r="Y413" s="299">
        <v>44533</v>
      </c>
      <c r="Z413" s="299" t="s">
        <v>133</v>
      </c>
      <c r="AA413" s="299">
        <v>44540</v>
      </c>
      <c r="AB413" s="299">
        <v>44540</v>
      </c>
      <c r="AC413" s="299">
        <v>44545</v>
      </c>
      <c r="AD413" s="299"/>
      <c r="AE413" s="299"/>
      <c r="AF413" s="355"/>
      <c r="AG413" s="299" t="str">
        <f>IFERROR(IF(VLOOKUP(功能_33[[#This Row],[功能代號]],E:Q,11,FALSE)=0,"",VLOOKUP(功能_33[[#This Row],[功能代號]],E:Q,11,FALSE)),"")</f>
        <v>邱怡婷</v>
      </c>
      <c r="AH413" s="299"/>
      <c r="AI413" s="299"/>
      <c r="AJ413" s="292"/>
      <c r="AL413" s="291" t="s">
        <v>2976</v>
      </c>
      <c r="AN413" s="292" t="str">
        <f>VLOOKUP(功能_33[[#This Row],[功能代號]],需二審tmp!A:A,1,FALSE)</f>
        <v>L8032</v>
      </c>
      <c r="AO413" s="356">
        <v>44533</v>
      </c>
      <c r="AQ413" s="574" t="str">
        <f t="shared" si="45"/>
        <v>8-3</v>
      </c>
      <c r="AR413" s="576" t="str">
        <f t="shared" si="46"/>
        <v/>
      </c>
      <c r="AS413" s="578" t="str">
        <f t="shared" si="47"/>
        <v/>
      </c>
      <c r="AT413" s="580" t="str">
        <f t="shared" si="48"/>
        <v/>
      </c>
      <c r="AU413" s="582" t="str">
        <f t="shared" si="49"/>
        <v/>
      </c>
      <c r="AV413" s="584" t="str">
        <f t="shared" si="50"/>
        <v/>
      </c>
      <c r="AW413" s="662" t="str">
        <f>IFERROR(VLOOKUP(功能_33[[#This Row],[功能代號]],工作表3!C:C,1,FALSE),"未計SIT測試")</f>
        <v>未計SIT測試</v>
      </c>
    </row>
    <row r="414" spans="1:49" ht="13.5" x14ac:dyDescent="0.3">
      <c r="C414" s="292" t="s">
        <v>97</v>
      </c>
      <c r="D414" s="292" t="s">
        <v>2827</v>
      </c>
      <c r="E414" s="291" t="s">
        <v>1139</v>
      </c>
      <c r="F414" s="292" t="s">
        <v>1140</v>
      </c>
      <c r="G414" s="292" t="s">
        <v>1134</v>
      </c>
      <c r="H414" s="291" t="s">
        <v>136</v>
      </c>
      <c r="I414" s="291" t="s">
        <v>137</v>
      </c>
      <c r="J414" s="298" t="s">
        <v>3181</v>
      </c>
      <c r="K414" s="299">
        <v>44515</v>
      </c>
      <c r="L414" s="299">
        <v>44517</v>
      </c>
      <c r="M414" s="299">
        <v>44536</v>
      </c>
      <c r="N414" s="291" t="s">
        <v>7</v>
      </c>
      <c r="O414" s="291" t="s">
        <v>25</v>
      </c>
      <c r="T414" s="291"/>
      <c r="V414" s="291"/>
      <c r="W414" s="291"/>
      <c r="X414" s="292" t="str">
        <f>VLOOKUP(功能_33[[#This Row],[User]],SKL放款!A:G,7,FALSE)</f>
        <v>放款管理課</v>
      </c>
      <c r="Y414" s="299">
        <v>44533</v>
      </c>
      <c r="Z414" s="299" t="s">
        <v>195</v>
      </c>
      <c r="AA414" s="299">
        <v>44540</v>
      </c>
      <c r="AB414" s="299">
        <v>44540</v>
      </c>
      <c r="AC414" s="299">
        <v>44545</v>
      </c>
      <c r="AD414" s="299"/>
      <c r="AE414" s="299"/>
      <c r="AF414" s="355"/>
      <c r="AG414" s="299" t="str">
        <f>IFERROR(IF(VLOOKUP(功能_33[[#This Row],[功能代號]],E:Q,11,FALSE)=0,"",VLOOKUP(功能_33[[#This Row],[功能代號]],E:Q,11,FALSE)),"")</f>
        <v>邱怡婷</v>
      </c>
      <c r="AH414" s="299"/>
      <c r="AI414" s="299"/>
      <c r="AJ414" s="292"/>
      <c r="AL414" s="291" t="s">
        <v>2976</v>
      </c>
      <c r="AN414" s="292" t="e">
        <f>VLOOKUP(功能_33[[#This Row],[功能代號]],需二審tmp!A:A,1,FALSE)</f>
        <v>#N/A</v>
      </c>
      <c r="AO414" s="356">
        <v>44533</v>
      </c>
      <c r="AQ414" s="574" t="str">
        <f t="shared" si="45"/>
        <v>8-3</v>
      </c>
      <c r="AR414" s="576" t="str">
        <f t="shared" si="46"/>
        <v/>
      </c>
      <c r="AS414" s="578" t="str">
        <f t="shared" si="47"/>
        <v/>
      </c>
      <c r="AT414" s="580" t="str">
        <f t="shared" si="48"/>
        <v/>
      </c>
      <c r="AU414" s="582" t="str">
        <f t="shared" si="49"/>
        <v/>
      </c>
      <c r="AV414" s="584" t="str">
        <f t="shared" si="50"/>
        <v/>
      </c>
      <c r="AW414" s="662" t="str">
        <f>IFERROR(VLOOKUP(功能_33[[#This Row],[功能代號]],工作表3!C:C,1,FALSE),"未計SIT測試")</f>
        <v>未計SIT測試</v>
      </c>
    </row>
    <row r="415" spans="1:49" ht="13.5" x14ac:dyDescent="0.3">
      <c r="C415" s="292" t="s">
        <v>97</v>
      </c>
      <c r="D415" s="292" t="s">
        <v>2827</v>
      </c>
      <c r="E415" s="291" t="s">
        <v>1141</v>
      </c>
      <c r="F415" s="292" t="s">
        <v>1142</v>
      </c>
      <c r="G415" s="292" t="s">
        <v>1134</v>
      </c>
      <c r="H415" s="291" t="s">
        <v>136</v>
      </c>
      <c r="I415" s="291" t="s">
        <v>137</v>
      </c>
      <c r="J415" s="298" t="s">
        <v>3181</v>
      </c>
      <c r="K415" s="299">
        <v>44515</v>
      </c>
      <c r="L415" s="299">
        <v>44517</v>
      </c>
      <c r="M415" s="299">
        <v>44536</v>
      </c>
      <c r="N415" s="291" t="s">
        <v>7</v>
      </c>
      <c r="O415" s="291" t="s">
        <v>25</v>
      </c>
      <c r="T415" s="291"/>
      <c r="V415" s="291"/>
      <c r="W415" s="291"/>
      <c r="X415" s="292" t="str">
        <f>VLOOKUP(功能_33[[#This Row],[User]],SKL放款!A:G,7,FALSE)</f>
        <v>放款管理課</v>
      </c>
      <c r="Y415" s="299">
        <v>44533</v>
      </c>
      <c r="Z415" s="299" t="s">
        <v>195</v>
      </c>
      <c r="AA415" s="299">
        <v>44540</v>
      </c>
      <c r="AB415" s="299">
        <v>44540</v>
      </c>
      <c r="AC415" s="299">
        <v>44545</v>
      </c>
      <c r="AD415" s="299"/>
      <c r="AE415" s="299"/>
      <c r="AF415" s="355"/>
      <c r="AG415" s="299" t="str">
        <f>IFERROR(IF(VLOOKUP(功能_33[[#This Row],[功能代號]],E:Q,11,FALSE)=0,"",VLOOKUP(功能_33[[#This Row],[功能代號]],E:Q,11,FALSE)),"")</f>
        <v>邱怡婷</v>
      </c>
      <c r="AH415" s="299"/>
      <c r="AI415" s="299"/>
      <c r="AJ415" s="292"/>
      <c r="AL415" s="291" t="s">
        <v>2976</v>
      </c>
      <c r="AN415" s="292" t="e">
        <f>VLOOKUP(功能_33[[#This Row],[功能代號]],需二審tmp!A:A,1,FALSE)</f>
        <v>#N/A</v>
      </c>
      <c r="AO415" s="356">
        <v>44533</v>
      </c>
      <c r="AQ415" s="574" t="str">
        <f t="shared" si="45"/>
        <v>8-3</v>
      </c>
      <c r="AR415" s="576" t="str">
        <f t="shared" si="46"/>
        <v/>
      </c>
      <c r="AS415" s="578" t="str">
        <f t="shared" si="47"/>
        <v/>
      </c>
      <c r="AT415" s="580" t="str">
        <f t="shared" si="48"/>
        <v/>
      </c>
      <c r="AU415" s="582" t="str">
        <f t="shared" si="49"/>
        <v/>
      </c>
      <c r="AV415" s="584" t="str">
        <f t="shared" si="50"/>
        <v/>
      </c>
      <c r="AW415" s="662" t="str">
        <f>IFERROR(VLOOKUP(功能_33[[#This Row],[功能代號]],工作表3!C:C,1,FALSE),"未計SIT測試")</f>
        <v>未計SIT測試</v>
      </c>
    </row>
    <row r="416" spans="1:49" ht="13.5" x14ac:dyDescent="0.3">
      <c r="C416" s="292" t="s">
        <v>97</v>
      </c>
      <c r="D416" s="292" t="s">
        <v>2827</v>
      </c>
      <c r="E416" s="291" t="s">
        <v>1143</v>
      </c>
      <c r="F416" s="292" t="s">
        <v>1144</v>
      </c>
      <c r="G416" s="292" t="s">
        <v>1134</v>
      </c>
      <c r="H416" s="291" t="s">
        <v>136</v>
      </c>
      <c r="I416" s="291" t="s">
        <v>137</v>
      </c>
      <c r="J416" s="298" t="s">
        <v>3181</v>
      </c>
      <c r="K416" s="299">
        <v>44515</v>
      </c>
      <c r="L416" s="299">
        <v>44517</v>
      </c>
      <c r="M416" s="299">
        <v>44536</v>
      </c>
      <c r="N416" s="291" t="s">
        <v>7</v>
      </c>
      <c r="O416" s="291" t="s">
        <v>25</v>
      </c>
      <c r="T416" s="291"/>
      <c r="V416" s="291"/>
      <c r="W416" s="291"/>
      <c r="X416" s="292" t="str">
        <f>VLOOKUP(功能_33[[#This Row],[User]],SKL放款!A:G,7,FALSE)</f>
        <v>放款管理課</v>
      </c>
      <c r="Y416" s="299">
        <v>44533</v>
      </c>
      <c r="Z416" s="299" t="s">
        <v>195</v>
      </c>
      <c r="AA416" s="299">
        <v>44540</v>
      </c>
      <c r="AB416" s="299">
        <v>44540</v>
      </c>
      <c r="AC416" s="299">
        <v>44545</v>
      </c>
      <c r="AD416" s="299"/>
      <c r="AE416" s="299"/>
      <c r="AF416" s="355"/>
      <c r="AG416" s="299" t="str">
        <f>IFERROR(IF(VLOOKUP(功能_33[[#This Row],[功能代號]],E:Q,11,FALSE)=0,"",VLOOKUP(功能_33[[#This Row],[功能代號]],E:Q,11,FALSE)),"")</f>
        <v>邱怡婷</v>
      </c>
      <c r="AH416" s="299"/>
      <c r="AI416" s="299"/>
      <c r="AJ416" s="292"/>
      <c r="AL416" s="291" t="s">
        <v>2976</v>
      </c>
      <c r="AN416" s="292" t="e">
        <f>VLOOKUP(功能_33[[#This Row],[功能代號]],需二審tmp!A:A,1,FALSE)</f>
        <v>#N/A</v>
      </c>
      <c r="AO416" s="356">
        <v>44533</v>
      </c>
      <c r="AQ416" s="574" t="str">
        <f t="shared" si="45"/>
        <v>8-3</v>
      </c>
      <c r="AR416" s="576" t="str">
        <f t="shared" si="46"/>
        <v/>
      </c>
      <c r="AS416" s="578" t="str">
        <f t="shared" si="47"/>
        <v/>
      </c>
      <c r="AT416" s="580" t="str">
        <f t="shared" si="48"/>
        <v/>
      </c>
      <c r="AU416" s="582" t="str">
        <f t="shared" si="49"/>
        <v/>
      </c>
      <c r="AV416" s="584" t="str">
        <f t="shared" si="50"/>
        <v/>
      </c>
      <c r="AW416" s="662" t="str">
        <f>IFERROR(VLOOKUP(功能_33[[#This Row],[功能代號]],工作表3!C:C,1,FALSE),"未計SIT測試")</f>
        <v>未計SIT測試</v>
      </c>
    </row>
    <row r="417" spans="3:49" ht="13.5" x14ac:dyDescent="0.3">
      <c r="C417" s="292" t="s">
        <v>97</v>
      </c>
      <c r="D417" s="292" t="s">
        <v>2827</v>
      </c>
      <c r="E417" s="291" t="s">
        <v>1145</v>
      </c>
      <c r="F417" s="292" t="s">
        <v>1146</v>
      </c>
      <c r="G417" s="292" t="s">
        <v>1134</v>
      </c>
      <c r="H417" s="291" t="s">
        <v>136</v>
      </c>
      <c r="I417" s="291" t="s">
        <v>137</v>
      </c>
      <c r="J417" s="298" t="s">
        <v>3181</v>
      </c>
      <c r="K417" s="299">
        <v>44515</v>
      </c>
      <c r="L417" s="299">
        <v>44517</v>
      </c>
      <c r="M417" s="299">
        <v>44536</v>
      </c>
      <c r="N417" s="291" t="s">
        <v>7</v>
      </c>
      <c r="O417" s="291" t="s">
        <v>25</v>
      </c>
      <c r="T417" s="291"/>
      <c r="V417" s="291"/>
      <c r="W417" s="291"/>
      <c r="X417" s="292" t="str">
        <f>VLOOKUP(功能_33[[#This Row],[User]],SKL放款!A:G,7,FALSE)</f>
        <v>放款管理課</v>
      </c>
      <c r="Y417" s="299">
        <v>44533</v>
      </c>
      <c r="Z417" s="299" t="s">
        <v>195</v>
      </c>
      <c r="AA417" s="299">
        <v>44540</v>
      </c>
      <c r="AB417" s="299">
        <v>44540</v>
      </c>
      <c r="AC417" s="299">
        <v>44545</v>
      </c>
      <c r="AD417" s="299"/>
      <c r="AE417" s="299"/>
      <c r="AF417" s="355"/>
      <c r="AG417" s="299" t="str">
        <f>IFERROR(IF(VLOOKUP(功能_33[[#This Row],[功能代號]],E:Q,11,FALSE)=0,"",VLOOKUP(功能_33[[#This Row],[功能代號]],E:Q,11,FALSE)),"")</f>
        <v>邱怡婷</v>
      </c>
      <c r="AH417" s="299"/>
      <c r="AI417" s="299"/>
      <c r="AJ417" s="292"/>
      <c r="AL417" s="291" t="s">
        <v>2976</v>
      </c>
      <c r="AN417" s="292" t="e">
        <f>VLOOKUP(功能_33[[#This Row],[功能代號]],需二審tmp!A:A,1,FALSE)</f>
        <v>#N/A</v>
      </c>
      <c r="AO417" s="356">
        <v>44533</v>
      </c>
      <c r="AQ417" s="574" t="str">
        <f t="shared" si="45"/>
        <v>8-3</v>
      </c>
      <c r="AR417" s="576" t="str">
        <f t="shared" si="46"/>
        <v/>
      </c>
      <c r="AS417" s="578" t="str">
        <f t="shared" si="47"/>
        <v/>
      </c>
      <c r="AT417" s="580" t="str">
        <f t="shared" si="48"/>
        <v/>
      </c>
      <c r="AU417" s="582" t="str">
        <f t="shared" si="49"/>
        <v/>
      </c>
      <c r="AV417" s="584" t="str">
        <f t="shared" si="50"/>
        <v/>
      </c>
      <c r="AW417" s="662" t="str">
        <f>IFERROR(VLOOKUP(功能_33[[#This Row],[功能代號]],工作表3!C:C,1,FALSE),"未計SIT測試")</f>
        <v>未計SIT測試</v>
      </c>
    </row>
    <row r="418" spans="3:49" ht="13.5" x14ac:dyDescent="0.3">
      <c r="C418" s="292" t="s">
        <v>97</v>
      </c>
      <c r="D418" s="292" t="s">
        <v>2827</v>
      </c>
      <c r="E418" s="291" t="s">
        <v>1147</v>
      </c>
      <c r="F418" s="292" t="s">
        <v>1148</v>
      </c>
      <c r="G418" s="292" t="s">
        <v>1134</v>
      </c>
      <c r="H418" s="291" t="s">
        <v>136</v>
      </c>
      <c r="I418" s="291" t="s">
        <v>137</v>
      </c>
      <c r="J418" s="298" t="s">
        <v>3181</v>
      </c>
      <c r="K418" s="299">
        <v>44515</v>
      </c>
      <c r="L418" s="299">
        <v>44517</v>
      </c>
      <c r="M418" s="299">
        <v>44536</v>
      </c>
      <c r="N418" s="291" t="s">
        <v>7</v>
      </c>
      <c r="O418" s="291" t="s">
        <v>25</v>
      </c>
      <c r="T418" s="291"/>
      <c r="V418" s="291"/>
      <c r="W418" s="291"/>
      <c r="X418" s="292" t="str">
        <f>VLOOKUP(功能_33[[#This Row],[User]],SKL放款!A:G,7,FALSE)</f>
        <v>放款管理課</v>
      </c>
      <c r="Y418" s="299">
        <v>44533</v>
      </c>
      <c r="Z418" s="299" t="s">
        <v>195</v>
      </c>
      <c r="AA418" s="299">
        <v>44540</v>
      </c>
      <c r="AB418" s="299">
        <v>44540</v>
      </c>
      <c r="AC418" s="299">
        <v>44545</v>
      </c>
      <c r="AD418" s="299"/>
      <c r="AE418" s="299"/>
      <c r="AF418" s="355"/>
      <c r="AG418" s="299" t="str">
        <f>IFERROR(IF(VLOOKUP(功能_33[[#This Row],[功能代號]],E:Q,11,FALSE)=0,"",VLOOKUP(功能_33[[#This Row],[功能代號]],E:Q,11,FALSE)),"")</f>
        <v>邱怡婷</v>
      </c>
      <c r="AH418" s="299"/>
      <c r="AI418" s="299"/>
      <c r="AJ418" s="292"/>
      <c r="AL418" s="291" t="s">
        <v>2976</v>
      </c>
      <c r="AN418" s="292" t="e">
        <f>VLOOKUP(功能_33[[#This Row],[功能代號]],需二審tmp!A:A,1,FALSE)</f>
        <v>#N/A</v>
      </c>
      <c r="AO418" s="356">
        <v>44533</v>
      </c>
      <c r="AQ418" s="574" t="str">
        <f t="shared" si="45"/>
        <v>8-3</v>
      </c>
      <c r="AR418" s="576" t="str">
        <f t="shared" si="46"/>
        <v/>
      </c>
      <c r="AS418" s="578" t="str">
        <f t="shared" si="47"/>
        <v/>
      </c>
      <c r="AT418" s="580" t="str">
        <f t="shared" si="48"/>
        <v/>
      </c>
      <c r="AU418" s="582" t="str">
        <f t="shared" si="49"/>
        <v/>
      </c>
      <c r="AV418" s="584" t="str">
        <f t="shared" si="50"/>
        <v/>
      </c>
      <c r="AW418" s="662" t="str">
        <f>IFERROR(VLOOKUP(功能_33[[#This Row],[功能代號]],工作表3!C:C,1,FALSE),"未計SIT測試")</f>
        <v>未計SIT測試</v>
      </c>
    </row>
    <row r="419" spans="3:49" ht="13.5" x14ac:dyDescent="0.3">
      <c r="C419" s="292" t="s">
        <v>97</v>
      </c>
      <c r="D419" s="292" t="s">
        <v>2827</v>
      </c>
      <c r="E419" s="291" t="s">
        <v>1149</v>
      </c>
      <c r="F419" s="292" t="s">
        <v>1150</v>
      </c>
      <c r="G419" s="292" t="s">
        <v>1134</v>
      </c>
      <c r="H419" s="291" t="s">
        <v>136</v>
      </c>
      <c r="I419" s="291" t="s">
        <v>137</v>
      </c>
      <c r="J419" s="298" t="s">
        <v>3181</v>
      </c>
      <c r="K419" s="299">
        <v>44515</v>
      </c>
      <c r="L419" s="299">
        <v>44517</v>
      </c>
      <c r="M419" s="299">
        <v>44533</v>
      </c>
      <c r="N419" s="291" t="s">
        <v>7</v>
      </c>
      <c r="O419" s="291" t="s">
        <v>25</v>
      </c>
      <c r="T419" s="291"/>
      <c r="V419" s="291"/>
      <c r="W419" s="291"/>
      <c r="X419" s="292" t="str">
        <f>VLOOKUP(功能_33[[#This Row],[User]],SKL放款!A:G,7,FALSE)</f>
        <v>放款管理課</v>
      </c>
      <c r="Y419" s="299">
        <v>44533</v>
      </c>
      <c r="Z419" s="299" t="s">
        <v>133</v>
      </c>
      <c r="AA419" s="299">
        <v>44540</v>
      </c>
      <c r="AB419" s="299">
        <v>44540</v>
      </c>
      <c r="AC419" s="299">
        <v>44545</v>
      </c>
      <c r="AD419" s="299"/>
      <c r="AE419" s="299"/>
      <c r="AF419" s="355"/>
      <c r="AG419" s="299" t="str">
        <f>IFERROR(IF(VLOOKUP(功能_33[[#This Row],[功能代號]],E:Q,11,FALSE)=0,"",VLOOKUP(功能_33[[#This Row],[功能代號]],E:Q,11,FALSE)),"")</f>
        <v>邱怡婷</v>
      </c>
      <c r="AH419" s="299"/>
      <c r="AI419" s="299"/>
      <c r="AJ419" s="292"/>
      <c r="AL419" s="291" t="s">
        <v>2976</v>
      </c>
      <c r="AN419" s="292" t="str">
        <f>VLOOKUP(功能_33[[#This Row],[功能代號]],需二審tmp!A:A,1,FALSE)</f>
        <v>L8038</v>
      </c>
      <c r="AO419" s="356">
        <v>44533</v>
      </c>
      <c r="AQ419" s="574" t="str">
        <f t="shared" si="45"/>
        <v>8-3</v>
      </c>
      <c r="AR419" s="576" t="str">
        <f t="shared" si="46"/>
        <v/>
      </c>
      <c r="AS419" s="578" t="str">
        <f t="shared" si="47"/>
        <v/>
      </c>
      <c r="AT419" s="580" t="str">
        <f t="shared" si="48"/>
        <v/>
      </c>
      <c r="AU419" s="582" t="str">
        <f t="shared" si="49"/>
        <v/>
      </c>
      <c r="AV419" s="584" t="str">
        <f t="shared" si="50"/>
        <v/>
      </c>
      <c r="AW419" s="662" t="str">
        <f>IFERROR(VLOOKUP(功能_33[[#This Row],[功能代號]],工作表3!C:C,1,FALSE),"未計SIT測試")</f>
        <v>未計SIT測試</v>
      </c>
    </row>
    <row r="420" spans="3:49" ht="13.5" x14ac:dyDescent="0.3">
      <c r="C420" s="292" t="s">
        <v>97</v>
      </c>
      <c r="D420" s="292" t="s">
        <v>2827</v>
      </c>
      <c r="E420" s="291" t="s">
        <v>1151</v>
      </c>
      <c r="F420" s="292" t="s">
        <v>1152</v>
      </c>
      <c r="G420" s="292" t="s">
        <v>1134</v>
      </c>
      <c r="H420" s="291" t="s">
        <v>136</v>
      </c>
      <c r="I420" s="291" t="s">
        <v>137</v>
      </c>
      <c r="J420" s="298" t="s">
        <v>3181</v>
      </c>
      <c r="K420" s="299">
        <v>44515</v>
      </c>
      <c r="L420" s="299">
        <v>44517</v>
      </c>
      <c r="M420" s="299">
        <v>44533</v>
      </c>
      <c r="N420" s="291" t="s">
        <v>7</v>
      </c>
      <c r="O420" s="291" t="s">
        <v>25</v>
      </c>
      <c r="T420" s="291"/>
      <c r="V420" s="291"/>
      <c r="W420" s="291"/>
      <c r="X420" s="292" t="str">
        <f>VLOOKUP(功能_33[[#This Row],[User]],SKL放款!A:G,7,FALSE)</f>
        <v>放款管理課</v>
      </c>
      <c r="Y420" s="299">
        <v>44533</v>
      </c>
      <c r="Z420" s="299" t="s">
        <v>133</v>
      </c>
      <c r="AA420" s="299">
        <v>44540</v>
      </c>
      <c r="AB420" s="299">
        <v>44540</v>
      </c>
      <c r="AC420" s="299">
        <v>44545</v>
      </c>
      <c r="AD420" s="299"/>
      <c r="AE420" s="299"/>
      <c r="AF420" s="355"/>
      <c r="AG420" s="299" t="str">
        <f>IFERROR(IF(VLOOKUP(功能_33[[#This Row],[功能代號]],E:Q,11,FALSE)=0,"",VLOOKUP(功能_33[[#This Row],[功能代號]],E:Q,11,FALSE)),"")</f>
        <v>邱怡婷</v>
      </c>
      <c r="AH420" s="299"/>
      <c r="AI420" s="299"/>
      <c r="AJ420" s="292"/>
      <c r="AL420" s="291" t="s">
        <v>2976</v>
      </c>
      <c r="AN420" s="292" t="str">
        <f>VLOOKUP(功能_33[[#This Row],[功能代號]],需二審tmp!A:A,1,FALSE)</f>
        <v>L8039</v>
      </c>
      <c r="AO420" s="356">
        <v>44533</v>
      </c>
      <c r="AQ420" s="574" t="str">
        <f t="shared" si="45"/>
        <v>8-3</v>
      </c>
      <c r="AR420" s="576" t="str">
        <f t="shared" si="46"/>
        <v/>
      </c>
      <c r="AS420" s="578" t="str">
        <f t="shared" si="47"/>
        <v/>
      </c>
      <c r="AT420" s="580" t="str">
        <f t="shared" si="48"/>
        <v/>
      </c>
      <c r="AU420" s="582" t="str">
        <f t="shared" si="49"/>
        <v/>
      </c>
      <c r="AV420" s="584" t="str">
        <f t="shared" si="50"/>
        <v/>
      </c>
      <c r="AW420" s="662" t="str">
        <f>IFERROR(VLOOKUP(功能_33[[#This Row],[功能代號]],工作表3!C:C,1,FALSE),"未計SIT測試")</f>
        <v>未計SIT測試</v>
      </c>
    </row>
    <row r="421" spans="3:49" ht="13.5" x14ac:dyDescent="0.3">
      <c r="C421" s="292" t="s">
        <v>97</v>
      </c>
      <c r="D421" s="292" t="s">
        <v>2827</v>
      </c>
      <c r="E421" s="291" t="s">
        <v>1153</v>
      </c>
      <c r="F421" s="292" t="s">
        <v>1154</v>
      </c>
      <c r="G421" s="292" t="s">
        <v>1134</v>
      </c>
      <c r="H421" s="291" t="s">
        <v>136</v>
      </c>
      <c r="I421" s="291" t="s">
        <v>137</v>
      </c>
      <c r="J421" s="298" t="s">
        <v>3181</v>
      </c>
      <c r="K421" s="299">
        <v>44515</v>
      </c>
      <c r="L421" s="299">
        <v>44517</v>
      </c>
      <c r="M421" s="299">
        <v>44536</v>
      </c>
      <c r="N421" s="291" t="s">
        <v>7</v>
      </c>
      <c r="O421" s="291" t="s">
        <v>25</v>
      </c>
      <c r="T421" s="291"/>
      <c r="V421" s="291"/>
      <c r="W421" s="291"/>
      <c r="X421" s="292" t="str">
        <f>VLOOKUP(功能_33[[#This Row],[User]],SKL放款!A:G,7,FALSE)</f>
        <v>放款管理課</v>
      </c>
      <c r="Y421" s="299">
        <v>44533</v>
      </c>
      <c r="Z421" s="299" t="s">
        <v>195</v>
      </c>
      <c r="AA421" s="299">
        <v>44540</v>
      </c>
      <c r="AB421" s="299">
        <v>44540</v>
      </c>
      <c r="AC421" s="299">
        <v>44545</v>
      </c>
      <c r="AD421" s="299"/>
      <c r="AE421" s="299"/>
      <c r="AF421" s="355"/>
      <c r="AG421" s="299" t="str">
        <f>IFERROR(IF(VLOOKUP(功能_33[[#This Row],[功能代號]],E:Q,11,FALSE)=0,"",VLOOKUP(功能_33[[#This Row],[功能代號]],E:Q,11,FALSE)),"")</f>
        <v>邱怡婷</v>
      </c>
      <c r="AH421" s="299"/>
      <c r="AI421" s="299"/>
      <c r="AJ421" s="292"/>
      <c r="AL421" s="291" t="s">
        <v>2976</v>
      </c>
      <c r="AN421" s="292" t="e">
        <f>VLOOKUP(功能_33[[#This Row],[功能代號]],需二審tmp!A:A,1,FALSE)</f>
        <v>#N/A</v>
      </c>
      <c r="AO421" s="356">
        <v>44533</v>
      </c>
      <c r="AQ421" s="574" t="str">
        <f t="shared" si="45"/>
        <v>8-3</v>
      </c>
      <c r="AR421" s="576" t="str">
        <f t="shared" si="46"/>
        <v/>
      </c>
      <c r="AS421" s="578" t="str">
        <f t="shared" si="47"/>
        <v/>
      </c>
      <c r="AT421" s="580" t="str">
        <f t="shared" si="48"/>
        <v/>
      </c>
      <c r="AU421" s="582" t="str">
        <f t="shared" si="49"/>
        <v/>
      </c>
      <c r="AV421" s="584" t="str">
        <f t="shared" si="50"/>
        <v/>
      </c>
      <c r="AW421" s="662" t="str">
        <f>IFERROR(VLOOKUP(功能_33[[#This Row],[功能代號]],工作表3!C:C,1,FALSE),"未計SIT測試")</f>
        <v>未計SIT測試</v>
      </c>
    </row>
    <row r="422" spans="3:49" ht="13.5" x14ac:dyDescent="0.3">
      <c r="C422" s="292" t="s">
        <v>97</v>
      </c>
      <c r="D422" s="292" t="s">
        <v>2827</v>
      </c>
      <c r="E422" s="291" t="s">
        <v>1155</v>
      </c>
      <c r="F422" s="292" t="s">
        <v>1156</v>
      </c>
      <c r="G422" s="292" t="s">
        <v>1134</v>
      </c>
      <c r="H422" s="291" t="s">
        <v>136</v>
      </c>
      <c r="I422" s="291" t="s">
        <v>137</v>
      </c>
      <c r="J422" s="298" t="s">
        <v>3181</v>
      </c>
      <c r="K422" s="299">
        <v>44516</v>
      </c>
      <c r="L422" s="299">
        <v>44517</v>
      </c>
      <c r="M422" s="299">
        <v>44536</v>
      </c>
      <c r="N422" s="291" t="s">
        <v>7</v>
      </c>
      <c r="O422" s="291" t="s">
        <v>25</v>
      </c>
      <c r="T422" s="291"/>
      <c r="V422" s="291"/>
      <c r="W422" s="291"/>
      <c r="X422" s="292" t="str">
        <f>VLOOKUP(功能_33[[#This Row],[User]],SKL放款!A:G,7,FALSE)</f>
        <v>放款管理課</v>
      </c>
      <c r="Y422" s="299">
        <v>44533</v>
      </c>
      <c r="Z422" s="299" t="s">
        <v>195</v>
      </c>
      <c r="AA422" s="299">
        <v>44540</v>
      </c>
      <c r="AB422" s="299">
        <v>44540</v>
      </c>
      <c r="AC422" s="299">
        <v>44545</v>
      </c>
      <c r="AD422" s="299"/>
      <c r="AE422" s="299"/>
      <c r="AF422" s="355"/>
      <c r="AG422" s="299" t="str">
        <f>IFERROR(IF(VLOOKUP(功能_33[[#This Row],[功能代號]],E:Q,11,FALSE)=0,"",VLOOKUP(功能_33[[#This Row],[功能代號]],E:Q,11,FALSE)),"")</f>
        <v>邱怡婷</v>
      </c>
      <c r="AH422" s="299"/>
      <c r="AI422" s="299"/>
      <c r="AJ422" s="292"/>
      <c r="AL422" s="291" t="s">
        <v>2976</v>
      </c>
      <c r="AN422" s="292" t="e">
        <f>VLOOKUP(功能_33[[#This Row],[功能代號]],需二審tmp!A:A,1,FALSE)</f>
        <v>#N/A</v>
      </c>
      <c r="AO422" s="356">
        <v>44533</v>
      </c>
      <c r="AQ422" s="574" t="str">
        <f t="shared" si="45"/>
        <v>8-3</v>
      </c>
      <c r="AR422" s="576" t="str">
        <f t="shared" si="46"/>
        <v/>
      </c>
      <c r="AS422" s="578" t="str">
        <f t="shared" si="47"/>
        <v/>
      </c>
      <c r="AT422" s="580" t="str">
        <f t="shared" si="48"/>
        <v/>
      </c>
      <c r="AU422" s="582" t="str">
        <f t="shared" si="49"/>
        <v/>
      </c>
      <c r="AV422" s="584" t="str">
        <f t="shared" si="50"/>
        <v/>
      </c>
      <c r="AW422" s="662" t="str">
        <f>IFERROR(VLOOKUP(功能_33[[#This Row],[功能代號]],工作表3!C:C,1,FALSE),"未計SIT測試")</f>
        <v>未計SIT測試</v>
      </c>
    </row>
    <row r="423" spans="3:49" ht="13.5" x14ac:dyDescent="0.3">
      <c r="C423" s="292" t="s">
        <v>97</v>
      </c>
      <c r="D423" s="292" t="s">
        <v>2827</v>
      </c>
      <c r="E423" s="291" t="s">
        <v>1157</v>
      </c>
      <c r="F423" s="292" t="s">
        <v>1158</v>
      </c>
      <c r="G423" s="292" t="s">
        <v>1134</v>
      </c>
      <c r="H423" s="291" t="s">
        <v>136</v>
      </c>
      <c r="I423" s="291" t="s">
        <v>137</v>
      </c>
      <c r="J423" s="298" t="s">
        <v>3181</v>
      </c>
      <c r="K423" s="299">
        <v>44516</v>
      </c>
      <c r="L423" s="299">
        <v>44517</v>
      </c>
      <c r="M423" s="299">
        <v>44536</v>
      </c>
      <c r="N423" s="291" t="s">
        <v>7</v>
      </c>
      <c r="O423" s="291" t="s">
        <v>25</v>
      </c>
      <c r="T423" s="291"/>
      <c r="V423" s="291"/>
      <c r="W423" s="291"/>
      <c r="X423" s="292" t="str">
        <f>VLOOKUP(功能_33[[#This Row],[User]],SKL放款!A:G,7,FALSE)</f>
        <v>放款管理課</v>
      </c>
      <c r="Y423" s="299">
        <v>44533</v>
      </c>
      <c r="Z423" s="299" t="s">
        <v>195</v>
      </c>
      <c r="AA423" s="299">
        <v>44540</v>
      </c>
      <c r="AB423" s="299">
        <v>44540</v>
      </c>
      <c r="AC423" s="299">
        <v>44545</v>
      </c>
      <c r="AD423" s="299"/>
      <c r="AE423" s="299"/>
      <c r="AF423" s="355"/>
      <c r="AG423" s="299" t="str">
        <f>IFERROR(IF(VLOOKUP(功能_33[[#This Row],[功能代號]],E:Q,11,FALSE)=0,"",VLOOKUP(功能_33[[#This Row],[功能代號]],E:Q,11,FALSE)),"")</f>
        <v>邱怡婷</v>
      </c>
      <c r="AH423" s="299"/>
      <c r="AI423" s="299"/>
      <c r="AJ423" s="292"/>
      <c r="AL423" s="291" t="s">
        <v>2976</v>
      </c>
      <c r="AN423" s="292" t="e">
        <f>VLOOKUP(功能_33[[#This Row],[功能代號]],需二審tmp!A:A,1,FALSE)</f>
        <v>#N/A</v>
      </c>
      <c r="AO423" s="356">
        <v>44533</v>
      </c>
      <c r="AQ423" s="574" t="str">
        <f t="shared" si="45"/>
        <v>8-3</v>
      </c>
      <c r="AR423" s="576" t="str">
        <f t="shared" si="46"/>
        <v/>
      </c>
      <c r="AS423" s="578" t="str">
        <f t="shared" si="47"/>
        <v/>
      </c>
      <c r="AT423" s="580" t="str">
        <f t="shared" si="48"/>
        <v/>
      </c>
      <c r="AU423" s="582" t="str">
        <f t="shared" si="49"/>
        <v/>
      </c>
      <c r="AV423" s="584" t="str">
        <f t="shared" si="50"/>
        <v/>
      </c>
      <c r="AW423" s="662" t="str">
        <f>IFERROR(VLOOKUP(功能_33[[#This Row],[功能代號]],工作表3!C:C,1,FALSE),"未計SIT測試")</f>
        <v>未計SIT測試</v>
      </c>
    </row>
    <row r="424" spans="3:49" ht="13.5" x14ac:dyDescent="0.3">
      <c r="C424" s="292" t="s">
        <v>97</v>
      </c>
      <c r="D424" s="292" t="s">
        <v>2827</v>
      </c>
      <c r="E424" s="291" t="s">
        <v>1159</v>
      </c>
      <c r="F424" s="292" t="s">
        <v>1160</v>
      </c>
      <c r="G424" s="292" t="s">
        <v>1134</v>
      </c>
      <c r="H424" s="291" t="s">
        <v>136</v>
      </c>
      <c r="I424" s="291" t="s">
        <v>137</v>
      </c>
      <c r="J424" s="298" t="s">
        <v>3181</v>
      </c>
      <c r="K424" s="299">
        <v>44516</v>
      </c>
      <c r="L424" s="299">
        <v>44517</v>
      </c>
      <c r="M424" s="299">
        <v>44536</v>
      </c>
      <c r="N424" s="291" t="s">
        <v>7</v>
      </c>
      <c r="O424" s="291" t="s">
        <v>25</v>
      </c>
      <c r="T424" s="291"/>
      <c r="V424" s="291"/>
      <c r="W424" s="291"/>
      <c r="X424" s="292" t="str">
        <f>VLOOKUP(功能_33[[#This Row],[User]],SKL放款!A:G,7,FALSE)</f>
        <v>放款管理課</v>
      </c>
      <c r="Y424" s="299">
        <v>44533</v>
      </c>
      <c r="Z424" s="299" t="s">
        <v>195</v>
      </c>
      <c r="AA424" s="299">
        <v>44540</v>
      </c>
      <c r="AB424" s="299">
        <v>44540</v>
      </c>
      <c r="AC424" s="299">
        <v>44545</v>
      </c>
      <c r="AD424" s="299"/>
      <c r="AE424" s="299"/>
      <c r="AF424" s="355"/>
      <c r="AG424" s="299" t="str">
        <f>IFERROR(IF(VLOOKUP(功能_33[[#This Row],[功能代號]],E:Q,11,FALSE)=0,"",VLOOKUP(功能_33[[#This Row],[功能代號]],E:Q,11,FALSE)),"")</f>
        <v>邱怡婷</v>
      </c>
      <c r="AH424" s="299"/>
      <c r="AI424" s="299"/>
      <c r="AJ424" s="292"/>
      <c r="AL424" s="291" t="s">
        <v>2976</v>
      </c>
      <c r="AN424" s="292" t="e">
        <f>VLOOKUP(功能_33[[#This Row],[功能代號]],需二審tmp!A:A,1,FALSE)</f>
        <v>#N/A</v>
      </c>
      <c r="AO424" s="356">
        <v>44533</v>
      </c>
      <c r="AQ424" s="574" t="str">
        <f t="shared" si="45"/>
        <v>8-3</v>
      </c>
      <c r="AR424" s="576" t="str">
        <f t="shared" si="46"/>
        <v/>
      </c>
      <c r="AS424" s="578" t="str">
        <f t="shared" si="47"/>
        <v/>
      </c>
      <c r="AT424" s="580" t="str">
        <f t="shared" si="48"/>
        <v/>
      </c>
      <c r="AU424" s="582" t="str">
        <f t="shared" si="49"/>
        <v/>
      </c>
      <c r="AV424" s="584" t="str">
        <f t="shared" si="50"/>
        <v/>
      </c>
      <c r="AW424" s="662" t="str">
        <f>IFERROR(VLOOKUP(功能_33[[#This Row],[功能代號]],工作表3!C:C,1,FALSE),"未計SIT測試")</f>
        <v>未計SIT測試</v>
      </c>
    </row>
    <row r="425" spans="3:49" ht="13.5" x14ac:dyDescent="0.3">
      <c r="C425" s="292" t="s">
        <v>97</v>
      </c>
      <c r="D425" s="292" t="s">
        <v>2827</v>
      </c>
      <c r="E425" s="291" t="s">
        <v>1161</v>
      </c>
      <c r="F425" s="292" t="s">
        <v>1162</v>
      </c>
      <c r="G425" s="292" t="s">
        <v>1134</v>
      </c>
      <c r="H425" s="291" t="s">
        <v>136</v>
      </c>
      <c r="I425" s="291" t="s">
        <v>137</v>
      </c>
      <c r="J425" s="298" t="s">
        <v>3181</v>
      </c>
      <c r="K425" s="299">
        <v>44516</v>
      </c>
      <c r="L425" s="299">
        <v>44517</v>
      </c>
      <c r="M425" s="299">
        <v>44536</v>
      </c>
      <c r="N425" s="291" t="s">
        <v>7</v>
      </c>
      <c r="O425" s="291" t="s">
        <v>25</v>
      </c>
      <c r="T425" s="291"/>
      <c r="V425" s="291"/>
      <c r="W425" s="291"/>
      <c r="X425" s="292" t="str">
        <f>VLOOKUP(功能_33[[#This Row],[User]],SKL放款!A:G,7,FALSE)</f>
        <v>放款管理課</v>
      </c>
      <c r="Y425" s="299">
        <v>44533</v>
      </c>
      <c r="Z425" s="299" t="s">
        <v>195</v>
      </c>
      <c r="AA425" s="299">
        <v>44540</v>
      </c>
      <c r="AB425" s="299">
        <v>44540</v>
      </c>
      <c r="AC425" s="299">
        <v>44545</v>
      </c>
      <c r="AD425" s="299"/>
      <c r="AE425" s="299"/>
      <c r="AF425" s="355"/>
      <c r="AG425" s="299" t="str">
        <f>IFERROR(IF(VLOOKUP(功能_33[[#This Row],[功能代號]],E:Q,11,FALSE)=0,"",VLOOKUP(功能_33[[#This Row],[功能代號]],E:Q,11,FALSE)),"")</f>
        <v>邱怡婷</v>
      </c>
      <c r="AH425" s="299"/>
      <c r="AI425" s="299"/>
      <c r="AJ425" s="292"/>
      <c r="AL425" s="291" t="s">
        <v>2976</v>
      </c>
      <c r="AN425" s="292" t="e">
        <f>VLOOKUP(功能_33[[#This Row],[功能代號]],需二審tmp!A:A,1,FALSE)</f>
        <v>#N/A</v>
      </c>
      <c r="AO425" s="356">
        <v>44533</v>
      </c>
      <c r="AQ425" s="574" t="str">
        <f t="shared" si="45"/>
        <v>8-3</v>
      </c>
      <c r="AR425" s="576" t="str">
        <f t="shared" si="46"/>
        <v/>
      </c>
      <c r="AS425" s="578" t="str">
        <f t="shared" si="47"/>
        <v/>
      </c>
      <c r="AT425" s="580" t="str">
        <f t="shared" si="48"/>
        <v/>
      </c>
      <c r="AU425" s="582" t="str">
        <f t="shared" si="49"/>
        <v/>
      </c>
      <c r="AV425" s="584" t="str">
        <f t="shared" si="50"/>
        <v/>
      </c>
      <c r="AW425" s="662" t="str">
        <f>IFERROR(VLOOKUP(功能_33[[#This Row],[功能代號]],工作表3!C:C,1,FALSE),"未計SIT測試")</f>
        <v>未計SIT測試</v>
      </c>
    </row>
    <row r="426" spans="3:49" ht="13.5" x14ac:dyDescent="0.3">
      <c r="C426" s="292" t="s">
        <v>97</v>
      </c>
      <c r="D426" s="292" t="s">
        <v>2827</v>
      </c>
      <c r="E426" s="291" t="s">
        <v>1163</v>
      </c>
      <c r="F426" s="292" t="s">
        <v>1164</v>
      </c>
      <c r="G426" s="292" t="s">
        <v>1134</v>
      </c>
      <c r="H426" s="291" t="s">
        <v>136</v>
      </c>
      <c r="I426" s="291" t="s">
        <v>137</v>
      </c>
      <c r="J426" s="298" t="s">
        <v>3181</v>
      </c>
      <c r="K426" s="299">
        <v>44516</v>
      </c>
      <c r="L426" s="299">
        <v>44517</v>
      </c>
      <c r="M426" s="299">
        <v>44536</v>
      </c>
      <c r="N426" s="291" t="s">
        <v>7</v>
      </c>
      <c r="O426" s="291" t="s">
        <v>25</v>
      </c>
      <c r="T426" s="291"/>
      <c r="V426" s="291"/>
      <c r="W426" s="291"/>
      <c r="X426" s="292" t="str">
        <f>VLOOKUP(功能_33[[#This Row],[User]],SKL放款!A:G,7,FALSE)</f>
        <v>放款管理課</v>
      </c>
      <c r="Y426" s="299">
        <v>44533</v>
      </c>
      <c r="Z426" s="299" t="s">
        <v>195</v>
      </c>
      <c r="AA426" s="299">
        <v>44540</v>
      </c>
      <c r="AB426" s="299">
        <v>44540</v>
      </c>
      <c r="AC426" s="299">
        <v>44545</v>
      </c>
      <c r="AD426" s="299"/>
      <c r="AE426" s="299"/>
      <c r="AF426" s="355"/>
      <c r="AG426" s="299" t="str">
        <f>IFERROR(IF(VLOOKUP(功能_33[[#This Row],[功能代號]],E:Q,11,FALSE)=0,"",VLOOKUP(功能_33[[#This Row],[功能代號]],E:Q,11,FALSE)),"")</f>
        <v>邱怡婷</v>
      </c>
      <c r="AH426" s="299"/>
      <c r="AI426" s="299"/>
      <c r="AJ426" s="292"/>
      <c r="AL426" s="291" t="s">
        <v>2976</v>
      </c>
      <c r="AN426" s="292" t="e">
        <f>VLOOKUP(功能_33[[#This Row],[功能代號]],需二審tmp!A:A,1,FALSE)</f>
        <v>#N/A</v>
      </c>
      <c r="AO426" s="356">
        <v>44533</v>
      </c>
      <c r="AQ426" s="574" t="str">
        <f t="shared" si="45"/>
        <v>8-3</v>
      </c>
      <c r="AR426" s="576" t="str">
        <f t="shared" si="46"/>
        <v/>
      </c>
      <c r="AS426" s="578" t="str">
        <f t="shared" si="47"/>
        <v/>
      </c>
      <c r="AT426" s="580" t="str">
        <f t="shared" si="48"/>
        <v/>
      </c>
      <c r="AU426" s="582" t="str">
        <f t="shared" si="49"/>
        <v/>
      </c>
      <c r="AV426" s="584" t="str">
        <f t="shared" si="50"/>
        <v/>
      </c>
      <c r="AW426" s="662" t="str">
        <f>IFERROR(VLOOKUP(功能_33[[#This Row],[功能代號]],工作表3!C:C,1,FALSE),"未計SIT測試")</f>
        <v>未計SIT測試</v>
      </c>
    </row>
    <row r="427" spans="3:49" ht="13.5" x14ac:dyDescent="0.3">
      <c r="C427" s="292" t="s">
        <v>97</v>
      </c>
      <c r="D427" s="292" t="s">
        <v>2827</v>
      </c>
      <c r="E427" s="291" t="s">
        <v>1165</v>
      </c>
      <c r="F427" s="292" t="s">
        <v>1166</v>
      </c>
      <c r="G427" s="292" t="s">
        <v>1134</v>
      </c>
      <c r="H427" s="291" t="s">
        <v>136</v>
      </c>
      <c r="I427" s="291" t="s">
        <v>137</v>
      </c>
      <c r="J427" s="298" t="s">
        <v>3181</v>
      </c>
      <c r="K427" s="299">
        <v>44516</v>
      </c>
      <c r="L427" s="299">
        <v>44517</v>
      </c>
      <c r="M427" s="299">
        <v>44536</v>
      </c>
      <c r="N427" s="291" t="s">
        <v>7</v>
      </c>
      <c r="O427" s="291" t="s">
        <v>25</v>
      </c>
      <c r="T427" s="291"/>
      <c r="V427" s="291"/>
      <c r="W427" s="291"/>
      <c r="X427" s="292" t="str">
        <f>VLOOKUP(功能_33[[#This Row],[User]],SKL放款!A:G,7,FALSE)</f>
        <v>放款管理課</v>
      </c>
      <c r="Y427" s="299">
        <v>44533</v>
      </c>
      <c r="Z427" s="299" t="s">
        <v>195</v>
      </c>
      <c r="AA427" s="299">
        <v>44540</v>
      </c>
      <c r="AB427" s="299">
        <v>44540</v>
      </c>
      <c r="AC427" s="299">
        <v>44545</v>
      </c>
      <c r="AD427" s="299"/>
      <c r="AE427" s="299"/>
      <c r="AF427" s="355"/>
      <c r="AG427" s="299" t="str">
        <f>IFERROR(IF(VLOOKUP(功能_33[[#This Row],[功能代號]],E:Q,11,FALSE)=0,"",VLOOKUP(功能_33[[#This Row],[功能代號]],E:Q,11,FALSE)),"")</f>
        <v>邱怡婷</v>
      </c>
      <c r="AH427" s="299"/>
      <c r="AI427" s="299"/>
      <c r="AJ427" s="292"/>
      <c r="AL427" s="291" t="s">
        <v>2976</v>
      </c>
      <c r="AN427" s="292" t="e">
        <f>VLOOKUP(功能_33[[#This Row],[功能代號]],需二審tmp!A:A,1,FALSE)</f>
        <v>#N/A</v>
      </c>
      <c r="AO427" s="356">
        <v>44533</v>
      </c>
      <c r="AQ427" s="574" t="str">
        <f t="shared" si="45"/>
        <v>8-3</v>
      </c>
      <c r="AR427" s="576" t="str">
        <f t="shared" si="46"/>
        <v/>
      </c>
      <c r="AS427" s="578" t="str">
        <f t="shared" si="47"/>
        <v/>
      </c>
      <c r="AT427" s="580" t="str">
        <f t="shared" si="48"/>
        <v/>
      </c>
      <c r="AU427" s="582" t="str">
        <f t="shared" si="49"/>
        <v/>
      </c>
      <c r="AV427" s="584" t="str">
        <f t="shared" si="50"/>
        <v/>
      </c>
      <c r="AW427" s="662" t="str">
        <f>IFERROR(VLOOKUP(功能_33[[#This Row],[功能代號]],工作表3!C:C,1,FALSE),"未計SIT測試")</f>
        <v>未計SIT測試</v>
      </c>
    </row>
    <row r="428" spans="3:49" ht="13.5" x14ac:dyDescent="0.3">
      <c r="C428" s="292" t="s">
        <v>97</v>
      </c>
      <c r="D428" s="292" t="s">
        <v>2827</v>
      </c>
      <c r="E428" s="291" t="s">
        <v>1167</v>
      </c>
      <c r="F428" s="292" t="s">
        <v>1168</v>
      </c>
      <c r="G428" s="292" t="s">
        <v>1134</v>
      </c>
      <c r="H428" s="291" t="s">
        <v>136</v>
      </c>
      <c r="I428" s="291" t="s">
        <v>137</v>
      </c>
      <c r="J428" s="298" t="s">
        <v>3181</v>
      </c>
      <c r="K428" s="299">
        <v>44516</v>
      </c>
      <c r="L428" s="299">
        <v>44517</v>
      </c>
      <c r="M428" s="299">
        <v>44536</v>
      </c>
      <c r="N428" s="291" t="s">
        <v>7</v>
      </c>
      <c r="O428" s="291" t="s">
        <v>25</v>
      </c>
      <c r="T428" s="291"/>
      <c r="V428" s="291"/>
      <c r="W428" s="291"/>
      <c r="X428" s="292" t="str">
        <f>VLOOKUP(功能_33[[#This Row],[User]],SKL放款!A:G,7,FALSE)</f>
        <v>放款管理課</v>
      </c>
      <c r="Y428" s="299">
        <v>44533</v>
      </c>
      <c r="Z428" s="299" t="s">
        <v>195</v>
      </c>
      <c r="AA428" s="299">
        <v>44540</v>
      </c>
      <c r="AB428" s="299">
        <v>44540</v>
      </c>
      <c r="AC428" s="299">
        <v>44545</v>
      </c>
      <c r="AD428" s="299"/>
      <c r="AE428" s="299"/>
      <c r="AF428" s="355"/>
      <c r="AG428" s="299" t="str">
        <f>IFERROR(IF(VLOOKUP(功能_33[[#This Row],[功能代號]],E:Q,11,FALSE)=0,"",VLOOKUP(功能_33[[#This Row],[功能代號]],E:Q,11,FALSE)),"")</f>
        <v>邱怡婷</v>
      </c>
      <c r="AH428" s="299"/>
      <c r="AI428" s="299"/>
      <c r="AJ428" s="292"/>
      <c r="AL428" s="291" t="s">
        <v>2976</v>
      </c>
      <c r="AN428" s="292" t="e">
        <f>VLOOKUP(功能_33[[#This Row],[功能代號]],需二審tmp!A:A,1,FALSE)</f>
        <v>#N/A</v>
      </c>
      <c r="AO428" s="356">
        <v>44533</v>
      </c>
      <c r="AQ428" s="574" t="str">
        <f t="shared" si="45"/>
        <v>8-3</v>
      </c>
      <c r="AR428" s="576" t="str">
        <f t="shared" si="46"/>
        <v/>
      </c>
      <c r="AS428" s="578" t="str">
        <f t="shared" si="47"/>
        <v/>
      </c>
      <c r="AT428" s="580" t="str">
        <f t="shared" si="48"/>
        <v/>
      </c>
      <c r="AU428" s="582" t="str">
        <f t="shared" si="49"/>
        <v/>
      </c>
      <c r="AV428" s="584" t="str">
        <f t="shared" si="50"/>
        <v/>
      </c>
      <c r="AW428" s="662" t="str">
        <f>IFERROR(VLOOKUP(功能_33[[#This Row],[功能代號]],工作表3!C:C,1,FALSE),"未計SIT測試")</f>
        <v>未計SIT測試</v>
      </c>
    </row>
    <row r="429" spans="3:49" ht="13.5" x14ac:dyDescent="0.3">
      <c r="C429" s="292" t="s">
        <v>97</v>
      </c>
      <c r="D429" s="292" t="s">
        <v>2827</v>
      </c>
      <c r="E429" s="291" t="s">
        <v>1169</v>
      </c>
      <c r="F429" s="292" t="s">
        <v>1170</v>
      </c>
      <c r="G429" s="292" t="s">
        <v>1134</v>
      </c>
      <c r="H429" s="291" t="s">
        <v>136</v>
      </c>
      <c r="I429" s="291" t="s">
        <v>137</v>
      </c>
      <c r="J429" s="298" t="s">
        <v>3181</v>
      </c>
      <c r="K429" s="299">
        <v>44517</v>
      </c>
      <c r="L429" s="299">
        <v>44517</v>
      </c>
      <c r="M429" s="299">
        <v>44536</v>
      </c>
      <c r="N429" s="291" t="s">
        <v>7</v>
      </c>
      <c r="O429" s="291" t="s">
        <v>25</v>
      </c>
      <c r="T429" s="291"/>
      <c r="V429" s="291"/>
      <c r="W429" s="291"/>
      <c r="X429" s="292" t="str">
        <f>VLOOKUP(功能_33[[#This Row],[User]],SKL放款!A:G,7,FALSE)</f>
        <v>放款管理課</v>
      </c>
      <c r="Y429" s="299">
        <v>44533</v>
      </c>
      <c r="Z429" s="299" t="s">
        <v>195</v>
      </c>
      <c r="AA429" s="299">
        <v>44540</v>
      </c>
      <c r="AB429" s="299">
        <v>44540</v>
      </c>
      <c r="AC429" s="299">
        <v>44545</v>
      </c>
      <c r="AD429" s="299"/>
      <c r="AE429" s="299"/>
      <c r="AF429" s="355"/>
      <c r="AG429" s="299" t="str">
        <f>IFERROR(IF(VLOOKUP(功能_33[[#This Row],[功能代號]],E:Q,11,FALSE)=0,"",VLOOKUP(功能_33[[#This Row],[功能代號]],E:Q,11,FALSE)),"")</f>
        <v>邱怡婷</v>
      </c>
      <c r="AH429" s="299"/>
      <c r="AI429" s="299"/>
      <c r="AJ429" s="292"/>
      <c r="AL429" s="291" t="s">
        <v>2976</v>
      </c>
      <c r="AN429" s="292" t="e">
        <f>VLOOKUP(功能_33[[#This Row],[功能代號]],需二審tmp!A:A,1,FALSE)</f>
        <v>#N/A</v>
      </c>
      <c r="AO429" s="356">
        <v>44533</v>
      </c>
      <c r="AQ429" s="574" t="str">
        <f t="shared" si="45"/>
        <v>8-3</v>
      </c>
      <c r="AR429" s="576" t="str">
        <f t="shared" si="46"/>
        <v/>
      </c>
      <c r="AS429" s="578" t="str">
        <f t="shared" si="47"/>
        <v/>
      </c>
      <c r="AT429" s="580" t="str">
        <f t="shared" si="48"/>
        <v/>
      </c>
      <c r="AU429" s="582" t="str">
        <f t="shared" si="49"/>
        <v/>
      </c>
      <c r="AV429" s="584" t="str">
        <f t="shared" si="50"/>
        <v/>
      </c>
      <c r="AW429" s="662" t="str">
        <f>IFERROR(VLOOKUP(功能_33[[#This Row],[功能代號]],工作表3!C:C,1,FALSE),"未計SIT測試")</f>
        <v>未計SIT測試</v>
      </c>
    </row>
    <row r="430" spans="3:49" ht="13.5" x14ac:dyDescent="0.3">
      <c r="C430" s="292" t="s">
        <v>97</v>
      </c>
      <c r="D430" s="292" t="s">
        <v>2827</v>
      </c>
      <c r="E430" s="291" t="s">
        <v>1171</v>
      </c>
      <c r="F430" s="292" t="s">
        <v>1172</v>
      </c>
      <c r="G430" s="292" t="s">
        <v>1134</v>
      </c>
      <c r="H430" s="291" t="s">
        <v>136</v>
      </c>
      <c r="I430" s="291" t="s">
        <v>137</v>
      </c>
      <c r="J430" s="298" t="s">
        <v>3181</v>
      </c>
      <c r="K430" s="299">
        <v>44517</v>
      </c>
      <c r="L430" s="299">
        <v>44517</v>
      </c>
      <c r="M430" s="299">
        <v>44536</v>
      </c>
      <c r="N430" s="291" t="s">
        <v>7</v>
      </c>
      <c r="O430" s="291" t="s">
        <v>25</v>
      </c>
      <c r="T430" s="291"/>
      <c r="V430" s="291"/>
      <c r="W430" s="291"/>
      <c r="X430" s="292" t="str">
        <f>VLOOKUP(功能_33[[#This Row],[User]],SKL放款!A:G,7,FALSE)</f>
        <v>放款管理課</v>
      </c>
      <c r="Y430" s="299">
        <v>44533</v>
      </c>
      <c r="Z430" s="299" t="s">
        <v>195</v>
      </c>
      <c r="AA430" s="299">
        <v>44540</v>
      </c>
      <c r="AB430" s="299">
        <v>44540</v>
      </c>
      <c r="AC430" s="299">
        <v>44545</v>
      </c>
      <c r="AD430" s="299"/>
      <c r="AE430" s="299"/>
      <c r="AF430" s="355"/>
      <c r="AG430" s="299" t="str">
        <f>IFERROR(IF(VLOOKUP(功能_33[[#This Row],[功能代號]],E:Q,11,FALSE)=0,"",VLOOKUP(功能_33[[#This Row],[功能代號]],E:Q,11,FALSE)),"")</f>
        <v>邱怡婷</v>
      </c>
      <c r="AH430" s="299"/>
      <c r="AI430" s="299"/>
      <c r="AJ430" s="292"/>
      <c r="AL430" s="291" t="s">
        <v>2976</v>
      </c>
      <c r="AN430" s="292" t="e">
        <f>VLOOKUP(功能_33[[#This Row],[功能代號]],需二審tmp!A:A,1,FALSE)</f>
        <v>#N/A</v>
      </c>
      <c r="AO430" s="356">
        <v>44533</v>
      </c>
      <c r="AQ430" s="574" t="str">
        <f t="shared" si="45"/>
        <v>8-3</v>
      </c>
      <c r="AR430" s="576" t="str">
        <f t="shared" si="46"/>
        <v/>
      </c>
      <c r="AS430" s="578" t="str">
        <f t="shared" si="47"/>
        <v/>
      </c>
      <c r="AT430" s="580" t="str">
        <f t="shared" si="48"/>
        <v/>
      </c>
      <c r="AU430" s="582" t="str">
        <f t="shared" si="49"/>
        <v/>
      </c>
      <c r="AV430" s="584" t="str">
        <f t="shared" si="50"/>
        <v/>
      </c>
      <c r="AW430" s="662" t="str">
        <f>IFERROR(VLOOKUP(功能_33[[#This Row],[功能代號]],工作表3!C:C,1,FALSE),"未計SIT測試")</f>
        <v>未計SIT測試</v>
      </c>
    </row>
    <row r="431" spans="3:49" ht="13.5" x14ac:dyDescent="0.3">
      <c r="C431" s="292" t="s">
        <v>97</v>
      </c>
      <c r="D431" s="292" t="s">
        <v>2827</v>
      </c>
      <c r="E431" s="291" t="s">
        <v>1173</v>
      </c>
      <c r="F431" s="292" t="s">
        <v>1174</v>
      </c>
      <c r="G431" s="292" t="s">
        <v>1134</v>
      </c>
      <c r="H431" s="291" t="s">
        <v>136</v>
      </c>
      <c r="I431" s="291" t="s">
        <v>137</v>
      </c>
      <c r="J431" s="298" t="s">
        <v>3181</v>
      </c>
      <c r="K431" s="299">
        <v>44517</v>
      </c>
      <c r="L431" s="299">
        <v>44517</v>
      </c>
      <c r="M431" s="299">
        <v>44536</v>
      </c>
      <c r="N431" s="291" t="s">
        <v>7</v>
      </c>
      <c r="O431" s="291" t="s">
        <v>25</v>
      </c>
      <c r="T431" s="291"/>
      <c r="V431" s="291"/>
      <c r="W431" s="291"/>
      <c r="X431" s="292" t="str">
        <f>VLOOKUP(功能_33[[#This Row],[User]],SKL放款!A:G,7,FALSE)</f>
        <v>放款管理課</v>
      </c>
      <c r="Y431" s="299">
        <v>44533</v>
      </c>
      <c r="Z431" s="299" t="s">
        <v>195</v>
      </c>
      <c r="AA431" s="299">
        <v>44540</v>
      </c>
      <c r="AB431" s="299">
        <v>44540</v>
      </c>
      <c r="AC431" s="299">
        <v>44545</v>
      </c>
      <c r="AD431" s="299"/>
      <c r="AE431" s="299"/>
      <c r="AF431" s="355"/>
      <c r="AG431" s="299" t="str">
        <f>IFERROR(IF(VLOOKUP(功能_33[[#This Row],[功能代號]],E:Q,11,FALSE)=0,"",VLOOKUP(功能_33[[#This Row],[功能代號]],E:Q,11,FALSE)),"")</f>
        <v>邱怡婷</v>
      </c>
      <c r="AH431" s="299"/>
      <c r="AI431" s="299"/>
      <c r="AJ431" s="292"/>
      <c r="AL431" s="291" t="s">
        <v>2976</v>
      </c>
      <c r="AN431" s="292" t="e">
        <f>VLOOKUP(功能_33[[#This Row],[功能代號]],需二審tmp!A:A,1,FALSE)</f>
        <v>#N/A</v>
      </c>
      <c r="AO431" s="356">
        <v>44533</v>
      </c>
      <c r="AQ431" s="574" t="str">
        <f t="shared" si="45"/>
        <v>8-3</v>
      </c>
      <c r="AR431" s="576" t="str">
        <f t="shared" si="46"/>
        <v/>
      </c>
      <c r="AS431" s="578" t="str">
        <f t="shared" si="47"/>
        <v/>
      </c>
      <c r="AT431" s="580" t="str">
        <f t="shared" si="48"/>
        <v/>
      </c>
      <c r="AU431" s="582" t="str">
        <f t="shared" si="49"/>
        <v/>
      </c>
      <c r="AV431" s="584" t="str">
        <f t="shared" si="50"/>
        <v/>
      </c>
      <c r="AW431" s="662" t="str">
        <f>IFERROR(VLOOKUP(功能_33[[#This Row],[功能代號]],工作表3!C:C,1,FALSE),"未計SIT測試")</f>
        <v>未計SIT測試</v>
      </c>
    </row>
    <row r="432" spans="3:49" ht="13.5" x14ac:dyDescent="0.3">
      <c r="C432" s="292" t="s">
        <v>97</v>
      </c>
      <c r="D432" s="292" t="s">
        <v>2827</v>
      </c>
      <c r="E432" s="291" t="s">
        <v>1175</v>
      </c>
      <c r="F432" s="292" t="s">
        <v>1176</v>
      </c>
      <c r="G432" s="292" t="s">
        <v>1134</v>
      </c>
      <c r="H432" s="291" t="s">
        <v>136</v>
      </c>
      <c r="I432" s="291" t="s">
        <v>137</v>
      </c>
      <c r="J432" s="298" t="s">
        <v>3181</v>
      </c>
      <c r="K432" s="299">
        <v>44517</v>
      </c>
      <c r="L432" s="299">
        <v>44517</v>
      </c>
      <c r="M432" s="299">
        <v>44536</v>
      </c>
      <c r="N432" s="291" t="s">
        <v>7</v>
      </c>
      <c r="O432" s="291" t="s">
        <v>25</v>
      </c>
      <c r="T432" s="291"/>
      <c r="V432" s="291"/>
      <c r="W432" s="291"/>
      <c r="X432" s="292" t="str">
        <f>VLOOKUP(功能_33[[#This Row],[User]],SKL放款!A:G,7,FALSE)</f>
        <v>放款管理課</v>
      </c>
      <c r="Y432" s="299">
        <v>44533</v>
      </c>
      <c r="Z432" s="299" t="s">
        <v>195</v>
      </c>
      <c r="AA432" s="299">
        <v>44540</v>
      </c>
      <c r="AB432" s="299">
        <v>44540</v>
      </c>
      <c r="AC432" s="299">
        <v>44545</v>
      </c>
      <c r="AD432" s="299"/>
      <c r="AE432" s="299"/>
      <c r="AF432" s="355"/>
      <c r="AG432" s="299" t="str">
        <f>IFERROR(IF(VLOOKUP(功能_33[[#This Row],[功能代號]],E:Q,11,FALSE)=0,"",VLOOKUP(功能_33[[#This Row],[功能代號]],E:Q,11,FALSE)),"")</f>
        <v>邱怡婷</v>
      </c>
      <c r="AH432" s="299"/>
      <c r="AI432" s="299"/>
      <c r="AJ432" s="292"/>
      <c r="AL432" s="291" t="s">
        <v>2976</v>
      </c>
      <c r="AN432" s="292" t="e">
        <f>VLOOKUP(功能_33[[#This Row],[功能代號]],需二審tmp!A:A,1,FALSE)</f>
        <v>#N/A</v>
      </c>
      <c r="AO432" s="356">
        <v>44533</v>
      </c>
      <c r="AQ432" s="574" t="str">
        <f t="shared" si="45"/>
        <v>8-3</v>
      </c>
      <c r="AR432" s="576" t="str">
        <f t="shared" si="46"/>
        <v/>
      </c>
      <c r="AS432" s="578" t="str">
        <f t="shared" si="47"/>
        <v/>
      </c>
      <c r="AT432" s="580" t="str">
        <f t="shared" si="48"/>
        <v/>
      </c>
      <c r="AU432" s="582" t="str">
        <f t="shared" si="49"/>
        <v/>
      </c>
      <c r="AV432" s="584" t="str">
        <f t="shared" si="50"/>
        <v/>
      </c>
      <c r="AW432" s="662" t="str">
        <f>IFERROR(VLOOKUP(功能_33[[#This Row],[功能代號]],工作表3!C:C,1,FALSE),"未計SIT測試")</f>
        <v>未計SIT測試</v>
      </c>
    </row>
    <row r="433" spans="3:49" ht="13.5" x14ac:dyDescent="0.3">
      <c r="C433" s="292" t="s">
        <v>97</v>
      </c>
      <c r="D433" s="292" t="s">
        <v>2827</v>
      </c>
      <c r="E433" s="291" t="s">
        <v>1177</v>
      </c>
      <c r="F433" s="292" t="s">
        <v>1178</v>
      </c>
      <c r="G433" s="292" t="s">
        <v>1134</v>
      </c>
      <c r="H433" s="291" t="s">
        <v>136</v>
      </c>
      <c r="I433" s="291" t="s">
        <v>137</v>
      </c>
      <c r="J433" s="298" t="s">
        <v>3181</v>
      </c>
      <c r="K433" s="299">
        <v>44518</v>
      </c>
      <c r="L433" s="299">
        <v>44517</v>
      </c>
      <c r="M433" s="299">
        <v>44536</v>
      </c>
      <c r="N433" s="291" t="s">
        <v>7</v>
      </c>
      <c r="O433" s="291" t="s">
        <v>25</v>
      </c>
      <c r="T433" s="291"/>
      <c r="V433" s="291"/>
      <c r="W433" s="291"/>
      <c r="X433" s="292" t="str">
        <f>VLOOKUP(功能_33[[#This Row],[User]],SKL放款!A:G,7,FALSE)</f>
        <v>放款管理課</v>
      </c>
      <c r="Y433" s="299">
        <v>44533</v>
      </c>
      <c r="Z433" s="299" t="s">
        <v>195</v>
      </c>
      <c r="AA433" s="299">
        <v>44540</v>
      </c>
      <c r="AB433" s="299">
        <v>44540</v>
      </c>
      <c r="AC433" s="299">
        <v>44545</v>
      </c>
      <c r="AD433" s="299"/>
      <c r="AE433" s="299"/>
      <c r="AF433" s="355"/>
      <c r="AG433" s="299" t="str">
        <f>IFERROR(IF(VLOOKUP(功能_33[[#This Row],[功能代號]],E:Q,11,FALSE)=0,"",VLOOKUP(功能_33[[#This Row],[功能代號]],E:Q,11,FALSE)),"")</f>
        <v>邱怡婷</v>
      </c>
      <c r="AH433" s="299"/>
      <c r="AI433" s="299"/>
      <c r="AJ433" s="292"/>
      <c r="AL433" s="291" t="s">
        <v>2976</v>
      </c>
      <c r="AN433" s="292" t="e">
        <f>VLOOKUP(功能_33[[#This Row],[功能代號]],需二審tmp!A:A,1,FALSE)</f>
        <v>#N/A</v>
      </c>
      <c r="AO433" s="356">
        <v>44533</v>
      </c>
      <c r="AQ433" s="574" t="str">
        <f t="shared" si="45"/>
        <v>8-3</v>
      </c>
      <c r="AR433" s="576" t="str">
        <f t="shared" si="46"/>
        <v/>
      </c>
      <c r="AS433" s="578" t="str">
        <f t="shared" si="47"/>
        <v/>
      </c>
      <c r="AT433" s="580" t="str">
        <f t="shared" si="48"/>
        <v/>
      </c>
      <c r="AU433" s="582" t="str">
        <f t="shared" si="49"/>
        <v/>
      </c>
      <c r="AV433" s="584" t="str">
        <f t="shared" si="50"/>
        <v/>
      </c>
      <c r="AW433" s="662" t="str">
        <f>IFERROR(VLOOKUP(功能_33[[#This Row],[功能代號]],工作表3!C:C,1,FALSE),"未計SIT測試")</f>
        <v>未計SIT測試</v>
      </c>
    </row>
    <row r="434" spans="3:49" ht="13.5" x14ac:dyDescent="0.3">
      <c r="C434" s="292" t="s">
        <v>97</v>
      </c>
      <c r="D434" s="292" t="s">
        <v>2827</v>
      </c>
      <c r="E434" s="291" t="s">
        <v>1179</v>
      </c>
      <c r="F434" s="292" t="s">
        <v>1180</v>
      </c>
      <c r="G434" s="292" t="s">
        <v>1134</v>
      </c>
      <c r="H434" s="291" t="s">
        <v>136</v>
      </c>
      <c r="I434" s="291" t="s">
        <v>137</v>
      </c>
      <c r="J434" s="298" t="s">
        <v>3181</v>
      </c>
      <c r="K434" s="299">
        <v>44518</v>
      </c>
      <c r="L434" s="299">
        <v>44517</v>
      </c>
      <c r="M434" s="299">
        <v>44536</v>
      </c>
      <c r="N434" s="291" t="s">
        <v>7</v>
      </c>
      <c r="O434" s="291" t="s">
        <v>25</v>
      </c>
      <c r="T434" s="291"/>
      <c r="V434" s="291"/>
      <c r="W434" s="291"/>
      <c r="X434" s="292" t="str">
        <f>VLOOKUP(功能_33[[#This Row],[User]],SKL放款!A:G,7,FALSE)</f>
        <v>放款管理課</v>
      </c>
      <c r="Y434" s="299">
        <v>44533</v>
      </c>
      <c r="Z434" s="299" t="s">
        <v>195</v>
      </c>
      <c r="AA434" s="299">
        <v>44540</v>
      </c>
      <c r="AB434" s="299">
        <v>44540</v>
      </c>
      <c r="AC434" s="299">
        <v>44545</v>
      </c>
      <c r="AD434" s="299"/>
      <c r="AE434" s="299"/>
      <c r="AF434" s="355"/>
      <c r="AG434" s="299" t="str">
        <f>IFERROR(IF(VLOOKUP(功能_33[[#This Row],[功能代號]],E:Q,11,FALSE)=0,"",VLOOKUP(功能_33[[#This Row],[功能代號]],E:Q,11,FALSE)),"")</f>
        <v>邱怡婷</v>
      </c>
      <c r="AH434" s="299"/>
      <c r="AI434" s="299"/>
      <c r="AJ434" s="292"/>
      <c r="AL434" s="291" t="s">
        <v>2976</v>
      </c>
      <c r="AN434" s="292" t="e">
        <f>VLOOKUP(功能_33[[#This Row],[功能代號]],需二審tmp!A:A,1,FALSE)</f>
        <v>#N/A</v>
      </c>
      <c r="AO434" s="356">
        <v>44533</v>
      </c>
      <c r="AQ434" s="574" t="str">
        <f t="shared" si="45"/>
        <v>8-3</v>
      </c>
      <c r="AR434" s="576" t="str">
        <f t="shared" si="46"/>
        <v/>
      </c>
      <c r="AS434" s="578" t="str">
        <f t="shared" si="47"/>
        <v/>
      </c>
      <c r="AT434" s="580" t="str">
        <f t="shared" si="48"/>
        <v/>
      </c>
      <c r="AU434" s="582" t="str">
        <f t="shared" si="49"/>
        <v/>
      </c>
      <c r="AV434" s="584" t="str">
        <f t="shared" si="50"/>
        <v/>
      </c>
      <c r="AW434" s="662" t="str">
        <f>IFERROR(VLOOKUP(功能_33[[#This Row],[功能代號]],工作表3!C:C,1,FALSE),"未計SIT測試")</f>
        <v>未計SIT測試</v>
      </c>
    </row>
    <row r="435" spans="3:49" ht="13.5" x14ac:dyDescent="0.3">
      <c r="C435" s="292" t="s">
        <v>97</v>
      </c>
      <c r="D435" s="292" t="s">
        <v>2827</v>
      </c>
      <c r="E435" s="291" t="s">
        <v>1181</v>
      </c>
      <c r="F435" s="292" t="s">
        <v>1182</v>
      </c>
      <c r="G435" s="292" t="s">
        <v>1134</v>
      </c>
      <c r="H435" s="291" t="s">
        <v>136</v>
      </c>
      <c r="I435" s="291" t="s">
        <v>137</v>
      </c>
      <c r="J435" s="298" t="s">
        <v>3181</v>
      </c>
      <c r="K435" s="299">
        <v>44518</v>
      </c>
      <c r="L435" s="299">
        <v>44517</v>
      </c>
      <c r="M435" s="299">
        <v>44536</v>
      </c>
      <c r="N435" s="291" t="s">
        <v>7</v>
      </c>
      <c r="O435" s="291" t="s">
        <v>25</v>
      </c>
      <c r="T435" s="291"/>
      <c r="V435" s="291"/>
      <c r="W435" s="291"/>
      <c r="X435" s="292" t="str">
        <f>VLOOKUP(功能_33[[#This Row],[User]],SKL放款!A:G,7,FALSE)</f>
        <v>放款管理課</v>
      </c>
      <c r="Y435" s="299">
        <v>44533</v>
      </c>
      <c r="Z435" s="299" t="s">
        <v>195</v>
      </c>
      <c r="AA435" s="299">
        <v>44540</v>
      </c>
      <c r="AB435" s="299">
        <v>44540</v>
      </c>
      <c r="AC435" s="299">
        <v>44545</v>
      </c>
      <c r="AD435" s="299"/>
      <c r="AE435" s="299"/>
      <c r="AF435" s="355"/>
      <c r="AG435" s="299" t="str">
        <f>IFERROR(IF(VLOOKUP(功能_33[[#This Row],[功能代號]],E:Q,11,FALSE)=0,"",VLOOKUP(功能_33[[#This Row],[功能代號]],E:Q,11,FALSE)),"")</f>
        <v>邱怡婷</v>
      </c>
      <c r="AH435" s="299"/>
      <c r="AI435" s="299"/>
      <c r="AJ435" s="292"/>
      <c r="AL435" s="291" t="s">
        <v>2976</v>
      </c>
      <c r="AN435" s="292" t="e">
        <f>VLOOKUP(功能_33[[#This Row],[功能代號]],需二審tmp!A:A,1,FALSE)</f>
        <v>#N/A</v>
      </c>
      <c r="AO435" s="356">
        <v>44533</v>
      </c>
      <c r="AQ435" s="574" t="str">
        <f t="shared" si="45"/>
        <v>8-3</v>
      </c>
      <c r="AR435" s="576" t="str">
        <f t="shared" si="46"/>
        <v/>
      </c>
      <c r="AS435" s="578" t="str">
        <f t="shared" si="47"/>
        <v/>
      </c>
      <c r="AT435" s="580" t="str">
        <f t="shared" si="48"/>
        <v/>
      </c>
      <c r="AU435" s="582" t="str">
        <f t="shared" si="49"/>
        <v/>
      </c>
      <c r="AV435" s="584" t="str">
        <f t="shared" si="50"/>
        <v/>
      </c>
      <c r="AW435" s="662" t="str">
        <f>IFERROR(VLOOKUP(功能_33[[#This Row],[功能代號]],工作表3!C:C,1,FALSE),"未計SIT測試")</f>
        <v>未計SIT測試</v>
      </c>
    </row>
    <row r="436" spans="3:49" ht="13.5" x14ac:dyDescent="0.3">
      <c r="C436" s="292" t="s">
        <v>97</v>
      </c>
      <c r="D436" s="292" t="s">
        <v>2827</v>
      </c>
      <c r="E436" s="291" t="s">
        <v>1183</v>
      </c>
      <c r="F436" s="292" t="s">
        <v>1184</v>
      </c>
      <c r="G436" s="292" t="s">
        <v>1134</v>
      </c>
      <c r="H436" s="291" t="s">
        <v>136</v>
      </c>
      <c r="I436" s="291" t="s">
        <v>137</v>
      </c>
      <c r="J436" s="298" t="s">
        <v>3181</v>
      </c>
      <c r="K436" s="299">
        <v>44518</v>
      </c>
      <c r="L436" s="299">
        <v>44517</v>
      </c>
      <c r="M436" s="299">
        <v>44536</v>
      </c>
      <c r="N436" s="291" t="s">
        <v>7</v>
      </c>
      <c r="O436" s="291" t="s">
        <v>25</v>
      </c>
      <c r="T436" s="291"/>
      <c r="V436" s="291"/>
      <c r="W436" s="291"/>
      <c r="X436" s="292" t="str">
        <f>VLOOKUP(功能_33[[#This Row],[User]],SKL放款!A:G,7,FALSE)</f>
        <v>放款管理課</v>
      </c>
      <c r="Y436" s="299">
        <v>44533</v>
      </c>
      <c r="Z436" s="299" t="s">
        <v>195</v>
      </c>
      <c r="AA436" s="299">
        <v>44540</v>
      </c>
      <c r="AB436" s="299">
        <v>44540</v>
      </c>
      <c r="AC436" s="299">
        <v>44545</v>
      </c>
      <c r="AD436" s="299"/>
      <c r="AE436" s="299"/>
      <c r="AF436" s="355"/>
      <c r="AG436" s="299" t="str">
        <f>IFERROR(IF(VLOOKUP(功能_33[[#This Row],[功能代號]],E:Q,11,FALSE)=0,"",VLOOKUP(功能_33[[#This Row],[功能代號]],E:Q,11,FALSE)),"")</f>
        <v>邱怡婷</v>
      </c>
      <c r="AH436" s="299"/>
      <c r="AI436" s="299"/>
      <c r="AJ436" s="292"/>
      <c r="AL436" s="291" t="s">
        <v>2976</v>
      </c>
      <c r="AN436" s="292" t="e">
        <f>VLOOKUP(功能_33[[#This Row],[功能代號]],需二審tmp!A:A,1,FALSE)</f>
        <v>#N/A</v>
      </c>
      <c r="AO436" s="356">
        <v>44533</v>
      </c>
      <c r="AQ436" s="574" t="str">
        <f t="shared" si="45"/>
        <v>8-3</v>
      </c>
      <c r="AR436" s="576" t="str">
        <f t="shared" si="46"/>
        <v/>
      </c>
      <c r="AS436" s="578" t="str">
        <f t="shared" si="47"/>
        <v/>
      </c>
      <c r="AT436" s="580" t="str">
        <f t="shared" si="48"/>
        <v/>
      </c>
      <c r="AU436" s="582" t="str">
        <f t="shared" si="49"/>
        <v/>
      </c>
      <c r="AV436" s="584" t="str">
        <f t="shared" si="50"/>
        <v/>
      </c>
      <c r="AW436" s="662" t="str">
        <f>IFERROR(VLOOKUP(功能_33[[#This Row],[功能代號]],工作表3!C:C,1,FALSE),"未計SIT測試")</f>
        <v>未計SIT測試</v>
      </c>
    </row>
    <row r="437" spans="3:49" ht="13.5" x14ac:dyDescent="0.3">
      <c r="C437" s="292" t="s">
        <v>97</v>
      </c>
      <c r="D437" s="292" t="s">
        <v>2827</v>
      </c>
      <c r="E437" s="291" t="s">
        <v>1185</v>
      </c>
      <c r="F437" s="292" t="s">
        <v>1186</v>
      </c>
      <c r="G437" s="292" t="s">
        <v>1134</v>
      </c>
      <c r="H437" s="291" t="s">
        <v>136</v>
      </c>
      <c r="I437" s="291" t="s">
        <v>137</v>
      </c>
      <c r="J437" s="298" t="s">
        <v>3181</v>
      </c>
      <c r="K437" s="299">
        <v>44518</v>
      </c>
      <c r="L437" s="299">
        <v>44517</v>
      </c>
      <c r="M437" s="299">
        <v>44536</v>
      </c>
      <c r="N437" s="291" t="s">
        <v>7</v>
      </c>
      <c r="O437" s="291" t="s">
        <v>25</v>
      </c>
      <c r="T437" s="291"/>
      <c r="V437" s="291"/>
      <c r="W437" s="291"/>
      <c r="X437" s="292" t="str">
        <f>VLOOKUP(功能_33[[#This Row],[User]],SKL放款!A:G,7,FALSE)</f>
        <v>放款管理課</v>
      </c>
      <c r="Y437" s="299">
        <v>44533</v>
      </c>
      <c r="Z437" s="299" t="s">
        <v>195</v>
      </c>
      <c r="AA437" s="299">
        <v>44540</v>
      </c>
      <c r="AB437" s="299">
        <v>44540</v>
      </c>
      <c r="AC437" s="299">
        <v>44545</v>
      </c>
      <c r="AD437" s="299"/>
      <c r="AE437" s="299"/>
      <c r="AF437" s="355"/>
      <c r="AG437" s="299" t="str">
        <f>IFERROR(IF(VLOOKUP(功能_33[[#This Row],[功能代號]],E:Q,11,FALSE)=0,"",VLOOKUP(功能_33[[#This Row],[功能代號]],E:Q,11,FALSE)),"")</f>
        <v>邱怡婷</v>
      </c>
      <c r="AH437" s="299"/>
      <c r="AI437" s="299"/>
      <c r="AJ437" s="292"/>
      <c r="AL437" s="291" t="s">
        <v>2976</v>
      </c>
      <c r="AN437" s="292" t="e">
        <f>VLOOKUP(功能_33[[#This Row],[功能代號]],需二審tmp!A:A,1,FALSE)</f>
        <v>#N/A</v>
      </c>
      <c r="AO437" s="356">
        <v>44533</v>
      </c>
      <c r="AQ437" s="574" t="str">
        <f t="shared" si="45"/>
        <v>8-3</v>
      </c>
      <c r="AR437" s="576" t="str">
        <f t="shared" si="46"/>
        <v/>
      </c>
      <c r="AS437" s="578" t="str">
        <f t="shared" si="47"/>
        <v/>
      </c>
      <c r="AT437" s="580" t="str">
        <f t="shared" si="48"/>
        <v/>
      </c>
      <c r="AU437" s="582" t="str">
        <f t="shared" si="49"/>
        <v/>
      </c>
      <c r="AV437" s="584" t="str">
        <f t="shared" si="50"/>
        <v/>
      </c>
      <c r="AW437" s="662" t="str">
        <f>IFERROR(VLOOKUP(功能_33[[#This Row],[功能代號]],工作表3!C:C,1,FALSE),"未計SIT測試")</f>
        <v>未計SIT測試</v>
      </c>
    </row>
    <row r="438" spans="3:49" ht="13.5" x14ac:dyDescent="0.3">
      <c r="C438" s="292" t="s">
        <v>97</v>
      </c>
      <c r="D438" s="292" t="s">
        <v>2827</v>
      </c>
      <c r="E438" s="291" t="s">
        <v>1187</v>
      </c>
      <c r="F438" s="292" t="s">
        <v>1188</v>
      </c>
      <c r="G438" s="292" t="s">
        <v>1134</v>
      </c>
      <c r="H438" s="291" t="s">
        <v>136</v>
      </c>
      <c r="I438" s="291" t="s">
        <v>137</v>
      </c>
      <c r="J438" s="298" t="s">
        <v>3181</v>
      </c>
      <c r="K438" s="299">
        <v>44518</v>
      </c>
      <c r="L438" s="299">
        <v>44517</v>
      </c>
      <c r="M438" s="299">
        <v>44536</v>
      </c>
      <c r="N438" s="291" t="s">
        <v>7</v>
      </c>
      <c r="O438" s="291" t="s">
        <v>25</v>
      </c>
      <c r="T438" s="291"/>
      <c r="V438" s="291"/>
      <c r="W438" s="291"/>
      <c r="X438" s="292" t="str">
        <f>VLOOKUP(功能_33[[#This Row],[User]],SKL放款!A:G,7,FALSE)</f>
        <v>放款管理課</v>
      </c>
      <c r="Y438" s="299">
        <v>44533</v>
      </c>
      <c r="Z438" s="299" t="s">
        <v>195</v>
      </c>
      <c r="AA438" s="299">
        <v>44540</v>
      </c>
      <c r="AB438" s="299">
        <v>44540</v>
      </c>
      <c r="AC438" s="299">
        <v>44545</v>
      </c>
      <c r="AD438" s="299"/>
      <c r="AE438" s="299"/>
      <c r="AF438" s="355"/>
      <c r="AG438" s="299" t="str">
        <f>IFERROR(IF(VLOOKUP(功能_33[[#This Row],[功能代號]],E:Q,11,FALSE)=0,"",VLOOKUP(功能_33[[#This Row],[功能代號]],E:Q,11,FALSE)),"")</f>
        <v>邱怡婷</v>
      </c>
      <c r="AH438" s="299"/>
      <c r="AI438" s="299"/>
      <c r="AJ438" s="292"/>
      <c r="AL438" s="291" t="s">
        <v>2976</v>
      </c>
      <c r="AN438" s="292" t="e">
        <f>VLOOKUP(功能_33[[#This Row],[功能代號]],需二審tmp!A:A,1,FALSE)</f>
        <v>#N/A</v>
      </c>
      <c r="AO438" s="356">
        <v>44533</v>
      </c>
      <c r="AQ438" s="574" t="str">
        <f t="shared" si="45"/>
        <v>8-3</v>
      </c>
      <c r="AR438" s="576" t="str">
        <f t="shared" si="46"/>
        <v/>
      </c>
      <c r="AS438" s="578" t="str">
        <f t="shared" si="47"/>
        <v/>
      </c>
      <c r="AT438" s="580" t="str">
        <f t="shared" si="48"/>
        <v/>
      </c>
      <c r="AU438" s="582" t="str">
        <f t="shared" si="49"/>
        <v/>
      </c>
      <c r="AV438" s="584" t="str">
        <f t="shared" si="50"/>
        <v/>
      </c>
      <c r="AW438" s="662" t="str">
        <f>IFERROR(VLOOKUP(功能_33[[#This Row],[功能代號]],工作表3!C:C,1,FALSE),"未計SIT測試")</f>
        <v>未計SIT測試</v>
      </c>
    </row>
    <row r="439" spans="3:49" ht="13.5" x14ac:dyDescent="0.3">
      <c r="C439" s="292" t="s">
        <v>97</v>
      </c>
      <c r="D439" s="292" t="s">
        <v>2827</v>
      </c>
      <c r="E439" s="291" t="s">
        <v>1189</v>
      </c>
      <c r="F439" s="292" t="s">
        <v>1190</v>
      </c>
      <c r="G439" s="292" t="s">
        <v>1134</v>
      </c>
      <c r="H439" s="291" t="s">
        <v>136</v>
      </c>
      <c r="I439" s="291" t="s">
        <v>137</v>
      </c>
      <c r="J439" s="298" t="s">
        <v>3181</v>
      </c>
      <c r="K439" s="299">
        <v>44518</v>
      </c>
      <c r="L439" s="299">
        <v>44517</v>
      </c>
      <c r="M439" s="299">
        <v>44536</v>
      </c>
      <c r="N439" s="291" t="s">
        <v>7</v>
      </c>
      <c r="O439" s="291" t="s">
        <v>25</v>
      </c>
      <c r="T439" s="291"/>
      <c r="V439" s="291"/>
      <c r="W439" s="291"/>
      <c r="X439" s="292" t="str">
        <f>VLOOKUP(功能_33[[#This Row],[User]],SKL放款!A:G,7,FALSE)</f>
        <v>放款管理課</v>
      </c>
      <c r="Y439" s="299">
        <v>44533</v>
      </c>
      <c r="Z439" s="299" t="s">
        <v>195</v>
      </c>
      <c r="AA439" s="299">
        <v>44540</v>
      </c>
      <c r="AB439" s="299">
        <v>44540</v>
      </c>
      <c r="AC439" s="299">
        <v>44545</v>
      </c>
      <c r="AD439" s="299"/>
      <c r="AE439" s="299"/>
      <c r="AF439" s="355"/>
      <c r="AG439" s="299" t="str">
        <f>IFERROR(IF(VLOOKUP(功能_33[[#This Row],[功能代號]],E:Q,11,FALSE)=0,"",VLOOKUP(功能_33[[#This Row],[功能代號]],E:Q,11,FALSE)),"")</f>
        <v>邱怡婷</v>
      </c>
      <c r="AH439" s="299"/>
      <c r="AI439" s="299"/>
      <c r="AJ439" s="292"/>
      <c r="AL439" s="291" t="s">
        <v>2976</v>
      </c>
      <c r="AN439" s="292" t="e">
        <f>VLOOKUP(功能_33[[#This Row],[功能代號]],需二審tmp!A:A,1,FALSE)</f>
        <v>#N/A</v>
      </c>
      <c r="AO439" s="356">
        <v>44533</v>
      </c>
      <c r="AQ439" s="574" t="str">
        <f t="shared" si="45"/>
        <v>8-3</v>
      </c>
      <c r="AR439" s="576" t="str">
        <f t="shared" si="46"/>
        <v/>
      </c>
      <c r="AS439" s="578" t="str">
        <f t="shared" si="47"/>
        <v/>
      </c>
      <c r="AT439" s="580" t="str">
        <f t="shared" si="48"/>
        <v/>
      </c>
      <c r="AU439" s="582" t="str">
        <f t="shared" si="49"/>
        <v/>
      </c>
      <c r="AV439" s="584" t="str">
        <f t="shared" si="50"/>
        <v/>
      </c>
      <c r="AW439" s="662" t="str">
        <f>IFERROR(VLOOKUP(功能_33[[#This Row],[功能代號]],工作表3!C:C,1,FALSE),"未計SIT測試")</f>
        <v>未計SIT測試</v>
      </c>
    </row>
    <row r="440" spans="3:49" ht="13.5" x14ac:dyDescent="0.3">
      <c r="C440" s="292" t="s">
        <v>97</v>
      </c>
      <c r="D440" s="292" t="s">
        <v>2827</v>
      </c>
      <c r="E440" s="291" t="s">
        <v>1191</v>
      </c>
      <c r="F440" s="292" t="s">
        <v>1192</v>
      </c>
      <c r="G440" s="292" t="s">
        <v>1134</v>
      </c>
      <c r="H440" s="291" t="s">
        <v>136</v>
      </c>
      <c r="I440" s="291" t="s">
        <v>137</v>
      </c>
      <c r="J440" s="298" t="s">
        <v>3181</v>
      </c>
      <c r="K440" s="299">
        <v>44518</v>
      </c>
      <c r="L440" s="299">
        <v>44517</v>
      </c>
      <c r="M440" s="299">
        <v>44536</v>
      </c>
      <c r="N440" s="291" t="s">
        <v>7</v>
      </c>
      <c r="O440" s="291" t="s">
        <v>25</v>
      </c>
      <c r="T440" s="291"/>
      <c r="V440" s="291"/>
      <c r="W440" s="291"/>
      <c r="X440" s="292" t="str">
        <f>VLOOKUP(功能_33[[#This Row],[User]],SKL放款!A:G,7,FALSE)</f>
        <v>放款管理課</v>
      </c>
      <c r="Y440" s="299">
        <v>44533</v>
      </c>
      <c r="Z440" s="299" t="s">
        <v>195</v>
      </c>
      <c r="AA440" s="299">
        <v>44540</v>
      </c>
      <c r="AB440" s="299">
        <v>44540</v>
      </c>
      <c r="AC440" s="299">
        <v>44545</v>
      </c>
      <c r="AD440" s="299"/>
      <c r="AE440" s="299"/>
      <c r="AF440" s="355"/>
      <c r="AG440" s="299" t="str">
        <f>IFERROR(IF(VLOOKUP(功能_33[[#This Row],[功能代號]],E:Q,11,FALSE)=0,"",VLOOKUP(功能_33[[#This Row],[功能代號]],E:Q,11,FALSE)),"")</f>
        <v>邱怡婷</v>
      </c>
      <c r="AH440" s="299"/>
      <c r="AI440" s="299"/>
      <c r="AJ440" s="292"/>
      <c r="AL440" s="291" t="s">
        <v>2976</v>
      </c>
      <c r="AN440" s="292" t="e">
        <f>VLOOKUP(功能_33[[#This Row],[功能代號]],需二審tmp!A:A,1,FALSE)</f>
        <v>#N/A</v>
      </c>
      <c r="AO440" s="356">
        <v>44533</v>
      </c>
      <c r="AQ440" s="574" t="str">
        <f t="shared" si="45"/>
        <v>8-3</v>
      </c>
      <c r="AR440" s="576" t="str">
        <f t="shared" si="46"/>
        <v/>
      </c>
      <c r="AS440" s="578" t="str">
        <f t="shared" si="47"/>
        <v/>
      </c>
      <c r="AT440" s="580" t="str">
        <f t="shared" si="48"/>
        <v/>
      </c>
      <c r="AU440" s="582" t="str">
        <f t="shared" si="49"/>
        <v/>
      </c>
      <c r="AV440" s="584" t="str">
        <f t="shared" si="50"/>
        <v/>
      </c>
      <c r="AW440" s="662" t="str">
        <f>IFERROR(VLOOKUP(功能_33[[#This Row],[功能代號]],工作表3!C:C,1,FALSE),"未計SIT測試")</f>
        <v>未計SIT測試</v>
      </c>
    </row>
    <row r="441" spans="3:49" ht="13.5" x14ac:dyDescent="0.3">
      <c r="C441" s="292" t="s">
        <v>97</v>
      </c>
      <c r="D441" s="292" t="s">
        <v>2827</v>
      </c>
      <c r="E441" s="291" t="s">
        <v>1193</v>
      </c>
      <c r="F441" s="292" t="s">
        <v>1194</v>
      </c>
      <c r="G441" s="292" t="s">
        <v>1134</v>
      </c>
      <c r="H441" s="291" t="s">
        <v>136</v>
      </c>
      <c r="I441" s="291" t="s">
        <v>137</v>
      </c>
      <c r="J441" s="298" t="s">
        <v>3181</v>
      </c>
      <c r="K441" s="299">
        <v>44518</v>
      </c>
      <c r="L441" s="299">
        <v>44517</v>
      </c>
      <c r="M441" s="299">
        <v>44536</v>
      </c>
      <c r="N441" s="291" t="s">
        <v>7</v>
      </c>
      <c r="O441" s="291" t="s">
        <v>25</v>
      </c>
      <c r="T441" s="291"/>
      <c r="V441" s="291"/>
      <c r="W441" s="291"/>
      <c r="X441" s="292" t="str">
        <f>VLOOKUP(功能_33[[#This Row],[User]],SKL放款!A:G,7,FALSE)</f>
        <v>放款管理課</v>
      </c>
      <c r="Y441" s="299">
        <v>44533</v>
      </c>
      <c r="Z441" s="299" t="s">
        <v>195</v>
      </c>
      <c r="AA441" s="299">
        <v>44540</v>
      </c>
      <c r="AB441" s="299">
        <v>44540</v>
      </c>
      <c r="AC441" s="299">
        <v>44545</v>
      </c>
      <c r="AD441" s="299"/>
      <c r="AE441" s="299"/>
      <c r="AF441" s="355"/>
      <c r="AG441" s="299" t="str">
        <f>IFERROR(IF(VLOOKUP(功能_33[[#This Row],[功能代號]],E:Q,11,FALSE)=0,"",VLOOKUP(功能_33[[#This Row],[功能代號]],E:Q,11,FALSE)),"")</f>
        <v>邱怡婷</v>
      </c>
      <c r="AH441" s="299"/>
      <c r="AI441" s="299"/>
      <c r="AJ441" s="292"/>
      <c r="AL441" s="291" t="s">
        <v>2976</v>
      </c>
      <c r="AN441" s="292" t="e">
        <f>VLOOKUP(功能_33[[#This Row],[功能代號]],需二審tmp!A:A,1,FALSE)</f>
        <v>#N/A</v>
      </c>
      <c r="AO441" s="356">
        <v>44533</v>
      </c>
      <c r="AQ441" s="574" t="str">
        <f t="shared" si="45"/>
        <v>8-3</v>
      </c>
      <c r="AR441" s="576" t="str">
        <f t="shared" si="46"/>
        <v/>
      </c>
      <c r="AS441" s="578" t="str">
        <f t="shared" si="47"/>
        <v/>
      </c>
      <c r="AT441" s="580" t="str">
        <f t="shared" si="48"/>
        <v/>
      </c>
      <c r="AU441" s="582" t="str">
        <f t="shared" si="49"/>
        <v/>
      </c>
      <c r="AV441" s="584" t="str">
        <f t="shared" si="50"/>
        <v/>
      </c>
      <c r="AW441" s="662" t="str">
        <f>IFERROR(VLOOKUP(功能_33[[#This Row],[功能代號]],工作表3!C:C,1,FALSE),"未計SIT測試")</f>
        <v>未計SIT測試</v>
      </c>
    </row>
    <row r="442" spans="3:49" ht="13.5" x14ac:dyDescent="0.3">
      <c r="C442" s="292" t="s">
        <v>97</v>
      </c>
      <c r="D442" s="292" t="s">
        <v>2827</v>
      </c>
      <c r="E442" s="291" t="s">
        <v>1195</v>
      </c>
      <c r="F442" s="292" t="s">
        <v>1196</v>
      </c>
      <c r="G442" s="292" t="s">
        <v>1134</v>
      </c>
      <c r="H442" s="291" t="s">
        <v>136</v>
      </c>
      <c r="I442" s="291" t="s">
        <v>137</v>
      </c>
      <c r="J442" s="298" t="s">
        <v>3181</v>
      </c>
      <c r="K442" s="299">
        <v>44518</v>
      </c>
      <c r="L442" s="299">
        <v>44517</v>
      </c>
      <c r="M442" s="299">
        <v>44536</v>
      </c>
      <c r="N442" s="291" t="s">
        <v>7</v>
      </c>
      <c r="O442" s="291" t="s">
        <v>25</v>
      </c>
      <c r="T442" s="291"/>
      <c r="V442" s="291"/>
      <c r="W442" s="291"/>
      <c r="X442" s="292" t="str">
        <f>VLOOKUP(功能_33[[#This Row],[User]],SKL放款!A:G,7,FALSE)</f>
        <v>放款管理課</v>
      </c>
      <c r="Y442" s="299">
        <v>44533</v>
      </c>
      <c r="Z442" s="299" t="s">
        <v>195</v>
      </c>
      <c r="AA442" s="299">
        <v>44540</v>
      </c>
      <c r="AB442" s="299">
        <v>44540</v>
      </c>
      <c r="AC442" s="299">
        <v>44545</v>
      </c>
      <c r="AD442" s="299"/>
      <c r="AE442" s="299"/>
      <c r="AF442" s="355"/>
      <c r="AG442" s="299" t="str">
        <f>IFERROR(IF(VLOOKUP(功能_33[[#This Row],[功能代號]],E:Q,11,FALSE)=0,"",VLOOKUP(功能_33[[#This Row],[功能代號]],E:Q,11,FALSE)),"")</f>
        <v>邱怡婷</v>
      </c>
      <c r="AH442" s="299"/>
      <c r="AI442" s="299"/>
      <c r="AJ442" s="292"/>
      <c r="AL442" s="291" t="s">
        <v>2976</v>
      </c>
      <c r="AN442" s="292" t="e">
        <f>VLOOKUP(功能_33[[#This Row],[功能代號]],需二審tmp!A:A,1,FALSE)</f>
        <v>#N/A</v>
      </c>
      <c r="AO442" s="356">
        <v>44533</v>
      </c>
      <c r="AQ442" s="574" t="str">
        <f t="shared" si="45"/>
        <v>8-3</v>
      </c>
      <c r="AR442" s="576" t="str">
        <f t="shared" si="46"/>
        <v/>
      </c>
      <c r="AS442" s="578" t="str">
        <f t="shared" si="47"/>
        <v/>
      </c>
      <c r="AT442" s="580" t="str">
        <f t="shared" si="48"/>
        <v/>
      </c>
      <c r="AU442" s="582" t="str">
        <f t="shared" si="49"/>
        <v/>
      </c>
      <c r="AV442" s="584" t="str">
        <f t="shared" si="50"/>
        <v/>
      </c>
      <c r="AW442" s="662" t="str">
        <f>IFERROR(VLOOKUP(功能_33[[#This Row],[功能代號]],工作表3!C:C,1,FALSE),"未計SIT測試")</f>
        <v>未計SIT測試</v>
      </c>
    </row>
    <row r="443" spans="3:49" ht="13.5" x14ac:dyDescent="0.3">
      <c r="C443" s="292" t="s">
        <v>97</v>
      </c>
      <c r="D443" s="292" t="s">
        <v>2827</v>
      </c>
      <c r="E443" s="291" t="s">
        <v>1197</v>
      </c>
      <c r="F443" s="292" t="s">
        <v>1198</v>
      </c>
      <c r="G443" s="292" t="s">
        <v>1134</v>
      </c>
      <c r="H443" s="291" t="s">
        <v>136</v>
      </c>
      <c r="I443" s="291" t="s">
        <v>137</v>
      </c>
      <c r="J443" s="298" t="s">
        <v>3181</v>
      </c>
      <c r="K443" s="299">
        <v>44519</v>
      </c>
      <c r="L443" s="299">
        <v>44517</v>
      </c>
      <c r="M443" s="299">
        <v>44533</v>
      </c>
      <c r="N443" s="291" t="s">
        <v>7</v>
      </c>
      <c r="O443" s="291" t="s">
        <v>25</v>
      </c>
      <c r="T443" s="291"/>
      <c r="V443" s="291"/>
      <c r="W443" s="291"/>
      <c r="X443" s="292" t="str">
        <f>VLOOKUP(功能_33[[#This Row],[User]],SKL放款!A:G,7,FALSE)</f>
        <v>放款管理課</v>
      </c>
      <c r="Y443" s="299">
        <v>44533</v>
      </c>
      <c r="Z443" s="299" t="s">
        <v>133</v>
      </c>
      <c r="AA443" s="299">
        <v>44540</v>
      </c>
      <c r="AB443" s="299">
        <v>44540</v>
      </c>
      <c r="AC443" s="299">
        <v>44545</v>
      </c>
      <c r="AD443" s="299"/>
      <c r="AE443" s="299"/>
      <c r="AF443" s="355"/>
      <c r="AG443" s="299" t="str">
        <f>IFERROR(IF(VLOOKUP(功能_33[[#This Row],[功能代號]],E:Q,11,FALSE)=0,"",VLOOKUP(功能_33[[#This Row],[功能代號]],E:Q,11,FALSE)),"")</f>
        <v>邱怡婷</v>
      </c>
      <c r="AH443" s="299"/>
      <c r="AI443" s="299"/>
      <c r="AJ443" s="292"/>
      <c r="AL443" s="291" t="s">
        <v>2976</v>
      </c>
      <c r="AN443" s="292" t="str">
        <f>VLOOKUP(功能_33[[#This Row],[功能代號]],需二審tmp!A:A,1,FALSE)</f>
        <v>L8062</v>
      </c>
      <c r="AO443" s="356">
        <v>44533</v>
      </c>
      <c r="AQ443" s="574" t="str">
        <f t="shared" si="45"/>
        <v>8-3</v>
      </c>
      <c r="AR443" s="576" t="str">
        <f t="shared" si="46"/>
        <v/>
      </c>
      <c r="AS443" s="578" t="str">
        <f t="shared" si="47"/>
        <v/>
      </c>
      <c r="AT443" s="580" t="str">
        <f t="shared" si="48"/>
        <v/>
      </c>
      <c r="AU443" s="582" t="str">
        <f t="shared" si="49"/>
        <v/>
      </c>
      <c r="AV443" s="584" t="str">
        <f t="shared" si="50"/>
        <v/>
      </c>
      <c r="AW443" s="662" t="str">
        <f>IFERROR(VLOOKUP(功能_33[[#This Row],[功能代號]],工作表3!C:C,1,FALSE),"未計SIT測試")</f>
        <v>未計SIT測試</v>
      </c>
    </row>
    <row r="444" spans="3:49" ht="13.5" x14ac:dyDescent="0.3">
      <c r="C444" s="292" t="s">
        <v>97</v>
      </c>
      <c r="D444" s="292" t="s">
        <v>2827</v>
      </c>
      <c r="E444" s="291" t="s">
        <v>1199</v>
      </c>
      <c r="F444" s="292" t="s">
        <v>1200</v>
      </c>
      <c r="G444" s="292" t="s">
        <v>1134</v>
      </c>
      <c r="H444" s="291" t="s">
        <v>136</v>
      </c>
      <c r="I444" s="291" t="s">
        <v>137</v>
      </c>
      <c r="J444" s="298" t="s">
        <v>3181</v>
      </c>
      <c r="K444" s="299">
        <v>44519</v>
      </c>
      <c r="L444" s="299">
        <v>44517</v>
      </c>
      <c r="M444" s="299">
        <v>44536</v>
      </c>
      <c r="N444" s="291" t="s">
        <v>7</v>
      </c>
      <c r="O444" s="291" t="s">
        <v>25</v>
      </c>
      <c r="T444" s="291"/>
      <c r="V444" s="291"/>
      <c r="W444" s="291"/>
      <c r="X444" s="292" t="str">
        <f>VLOOKUP(功能_33[[#This Row],[User]],SKL放款!A:G,7,FALSE)</f>
        <v>放款管理課</v>
      </c>
      <c r="Y444" s="299">
        <v>44533</v>
      </c>
      <c r="Z444" s="299" t="s">
        <v>195</v>
      </c>
      <c r="AA444" s="299">
        <v>44540</v>
      </c>
      <c r="AB444" s="299">
        <v>44540</v>
      </c>
      <c r="AC444" s="299">
        <v>44545</v>
      </c>
      <c r="AD444" s="299"/>
      <c r="AE444" s="299"/>
      <c r="AF444" s="355"/>
      <c r="AG444" s="299" t="str">
        <f>IFERROR(IF(VLOOKUP(功能_33[[#This Row],[功能代號]],E:Q,11,FALSE)=0,"",VLOOKUP(功能_33[[#This Row],[功能代號]],E:Q,11,FALSE)),"")</f>
        <v>邱怡婷</v>
      </c>
      <c r="AH444" s="299"/>
      <c r="AI444" s="299"/>
      <c r="AJ444" s="292"/>
      <c r="AL444" s="291" t="s">
        <v>2976</v>
      </c>
      <c r="AN444" s="292" t="e">
        <f>VLOOKUP(功能_33[[#This Row],[功能代號]],需二審tmp!A:A,1,FALSE)</f>
        <v>#N/A</v>
      </c>
      <c r="AO444" s="356">
        <v>44533</v>
      </c>
      <c r="AQ444" s="574" t="str">
        <f t="shared" si="45"/>
        <v>8-3</v>
      </c>
      <c r="AR444" s="576" t="str">
        <f t="shared" si="46"/>
        <v/>
      </c>
      <c r="AS444" s="578" t="str">
        <f t="shared" si="47"/>
        <v/>
      </c>
      <c r="AT444" s="580" t="str">
        <f t="shared" si="48"/>
        <v/>
      </c>
      <c r="AU444" s="582" t="str">
        <f t="shared" si="49"/>
        <v/>
      </c>
      <c r="AV444" s="584" t="str">
        <f t="shared" si="50"/>
        <v/>
      </c>
      <c r="AW444" s="662" t="str">
        <f>IFERROR(VLOOKUP(功能_33[[#This Row],[功能代號]],工作表3!C:C,1,FALSE),"未計SIT測試")</f>
        <v>未計SIT測試</v>
      </c>
    </row>
    <row r="445" spans="3:49" ht="13.5" x14ac:dyDescent="0.3">
      <c r="C445" s="292" t="s">
        <v>97</v>
      </c>
      <c r="D445" s="292" t="s">
        <v>2827</v>
      </c>
      <c r="E445" s="291" t="s">
        <v>1201</v>
      </c>
      <c r="F445" s="292" t="s">
        <v>1202</v>
      </c>
      <c r="G445" s="292" t="s">
        <v>1134</v>
      </c>
      <c r="H445" s="291" t="s">
        <v>136</v>
      </c>
      <c r="I445" s="291" t="s">
        <v>137</v>
      </c>
      <c r="J445" s="298" t="s">
        <v>3181</v>
      </c>
      <c r="K445" s="299">
        <v>44519</v>
      </c>
      <c r="L445" s="299">
        <v>44517</v>
      </c>
      <c r="M445" s="299">
        <v>44536</v>
      </c>
      <c r="N445" s="291" t="s">
        <v>7</v>
      </c>
      <c r="O445" s="291" t="s">
        <v>25</v>
      </c>
      <c r="T445" s="291"/>
      <c r="V445" s="291"/>
      <c r="W445" s="291"/>
      <c r="X445" s="292" t="str">
        <f>VLOOKUP(功能_33[[#This Row],[User]],SKL放款!A:G,7,FALSE)</f>
        <v>放款管理課</v>
      </c>
      <c r="Y445" s="299">
        <v>44533</v>
      </c>
      <c r="Z445" s="299" t="s">
        <v>195</v>
      </c>
      <c r="AA445" s="299">
        <v>44540</v>
      </c>
      <c r="AB445" s="299">
        <v>44540</v>
      </c>
      <c r="AC445" s="299">
        <v>44545</v>
      </c>
      <c r="AD445" s="299"/>
      <c r="AE445" s="299"/>
      <c r="AF445" s="355"/>
      <c r="AG445" s="299" t="str">
        <f>IFERROR(IF(VLOOKUP(功能_33[[#This Row],[功能代號]],E:Q,11,FALSE)=0,"",VLOOKUP(功能_33[[#This Row],[功能代號]],E:Q,11,FALSE)),"")</f>
        <v>邱怡婷</v>
      </c>
      <c r="AH445" s="299"/>
      <c r="AI445" s="299"/>
      <c r="AJ445" s="292"/>
      <c r="AL445" s="291" t="s">
        <v>2976</v>
      </c>
      <c r="AN445" s="292" t="e">
        <f>VLOOKUP(功能_33[[#This Row],[功能代號]],需二審tmp!A:A,1,FALSE)</f>
        <v>#N/A</v>
      </c>
      <c r="AO445" s="356">
        <v>44533</v>
      </c>
      <c r="AQ445" s="574" t="str">
        <f t="shared" si="45"/>
        <v>8-3</v>
      </c>
      <c r="AR445" s="576" t="str">
        <f t="shared" si="46"/>
        <v/>
      </c>
      <c r="AS445" s="578" t="str">
        <f t="shared" si="47"/>
        <v/>
      </c>
      <c r="AT445" s="580" t="str">
        <f t="shared" si="48"/>
        <v/>
      </c>
      <c r="AU445" s="582" t="str">
        <f t="shared" si="49"/>
        <v/>
      </c>
      <c r="AV445" s="584" t="str">
        <f t="shared" si="50"/>
        <v/>
      </c>
      <c r="AW445" s="662" t="str">
        <f>IFERROR(VLOOKUP(功能_33[[#This Row],[功能代號]],工作表3!C:C,1,FALSE),"未計SIT測試")</f>
        <v>未計SIT測試</v>
      </c>
    </row>
    <row r="446" spans="3:49" ht="13.5" x14ac:dyDescent="0.3">
      <c r="C446" s="292" t="s">
        <v>97</v>
      </c>
      <c r="D446" s="292" t="s">
        <v>2827</v>
      </c>
      <c r="E446" s="291" t="s">
        <v>1203</v>
      </c>
      <c r="F446" s="292" t="s">
        <v>1204</v>
      </c>
      <c r="G446" s="292" t="s">
        <v>1134</v>
      </c>
      <c r="H446" s="291" t="s">
        <v>136</v>
      </c>
      <c r="I446" s="291" t="s">
        <v>137</v>
      </c>
      <c r="J446" s="298" t="s">
        <v>3181</v>
      </c>
      <c r="K446" s="299">
        <v>44519</v>
      </c>
      <c r="L446" s="299">
        <v>44517</v>
      </c>
      <c r="M446" s="299">
        <v>44536</v>
      </c>
      <c r="N446" s="291" t="s">
        <v>7</v>
      </c>
      <c r="O446" s="291" t="s">
        <v>25</v>
      </c>
      <c r="T446" s="291"/>
      <c r="V446" s="291"/>
      <c r="W446" s="291"/>
      <c r="X446" s="292" t="str">
        <f>VLOOKUP(功能_33[[#This Row],[User]],SKL放款!A:G,7,FALSE)</f>
        <v>放款管理課</v>
      </c>
      <c r="Y446" s="299">
        <v>44533</v>
      </c>
      <c r="Z446" s="299" t="s">
        <v>195</v>
      </c>
      <c r="AA446" s="299">
        <v>44540</v>
      </c>
      <c r="AB446" s="299">
        <v>44540</v>
      </c>
      <c r="AC446" s="299">
        <v>44545</v>
      </c>
      <c r="AD446" s="299"/>
      <c r="AE446" s="299"/>
      <c r="AF446" s="355"/>
      <c r="AG446" s="299" t="str">
        <f>IFERROR(IF(VLOOKUP(功能_33[[#This Row],[功能代號]],E:Q,11,FALSE)=0,"",VLOOKUP(功能_33[[#This Row],[功能代號]],E:Q,11,FALSE)),"")</f>
        <v>邱怡婷</v>
      </c>
      <c r="AH446" s="299"/>
      <c r="AI446" s="299"/>
      <c r="AJ446" s="292"/>
      <c r="AL446" s="291" t="s">
        <v>2976</v>
      </c>
      <c r="AN446" s="292" t="e">
        <f>VLOOKUP(功能_33[[#This Row],[功能代號]],需二審tmp!A:A,1,FALSE)</f>
        <v>#N/A</v>
      </c>
      <c r="AO446" s="356">
        <v>44533</v>
      </c>
      <c r="AQ446" s="574" t="str">
        <f t="shared" si="45"/>
        <v>8-3</v>
      </c>
      <c r="AR446" s="576" t="str">
        <f t="shared" si="46"/>
        <v/>
      </c>
      <c r="AS446" s="578" t="str">
        <f t="shared" si="47"/>
        <v/>
      </c>
      <c r="AT446" s="580" t="str">
        <f t="shared" si="48"/>
        <v/>
      </c>
      <c r="AU446" s="582" t="str">
        <f t="shared" si="49"/>
        <v/>
      </c>
      <c r="AV446" s="584" t="str">
        <f t="shared" si="50"/>
        <v/>
      </c>
      <c r="AW446" s="662" t="str">
        <f>IFERROR(VLOOKUP(功能_33[[#This Row],[功能代號]],工作表3!C:C,1,FALSE),"未計SIT測試")</f>
        <v>未計SIT測試</v>
      </c>
    </row>
    <row r="447" spans="3:49" ht="13.5" x14ac:dyDescent="0.3">
      <c r="C447" s="292" t="s">
        <v>97</v>
      </c>
      <c r="D447" s="292" t="s">
        <v>2827</v>
      </c>
      <c r="E447" s="291" t="s">
        <v>1205</v>
      </c>
      <c r="F447" s="292" t="s">
        <v>1206</v>
      </c>
      <c r="G447" s="292" t="s">
        <v>1134</v>
      </c>
      <c r="H447" s="291" t="s">
        <v>136</v>
      </c>
      <c r="I447" s="291" t="s">
        <v>137</v>
      </c>
      <c r="J447" s="298" t="s">
        <v>3181</v>
      </c>
      <c r="K447" s="299">
        <v>44519</v>
      </c>
      <c r="L447" s="299">
        <v>44517</v>
      </c>
      <c r="M447" s="299">
        <v>44536</v>
      </c>
      <c r="N447" s="291" t="s">
        <v>7</v>
      </c>
      <c r="O447" s="291" t="s">
        <v>25</v>
      </c>
      <c r="T447" s="291"/>
      <c r="V447" s="291"/>
      <c r="W447" s="291"/>
      <c r="X447" s="292" t="str">
        <f>VLOOKUP(功能_33[[#This Row],[User]],SKL放款!A:G,7,FALSE)</f>
        <v>放款管理課</v>
      </c>
      <c r="Y447" s="299">
        <v>44533</v>
      </c>
      <c r="Z447" s="299" t="s">
        <v>195</v>
      </c>
      <c r="AA447" s="299">
        <v>44540</v>
      </c>
      <c r="AB447" s="299">
        <v>44540</v>
      </c>
      <c r="AC447" s="299">
        <v>44545</v>
      </c>
      <c r="AD447" s="299"/>
      <c r="AE447" s="299"/>
      <c r="AF447" s="355"/>
      <c r="AG447" s="299" t="str">
        <f>IFERROR(IF(VLOOKUP(功能_33[[#This Row],[功能代號]],E:Q,11,FALSE)=0,"",VLOOKUP(功能_33[[#This Row],[功能代號]],E:Q,11,FALSE)),"")</f>
        <v>邱怡婷</v>
      </c>
      <c r="AH447" s="299"/>
      <c r="AI447" s="299"/>
      <c r="AJ447" s="292"/>
      <c r="AL447" s="291" t="s">
        <v>2976</v>
      </c>
      <c r="AN447" s="292" t="e">
        <f>VLOOKUP(功能_33[[#This Row],[功能代號]],需二審tmp!A:A,1,FALSE)</f>
        <v>#N/A</v>
      </c>
      <c r="AO447" s="356">
        <v>44533</v>
      </c>
      <c r="AQ447" s="574" t="str">
        <f t="shared" si="45"/>
        <v>8-3</v>
      </c>
      <c r="AR447" s="576" t="str">
        <f t="shared" si="46"/>
        <v/>
      </c>
      <c r="AS447" s="578" t="str">
        <f t="shared" si="47"/>
        <v/>
      </c>
      <c r="AT447" s="580" t="str">
        <f t="shared" si="48"/>
        <v/>
      </c>
      <c r="AU447" s="582" t="str">
        <f t="shared" si="49"/>
        <v/>
      </c>
      <c r="AV447" s="584" t="str">
        <f t="shared" si="50"/>
        <v/>
      </c>
      <c r="AW447" s="662" t="str">
        <f>IFERROR(VLOOKUP(功能_33[[#This Row],[功能代號]],工作表3!C:C,1,FALSE),"未計SIT測試")</f>
        <v>未計SIT測試</v>
      </c>
    </row>
    <row r="448" spans="3:49" ht="13.5" x14ac:dyDescent="0.3">
      <c r="C448" s="292" t="s">
        <v>97</v>
      </c>
      <c r="D448" s="292" t="s">
        <v>2827</v>
      </c>
      <c r="E448" s="291" t="s">
        <v>1207</v>
      </c>
      <c r="F448" s="292" t="s">
        <v>1208</v>
      </c>
      <c r="G448" s="292" t="s">
        <v>1134</v>
      </c>
      <c r="H448" s="291" t="s">
        <v>136</v>
      </c>
      <c r="I448" s="291" t="s">
        <v>137</v>
      </c>
      <c r="J448" s="298" t="s">
        <v>3181</v>
      </c>
      <c r="K448" s="299">
        <v>44519</v>
      </c>
      <c r="L448" s="299">
        <v>44517</v>
      </c>
      <c r="M448" s="299">
        <v>44536</v>
      </c>
      <c r="N448" s="291" t="s">
        <v>7</v>
      </c>
      <c r="O448" s="291" t="s">
        <v>25</v>
      </c>
      <c r="T448" s="291"/>
      <c r="V448" s="291"/>
      <c r="W448" s="291"/>
      <c r="X448" s="292" t="str">
        <f>VLOOKUP(功能_33[[#This Row],[User]],SKL放款!A:G,7,FALSE)</f>
        <v>放款管理課</v>
      </c>
      <c r="Y448" s="299">
        <v>44533</v>
      </c>
      <c r="Z448" s="299" t="s">
        <v>195</v>
      </c>
      <c r="AA448" s="299">
        <v>44540</v>
      </c>
      <c r="AB448" s="299">
        <v>44540</v>
      </c>
      <c r="AC448" s="299">
        <v>44545</v>
      </c>
      <c r="AD448" s="299"/>
      <c r="AE448" s="299"/>
      <c r="AF448" s="355"/>
      <c r="AG448" s="299" t="str">
        <f>IFERROR(IF(VLOOKUP(功能_33[[#This Row],[功能代號]],E:Q,11,FALSE)=0,"",VLOOKUP(功能_33[[#This Row],[功能代號]],E:Q,11,FALSE)),"")</f>
        <v>邱怡婷</v>
      </c>
      <c r="AH448" s="299"/>
      <c r="AI448" s="299"/>
      <c r="AJ448" s="292"/>
      <c r="AL448" s="291" t="s">
        <v>2976</v>
      </c>
      <c r="AN448" s="292" t="e">
        <f>VLOOKUP(功能_33[[#This Row],[功能代號]],需二審tmp!A:A,1,FALSE)</f>
        <v>#N/A</v>
      </c>
      <c r="AO448" s="356">
        <v>44533</v>
      </c>
      <c r="AQ448" s="574" t="str">
        <f t="shared" si="45"/>
        <v>8-3</v>
      </c>
      <c r="AR448" s="576" t="str">
        <f t="shared" si="46"/>
        <v/>
      </c>
      <c r="AS448" s="578" t="str">
        <f t="shared" si="47"/>
        <v/>
      </c>
      <c r="AT448" s="580" t="str">
        <f t="shared" si="48"/>
        <v/>
      </c>
      <c r="AU448" s="582" t="str">
        <f t="shared" si="49"/>
        <v/>
      </c>
      <c r="AV448" s="584" t="str">
        <f t="shared" si="50"/>
        <v/>
      </c>
      <c r="AW448" s="662" t="str">
        <f>IFERROR(VLOOKUP(功能_33[[#This Row],[功能代號]],工作表3!C:C,1,FALSE),"未計SIT測試")</f>
        <v>未計SIT測試</v>
      </c>
    </row>
    <row r="449" spans="3:49" ht="13.5" x14ac:dyDescent="0.3">
      <c r="C449" s="292" t="s">
        <v>97</v>
      </c>
      <c r="D449" s="292" t="s">
        <v>2827</v>
      </c>
      <c r="E449" s="291" t="s">
        <v>1209</v>
      </c>
      <c r="F449" s="292" t="s">
        <v>1210</v>
      </c>
      <c r="G449" s="292" t="s">
        <v>1134</v>
      </c>
      <c r="H449" s="291" t="s">
        <v>136</v>
      </c>
      <c r="I449" s="291" t="s">
        <v>137</v>
      </c>
      <c r="J449" s="298" t="s">
        <v>3181</v>
      </c>
      <c r="K449" s="299">
        <v>44515</v>
      </c>
      <c r="L449" s="299">
        <v>44517</v>
      </c>
      <c r="M449" s="299">
        <v>44545</v>
      </c>
      <c r="N449" s="291" t="s">
        <v>7</v>
      </c>
      <c r="O449" s="291" t="s">
        <v>25</v>
      </c>
      <c r="T449" s="291"/>
      <c r="V449" s="291"/>
      <c r="W449" s="291"/>
      <c r="X449" s="292" t="str">
        <f>VLOOKUP(功能_33[[#This Row],[User]],SKL放款!A:G,7,FALSE)</f>
        <v>放款管理課</v>
      </c>
      <c r="Y449" s="299">
        <v>44545</v>
      </c>
      <c r="Z449" s="299" t="s">
        <v>2733</v>
      </c>
      <c r="AA449" s="299">
        <v>44540</v>
      </c>
      <c r="AB449" s="299">
        <v>44540</v>
      </c>
      <c r="AC449" s="299">
        <v>44545</v>
      </c>
      <c r="AD449" s="299"/>
      <c r="AE449" s="299"/>
      <c r="AF449" s="355"/>
      <c r="AG449" s="299" t="str">
        <f>IFERROR(IF(VLOOKUP(功能_33[[#This Row],[功能代號]],E:Q,11,FALSE)=0,"",VLOOKUP(功能_33[[#This Row],[功能代號]],E:Q,11,FALSE)),"")</f>
        <v>邱怡婷</v>
      </c>
      <c r="AH449" s="299"/>
      <c r="AI449" s="299"/>
      <c r="AJ449" s="292"/>
      <c r="AL449" s="291" t="s">
        <v>3054</v>
      </c>
      <c r="AM449" s="292" t="s">
        <v>3169</v>
      </c>
      <c r="AN449" s="292" t="e">
        <f>VLOOKUP(功能_33[[#This Row],[功能代號]],需二審tmp!A:A,1,FALSE)</f>
        <v>#N/A</v>
      </c>
      <c r="AQ449" s="574" t="str">
        <f t="shared" si="45"/>
        <v>8-3</v>
      </c>
      <c r="AR449" s="576" t="str">
        <f t="shared" si="46"/>
        <v/>
      </c>
      <c r="AS449" s="578" t="str">
        <f t="shared" si="47"/>
        <v/>
      </c>
      <c r="AT449" s="580" t="str">
        <f t="shared" si="48"/>
        <v/>
      </c>
      <c r="AU449" s="582" t="str">
        <f t="shared" si="49"/>
        <v/>
      </c>
      <c r="AV449" s="584" t="str">
        <f t="shared" si="50"/>
        <v/>
      </c>
      <c r="AW449" s="662" t="str">
        <f>IFERROR(VLOOKUP(功能_33[[#This Row],[功能代號]],工作表3!C:C,1,FALSE),"未計SIT測試")</f>
        <v>未計SIT測試</v>
      </c>
    </row>
    <row r="450" spans="3:49" ht="13.5" x14ac:dyDescent="0.3">
      <c r="C450" s="292" t="s">
        <v>97</v>
      </c>
      <c r="D450" s="292" t="s">
        <v>2827</v>
      </c>
      <c r="E450" s="291" t="s">
        <v>1211</v>
      </c>
      <c r="F450" s="292" t="s">
        <v>1212</v>
      </c>
      <c r="G450" s="292" t="s">
        <v>1134</v>
      </c>
      <c r="H450" s="291" t="s">
        <v>136</v>
      </c>
      <c r="I450" s="291" t="s">
        <v>137</v>
      </c>
      <c r="J450" s="298" t="s">
        <v>3181</v>
      </c>
      <c r="K450" s="299">
        <v>44515</v>
      </c>
      <c r="L450" s="299">
        <v>44517</v>
      </c>
      <c r="M450" s="299">
        <v>44545</v>
      </c>
      <c r="N450" s="291" t="s">
        <v>7</v>
      </c>
      <c r="O450" s="291" t="s">
        <v>25</v>
      </c>
      <c r="T450" s="291"/>
      <c r="V450" s="291"/>
      <c r="W450" s="291"/>
      <c r="X450" s="292" t="str">
        <f>VLOOKUP(功能_33[[#This Row],[User]],SKL放款!A:G,7,FALSE)</f>
        <v>放款管理課</v>
      </c>
      <c r="Y450" s="299">
        <v>44545</v>
      </c>
      <c r="Z450" s="299" t="s">
        <v>2733</v>
      </c>
      <c r="AA450" s="299">
        <v>44540</v>
      </c>
      <c r="AB450" s="299">
        <v>44540</v>
      </c>
      <c r="AC450" s="299">
        <v>44545</v>
      </c>
      <c r="AD450" s="299"/>
      <c r="AE450" s="299"/>
      <c r="AF450" s="355"/>
      <c r="AG450" s="299" t="str">
        <f>IFERROR(IF(VLOOKUP(功能_33[[#This Row],[功能代號]],E:Q,11,FALSE)=0,"",VLOOKUP(功能_33[[#This Row],[功能代號]],E:Q,11,FALSE)),"")</f>
        <v>邱怡婷</v>
      </c>
      <c r="AH450" s="299"/>
      <c r="AI450" s="299"/>
      <c r="AJ450" s="292"/>
      <c r="AL450" s="291" t="s">
        <v>3054</v>
      </c>
      <c r="AM450" s="292" t="s">
        <v>3169</v>
      </c>
      <c r="AN450" s="292" t="e">
        <f>VLOOKUP(功能_33[[#This Row],[功能代號]],需二審tmp!A:A,1,FALSE)</f>
        <v>#N/A</v>
      </c>
      <c r="AQ450" s="574" t="str">
        <f t="shared" si="45"/>
        <v>8-3</v>
      </c>
      <c r="AR450" s="576" t="str">
        <f t="shared" si="46"/>
        <v/>
      </c>
      <c r="AS450" s="578" t="str">
        <f t="shared" si="47"/>
        <v/>
      </c>
      <c r="AT450" s="580" t="str">
        <f t="shared" si="48"/>
        <v/>
      </c>
      <c r="AU450" s="582" t="str">
        <f t="shared" si="49"/>
        <v/>
      </c>
      <c r="AV450" s="584" t="str">
        <f t="shared" si="50"/>
        <v/>
      </c>
      <c r="AW450" s="662" t="str">
        <f>IFERROR(VLOOKUP(功能_33[[#This Row],[功能代號]],工作表3!C:C,1,FALSE),"未計SIT測試")</f>
        <v>未計SIT測試</v>
      </c>
    </row>
    <row r="451" spans="3:49" ht="13.5" x14ac:dyDescent="0.3">
      <c r="C451" s="292" t="s">
        <v>97</v>
      </c>
      <c r="D451" s="292" t="s">
        <v>2827</v>
      </c>
      <c r="E451" s="291" t="s">
        <v>1213</v>
      </c>
      <c r="F451" s="292" t="s">
        <v>1214</v>
      </c>
      <c r="G451" s="292" t="s">
        <v>1134</v>
      </c>
      <c r="H451" s="291" t="s">
        <v>136</v>
      </c>
      <c r="I451" s="291" t="s">
        <v>137</v>
      </c>
      <c r="J451" s="298" t="s">
        <v>3181</v>
      </c>
      <c r="K451" s="299">
        <v>44515</v>
      </c>
      <c r="L451" s="299">
        <v>44517</v>
      </c>
      <c r="M451" s="299">
        <v>44545</v>
      </c>
      <c r="N451" s="291" t="s">
        <v>7</v>
      </c>
      <c r="O451" s="291" t="s">
        <v>25</v>
      </c>
      <c r="T451" s="291"/>
      <c r="V451" s="291"/>
      <c r="W451" s="291"/>
      <c r="X451" s="292" t="str">
        <f>VLOOKUP(功能_33[[#This Row],[User]],SKL放款!A:G,7,FALSE)</f>
        <v>放款管理課</v>
      </c>
      <c r="Y451" s="299">
        <v>44545</v>
      </c>
      <c r="Z451" s="299" t="s">
        <v>2733</v>
      </c>
      <c r="AA451" s="299">
        <v>44540</v>
      </c>
      <c r="AB451" s="299">
        <v>44540</v>
      </c>
      <c r="AC451" s="299">
        <v>44545</v>
      </c>
      <c r="AD451" s="299"/>
      <c r="AE451" s="299"/>
      <c r="AF451" s="355"/>
      <c r="AG451" s="299" t="str">
        <f>IFERROR(IF(VLOOKUP(功能_33[[#This Row],[功能代號]],E:Q,11,FALSE)=0,"",VLOOKUP(功能_33[[#This Row],[功能代號]],E:Q,11,FALSE)),"")</f>
        <v>邱怡婷</v>
      </c>
      <c r="AH451" s="299"/>
      <c r="AI451" s="299"/>
      <c r="AJ451" s="292"/>
      <c r="AL451" s="291" t="s">
        <v>3054</v>
      </c>
      <c r="AM451" s="292" t="s">
        <v>3169</v>
      </c>
      <c r="AN451" s="292" t="e">
        <f>VLOOKUP(功能_33[[#This Row],[功能代號]],需二審tmp!A:A,1,FALSE)</f>
        <v>#N/A</v>
      </c>
      <c r="AQ451" s="574" t="str">
        <f t="shared" si="45"/>
        <v>8-3</v>
      </c>
      <c r="AR451" s="576" t="str">
        <f t="shared" si="46"/>
        <v/>
      </c>
      <c r="AS451" s="578" t="str">
        <f t="shared" si="47"/>
        <v/>
      </c>
      <c r="AT451" s="580" t="str">
        <f t="shared" si="48"/>
        <v/>
      </c>
      <c r="AU451" s="582" t="str">
        <f t="shared" si="49"/>
        <v/>
      </c>
      <c r="AV451" s="584" t="str">
        <f t="shared" si="50"/>
        <v/>
      </c>
      <c r="AW451" s="662" t="str">
        <f>IFERROR(VLOOKUP(功能_33[[#This Row],[功能代號]],工作表3!C:C,1,FALSE),"未計SIT測試")</f>
        <v>未計SIT測試</v>
      </c>
    </row>
    <row r="452" spans="3:49" ht="13.5" x14ac:dyDescent="0.3">
      <c r="C452" s="292" t="s">
        <v>97</v>
      </c>
      <c r="D452" s="292" t="s">
        <v>2827</v>
      </c>
      <c r="E452" s="291" t="s">
        <v>1215</v>
      </c>
      <c r="F452" s="292" t="s">
        <v>1216</v>
      </c>
      <c r="G452" s="292" t="s">
        <v>1134</v>
      </c>
      <c r="H452" s="291" t="s">
        <v>136</v>
      </c>
      <c r="I452" s="291" t="s">
        <v>137</v>
      </c>
      <c r="J452" s="298" t="s">
        <v>3181</v>
      </c>
      <c r="K452" s="299">
        <v>44515</v>
      </c>
      <c r="L452" s="299">
        <v>44517</v>
      </c>
      <c r="M452" s="299">
        <v>44545</v>
      </c>
      <c r="N452" s="291" t="s">
        <v>7</v>
      </c>
      <c r="O452" s="291" t="s">
        <v>25</v>
      </c>
      <c r="T452" s="291"/>
      <c r="V452" s="291"/>
      <c r="W452" s="291"/>
      <c r="X452" s="292" t="str">
        <f>VLOOKUP(功能_33[[#This Row],[User]],SKL放款!A:G,7,FALSE)</f>
        <v>放款管理課</v>
      </c>
      <c r="Y452" s="299">
        <v>44545</v>
      </c>
      <c r="Z452" s="299" t="s">
        <v>2733</v>
      </c>
      <c r="AA452" s="299">
        <v>44540</v>
      </c>
      <c r="AB452" s="299">
        <v>44540</v>
      </c>
      <c r="AC452" s="299">
        <v>44545</v>
      </c>
      <c r="AD452" s="299"/>
      <c r="AE452" s="299"/>
      <c r="AF452" s="355"/>
      <c r="AG452" s="299" t="str">
        <f>IFERROR(IF(VLOOKUP(功能_33[[#This Row],[功能代號]],E:Q,11,FALSE)=0,"",VLOOKUP(功能_33[[#This Row],[功能代號]],E:Q,11,FALSE)),"")</f>
        <v>邱怡婷</v>
      </c>
      <c r="AH452" s="299"/>
      <c r="AI452" s="299"/>
      <c r="AJ452" s="292"/>
      <c r="AL452" s="291" t="s">
        <v>3054</v>
      </c>
      <c r="AM452" s="292" t="s">
        <v>3169</v>
      </c>
      <c r="AN452" s="292" t="e">
        <f>VLOOKUP(功能_33[[#This Row],[功能代號]],需二審tmp!A:A,1,FALSE)</f>
        <v>#N/A</v>
      </c>
      <c r="AQ452" s="574" t="str">
        <f t="shared" si="45"/>
        <v>8-3</v>
      </c>
      <c r="AR452" s="576" t="str">
        <f t="shared" si="46"/>
        <v/>
      </c>
      <c r="AS452" s="578" t="str">
        <f t="shared" si="47"/>
        <v/>
      </c>
      <c r="AT452" s="580" t="str">
        <f t="shared" si="48"/>
        <v/>
      </c>
      <c r="AU452" s="582" t="str">
        <f t="shared" si="49"/>
        <v/>
      </c>
      <c r="AV452" s="584" t="str">
        <f t="shared" si="50"/>
        <v/>
      </c>
      <c r="AW452" s="662" t="str">
        <f>IFERROR(VLOOKUP(功能_33[[#This Row],[功能代號]],工作表3!C:C,1,FALSE),"未計SIT測試")</f>
        <v>未計SIT測試</v>
      </c>
    </row>
    <row r="453" spans="3:49" ht="13.5" x14ac:dyDescent="0.3">
      <c r="C453" s="292" t="s">
        <v>97</v>
      </c>
      <c r="D453" s="292" t="s">
        <v>2827</v>
      </c>
      <c r="E453" s="291" t="s">
        <v>1217</v>
      </c>
      <c r="F453" s="292" t="s">
        <v>1218</v>
      </c>
      <c r="G453" s="292" t="s">
        <v>1134</v>
      </c>
      <c r="H453" s="291" t="s">
        <v>136</v>
      </c>
      <c r="I453" s="291" t="s">
        <v>137</v>
      </c>
      <c r="J453" s="298" t="s">
        <v>3181</v>
      </c>
      <c r="K453" s="299">
        <v>44515</v>
      </c>
      <c r="L453" s="299">
        <v>44517</v>
      </c>
      <c r="M453" s="299">
        <v>44545</v>
      </c>
      <c r="N453" s="291" t="s">
        <v>7</v>
      </c>
      <c r="O453" s="291" t="s">
        <v>25</v>
      </c>
      <c r="T453" s="291"/>
      <c r="V453" s="291"/>
      <c r="W453" s="291"/>
      <c r="X453" s="292" t="str">
        <f>VLOOKUP(功能_33[[#This Row],[User]],SKL放款!A:G,7,FALSE)</f>
        <v>放款管理課</v>
      </c>
      <c r="Y453" s="299">
        <v>44545</v>
      </c>
      <c r="Z453" s="299" t="s">
        <v>2733</v>
      </c>
      <c r="AA453" s="299">
        <v>44540</v>
      </c>
      <c r="AB453" s="299">
        <v>44540</v>
      </c>
      <c r="AC453" s="299">
        <v>44545</v>
      </c>
      <c r="AD453" s="299"/>
      <c r="AE453" s="299"/>
      <c r="AF453" s="355"/>
      <c r="AG453" s="299" t="str">
        <f>IFERROR(IF(VLOOKUP(功能_33[[#This Row],[功能代號]],E:Q,11,FALSE)=0,"",VLOOKUP(功能_33[[#This Row],[功能代號]],E:Q,11,FALSE)),"")</f>
        <v>邱怡婷</v>
      </c>
      <c r="AH453" s="299"/>
      <c r="AI453" s="299"/>
      <c r="AJ453" s="292"/>
      <c r="AL453" s="291" t="s">
        <v>3054</v>
      </c>
      <c r="AM453" s="292" t="s">
        <v>3169</v>
      </c>
      <c r="AN453" s="292" t="e">
        <f>VLOOKUP(功能_33[[#This Row],[功能代號]],需二審tmp!A:A,1,FALSE)</f>
        <v>#N/A</v>
      </c>
      <c r="AQ453" s="574" t="str">
        <f t="shared" si="45"/>
        <v>8-3</v>
      </c>
      <c r="AR453" s="576" t="str">
        <f t="shared" si="46"/>
        <v/>
      </c>
      <c r="AS453" s="578" t="str">
        <f t="shared" si="47"/>
        <v/>
      </c>
      <c r="AT453" s="580" t="str">
        <f t="shared" si="48"/>
        <v/>
      </c>
      <c r="AU453" s="582" t="str">
        <f t="shared" si="49"/>
        <v/>
      </c>
      <c r="AV453" s="584" t="str">
        <f t="shared" si="50"/>
        <v/>
      </c>
      <c r="AW453" s="662" t="str">
        <f>IFERROR(VLOOKUP(功能_33[[#This Row],[功能代號]],工作表3!C:C,1,FALSE),"未計SIT測試")</f>
        <v>未計SIT測試</v>
      </c>
    </row>
    <row r="454" spans="3:49" ht="13.5" x14ac:dyDescent="0.3">
      <c r="C454" s="292" t="s">
        <v>97</v>
      </c>
      <c r="D454" s="292" t="s">
        <v>2827</v>
      </c>
      <c r="E454" s="291" t="s">
        <v>1219</v>
      </c>
      <c r="F454" s="292" t="s">
        <v>1220</v>
      </c>
      <c r="G454" s="292" t="s">
        <v>1134</v>
      </c>
      <c r="H454" s="291" t="s">
        <v>136</v>
      </c>
      <c r="I454" s="291" t="s">
        <v>137</v>
      </c>
      <c r="J454" s="298" t="s">
        <v>3181</v>
      </c>
      <c r="K454" s="299">
        <v>44515</v>
      </c>
      <c r="L454" s="299">
        <v>44517</v>
      </c>
      <c r="M454" s="299">
        <v>44545</v>
      </c>
      <c r="N454" s="291" t="s">
        <v>7</v>
      </c>
      <c r="O454" s="291" t="s">
        <v>25</v>
      </c>
      <c r="T454" s="291"/>
      <c r="V454" s="291"/>
      <c r="W454" s="291"/>
      <c r="X454" s="292" t="str">
        <f>VLOOKUP(功能_33[[#This Row],[User]],SKL放款!A:G,7,FALSE)</f>
        <v>放款管理課</v>
      </c>
      <c r="Y454" s="299">
        <v>44545</v>
      </c>
      <c r="Z454" s="299" t="s">
        <v>2733</v>
      </c>
      <c r="AA454" s="299">
        <v>44540</v>
      </c>
      <c r="AB454" s="299">
        <v>44540</v>
      </c>
      <c r="AC454" s="299">
        <v>44545</v>
      </c>
      <c r="AD454" s="299"/>
      <c r="AE454" s="299"/>
      <c r="AF454" s="355"/>
      <c r="AG454" s="299" t="str">
        <f>IFERROR(IF(VLOOKUP(功能_33[[#This Row],[功能代號]],E:Q,11,FALSE)=0,"",VLOOKUP(功能_33[[#This Row],[功能代號]],E:Q,11,FALSE)),"")</f>
        <v>邱怡婷</v>
      </c>
      <c r="AH454" s="299"/>
      <c r="AI454" s="299"/>
      <c r="AJ454" s="292"/>
      <c r="AL454" s="291" t="s">
        <v>3054</v>
      </c>
      <c r="AM454" s="292" t="s">
        <v>3169</v>
      </c>
      <c r="AN454" s="292" t="e">
        <f>VLOOKUP(功能_33[[#This Row],[功能代號]],需二審tmp!A:A,1,FALSE)</f>
        <v>#N/A</v>
      </c>
      <c r="AQ454" s="574" t="str">
        <f t="shared" si="45"/>
        <v>8-3</v>
      </c>
      <c r="AR454" s="576" t="str">
        <f t="shared" si="46"/>
        <v/>
      </c>
      <c r="AS454" s="578" t="str">
        <f t="shared" si="47"/>
        <v/>
      </c>
      <c r="AT454" s="580" t="str">
        <f t="shared" si="48"/>
        <v/>
      </c>
      <c r="AU454" s="582" t="str">
        <f t="shared" si="49"/>
        <v/>
      </c>
      <c r="AV454" s="584" t="str">
        <f t="shared" si="50"/>
        <v/>
      </c>
      <c r="AW454" s="662" t="str">
        <f>IFERROR(VLOOKUP(功能_33[[#This Row],[功能代號]],工作表3!C:C,1,FALSE),"未計SIT測試")</f>
        <v>未計SIT測試</v>
      </c>
    </row>
    <row r="455" spans="3:49" ht="13.5" x14ac:dyDescent="0.3">
      <c r="C455" s="292" t="s">
        <v>97</v>
      </c>
      <c r="D455" s="292" t="s">
        <v>2827</v>
      </c>
      <c r="E455" s="291" t="s">
        <v>1221</v>
      </c>
      <c r="F455" s="292" t="s">
        <v>1222</v>
      </c>
      <c r="G455" s="292" t="s">
        <v>1134</v>
      </c>
      <c r="H455" s="291" t="s">
        <v>136</v>
      </c>
      <c r="I455" s="291" t="s">
        <v>137</v>
      </c>
      <c r="J455" s="298" t="s">
        <v>3181</v>
      </c>
      <c r="K455" s="299">
        <v>44515</v>
      </c>
      <c r="L455" s="299">
        <v>44517</v>
      </c>
      <c r="M455" s="299">
        <v>44545</v>
      </c>
      <c r="N455" s="291" t="s">
        <v>7</v>
      </c>
      <c r="O455" s="291" t="s">
        <v>25</v>
      </c>
      <c r="T455" s="291"/>
      <c r="V455" s="291"/>
      <c r="W455" s="291"/>
      <c r="X455" s="292" t="str">
        <f>VLOOKUP(功能_33[[#This Row],[User]],SKL放款!A:G,7,FALSE)</f>
        <v>放款管理課</v>
      </c>
      <c r="Y455" s="299">
        <v>44545</v>
      </c>
      <c r="Z455" s="299" t="s">
        <v>2733</v>
      </c>
      <c r="AA455" s="299">
        <v>44540</v>
      </c>
      <c r="AB455" s="299">
        <v>44540</v>
      </c>
      <c r="AC455" s="299">
        <v>44545</v>
      </c>
      <c r="AD455" s="299"/>
      <c r="AE455" s="299"/>
      <c r="AF455" s="355"/>
      <c r="AG455" s="299" t="str">
        <f>IFERROR(IF(VLOOKUP(功能_33[[#This Row],[功能代號]],E:Q,11,FALSE)=0,"",VLOOKUP(功能_33[[#This Row],[功能代號]],E:Q,11,FALSE)),"")</f>
        <v>邱怡婷</v>
      </c>
      <c r="AH455" s="299"/>
      <c r="AI455" s="299"/>
      <c r="AJ455" s="292"/>
      <c r="AL455" s="291" t="s">
        <v>3054</v>
      </c>
      <c r="AM455" s="292" t="s">
        <v>3169</v>
      </c>
      <c r="AN455" s="292" t="e">
        <f>VLOOKUP(功能_33[[#This Row],[功能代號]],需二審tmp!A:A,1,FALSE)</f>
        <v>#N/A</v>
      </c>
      <c r="AQ455" s="574" t="str">
        <f t="shared" si="45"/>
        <v>8-3</v>
      </c>
      <c r="AR455" s="576" t="str">
        <f t="shared" si="46"/>
        <v/>
      </c>
      <c r="AS455" s="578" t="str">
        <f t="shared" si="47"/>
        <v/>
      </c>
      <c r="AT455" s="580" t="str">
        <f t="shared" si="48"/>
        <v/>
      </c>
      <c r="AU455" s="582" t="str">
        <f t="shared" si="49"/>
        <v/>
      </c>
      <c r="AV455" s="584" t="str">
        <f t="shared" si="50"/>
        <v/>
      </c>
      <c r="AW455" s="662" t="str">
        <f>IFERROR(VLOOKUP(功能_33[[#This Row],[功能代號]],工作表3!C:C,1,FALSE),"未計SIT測試")</f>
        <v>未計SIT測試</v>
      </c>
    </row>
    <row r="456" spans="3:49" ht="13.5" x14ac:dyDescent="0.3">
      <c r="C456" s="292" t="s">
        <v>97</v>
      </c>
      <c r="D456" s="292" t="s">
        <v>2827</v>
      </c>
      <c r="E456" s="291" t="s">
        <v>1223</v>
      </c>
      <c r="F456" s="292" t="s">
        <v>1224</v>
      </c>
      <c r="G456" s="292" t="s">
        <v>1134</v>
      </c>
      <c r="H456" s="291" t="s">
        <v>136</v>
      </c>
      <c r="I456" s="291" t="s">
        <v>137</v>
      </c>
      <c r="J456" s="298" t="s">
        <v>3181</v>
      </c>
      <c r="K456" s="299">
        <v>44515</v>
      </c>
      <c r="L456" s="299">
        <v>44517</v>
      </c>
      <c r="M456" s="299">
        <v>44545</v>
      </c>
      <c r="N456" s="291" t="s">
        <v>7</v>
      </c>
      <c r="O456" s="291" t="s">
        <v>25</v>
      </c>
      <c r="T456" s="291"/>
      <c r="V456" s="291"/>
      <c r="W456" s="291"/>
      <c r="X456" s="292" t="str">
        <f>VLOOKUP(功能_33[[#This Row],[User]],SKL放款!A:G,7,FALSE)</f>
        <v>放款管理課</v>
      </c>
      <c r="Y456" s="299">
        <v>44545</v>
      </c>
      <c r="Z456" s="299" t="s">
        <v>2733</v>
      </c>
      <c r="AA456" s="299">
        <v>44540</v>
      </c>
      <c r="AB456" s="299">
        <v>44540</v>
      </c>
      <c r="AC456" s="299">
        <v>44545</v>
      </c>
      <c r="AD456" s="299"/>
      <c r="AE456" s="299"/>
      <c r="AF456" s="355"/>
      <c r="AG456" s="299" t="str">
        <f>IFERROR(IF(VLOOKUP(功能_33[[#This Row],[功能代號]],E:Q,11,FALSE)=0,"",VLOOKUP(功能_33[[#This Row],[功能代號]],E:Q,11,FALSE)),"")</f>
        <v>邱怡婷</v>
      </c>
      <c r="AH456" s="299"/>
      <c r="AI456" s="299"/>
      <c r="AJ456" s="292"/>
      <c r="AL456" s="291" t="s">
        <v>3054</v>
      </c>
      <c r="AM456" s="292" t="s">
        <v>3169</v>
      </c>
      <c r="AN456" s="292" t="e">
        <f>VLOOKUP(功能_33[[#This Row],[功能代號]],需二審tmp!A:A,1,FALSE)</f>
        <v>#N/A</v>
      </c>
      <c r="AQ456" s="574" t="str">
        <f t="shared" si="45"/>
        <v>8-3</v>
      </c>
      <c r="AR456" s="576" t="str">
        <f t="shared" si="46"/>
        <v/>
      </c>
      <c r="AS456" s="578" t="str">
        <f t="shared" si="47"/>
        <v/>
      </c>
      <c r="AT456" s="580" t="str">
        <f t="shared" si="48"/>
        <v/>
      </c>
      <c r="AU456" s="582" t="str">
        <f t="shared" si="49"/>
        <v/>
      </c>
      <c r="AV456" s="584" t="str">
        <f t="shared" si="50"/>
        <v/>
      </c>
      <c r="AW456" s="662" t="str">
        <f>IFERROR(VLOOKUP(功能_33[[#This Row],[功能代號]],工作表3!C:C,1,FALSE),"未計SIT測試")</f>
        <v>未計SIT測試</v>
      </c>
    </row>
    <row r="457" spans="3:49" ht="13.5" x14ac:dyDescent="0.3">
      <c r="C457" s="292" t="s">
        <v>97</v>
      </c>
      <c r="D457" s="292" t="s">
        <v>2827</v>
      </c>
      <c r="E457" s="291" t="s">
        <v>1225</v>
      </c>
      <c r="F457" s="292" t="s">
        <v>1226</v>
      </c>
      <c r="G457" s="292" t="s">
        <v>1134</v>
      </c>
      <c r="H457" s="291" t="s">
        <v>136</v>
      </c>
      <c r="I457" s="291" t="s">
        <v>137</v>
      </c>
      <c r="J457" s="298" t="s">
        <v>3181</v>
      </c>
      <c r="K457" s="299">
        <v>44515</v>
      </c>
      <c r="L457" s="299">
        <v>44517</v>
      </c>
      <c r="M457" s="299">
        <v>44545</v>
      </c>
      <c r="N457" s="291" t="s">
        <v>7</v>
      </c>
      <c r="O457" s="291" t="s">
        <v>25</v>
      </c>
      <c r="T457" s="291"/>
      <c r="V457" s="291"/>
      <c r="W457" s="291"/>
      <c r="X457" s="292" t="str">
        <f>VLOOKUP(功能_33[[#This Row],[User]],SKL放款!A:G,7,FALSE)</f>
        <v>放款管理課</v>
      </c>
      <c r="Y457" s="299">
        <v>44545</v>
      </c>
      <c r="Z457" s="299" t="s">
        <v>2733</v>
      </c>
      <c r="AA457" s="299">
        <v>44540</v>
      </c>
      <c r="AB457" s="299">
        <v>44540</v>
      </c>
      <c r="AC457" s="299">
        <v>44545</v>
      </c>
      <c r="AD457" s="299"/>
      <c r="AE457" s="299"/>
      <c r="AF457" s="355"/>
      <c r="AG457" s="299" t="str">
        <f>IFERROR(IF(VLOOKUP(功能_33[[#This Row],[功能代號]],E:Q,11,FALSE)=0,"",VLOOKUP(功能_33[[#This Row],[功能代號]],E:Q,11,FALSE)),"")</f>
        <v>邱怡婷</v>
      </c>
      <c r="AH457" s="299"/>
      <c r="AI457" s="299"/>
      <c r="AJ457" s="292"/>
      <c r="AL457" s="291" t="s">
        <v>3054</v>
      </c>
      <c r="AM457" s="292" t="s">
        <v>3169</v>
      </c>
      <c r="AN457" s="292" t="e">
        <f>VLOOKUP(功能_33[[#This Row],[功能代號]],需二審tmp!A:A,1,FALSE)</f>
        <v>#N/A</v>
      </c>
      <c r="AQ457" s="574" t="str">
        <f t="shared" si="45"/>
        <v>8-3</v>
      </c>
      <c r="AR457" s="576" t="str">
        <f t="shared" si="46"/>
        <v/>
      </c>
      <c r="AS457" s="578" t="str">
        <f t="shared" si="47"/>
        <v/>
      </c>
      <c r="AT457" s="580" t="str">
        <f t="shared" si="48"/>
        <v/>
      </c>
      <c r="AU457" s="582" t="str">
        <f t="shared" si="49"/>
        <v/>
      </c>
      <c r="AV457" s="584" t="str">
        <f t="shared" si="50"/>
        <v/>
      </c>
      <c r="AW457" s="662" t="str">
        <f>IFERROR(VLOOKUP(功能_33[[#This Row],[功能代號]],工作表3!C:C,1,FALSE),"未計SIT測試")</f>
        <v>未計SIT測試</v>
      </c>
    </row>
    <row r="458" spans="3:49" ht="13.5" x14ac:dyDescent="0.3">
      <c r="C458" s="292" t="s">
        <v>97</v>
      </c>
      <c r="D458" s="292" t="s">
        <v>2827</v>
      </c>
      <c r="E458" s="291" t="s">
        <v>1227</v>
      </c>
      <c r="F458" s="292" t="s">
        <v>1228</v>
      </c>
      <c r="G458" s="292" t="s">
        <v>1134</v>
      </c>
      <c r="H458" s="291" t="s">
        <v>136</v>
      </c>
      <c r="I458" s="291" t="s">
        <v>137</v>
      </c>
      <c r="J458" s="298" t="s">
        <v>3181</v>
      </c>
      <c r="K458" s="299">
        <v>44515</v>
      </c>
      <c r="L458" s="299">
        <v>44517</v>
      </c>
      <c r="M458" s="299">
        <v>44545</v>
      </c>
      <c r="N458" s="291" t="s">
        <v>7</v>
      </c>
      <c r="O458" s="291" t="s">
        <v>25</v>
      </c>
      <c r="T458" s="291"/>
      <c r="V458" s="291"/>
      <c r="W458" s="291"/>
      <c r="X458" s="292" t="str">
        <f>VLOOKUP(功能_33[[#This Row],[User]],SKL放款!A:G,7,FALSE)</f>
        <v>放款管理課</v>
      </c>
      <c r="Y458" s="299">
        <v>44545</v>
      </c>
      <c r="Z458" s="299" t="s">
        <v>2733</v>
      </c>
      <c r="AA458" s="299">
        <v>44540</v>
      </c>
      <c r="AB458" s="299">
        <v>44540</v>
      </c>
      <c r="AC458" s="299">
        <v>44545</v>
      </c>
      <c r="AD458" s="299"/>
      <c r="AE458" s="299"/>
      <c r="AF458" s="355"/>
      <c r="AG458" s="299" t="str">
        <f>IFERROR(IF(VLOOKUP(功能_33[[#This Row],[功能代號]],E:Q,11,FALSE)=0,"",VLOOKUP(功能_33[[#This Row],[功能代號]],E:Q,11,FALSE)),"")</f>
        <v>邱怡婷</v>
      </c>
      <c r="AH458" s="299"/>
      <c r="AI458" s="299"/>
      <c r="AJ458" s="292"/>
      <c r="AL458" s="291" t="s">
        <v>3054</v>
      </c>
      <c r="AM458" s="292" t="s">
        <v>3169</v>
      </c>
      <c r="AN458" s="292" t="e">
        <f>VLOOKUP(功能_33[[#This Row],[功能代號]],需二審tmp!A:A,1,FALSE)</f>
        <v>#N/A</v>
      </c>
      <c r="AQ458" s="574" t="str">
        <f t="shared" si="45"/>
        <v>8-3</v>
      </c>
      <c r="AR458" s="576" t="str">
        <f t="shared" si="46"/>
        <v/>
      </c>
      <c r="AS458" s="578" t="str">
        <f t="shared" si="47"/>
        <v/>
      </c>
      <c r="AT458" s="580" t="str">
        <f t="shared" si="48"/>
        <v/>
      </c>
      <c r="AU458" s="582" t="str">
        <f t="shared" si="49"/>
        <v/>
      </c>
      <c r="AV458" s="584" t="str">
        <f t="shared" si="50"/>
        <v/>
      </c>
      <c r="AW458" s="662" t="str">
        <f>IFERROR(VLOOKUP(功能_33[[#This Row],[功能代號]],工作表3!C:C,1,FALSE),"未計SIT測試")</f>
        <v>未計SIT測試</v>
      </c>
    </row>
    <row r="459" spans="3:49" ht="13.5" x14ac:dyDescent="0.3">
      <c r="C459" s="292" t="s">
        <v>97</v>
      </c>
      <c r="D459" s="292" t="s">
        <v>2827</v>
      </c>
      <c r="E459" s="291" t="s">
        <v>1229</v>
      </c>
      <c r="F459" s="292" t="s">
        <v>1230</v>
      </c>
      <c r="G459" s="292" t="s">
        <v>1134</v>
      </c>
      <c r="H459" s="291" t="s">
        <v>136</v>
      </c>
      <c r="I459" s="291" t="s">
        <v>137</v>
      </c>
      <c r="J459" s="298" t="s">
        <v>3181</v>
      </c>
      <c r="K459" s="299">
        <v>44516</v>
      </c>
      <c r="L459" s="299">
        <v>44517</v>
      </c>
      <c r="M459" s="299">
        <v>44545</v>
      </c>
      <c r="N459" s="291" t="s">
        <v>7</v>
      </c>
      <c r="O459" s="291" t="s">
        <v>25</v>
      </c>
      <c r="T459" s="291"/>
      <c r="V459" s="291"/>
      <c r="W459" s="291"/>
      <c r="X459" s="292" t="str">
        <f>VLOOKUP(功能_33[[#This Row],[User]],SKL放款!A:G,7,FALSE)</f>
        <v>放款管理課</v>
      </c>
      <c r="Y459" s="299">
        <v>44545</v>
      </c>
      <c r="Z459" s="299" t="s">
        <v>2733</v>
      </c>
      <c r="AA459" s="299">
        <v>44540</v>
      </c>
      <c r="AB459" s="299">
        <v>44540</v>
      </c>
      <c r="AC459" s="299">
        <v>44545</v>
      </c>
      <c r="AD459" s="299"/>
      <c r="AE459" s="299"/>
      <c r="AF459" s="355"/>
      <c r="AG459" s="299" t="str">
        <f>IFERROR(IF(VLOOKUP(功能_33[[#This Row],[功能代號]],E:Q,11,FALSE)=0,"",VLOOKUP(功能_33[[#This Row],[功能代號]],E:Q,11,FALSE)),"")</f>
        <v>邱怡婷</v>
      </c>
      <c r="AH459" s="299"/>
      <c r="AI459" s="299"/>
      <c r="AJ459" s="292"/>
      <c r="AL459" s="291" t="s">
        <v>3054</v>
      </c>
      <c r="AM459" s="292" t="s">
        <v>3169</v>
      </c>
      <c r="AN459" s="292" t="e">
        <f>VLOOKUP(功能_33[[#This Row],[功能代號]],需二審tmp!A:A,1,FALSE)</f>
        <v>#N/A</v>
      </c>
      <c r="AQ459" s="574" t="str">
        <f t="shared" ref="AQ459:AQ522" si="51">IF(COUNTA(AC459)=1,LEFT(D459,3),"")</f>
        <v>8-3</v>
      </c>
      <c r="AR459" s="576" t="str">
        <f t="shared" ref="AR459:AR522" si="52">IF(AND(COUNTA(L459)=1,COUNTA(M459)=1,COUNTA(Y459)=1,COUNTA(AB459)=1,COUNTA(AC459)=0),LEFT(D459,3),"")</f>
        <v/>
      </c>
      <c r="AS459" s="578" t="str">
        <f t="shared" ref="AS459:AS522" si="53">IF(AND(COUNTA(L459)=1,COUNTA(M459)=1,COUNTA(Y459)=1,COUNTA(AB459)=0,COUNTA(AC459)=0),LEFT(D459,3),"")</f>
        <v/>
      </c>
      <c r="AT459" s="580" t="str">
        <f t="shared" ref="AT459:AT522" si="54">IF(AND(COUNTA(M459)=0,COUNTA(Y459)=1),LEFT(D459,3),"")</f>
        <v/>
      </c>
      <c r="AU459" s="582" t="str">
        <f t="shared" ref="AU459:AU522" si="55">IF(AND(COUNTA(M459)=1,COUNTA(Y459)=0),LEFT(D459,3),"")</f>
        <v/>
      </c>
      <c r="AV459" s="584" t="str">
        <f t="shared" ref="AV459:AV522" si="56">IF(AND(COUNTA(M459)=0,COUNTA(Y459)=0),LEFT(D459,3),"")</f>
        <v/>
      </c>
      <c r="AW459" s="662" t="str">
        <f>IFERROR(VLOOKUP(功能_33[[#This Row],[功能代號]],工作表3!C:C,1,FALSE),"未計SIT測試")</f>
        <v>未計SIT測試</v>
      </c>
    </row>
    <row r="460" spans="3:49" ht="13.5" x14ac:dyDescent="0.3">
      <c r="C460" s="292" t="s">
        <v>97</v>
      </c>
      <c r="D460" s="292" t="s">
        <v>2827</v>
      </c>
      <c r="E460" s="291" t="s">
        <v>1231</v>
      </c>
      <c r="F460" s="292" t="s">
        <v>1232</v>
      </c>
      <c r="G460" s="292" t="s">
        <v>1134</v>
      </c>
      <c r="H460" s="291" t="s">
        <v>136</v>
      </c>
      <c r="I460" s="291" t="s">
        <v>137</v>
      </c>
      <c r="J460" s="298" t="s">
        <v>3181</v>
      </c>
      <c r="K460" s="299">
        <v>44516</v>
      </c>
      <c r="L460" s="299">
        <v>44517</v>
      </c>
      <c r="M460" s="299">
        <v>44545</v>
      </c>
      <c r="N460" s="291" t="s">
        <v>7</v>
      </c>
      <c r="O460" s="291" t="s">
        <v>25</v>
      </c>
      <c r="T460" s="291"/>
      <c r="V460" s="291"/>
      <c r="W460" s="291"/>
      <c r="X460" s="292" t="str">
        <f>VLOOKUP(功能_33[[#This Row],[User]],SKL放款!A:G,7,FALSE)</f>
        <v>放款管理課</v>
      </c>
      <c r="Y460" s="299">
        <v>44545</v>
      </c>
      <c r="Z460" s="299" t="s">
        <v>2733</v>
      </c>
      <c r="AA460" s="299">
        <v>44540</v>
      </c>
      <c r="AB460" s="299">
        <v>44540</v>
      </c>
      <c r="AC460" s="299">
        <v>44545</v>
      </c>
      <c r="AD460" s="299"/>
      <c r="AE460" s="299"/>
      <c r="AF460" s="355"/>
      <c r="AG460" s="299" t="str">
        <f>IFERROR(IF(VLOOKUP(功能_33[[#This Row],[功能代號]],E:Q,11,FALSE)=0,"",VLOOKUP(功能_33[[#This Row],[功能代號]],E:Q,11,FALSE)),"")</f>
        <v>邱怡婷</v>
      </c>
      <c r="AH460" s="299"/>
      <c r="AI460" s="299"/>
      <c r="AJ460" s="292"/>
      <c r="AL460" s="291" t="s">
        <v>3054</v>
      </c>
      <c r="AM460" s="292" t="s">
        <v>3169</v>
      </c>
      <c r="AN460" s="292" t="e">
        <f>VLOOKUP(功能_33[[#This Row],[功能代號]],需二審tmp!A:A,1,FALSE)</f>
        <v>#N/A</v>
      </c>
      <c r="AQ460" s="574" t="str">
        <f t="shared" si="51"/>
        <v>8-3</v>
      </c>
      <c r="AR460" s="576" t="str">
        <f t="shared" si="52"/>
        <v/>
      </c>
      <c r="AS460" s="578" t="str">
        <f t="shared" si="53"/>
        <v/>
      </c>
      <c r="AT460" s="580" t="str">
        <f t="shared" si="54"/>
        <v/>
      </c>
      <c r="AU460" s="582" t="str">
        <f t="shared" si="55"/>
        <v/>
      </c>
      <c r="AV460" s="584" t="str">
        <f t="shared" si="56"/>
        <v/>
      </c>
      <c r="AW460" s="662" t="str">
        <f>IFERROR(VLOOKUP(功能_33[[#This Row],[功能代號]],工作表3!C:C,1,FALSE),"未計SIT測試")</f>
        <v>未計SIT測試</v>
      </c>
    </row>
    <row r="461" spans="3:49" ht="13.5" x14ac:dyDescent="0.3">
      <c r="C461" s="292" t="s">
        <v>97</v>
      </c>
      <c r="D461" s="292" t="s">
        <v>2827</v>
      </c>
      <c r="E461" s="291" t="s">
        <v>1233</v>
      </c>
      <c r="F461" s="292" t="s">
        <v>1234</v>
      </c>
      <c r="G461" s="292" t="s">
        <v>1134</v>
      </c>
      <c r="H461" s="291" t="s">
        <v>136</v>
      </c>
      <c r="I461" s="291" t="s">
        <v>137</v>
      </c>
      <c r="J461" s="298" t="s">
        <v>3181</v>
      </c>
      <c r="K461" s="299">
        <v>44516</v>
      </c>
      <c r="L461" s="299">
        <v>44517</v>
      </c>
      <c r="M461" s="299">
        <v>44545</v>
      </c>
      <c r="N461" s="291" t="s">
        <v>7</v>
      </c>
      <c r="O461" s="291" t="s">
        <v>25</v>
      </c>
      <c r="T461" s="291"/>
      <c r="V461" s="291"/>
      <c r="W461" s="291"/>
      <c r="X461" s="292" t="str">
        <f>VLOOKUP(功能_33[[#This Row],[User]],SKL放款!A:G,7,FALSE)</f>
        <v>放款管理課</v>
      </c>
      <c r="Y461" s="299">
        <v>44545</v>
      </c>
      <c r="Z461" s="299" t="s">
        <v>2733</v>
      </c>
      <c r="AA461" s="299">
        <v>44540</v>
      </c>
      <c r="AB461" s="299">
        <v>44540</v>
      </c>
      <c r="AC461" s="299">
        <v>44545</v>
      </c>
      <c r="AD461" s="299"/>
      <c r="AE461" s="299"/>
      <c r="AF461" s="355"/>
      <c r="AG461" s="299" t="str">
        <f>IFERROR(IF(VLOOKUP(功能_33[[#This Row],[功能代號]],E:Q,11,FALSE)=0,"",VLOOKUP(功能_33[[#This Row],[功能代號]],E:Q,11,FALSE)),"")</f>
        <v>邱怡婷</v>
      </c>
      <c r="AH461" s="299"/>
      <c r="AI461" s="299"/>
      <c r="AJ461" s="292"/>
      <c r="AL461" s="291" t="s">
        <v>3054</v>
      </c>
      <c r="AM461" s="292" t="s">
        <v>3169</v>
      </c>
      <c r="AN461" s="292" t="e">
        <f>VLOOKUP(功能_33[[#This Row],[功能代號]],需二審tmp!A:A,1,FALSE)</f>
        <v>#N/A</v>
      </c>
      <c r="AQ461" s="574" t="str">
        <f t="shared" si="51"/>
        <v>8-3</v>
      </c>
      <c r="AR461" s="576" t="str">
        <f t="shared" si="52"/>
        <v/>
      </c>
      <c r="AS461" s="578" t="str">
        <f t="shared" si="53"/>
        <v/>
      </c>
      <c r="AT461" s="580" t="str">
        <f t="shared" si="54"/>
        <v/>
      </c>
      <c r="AU461" s="582" t="str">
        <f t="shared" si="55"/>
        <v/>
      </c>
      <c r="AV461" s="584" t="str">
        <f t="shared" si="56"/>
        <v/>
      </c>
      <c r="AW461" s="662" t="str">
        <f>IFERROR(VLOOKUP(功能_33[[#This Row],[功能代號]],工作表3!C:C,1,FALSE),"未計SIT測試")</f>
        <v>未計SIT測試</v>
      </c>
    </row>
    <row r="462" spans="3:49" ht="13.5" x14ac:dyDescent="0.3">
      <c r="C462" s="292" t="s">
        <v>97</v>
      </c>
      <c r="D462" s="292" t="s">
        <v>2827</v>
      </c>
      <c r="E462" s="291" t="s">
        <v>1235</v>
      </c>
      <c r="F462" s="292" t="s">
        <v>1236</v>
      </c>
      <c r="G462" s="292" t="s">
        <v>1134</v>
      </c>
      <c r="H462" s="291" t="s">
        <v>136</v>
      </c>
      <c r="I462" s="291" t="s">
        <v>137</v>
      </c>
      <c r="J462" s="298" t="s">
        <v>3181</v>
      </c>
      <c r="K462" s="299">
        <v>44516</v>
      </c>
      <c r="L462" s="299">
        <v>44517</v>
      </c>
      <c r="M462" s="299">
        <v>44545</v>
      </c>
      <c r="N462" s="291" t="s">
        <v>7</v>
      </c>
      <c r="O462" s="291" t="s">
        <v>25</v>
      </c>
      <c r="T462" s="291"/>
      <c r="V462" s="291"/>
      <c r="W462" s="291"/>
      <c r="X462" s="292" t="str">
        <f>VLOOKUP(功能_33[[#This Row],[User]],SKL放款!A:G,7,FALSE)</f>
        <v>放款管理課</v>
      </c>
      <c r="Y462" s="299">
        <v>44545</v>
      </c>
      <c r="Z462" s="299" t="s">
        <v>2733</v>
      </c>
      <c r="AA462" s="299">
        <v>44540</v>
      </c>
      <c r="AB462" s="299">
        <v>44540</v>
      </c>
      <c r="AC462" s="299">
        <v>44545</v>
      </c>
      <c r="AD462" s="299"/>
      <c r="AE462" s="299"/>
      <c r="AF462" s="355"/>
      <c r="AG462" s="299" t="str">
        <f>IFERROR(IF(VLOOKUP(功能_33[[#This Row],[功能代號]],E:Q,11,FALSE)=0,"",VLOOKUP(功能_33[[#This Row],[功能代號]],E:Q,11,FALSE)),"")</f>
        <v>邱怡婷</v>
      </c>
      <c r="AH462" s="299"/>
      <c r="AI462" s="299"/>
      <c r="AJ462" s="292"/>
      <c r="AL462" s="291" t="s">
        <v>3054</v>
      </c>
      <c r="AM462" s="292" t="s">
        <v>3169</v>
      </c>
      <c r="AN462" s="292" t="e">
        <f>VLOOKUP(功能_33[[#This Row],[功能代號]],需二審tmp!A:A,1,FALSE)</f>
        <v>#N/A</v>
      </c>
      <c r="AQ462" s="574" t="str">
        <f t="shared" si="51"/>
        <v>8-3</v>
      </c>
      <c r="AR462" s="576" t="str">
        <f t="shared" si="52"/>
        <v/>
      </c>
      <c r="AS462" s="578" t="str">
        <f t="shared" si="53"/>
        <v/>
      </c>
      <c r="AT462" s="580" t="str">
        <f t="shared" si="54"/>
        <v/>
      </c>
      <c r="AU462" s="582" t="str">
        <f t="shared" si="55"/>
        <v/>
      </c>
      <c r="AV462" s="584" t="str">
        <f t="shared" si="56"/>
        <v/>
      </c>
      <c r="AW462" s="662" t="str">
        <f>IFERROR(VLOOKUP(功能_33[[#This Row],[功能代號]],工作表3!C:C,1,FALSE),"未計SIT測試")</f>
        <v>未計SIT測試</v>
      </c>
    </row>
    <row r="463" spans="3:49" ht="13.5" x14ac:dyDescent="0.3">
      <c r="C463" s="292" t="s">
        <v>97</v>
      </c>
      <c r="D463" s="292" t="s">
        <v>2827</v>
      </c>
      <c r="E463" s="291" t="s">
        <v>1237</v>
      </c>
      <c r="F463" s="292" t="s">
        <v>1238</v>
      </c>
      <c r="G463" s="292" t="s">
        <v>1134</v>
      </c>
      <c r="H463" s="291" t="s">
        <v>136</v>
      </c>
      <c r="I463" s="291" t="s">
        <v>137</v>
      </c>
      <c r="J463" s="298" t="s">
        <v>3181</v>
      </c>
      <c r="K463" s="299">
        <v>44516</v>
      </c>
      <c r="L463" s="299">
        <v>44517</v>
      </c>
      <c r="M463" s="299">
        <v>44545</v>
      </c>
      <c r="N463" s="291" t="s">
        <v>7</v>
      </c>
      <c r="O463" s="291" t="s">
        <v>25</v>
      </c>
      <c r="T463" s="291"/>
      <c r="V463" s="291"/>
      <c r="W463" s="291"/>
      <c r="X463" s="292" t="str">
        <f>VLOOKUP(功能_33[[#This Row],[User]],SKL放款!A:G,7,FALSE)</f>
        <v>放款管理課</v>
      </c>
      <c r="Y463" s="299">
        <v>44545</v>
      </c>
      <c r="Z463" s="299" t="s">
        <v>2733</v>
      </c>
      <c r="AA463" s="299">
        <v>44540</v>
      </c>
      <c r="AB463" s="299">
        <v>44540</v>
      </c>
      <c r="AC463" s="299">
        <v>44545</v>
      </c>
      <c r="AD463" s="299"/>
      <c r="AE463" s="299"/>
      <c r="AF463" s="355"/>
      <c r="AG463" s="299" t="str">
        <f>IFERROR(IF(VLOOKUP(功能_33[[#This Row],[功能代號]],E:Q,11,FALSE)=0,"",VLOOKUP(功能_33[[#This Row],[功能代號]],E:Q,11,FALSE)),"")</f>
        <v>邱怡婷</v>
      </c>
      <c r="AH463" s="299"/>
      <c r="AI463" s="299"/>
      <c r="AJ463" s="292"/>
      <c r="AL463" s="291" t="s">
        <v>3054</v>
      </c>
      <c r="AM463" s="292" t="s">
        <v>3169</v>
      </c>
      <c r="AN463" s="292" t="e">
        <f>VLOOKUP(功能_33[[#This Row],[功能代號]],需二審tmp!A:A,1,FALSE)</f>
        <v>#N/A</v>
      </c>
      <c r="AQ463" s="574" t="str">
        <f t="shared" si="51"/>
        <v>8-3</v>
      </c>
      <c r="AR463" s="576" t="str">
        <f t="shared" si="52"/>
        <v/>
      </c>
      <c r="AS463" s="578" t="str">
        <f t="shared" si="53"/>
        <v/>
      </c>
      <c r="AT463" s="580" t="str">
        <f t="shared" si="54"/>
        <v/>
      </c>
      <c r="AU463" s="582" t="str">
        <f t="shared" si="55"/>
        <v/>
      </c>
      <c r="AV463" s="584" t="str">
        <f t="shared" si="56"/>
        <v/>
      </c>
      <c r="AW463" s="662" t="str">
        <f>IFERROR(VLOOKUP(功能_33[[#This Row],[功能代號]],工作表3!C:C,1,FALSE),"未計SIT測試")</f>
        <v>未計SIT測試</v>
      </c>
    </row>
    <row r="464" spans="3:49" ht="13.5" x14ac:dyDescent="0.3">
      <c r="C464" s="292" t="s">
        <v>97</v>
      </c>
      <c r="D464" s="292" t="s">
        <v>2827</v>
      </c>
      <c r="E464" s="291" t="s">
        <v>1239</v>
      </c>
      <c r="F464" s="292" t="s">
        <v>1240</v>
      </c>
      <c r="G464" s="292" t="s">
        <v>1134</v>
      </c>
      <c r="H464" s="291" t="s">
        <v>136</v>
      </c>
      <c r="I464" s="291" t="s">
        <v>137</v>
      </c>
      <c r="J464" s="298" t="s">
        <v>3181</v>
      </c>
      <c r="K464" s="299">
        <v>44516</v>
      </c>
      <c r="L464" s="299">
        <v>44517</v>
      </c>
      <c r="M464" s="299">
        <v>44545</v>
      </c>
      <c r="N464" s="291" t="s">
        <v>7</v>
      </c>
      <c r="O464" s="291" t="s">
        <v>25</v>
      </c>
      <c r="T464" s="291"/>
      <c r="V464" s="291"/>
      <c r="W464" s="291"/>
      <c r="X464" s="292" t="str">
        <f>VLOOKUP(功能_33[[#This Row],[User]],SKL放款!A:G,7,FALSE)</f>
        <v>放款管理課</v>
      </c>
      <c r="Y464" s="299">
        <v>44545</v>
      </c>
      <c r="Z464" s="299" t="s">
        <v>2733</v>
      </c>
      <c r="AA464" s="299">
        <v>44540</v>
      </c>
      <c r="AB464" s="299">
        <v>44540</v>
      </c>
      <c r="AC464" s="299">
        <v>44545</v>
      </c>
      <c r="AD464" s="299"/>
      <c r="AE464" s="299"/>
      <c r="AF464" s="355"/>
      <c r="AG464" s="299" t="str">
        <f>IFERROR(IF(VLOOKUP(功能_33[[#This Row],[功能代號]],E:Q,11,FALSE)=0,"",VLOOKUP(功能_33[[#This Row],[功能代號]],E:Q,11,FALSE)),"")</f>
        <v>邱怡婷</v>
      </c>
      <c r="AH464" s="299"/>
      <c r="AI464" s="299"/>
      <c r="AJ464" s="292"/>
      <c r="AL464" s="291" t="s">
        <v>3054</v>
      </c>
      <c r="AM464" s="292" t="s">
        <v>3169</v>
      </c>
      <c r="AN464" s="292" t="e">
        <f>VLOOKUP(功能_33[[#This Row],[功能代號]],需二審tmp!A:A,1,FALSE)</f>
        <v>#N/A</v>
      </c>
      <c r="AQ464" s="574" t="str">
        <f t="shared" si="51"/>
        <v>8-3</v>
      </c>
      <c r="AR464" s="576" t="str">
        <f t="shared" si="52"/>
        <v/>
      </c>
      <c r="AS464" s="578" t="str">
        <f t="shared" si="53"/>
        <v/>
      </c>
      <c r="AT464" s="580" t="str">
        <f t="shared" si="54"/>
        <v/>
      </c>
      <c r="AU464" s="582" t="str">
        <f t="shared" si="55"/>
        <v/>
      </c>
      <c r="AV464" s="584" t="str">
        <f t="shared" si="56"/>
        <v/>
      </c>
      <c r="AW464" s="662" t="str">
        <f>IFERROR(VLOOKUP(功能_33[[#This Row],[功能代號]],工作表3!C:C,1,FALSE),"未計SIT測試")</f>
        <v>未計SIT測試</v>
      </c>
    </row>
    <row r="465" spans="3:49" ht="13.5" x14ac:dyDescent="0.3">
      <c r="C465" s="292" t="s">
        <v>97</v>
      </c>
      <c r="D465" s="292" t="s">
        <v>2827</v>
      </c>
      <c r="E465" s="291" t="s">
        <v>1241</v>
      </c>
      <c r="F465" s="292" t="s">
        <v>1242</v>
      </c>
      <c r="G465" s="292" t="s">
        <v>1134</v>
      </c>
      <c r="H465" s="291" t="s">
        <v>136</v>
      </c>
      <c r="I465" s="291" t="s">
        <v>137</v>
      </c>
      <c r="J465" s="298" t="s">
        <v>3181</v>
      </c>
      <c r="K465" s="299">
        <v>44516</v>
      </c>
      <c r="L465" s="299">
        <v>44517</v>
      </c>
      <c r="M465" s="299">
        <v>44545</v>
      </c>
      <c r="N465" s="291" t="s">
        <v>7</v>
      </c>
      <c r="O465" s="291" t="s">
        <v>25</v>
      </c>
      <c r="T465" s="291"/>
      <c r="V465" s="291"/>
      <c r="W465" s="291"/>
      <c r="X465" s="292" t="str">
        <f>VLOOKUP(功能_33[[#This Row],[User]],SKL放款!A:G,7,FALSE)</f>
        <v>放款管理課</v>
      </c>
      <c r="Y465" s="299">
        <v>44545</v>
      </c>
      <c r="Z465" s="299" t="s">
        <v>2733</v>
      </c>
      <c r="AA465" s="299">
        <v>44540</v>
      </c>
      <c r="AB465" s="299">
        <v>44540</v>
      </c>
      <c r="AC465" s="299">
        <v>44545</v>
      </c>
      <c r="AD465" s="299"/>
      <c r="AE465" s="299"/>
      <c r="AF465" s="355"/>
      <c r="AG465" s="299" t="str">
        <f>IFERROR(IF(VLOOKUP(功能_33[[#This Row],[功能代號]],E:Q,11,FALSE)=0,"",VLOOKUP(功能_33[[#This Row],[功能代號]],E:Q,11,FALSE)),"")</f>
        <v>邱怡婷</v>
      </c>
      <c r="AH465" s="299"/>
      <c r="AI465" s="299"/>
      <c r="AJ465" s="292"/>
      <c r="AL465" s="291" t="s">
        <v>3054</v>
      </c>
      <c r="AM465" s="292" t="s">
        <v>3169</v>
      </c>
      <c r="AN465" s="292" t="e">
        <f>VLOOKUP(功能_33[[#This Row],[功能代號]],需二審tmp!A:A,1,FALSE)</f>
        <v>#N/A</v>
      </c>
      <c r="AQ465" s="574" t="str">
        <f t="shared" si="51"/>
        <v>8-3</v>
      </c>
      <c r="AR465" s="576" t="str">
        <f t="shared" si="52"/>
        <v/>
      </c>
      <c r="AS465" s="578" t="str">
        <f t="shared" si="53"/>
        <v/>
      </c>
      <c r="AT465" s="580" t="str">
        <f t="shared" si="54"/>
        <v/>
      </c>
      <c r="AU465" s="582" t="str">
        <f t="shared" si="55"/>
        <v/>
      </c>
      <c r="AV465" s="584" t="str">
        <f t="shared" si="56"/>
        <v/>
      </c>
      <c r="AW465" s="662" t="str">
        <f>IFERROR(VLOOKUP(功能_33[[#This Row],[功能代號]],工作表3!C:C,1,FALSE),"未計SIT測試")</f>
        <v>未計SIT測試</v>
      </c>
    </row>
    <row r="466" spans="3:49" ht="13.5" x14ac:dyDescent="0.3">
      <c r="C466" s="292" t="s">
        <v>97</v>
      </c>
      <c r="D466" s="292" t="s">
        <v>2827</v>
      </c>
      <c r="E466" s="291" t="s">
        <v>1243</v>
      </c>
      <c r="F466" s="292" t="s">
        <v>1244</v>
      </c>
      <c r="G466" s="292" t="s">
        <v>1134</v>
      </c>
      <c r="H466" s="291" t="s">
        <v>136</v>
      </c>
      <c r="I466" s="291" t="s">
        <v>137</v>
      </c>
      <c r="J466" s="298" t="s">
        <v>3181</v>
      </c>
      <c r="K466" s="299">
        <v>44517</v>
      </c>
      <c r="L466" s="299">
        <v>44517</v>
      </c>
      <c r="M466" s="299">
        <v>44545</v>
      </c>
      <c r="N466" s="291" t="s">
        <v>7</v>
      </c>
      <c r="O466" s="291" t="s">
        <v>25</v>
      </c>
      <c r="T466" s="291"/>
      <c r="V466" s="291"/>
      <c r="W466" s="291"/>
      <c r="X466" s="292" t="str">
        <f>VLOOKUP(功能_33[[#This Row],[User]],SKL放款!A:G,7,FALSE)</f>
        <v>放款管理課</v>
      </c>
      <c r="Y466" s="299">
        <v>44545</v>
      </c>
      <c r="Z466" s="299" t="s">
        <v>2733</v>
      </c>
      <c r="AA466" s="299">
        <v>44540</v>
      </c>
      <c r="AB466" s="299">
        <v>44540</v>
      </c>
      <c r="AC466" s="299">
        <v>44545</v>
      </c>
      <c r="AD466" s="299"/>
      <c r="AE466" s="299"/>
      <c r="AF466" s="355"/>
      <c r="AG466" s="299" t="str">
        <f>IFERROR(IF(VLOOKUP(功能_33[[#This Row],[功能代號]],E:Q,11,FALSE)=0,"",VLOOKUP(功能_33[[#This Row],[功能代號]],E:Q,11,FALSE)),"")</f>
        <v>邱怡婷</v>
      </c>
      <c r="AH466" s="299"/>
      <c r="AI466" s="299"/>
      <c r="AJ466" s="292"/>
      <c r="AL466" s="291" t="s">
        <v>3054</v>
      </c>
      <c r="AM466" s="292" t="s">
        <v>3169</v>
      </c>
      <c r="AN466" s="292" t="e">
        <f>VLOOKUP(功能_33[[#This Row],[功能代號]],需二審tmp!A:A,1,FALSE)</f>
        <v>#N/A</v>
      </c>
      <c r="AQ466" s="574" t="str">
        <f t="shared" si="51"/>
        <v>8-3</v>
      </c>
      <c r="AR466" s="576" t="str">
        <f t="shared" si="52"/>
        <v/>
      </c>
      <c r="AS466" s="578" t="str">
        <f t="shared" si="53"/>
        <v/>
      </c>
      <c r="AT466" s="580" t="str">
        <f t="shared" si="54"/>
        <v/>
      </c>
      <c r="AU466" s="582" t="str">
        <f t="shared" si="55"/>
        <v/>
      </c>
      <c r="AV466" s="584" t="str">
        <f t="shared" si="56"/>
        <v/>
      </c>
      <c r="AW466" s="662" t="str">
        <f>IFERROR(VLOOKUP(功能_33[[#This Row],[功能代號]],工作表3!C:C,1,FALSE),"未計SIT測試")</f>
        <v>未計SIT測試</v>
      </c>
    </row>
    <row r="467" spans="3:49" ht="13.5" x14ac:dyDescent="0.3">
      <c r="C467" s="292" t="s">
        <v>97</v>
      </c>
      <c r="D467" s="292" t="s">
        <v>2827</v>
      </c>
      <c r="E467" s="291" t="s">
        <v>1245</v>
      </c>
      <c r="F467" s="292" t="s">
        <v>1246</v>
      </c>
      <c r="G467" s="292" t="s">
        <v>1134</v>
      </c>
      <c r="H467" s="291" t="s">
        <v>136</v>
      </c>
      <c r="I467" s="291" t="s">
        <v>137</v>
      </c>
      <c r="J467" s="298" t="s">
        <v>3181</v>
      </c>
      <c r="K467" s="299">
        <v>44517</v>
      </c>
      <c r="L467" s="299">
        <v>44517</v>
      </c>
      <c r="M467" s="299">
        <v>44545</v>
      </c>
      <c r="N467" s="291" t="s">
        <v>7</v>
      </c>
      <c r="O467" s="291" t="s">
        <v>25</v>
      </c>
      <c r="T467" s="291"/>
      <c r="V467" s="291"/>
      <c r="W467" s="291"/>
      <c r="X467" s="292" t="str">
        <f>VLOOKUP(功能_33[[#This Row],[User]],SKL放款!A:G,7,FALSE)</f>
        <v>放款管理課</v>
      </c>
      <c r="Y467" s="299">
        <v>44545</v>
      </c>
      <c r="Z467" s="299" t="s">
        <v>2733</v>
      </c>
      <c r="AA467" s="299">
        <v>44540</v>
      </c>
      <c r="AB467" s="299">
        <v>44540</v>
      </c>
      <c r="AC467" s="299">
        <v>44545</v>
      </c>
      <c r="AD467" s="299"/>
      <c r="AE467" s="299"/>
      <c r="AF467" s="355"/>
      <c r="AG467" s="299" t="str">
        <f>IFERROR(IF(VLOOKUP(功能_33[[#This Row],[功能代號]],E:Q,11,FALSE)=0,"",VLOOKUP(功能_33[[#This Row],[功能代號]],E:Q,11,FALSE)),"")</f>
        <v>邱怡婷</v>
      </c>
      <c r="AH467" s="299"/>
      <c r="AI467" s="299"/>
      <c r="AJ467" s="292"/>
      <c r="AL467" s="291" t="s">
        <v>3054</v>
      </c>
      <c r="AM467" s="292" t="s">
        <v>3169</v>
      </c>
      <c r="AN467" s="292" t="e">
        <f>VLOOKUP(功能_33[[#This Row],[功能代號]],需二審tmp!A:A,1,FALSE)</f>
        <v>#N/A</v>
      </c>
      <c r="AQ467" s="574" t="str">
        <f t="shared" si="51"/>
        <v>8-3</v>
      </c>
      <c r="AR467" s="576" t="str">
        <f t="shared" si="52"/>
        <v/>
      </c>
      <c r="AS467" s="578" t="str">
        <f t="shared" si="53"/>
        <v/>
      </c>
      <c r="AT467" s="580" t="str">
        <f t="shared" si="54"/>
        <v/>
      </c>
      <c r="AU467" s="582" t="str">
        <f t="shared" si="55"/>
        <v/>
      </c>
      <c r="AV467" s="584" t="str">
        <f t="shared" si="56"/>
        <v/>
      </c>
      <c r="AW467" s="662" t="str">
        <f>IFERROR(VLOOKUP(功能_33[[#This Row],[功能代號]],工作表3!C:C,1,FALSE),"未計SIT測試")</f>
        <v>未計SIT測試</v>
      </c>
    </row>
    <row r="468" spans="3:49" ht="13.5" x14ac:dyDescent="0.3">
      <c r="C468" s="292" t="s">
        <v>97</v>
      </c>
      <c r="D468" s="292" t="s">
        <v>2827</v>
      </c>
      <c r="E468" s="291" t="s">
        <v>1247</v>
      </c>
      <c r="F468" s="292" t="s">
        <v>1248</v>
      </c>
      <c r="G468" s="292" t="s">
        <v>1134</v>
      </c>
      <c r="H468" s="291" t="s">
        <v>136</v>
      </c>
      <c r="I468" s="291" t="s">
        <v>137</v>
      </c>
      <c r="J468" s="298" t="s">
        <v>3181</v>
      </c>
      <c r="K468" s="299">
        <v>44517</v>
      </c>
      <c r="L468" s="299">
        <v>44517</v>
      </c>
      <c r="M468" s="299">
        <v>44545</v>
      </c>
      <c r="N468" s="291" t="s">
        <v>7</v>
      </c>
      <c r="O468" s="291" t="s">
        <v>25</v>
      </c>
      <c r="T468" s="291"/>
      <c r="V468" s="291"/>
      <c r="W468" s="291"/>
      <c r="X468" s="292" t="str">
        <f>VLOOKUP(功能_33[[#This Row],[User]],SKL放款!A:G,7,FALSE)</f>
        <v>放款管理課</v>
      </c>
      <c r="Y468" s="299">
        <v>44545</v>
      </c>
      <c r="Z468" s="299" t="s">
        <v>2733</v>
      </c>
      <c r="AA468" s="299">
        <v>44540</v>
      </c>
      <c r="AB468" s="299">
        <v>44540</v>
      </c>
      <c r="AC468" s="299">
        <v>44545</v>
      </c>
      <c r="AD468" s="299"/>
      <c r="AE468" s="299"/>
      <c r="AF468" s="355"/>
      <c r="AG468" s="299" t="str">
        <f>IFERROR(IF(VLOOKUP(功能_33[[#This Row],[功能代號]],E:Q,11,FALSE)=0,"",VLOOKUP(功能_33[[#This Row],[功能代號]],E:Q,11,FALSE)),"")</f>
        <v>邱怡婷</v>
      </c>
      <c r="AH468" s="299"/>
      <c r="AI468" s="299"/>
      <c r="AJ468" s="292"/>
      <c r="AL468" s="291" t="s">
        <v>3054</v>
      </c>
      <c r="AM468" s="292" t="s">
        <v>3169</v>
      </c>
      <c r="AN468" s="292" t="e">
        <f>VLOOKUP(功能_33[[#This Row],[功能代號]],需二審tmp!A:A,1,FALSE)</f>
        <v>#N/A</v>
      </c>
      <c r="AQ468" s="574" t="str">
        <f t="shared" si="51"/>
        <v>8-3</v>
      </c>
      <c r="AR468" s="576" t="str">
        <f t="shared" si="52"/>
        <v/>
      </c>
      <c r="AS468" s="578" t="str">
        <f t="shared" si="53"/>
        <v/>
      </c>
      <c r="AT468" s="580" t="str">
        <f t="shared" si="54"/>
        <v/>
      </c>
      <c r="AU468" s="582" t="str">
        <f t="shared" si="55"/>
        <v/>
      </c>
      <c r="AV468" s="584" t="str">
        <f t="shared" si="56"/>
        <v/>
      </c>
      <c r="AW468" s="662" t="str">
        <f>IFERROR(VLOOKUP(功能_33[[#This Row],[功能代號]],工作表3!C:C,1,FALSE),"未計SIT測試")</f>
        <v>未計SIT測試</v>
      </c>
    </row>
    <row r="469" spans="3:49" ht="13.5" x14ac:dyDescent="0.3">
      <c r="C469" s="292" t="s">
        <v>97</v>
      </c>
      <c r="D469" s="292" t="s">
        <v>2827</v>
      </c>
      <c r="E469" s="291" t="s">
        <v>1249</v>
      </c>
      <c r="F469" s="292" t="s">
        <v>1250</v>
      </c>
      <c r="G469" s="292" t="s">
        <v>1134</v>
      </c>
      <c r="H469" s="291" t="s">
        <v>136</v>
      </c>
      <c r="I469" s="291" t="s">
        <v>137</v>
      </c>
      <c r="J469" s="298" t="s">
        <v>3181</v>
      </c>
      <c r="K469" s="299">
        <v>44517</v>
      </c>
      <c r="L469" s="299">
        <v>44517</v>
      </c>
      <c r="M469" s="299">
        <v>44545</v>
      </c>
      <c r="N469" s="291" t="s">
        <v>7</v>
      </c>
      <c r="O469" s="291" t="s">
        <v>25</v>
      </c>
      <c r="T469" s="291"/>
      <c r="V469" s="291"/>
      <c r="W469" s="291"/>
      <c r="X469" s="292" t="str">
        <f>VLOOKUP(功能_33[[#This Row],[User]],SKL放款!A:G,7,FALSE)</f>
        <v>放款管理課</v>
      </c>
      <c r="Y469" s="299">
        <v>44545</v>
      </c>
      <c r="Z469" s="299" t="s">
        <v>2733</v>
      </c>
      <c r="AA469" s="299">
        <v>44540</v>
      </c>
      <c r="AB469" s="299">
        <v>44540</v>
      </c>
      <c r="AC469" s="299">
        <v>44545</v>
      </c>
      <c r="AD469" s="299"/>
      <c r="AE469" s="299"/>
      <c r="AF469" s="355"/>
      <c r="AG469" s="299" t="str">
        <f>IFERROR(IF(VLOOKUP(功能_33[[#This Row],[功能代號]],E:Q,11,FALSE)=0,"",VLOOKUP(功能_33[[#This Row],[功能代號]],E:Q,11,FALSE)),"")</f>
        <v>邱怡婷</v>
      </c>
      <c r="AH469" s="299"/>
      <c r="AI469" s="299"/>
      <c r="AJ469" s="292"/>
      <c r="AL469" s="291" t="s">
        <v>3054</v>
      </c>
      <c r="AM469" s="292" t="s">
        <v>3169</v>
      </c>
      <c r="AN469" s="292" t="e">
        <f>VLOOKUP(功能_33[[#This Row],[功能代號]],需二審tmp!A:A,1,FALSE)</f>
        <v>#N/A</v>
      </c>
      <c r="AQ469" s="574" t="str">
        <f t="shared" si="51"/>
        <v>8-3</v>
      </c>
      <c r="AR469" s="576" t="str">
        <f t="shared" si="52"/>
        <v/>
      </c>
      <c r="AS469" s="578" t="str">
        <f t="shared" si="53"/>
        <v/>
      </c>
      <c r="AT469" s="580" t="str">
        <f t="shared" si="54"/>
        <v/>
      </c>
      <c r="AU469" s="582" t="str">
        <f t="shared" si="55"/>
        <v/>
      </c>
      <c r="AV469" s="584" t="str">
        <f t="shared" si="56"/>
        <v/>
      </c>
      <c r="AW469" s="662" t="str">
        <f>IFERROR(VLOOKUP(功能_33[[#This Row],[功能代號]],工作表3!C:C,1,FALSE),"未計SIT測試")</f>
        <v>未計SIT測試</v>
      </c>
    </row>
    <row r="470" spans="3:49" ht="13.5" x14ac:dyDescent="0.3">
      <c r="C470" s="292" t="s">
        <v>97</v>
      </c>
      <c r="D470" s="292" t="s">
        <v>2827</v>
      </c>
      <c r="E470" s="291" t="s">
        <v>1251</v>
      </c>
      <c r="F470" s="292" t="s">
        <v>1252</v>
      </c>
      <c r="G470" s="292" t="s">
        <v>1134</v>
      </c>
      <c r="H470" s="291" t="s">
        <v>136</v>
      </c>
      <c r="I470" s="291" t="s">
        <v>137</v>
      </c>
      <c r="J470" s="298" t="s">
        <v>3181</v>
      </c>
      <c r="K470" s="299">
        <v>44518</v>
      </c>
      <c r="L470" s="299">
        <v>44517</v>
      </c>
      <c r="M470" s="299">
        <v>44545</v>
      </c>
      <c r="N470" s="291" t="s">
        <v>7</v>
      </c>
      <c r="O470" s="291" t="s">
        <v>25</v>
      </c>
      <c r="T470" s="291"/>
      <c r="V470" s="291"/>
      <c r="W470" s="291"/>
      <c r="X470" s="292" t="str">
        <f>VLOOKUP(功能_33[[#This Row],[User]],SKL放款!A:G,7,FALSE)</f>
        <v>放款管理課</v>
      </c>
      <c r="Y470" s="299">
        <v>44545</v>
      </c>
      <c r="Z470" s="299" t="s">
        <v>2733</v>
      </c>
      <c r="AA470" s="299">
        <v>44540</v>
      </c>
      <c r="AB470" s="299">
        <v>44540</v>
      </c>
      <c r="AC470" s="299">
        <v>44545</v>
      </c>
      <c r="AD470" s="299"/>
      <c r="AE470" s="299"/>
      <c r="AF470" s="355"/>
      <c r="AG470" s="299" t="str">
        <f>IFERROR(IF(VLOOKUP(功能_33[[#This Row],[功能代號]],E:Q,11,FALSE)=0,"",VLOOKUP(功能_33[[#This Row],[功能代號]],E:Q,11,FALSE)),"")</f>
        <v>邱怡婷</v>
      </c>
      <c r="AH470" s="299"/>
      <c r="AI470" s="299"/>
      <c r="AJ470" s="292"/>
      <c r="AL470" s="291" t="s">
        <v>3054</v>
      </c>
      <c r="AM470" s="292" t="s">
        <v>3169</v>
      </c>
      <c r="AN470" s="292" t="e">
        <f>VLOOKUP(功能_33[[#This Row],[功能代號]],需二審tmp!A:A,1,FALSE)</f>
        <v>#N/A</v>
      </c>
      <c r="AQ470" s="574" t="str">
        <f t="shared" si="51"/>
        <v>8-3</v>
      </c>
      <c r="AR470" s="576" t="str">
        <f t="shared" si="52"/>
        <v/>
      </c>
      <c r="AS470" s="578" t="str">
        <f t="shared" si="53"/>
        <v/>
      </c>
      <c r="AT470" s="580" t="str">
        <f t="shared" si="54"/>
        <v/>
      </c>
      <c r="AU470" s="582" t="str">
        <f t="shared" si="55"/>
        <v/>
      </c>
      <c r="AV470" s="584" t="str">
        <f t="shared" si="56"/>
        <v/>
      </c>
      <c r="AW470" s="662" t="str">
        <f>IFERROR(VLOOKUP(功能_33[[#This Row],[功能代號]],工作表3!C:C,1,FALSE),"未計SIT測試")</f>
        <v>未計SIT測試</v>
      </c>
    </row>
    <row r="471" spans="3:49" ht="13.5" x14ac:dyDescent="0.3">
      <c r="C471" s="292" t="s">
        <v>97</v>
      </c>
      <c r="D471" s="292" t="s">
        <v>2827</v>
      </c>
      <c r="E471" s="291" t="s">
        <v>1253</v>
      </c>
      <c r="F471" s="292" t="s">
        <v>1254</v>
      </c>
      <c r="G471" s="292" t="s">
        <v>1134</v>
      </c>
      <c r="H471" s="291" t="s">
        <v>136</v>
      </c>
      <c r="I471" s="291" t="s">
        <v>137</v>
      </c>
      <c r="J471" s="298" t="s">
        <v>3181</v>
      </c>
      <c r="K471" s="299">
        <v>44518</v>
      </c>
      <c r="L471" s="299">
        <v>44517</v>
      </c>
      <c r="M471" s="299">
        <v>44545</v>
      </c>
      <c r="N471" s="291" t="s">
        <v>7</v>
      </c>
      <c r="O471" s="291" t="s">
        <v>25</v>
      </c>
      <c r="T471" s="291"/>
      <c r="V471" s="291"/>
      <c r="W471" s="291"/>
      <c r="X471" s="292" t="str">
        <f>VLOOKUP(功能_33[[#This Row],[User]],SKL放款!A:G,7,FALSE)</f>
        <v>放款管理課</v>
      </c>
      <c r="Y471" s="299">
        <v>44545</v>
      </c>
      <c r="Z471" s="299" t="s">
        <v>2733</v>
      </c>
      <c r="AA471" s="299">
        <v>44540</v>
      </c>
      <c r="AB471" s="299">
        <v>44540</v>
      </c>
      <c r="AC471" s="299">
        <v>44545</v>
      </c>
      <c r="AD471" s="299"/>
      <c r="AE471" s="299"/>
      <c r="AF471" s="355"/>
      <c r="AG471" s="299" t="str">
        <f>IFERROR(IF(VLOOKUP(功能_33[[#This Row],[功能代號]],E:Q,11,FALSE)=0,"",VLOOKUP(功能_33[[#This Row],[功能代號]],E:Q,11,FALSE)),"")</f>
        <v>邱怡婷</v>
      </c>
      <c r="AH471" s="299"/>
      <c r="AI471" s="299"/>
      <c r="AJ471" s="292"/>
      <c r="AL471" s="291" t="s">
        <v>3054</v>
      </c>
      <c r="AM471" s="292" t="s">
        <v>3169</v>
      </c>
      <c r="AN471" s="292" t="e">
        <f>VLOOKUP(功能_33[[#This Row],[功能代號]],需二審tmp!A:A,1,FALSE)</f>
        <v>#N/A</v>
      </c>
      <c r="AQ471" s="574" t="str">
        <f t="shared" si="51"/>
        <v>8-3</v>
      </c>
      <c r="AR471" s="576" t="str">
        <f t="shared" si="52"/>
        <v/>
      </c>
      <c r="AS471" s="578" t="str">
        <f t="shared" si="53"/>
        <v/>
      </c>
      <c r="AT471" s="580" t="str">
        <f t="shared" si="54"/>
        <v/>
      </c>
      <c r="AU471" s="582" t="str">
        <f t="shared" si="55"/>
        <v/>
      </c>
      <c r="AV471" s="584" t="str">
        <f t="shared" si="56"/>
        <v/>
      </c>
      <c r="AW471" s="662" t="str">
        <f>IFERROR(VLOOKUP(功能_33[[#This Row],[功能代號]],工作表3!C:C,1,FALSE),"未計SIT測試")</f>
        <v>未計SIT測試</v>
      </c>
    </row>
    <row r="472" spans="3:49" ht="13.5" x14ac:dyDescent="0.3">
      <c r="C472" s="292" t="s">
        <v>97</v>
      </c>
      <c r="D472" s="292" t="s">
        <v>2827</v>
      </c>
      <c r="E472" s="291" t="s">
        <v>1255</v>
      </c>
      <c r="F472" s="292" t="s">
        <v>1256</v>
      </c>
      <c r="G472" s="292" t="s">
        <v>1134</v>
      </c>
      <c r="H472" s="291" t="s">
        <v>136</v>
      </c>
      <c r="I472" s="291" t="s">
        <v>137</v>
      </c>
      <c r="J472" s="298" t="s">
        <v>3181</v>
      </c>
      <c r="K472" s="299">
        <v>44518</v>
      </c>
      <c r="L472" s="299">
        <v>44517</v>
      </c>
      <c r="M472" s="299">
        <v>44545</v>
      </c>
      <c r="N472" s="291" t="s">
        <v>7</v>
      </c>
      <c r="O472" s="291" t="s">
        <v>25</v>
      </c>
      <c r="T472" s="291"/>
      <c r="V472" s="291"/>
      <c r="W472" s="291"/>
      <c r="X472" s="292" t="str">
        <f>VLOOKUP(功能_33[[#This Row],[User]],SKL放款!A:G,7,FALSE)</f>
        <v>放款管理課</v>
      </c>
      <c r="Y472" s="299">
        <v>44545</v>
      </c>
      <c r="Z472" s="299" t="s">
        <v>2733</v>
      </c>
      <c r="AA472" s="299">
        <v>44540</v>
      </c>
      <c r="AB472" s="299">
        <v>44540</v>
      </c>
      <c r="AC472" s="299">
        <v>44545</v>
      </c>
      <c r="AD472" s="299"/>
      <c r="AE472" s="299"/>
      <c r="AF472" s="355"/>
      <c r="AG472" s="299" t="str">
        <f>IFERROR(IF(VLOOKUP(功能_33[[#This Row],[功能代號]],E:Q,11,FALSE)=0,"",VLOOKUP(功能_33[[#This Row],[功能代號]],E:Q,11,FALSE)),"")</f>
        <v>邱怡婷</v>
      </c>
      <c r="AH472" s="299"/>
      <c r="AI472" s="299"/>
      <c r="AJ472" s="292"/>
      <c r="AL472" s="291" t="s">
        <v>3054</v>
      </c>
      <c r="AM472" s="292" t="s">
        <v>3169</v>
      </c>
      <c r="AN472" s="292" t="e">
        <f>VLOOKUP(功能_33[[#This Row],[功能代號]],需二審tmp!A:A,1,FALSE)</f>
        <v>#N/A</v>
      </c>
      <c r="AQ472" s="574" t="str">
        <f t="shared" si="51"/>
        <v>8-3</v>
      </c>
      <c r="AR472" s="576" t="str">
        <f t="shared" si="52"/>
        <v/>
      </c>
      <c r="AS472" s="578" t="str">
        <f t="shared" si="53"/>
        <v/>
      </c>
      <c r="AT472" s="580" t="str">
        <f t="shared" si="54"/>
        <v/>
      </c>
      <c r="AU472" s="582" t="str">
        <f t="shared" si="55"/>
        <v/>
      </c>
      <c r="AV472" s="584" t="str">
        <f t="shared" si="56"/>
        <v/>
      </c>
      <c r="AW472" s="662" t="str">
        <f>IFERROR(VLOOKUP(功能_33[[#This Row],[功能代號]],工作表3!C:C,1,FALSE),"未計SIT測試")</f>
        <v>未計SIT測試</v>
      </c>
    </row>
    <row r="473" spans="3:49" ht="13.5" x14ac:dyDescent="0.3">
      <c r="C473" s="292" t="s">
        <v>97</v>
      </c>
      <c r="D473" s="292" t="s">
        <v>2827</v>
      </c>
      <c r="E473" s="291" t="s">
        <v>1257</v>
      </c>
      <c r="F473" s="292" t="s">
        <v>1258</v>
      </c>
      <c r="G473" s="292" t="s">
        <v>1134</v>
      </c>
      <c r="H473" s="291" t="s">
        <v>136</v>
      </c>
      <c r="I473" s="291" t="s">
        <v>137</v>
      </c>
      <c r="J473" s="298" t="s">
        <v>3181</v>
      </c>
      <c r="K473" s="299">
        <v>44518</v>
      </c>
      <c r="L473" s="299">
        <v>44517</v>
      </c>
      <c r="M473" s="299">
        <v>44545</v>
      </c>
      <c r="N473" s="291" t="s">
        <v>7</v>
      </c>
      <c r="O473" s="291" t="s">
        <v>25</v>
      </c>
      <c r="T473" s="291"/>
      <c r="V473" s="291"/>
      <c r="W473" s="291"/>
      <c r="X473" s="292" t="str">
        <f>VLOOKUP(功能_33[[#This Row],[User]],SKL放款!A:G,7,FALSE)</f>
        <v>放款管理課</v>
      </c>
      <c r="Y473" s="299">
        <v>44545</v>
      </c>
      <c r="Z473" s="299" t="s">
        <v>2733</v>
      </c>
      <c r="AA473" s="299">
        <v>44540</v>
      </c>
      <c r="AB473" s="299">
        <v>44540</v>
      </c>
      <c r="AC473" s="299">
        <v>44545</v>
      </c>
      <c r="AD473" s="299"/>
      <c r="AE473" s="299"/>
      <c r="AF473" s="355"/>
      <c r="AG473" s="299" t="str">
        <f>IFERROR(IF(VLOOKUP(功能_33[[#This Row],[功能代號]],E:Q,11,FALSE)=0,"",VLOOKUP(功能_33[[#This Row],[功能代號]],E:Q,11,FALSE)),"")</f>
        <v>邱怡婷</v>
      </c>
      <c r="AH473" s="299"/>
      <c r="AI473" s="299"/>
      <c r="AJ473" s="292"/>
      <c r="AL473" s="291" t="s">
        <v>3054</v>
      </c>
      <c r="AM473" s="292" t="s">
        <v>3169</v>
      </c>
      <c r="AN473" s="292" t="e">
        <f>VLOOKUP(功能_33[[#This Row],[功能代號]],需二審tmp!A:A,1,FALSE)</f>
        <v>#N/A</v>
      </c>
      <c r="AQ473" s="574" t="str">
        <f t="shared" si="51"/>
        <v>8-3</v>
      </c>
      <c r="AR473" s="576" t="str">
        <f t="shared" si="52"/>
        <v/>
      </c>
      <c r="AS473" s="578" t="str">
        <f t="shared" si="53"/>
        <v/>
      </c>
      <c r="AT473" s="580" t="str">
        <f t="shared" si="54"/>
        <v/>
      </c>
      <c r="AU473" s="582" t="str">
        <f t="shared" si="55"/>
        <v/>
      </c>
      <c r="AV473" s="584" t="str">
        <f t="shared" si="56"/>
        <v/>
      </c>
      <c r="AW473" s="662" t="str">
        <f>IFERROR(VLOOKUP(功能_33[[#This Row],[功能代號]],工作表3!C:C,1,FALSE),"未計SIT測試")</f>
        <v>未計SIT測試</v>
      </c>
    </row>
    <row r="474" spans="3:49" ht="13.5" x14ac:dyDescent="0.3">
      <c r="C474" s="292" t="s">
        <v>97</v>
      </c>
      <c r="D474" s="292" t="s">
        <v>2827</v>
      </c>
      <c r="E474" s="291" t="s">
        <v>1259</v>
      </c>
      <c r="F474" s="292" t="s">
        <v>1260</v>
      </c>
      <c r="G474" s="292" t="s">
        <v>1134</v>
      </c>
      <c r="H474" s="291" t="s">
        <v>136</v>
      </c>
      <c r="I474" s="291" t="s">
        <v>137</v>
      </c>
      <c r="J474" s="298" t="s">
        <v>3181</v>
      </c>
      <c r="K474" s="299">
        <v>44518</v>
      </c>
      <c r="L474" s="299">
        <v>44517</v>
      </c>
      <c r="M474" s="299">
        <v>44545</v>
      </c>
      <c r="N474" s="291" t="s">
        <v>7</v>
      </c>
      <c r="O474" s="291" t="s">
        <v>25</v>
      </c>
      <c r="T474" s="291"/>
      <c r="V474" s="291"/>
      <c r="W474" s="291"/>
      <c r="X474" s="292" t="str">
        <f>VLOOKUP(功能_33[[#This Row],[User]],SKL放款!A:G,7,FALSE)</f>
        <v>放款管理課</v>
      </c>
      <c r="Y474" s="299">
        <v>44545</v>
      </c>
      <c r="Z474" s="299" t="s">
        <v>2733</v>
      </c>
      <c r="AA474" s="299">
        <v>44540</v>
      </c>
      <c r="AB474" s="299">
        <v>44540</v>
      </c>
      <c r="AC474" s="299">
        <v>44545</v>
      </c>
      <c r="AD474" s="299"/>
      <c r="AE474" s="299"/>
      <c r="AF474" s="355"/>
      <c r="AG474" s="299" t="str">
        <f>IFERROR(IF(VLOOKUP(功能_33[[#This Row],[功能代號]],E:Q,11,FALSE)=0,"",VLOOKUP(功能_33[[#This Row],[功能代號]],E:Q,11,FALSE)),"")</f>
        <v>邱怡婷</v>
      </c>
      <c r="AH474" s="299"/>
      <c r="AI474" s="299"/>
      <c r="AJ474" s="292"/>
      <c r="AL474" s="291" t="s">
        <v>3054</v>
      </c>
      <c r="AM474" s="292" t="s">
        <v>3169</v>
      </c>
      <c r="AN474" s="292" t="e">
        <f>VLOOKUP(功能_33[[#This Row],[功能代號]],需二審tmp!A:A,1,FALSE)</f>
        <v>#N/A</v>
      </c>
      <c r="AQ474" s="574" t="str">
        <f t="shared" si="51"/>
        <v>8-3</v>
      </c>
      <c r="AR474" s="576" t="str">
        <f t="shared" si="52"/>
        <v/>
      </c>
      <c r="AS474" s="578" t="str">
        <f t="shared" si="53"/>
        <v/>
      </c>
      <c r="AT474" s="580" t="str">
        <f t="shared" si="54"/>
        <v/>
      </c>
      <c r="AU474" s="582" t="str">
        <f t="shared" si="55"/>
        <v/>
      </c>
      <c r="AV474" s="584" t="str">
        <f t="shared" si="56"/>
        <v/>
      </c>
      <c r="AW474" s="662" t="str">
        <f>IFERROR(VLOOKUP(功能_33[[#This Row],[功能代號]],工作表3!C:C,1,FALSE),"未計SIT測試")</f>
        <v>未計SIT測試</v>
      </c>
    </row>
    <row r="475" spans="3:49" ht="13.5" x14ac:dyDescent="0.3">
      <c r="C475" s="292" t="s">
        <v>97</v>
      </c>
      <c r="D475" s="292" t="s">
        <v>2827</v>
      </c>
      <c r="E475" s="291" t="s">
        <v>1261</v>
      </c>
      <c r="F475" s="292" t="s">
        <v>1262</v>
      </c>
      <c r="G475" s="292" t="s">
        <v>1134</v>
      </c>
      <c r="H475" s="291" t="s">
        <v>136</v>
      </c>
      <c r="I475" s="291" t="s">
        <v>137</v>
      </c>
      <c r="J475" s="298" t="s">
        <v>3181</v>
      </c>
      <c r="K475" s="299">
        <v>44518</v>
      </c>
      <c r="L475" s="299">
        <v>44517</v>
      </c>
      <c r="M475" s="299">
        <v>44545</v>
      </c>
      <c r="N475" s="291" t="s">
        <v>7</v>
      </c>
      <c r="O475" s="291" t="s">
        <v>25</v>
      </c>
      <c r="T475" s="291"/>
      <c r="V475" s="291"/>
      <c r="W475" s="291"/>
      <c r="X475" s="292" t="str">
        <f>VLOOKUP(功能_33[[#This Row],[User]],SKL放款!A:G,7,FALSE)</f>
        <v>放款管理課</v>
      </c>
      <c r="Y475" s="299">
        <v>44545</v>
      </c>
      <c r="Z475" s="299" t="s">
        <v>2733</v>
      </c>
      <c r="AA475" s="299">
        <v>44540</v>
      </c>
      <c r="AB475" s="299">
        <v>44540</v>
      </c>
      <c r="AC475" s="299">
        <v>44545</v>
      </c>
      <c r="AD475" s="299"/>
      <c r="AE475" s="299"/>
      <c r="AF475" s="355"/>
      <c r="AG475" s="299" t="str">
        <f>IFERROR(IF(VLOOKUP(功能_33[[#This Row],[功能代號]],E:Q,11,FALSE)=0,"",VLOOKUP(功能_33[[#This Row],[功能代號]],E:Q,11,FALSE)),"")</f>
        <v>邱怡婷</v>
      </c>
      <c r="AH475" s="299"/>
      <c r="AI475" s="299"/>
      <c r="AJ475" s="292"/>
      <c r="AL475" s="291" t="s">
        <v>3054</v>
      </c>
      <c r="AM475" s="292" t="s">
        <v>3169</v>
      </c>
      <c r="AN475" s="292" t="e">
        <f>VLOOKUP(功能_33[[#This Row],[功能代號]],需二審tmp!A:A,1,FALSE)</f>
        <v>#N/A</v>
      </c>
      <c r="AQ475" s="574" t="str">
        <f t="shared" si="51"/>
        <v>8-3</v>
      </c>
      <c r="AR475" s="576" t="str">
        <f t="shared" si="52"/>
        <v/>
      </c>
      <c r="AS475" s="578" t="str">
        <f t="shared" si="53"/>
        <v/>
      </c>
      <c r="AT475" s="580" t="str">
        <f t="shared" si="54"/>
        <v/>
      </c>
      <c r="AU475" s="582" t="str">
        <f t="shared" si="55"/>
        <v/>
      </c>
      <c r="AV475" s="584" t="str">
        <f t="shared" si="56"/>
        <v/>
      </c>
      <c r="AW475" s="662" t="str">
        <f>IFERROR(VLOOKUP(功能_33[[#This Row],[功能代號]],工作表3!C:C,1,FALSE),"未計SIT測試")</f>
        <v>未計SIT測試</v>
      </c>
    </row>
    <row r="476" spans="3:49" ht="13.5" x14ac:dyDescent="0.3">
      <c r="C476" s="292" t="s">
        <v>97</v>
      </c>
      <c r="D476" s="292" t="s">
        <v>2827</v>
      </c>
      <c r="E476" s="291" t="s">
        <v>1263</v>
      </c>
      <c r="F476" s="292" t="s">
        <v>1264</v>
      </c>
      <c r="G476" s="292" t="s">
        <v>1134</v>
      </c>
      <c r="H476" s="291" t="s">
        <v>136</v>
      </c>
      <c r="I476" s="291" t="s">
        <v>137</v>
      </c>
      <c r="J476" s="298" t="s">
        <v>3181</v>
      </c>
      <c r="K476" s="299">
        <v>44518</v>
      </c>
      <c r="L476" s="299">
        <v>44517</v>
      </c>
      <c r="M476" s="299">
        <v>44545</v>
      </c>
      <c r="N476" s="291" t="s">
        <v>7</v>
      </c>
      <c r="O476" s="291" t="s">
        <v>25</v>
      </c>
      <c r="T476" s="291"/>
      <c r="V476" s="291"/>
      <c r="W476" s="291"/>
      <c r="X476" s="292" t="str">
        <f>VLOOKUP(功能_33[[#This Row],[User]],SKL放款!A:G,7,FALSE)</f>
        <v>放款管理課</v>
      </c>
      <c r="Y476" s="299">
        <v>44545</v>
      </c>
      <c r="Z476" s="299" t="s">
        <v>2733</v>
      </c>
      <c r="AA476" s="299">
        <v>44540</v>
      </c>
      <c r="AB476" s="299">
        <v>44540</v>
      </c>
      <c r="AC476" s="299">
        <v>44545</v>
      </c>
      <c r="AD476" s="299"/>
      <c r="AE476" s="299"/>
      <c r="AF476" s="355"/>
      <c r="AG476" s="299" t="str">
        <f>IFERROR(IF(VLOOKUP(功能_33[[#This Row],[功能代號]],E:Q,11,FALSE)=0,"",VLOOKUP(功能_33[[#This Row],[功能代號]],E:Q,11,FALSE)),"")</f>
        <v>邱怡婷</v>
      </c>
      <c r="AH476" s="299"/>
      <c r="AI476" s="299"/>
      <c r="AJ476" s="292"/>
      <c r="AL476" s="291" t="s">
        <v>3054</v>
      </c>
      <c r="AM476" s="292" t="s">
        <v>3169</v>
      </c>
      <c r="AN476" s="292" t="e">
        <f>VLOOKUP(功能_33[[#This Row],[功能代號]],需二審tmp!A:A,1,FALSE)</f>
        <v>#N/A</v>
      </c>
      <c r="AQ476" s="574" t="str">
        <f t="shared" si="51"/>
        <v>8-3</v>
      </c>
      <c r="AR476" s="576" t="str">
        <f t="shared" si="52"/>
        <v/>
      </c>
      <c r="AS476" s="578" t="str">
        <f t="shared" si="53"/>
        <v/>
      </c>
      <c r="AT476" s="580" t="str">
        <f t="shared" si="54"/>
        <v/>
      </c>
      <c r="AU476" s="582" t="str">
        <f t="shared" si="55"/>
        <v/>
      </c>
      <c r="AV476" s="584" t="str">
        <f t="shared" si="56"/>
        <v/>
      </c>
      <c r="AW476" s="662" t="str">
        <f>IFERROR(VLOOKUP(功能_33[[#This Row],[功能代號]],工作表3!C:C,1,FALSE),"未計SIT測試")</f>
        <v>未計SIT測試</v>
      </c>
    </row>
    <row r="477" spans="3:49" ht="13.5" x14ac:dyDescent="0.3">
      <c r="C477" s="292" t="s">
        <v>97</v>
      </c>
      <c r="D477" s="292" t="s">
        <v>2827</v>
      </c>
      <c r="E477" s="291" t="s">
        <v>1265</v>
      </c>
      <c r="F477" s="292" t="s">
        <v>1266</v>
      </c>
      <c r="G477" s="292" t="s">
        <v>1134</v>
      </c>
      <c r="H477" s="291" t="s">
        <v>136</v>
      </c>
      <c r="I477" s="291" t="s">
        <v>137</v>
      </c>
      <c r="J477" s="298" t="s">
        <v>3181</v>
      </c>
      <c r="K477" s="299">
        <v>44518</v>
      </c>
      <c r="L477" s="299">
        <v>44517</v>
      </c>
      <c r="M477" s="299">
        <v>44545</v>
      </c>
      <c r="N477" s="291" t="s">
        <v>7</v>
      </c>
      <c r="O477" s="291" t="s">
        <v>25</v>
      </c>
      <c r="T477" s="291"/>
      <c r="V477" s="291"/>
      <c r="W477" s="291"/>
      <c r="X477" s="292" t="str">
        <f>VLOOKUP(功能_33[[#This Row],[User]],SKL放款!A:G,7,FALSE)</f>
        <v>放款管理課</v>
      </c>
      <c r="Y477" s="299">
        <v>44545</v>
      </c>
      <c r="Z477" s="299" t="s">
        <v>2733</v>
      </c>
      <c r="AA477" s="299">
        <v>44540</v>
      </c>
      <c r="AB477" s="299">
        <v>44540</v>
      </c>
      <c r="AC477" s="299">
        <v>44545</v>
      </c>
      <c r="AD477" s="299"/>
      <c r="AE477" s="299"/>
      <c r="AF477" s="355"/>
      <c r="AG477" s="299" t="str">
        <f>IFERROR(IF(VLOOKUP(功能_33[[#This Row],[功能代號]],E:Q,11,FALSE)=0,"",VLOOKUP(功能_33[[#This Row],[功能代號]],E:Q,11,FALSE)),"")</f>
        <v>邱怡婷</v>
      </c>
      <c r="AH477" s="299"/>
      <c r="AI477" s="299"/>
      <c r="AJ477" s="292"/>
      <c r="AL477" s="291" t="s">
        <v>3054</v>
      </c>
      <c r="AM477" s="292" t="s">
        <v>3169</v>
      </c>
      <c r="AN477" s="292" t="e">
        <f>VLOOKUP(功能_33[[#This Row],[功能代號]],需二審tmp!A:A,1,FALSE)</f>
        <v>#N/A</v>
      </c>
      <c r="AQ477" s="574" t="str">
        <f t="shared" si="51"/>
        <v>8-3</v>
      </c>
      <c r="AR477" s="576" t="str">
        <f t="shared" si="52"/>
        <v/>
      </c>
      <c r="AS477" s="578" t="str">
        <f t="shared" si="53"/>
        <v/>
      </c>
      <c r="AT477" s="580" t="str">
        <f t="shared" si="54"/>
        <v/>
      </c>
      <c r="AU477" s="582" t="str">
        <f t="shared" si="55"/>
        <v/>
      </c>
      <c r="AV477" s="584" t="str">
        <f t="shared" si="56"/>
        <v/>
      </c>
      <c r="AW477" s="662" t="str">
        <f>IFERROR(VLOOKUP(功能_33[[#This Row],[功能代號]],工作表3!C:C,1,FALSE),"未計SIT測試")</f>
        <v>未計SIT測試</v>
      </c>
    </row>
    <row r="478" spans="3:49" ht="13.5" x14ac:dyDescent="0.3">
      <c r="C478" s="292" t="s">
        <v>97</v>
      </c>
      <c r="D478" s="292" t="s">
        <v>2827</v>
      </c>
      <c r="E478" s="291" t="s">
        <v>1267</v>
      </c>
      <c r="F478" s="292" t="s">
        <v>1268</v>
      </c>
      <c r="G478" s="292" t="s">
        <v>1134</v>
      </c>
      <c r="H478" s="291" t="s">
        <v>136</v>
      </c>
      <c r="I478" s="291" t="s">
        <v>137</v>
      </c>
      <c r="J478" s="298" t="s">
        <v>3181</v>
      </c>
      <c r="K478" s="299">
        <v>44518</v>
      </c>
      <c r="L478" s="299">
        <v>44517</v>
      </c>
      <c r="M478" s="299">
        <v>44545</v>
      </c>
      <c r="N478" s="291" t="s">
        <v>7</v>
      </c>
      <c r="O478" s="291" t="s">
        <v>25</v>
      </c>
      <c r="T478" s="291"/>
      <c r="V478" s="291"/>
      <c r="W478" s="291"/>
      <c r="X478" s="292" t="str">
        <f>VLOOKUP(功能_33[[#This Row],[User]],SKL放款!A:G,7,FALSE)</f>
        <v>放款管理課</v>
      </c>
      <c r="Y478" s="299">
        <v>44545</v>
      </c>
      <c r="Z478" s="299" t="s">
        <v>2733</v>
      </c>
      <c r="AA478" s="299">
        <v>44540</v>
      </c>
      <c r="AB478" s="299">
        <v>44540</v>
      </c>
      <c r="AC478" s="299">
        <v>44545</v>
      </c>
      <c r="AD478" s="299"/>
      <c r="AE478" s="299"/>
      <c r="AF478" s="355"/>
      <c r="AG478" s="299" t="str">
        <f>IFERROR(IF(VLOOKUP(功能_33[[#This Row],[功能代號]],E:Q,11,FALSE)=0,"",VLOOKUP(功能_33[[#This Row],[功能代號]],E:Q,11,FALSE)),"")</f>
        <v>邱怡婷</v>
      </c>
      <c r="AH478" s="299"/>
      <c r="AI478" s="299"/>
      <c r="AJ478" s="292"/>
      <c r="AL478" s="291" t="s">
        <v>3054</v>
      </c>
      <c r="AM478" s="292" t="s">
        <v>3169</v>
      </c>
      <c r="AN478" s="292" t="e">
        <f>VLOOKUP(功能_33[[#This Row],[功能代號]],需二審tmp!A:A,1,FALSE)</f>
        <v>#N/A</v>
      </c>
      <c r="AQ478" s="574" t="str">
        <f t="shared" si="51"/>
        <v>8-3</v>
      </c>
      <c r="AR478" s="576" t="str">
        <f t="shared" si="52"/>
        <v/>
      </c>
      <c r="AS478" s="578" t="str">
        <f t="shared" si="53"/>
        <v/>
      </c>
      <c r="AT478" s="580" t="str">
        <f t="shared" si="54"/>
        <v/>
      </c>
      <c r="AU478" s="582" t="str">
        <f t="shared" si="55"/>
        <v/>
      </c>
      <c r="AV478" s="584" t="str">
        <f t="shared" si="56"/>
        <v/>
      </c>
      <c r="AW478" s="662" t="str">
        <f>IFERROR(VLOOKUP(功能_33[[#This Row],[功能代號]],工作表3!C:C,1,FALSE),"未計SIT測試")</f>
        <v>未計SIT測試</v>
      </c>
    </row>
    <row r="479" spans="3:49" ht="13.5" x14ac:dyDescent="0.3">
      <c r="C479" s="292" t="s">
        <v>97</v>
      </c>
      <c r="D479" s="292" t="s">
        <v>2827</v>
      </c>
      <c r="E479" s="291" t="s">
        <v>1269</v>
      </c>
      <c r="F479" s="292" t="s">
        <v>1270</v>
      </c>
      <c r="G479" s="292" t="s">
        <v>1134</v>
      </c>
      <c r="H479" s="291" t="s">
        <v>136</v>
      </c>
      <c r="I479" s="291" t="s">
        <v>137</v>
      </c>
      <c r="J479" s="298" t="s">
        <v>3181</v>
      </c>
      <c r="K479" s="299">
        <v>44518</v>
      </c>
      <c r="L479" s="299">
        <v>44517</v>
      </c>
      <c r="M479" s="299">
        <v>44545</v>
      </c>
      <c r="N479" s="291" t="s">
        <v>7</v>
      </c>
      <c r="O479" s="291" t="s">
        <v>25</v>
      </c>
      <c r="T479" s="291"/>
      <c r="V479" s="291"/>
      <c r="W479" s="291"/>
      <c r="X479" s="292" t="str">
        <f>VLOOKUP(功能_33[[#This Row],[User]],SKL放款!A:G,7,FALSE)</f>
        <v>放款管理課</v>
      </c>
      <c r="Y479" s="299">
        <v>44545</v>
      </c>
      <c r="Z479" s="299" t="s">
        <v>2733</v>
      </c>
      <c r="AA479" s="299">
        <v>44540</v>
      </c>
      <c r="AB479" s="299">
        <v>44540</v>
      </c>
      <c r="AC479" s="299">
        <v>44545</v>
      </c>
      <c r="AD479" s="299"/>
      <c r="AE479" s="299"/>
      <c r="AF479" s="355"/>
      <c r="AG479" s="299" t="str">
        <f>IFERROR(IF(VLOOKUP(功能_33[[#This Row],[功能代號]],E:Q,11,FALSE)=0,"",VLOOKUP(功能_33[[#This Row],[功能代號]],E:Q,11,FALSE)),"")</f>
        <v>邱怡婷</v>
      </c>
      <c r="AH479" s="299"/>
      <c r="AI479" s="299"/>
      <c r="AJ479" s="292"/>
      <c r="AL479" s="291" t="s">
        <v>3054</v>
      </c>
      <c r="AM479" s="292" t="s">
        <v>3169</v>
      </c>
      <c r="AN479" s="292" t="e">
        <f>VLOOKUP(功能_33[[#This Row],[功能代號]],需二審tmp!A:A,1,FALSE)</f>
        <v>#N/A</v>
      </c>
      <c r="AQ479" s="574" t="str">
        <f t="shared" si="51"/>
        <v>8-3</v>
      </c>
      <c r="AR479" s="576" t="str">
        <f t="shared" si="52"/>
        <v/>
      </c>
      <c r="AS479" s="578" t="str">
        <f t="shared" si="53"/>
        <v/>
      </c>
      <c r="AT479" s="580" t="str">
        <f t="shared" si="54"/>
        <v/>
      </c>
      <c r="AU479" s="582" t="str">
        <f t="shared" si="55"/>
        <v/>
      </c>
      <c r="AV479" s="584" t="str">
        <f t="shared" si="56"/>
        <v/>
      </c>
      <c r="AW479" s="662" t="str">
        <f>IFERROR(VLOOKUP(功能_33[[#This Row],[功能代號]],工作表3!C:C,1,FALSE),"未計SIT測試")</f>
        <v>未計SIT測試</v>
      </c>
    </row>
    <row r="480" spans="3:49" ht="13.5" x14ac:dyDescent="0.3">
      <c r="C480" s="292" t="s">
        <v>97</v>
      </c>
      <c r="D480" s="292" t="s">
        <v>2827</v>
      </c>
      <c r="E480" s="291" t="s">
        <v>1271</v>
      </c>
      <c r="F480" s="292" t="s">
        <v>1272</v>
      </c>
      <c r="G480" s="292" t="s">
        <v>1134</v>
      </c>
      <c r="H480" s="291" t="s">
        <v>136</v>
      </c>
      <c r="I480" s="291" t="s">
        <v>137</v>
      </c>
      <c r="J480" s="298" t="s">
        <v>3181</v>
      </c>
      <c r="K480" s="299">
        <v>44519</v>
      </c>
      <c r="L480" s="299">
        <v>44517</v>
      </c>
      <c r="M480" s="299">
        <v>44545</v>
      </c>
      <c r="N480" s="291" t="s">
        <v>7</v>
      </c>
      <c r="O480" s="291" t="s">
        <v>25</v>
      </c>
      <c r="T480" s="291"/>
      <c r="V480" s="291"/>
      <c r="W480" s="291"/>
      <c r="X480" s="292" t="str">
        <f>VLOOKUP(功能_33[[#This Row],[User]],SKL放款!A:G,7,FALSE)</f>
        <v>放款管理課</v>
      </c>
      <c r="Y480" s="299">
        <v>44545</v>
      </c>
      <c r="Z480" s="299" t="s">
        <v>2733</v>
      </c>
      <c r="AA480" s="299">
        <v>44540</v>
      </c>
      <c r="AB480" s="299">
        <v>44540</v>
      </c>
      <c r="AC480" s="299">
        <v>44545</v>
      </c>
      <c r="AD480" s="299"/>
      <c r="AE480" s="299"/>
      <c r="AF480" s="355"/>
      <c r="AG480" s="299" t="str">
        <f>IFERROR(IF(VLOOKUP(功能_33[[#This Row],[功能代號]],E:Q,11,FALSE)=0,"",VLOOKUP(功能_33[[#This Row],[功能代號]],E:Q,11,FALSE)),"")</f>
        <v>邱怡婷</v>
      </c>
      <c r="AH480" s="299"/>
      <c r="AI480" s="299"/>
      <c r="AJ480" s="292"/>
      <c r="AL480" s="291" t="s">
        <v>3054</v>
      </c>
      <c r="AM480" s="292" t="s">
        <v>3169</v>
      </c>
      <c r="AN480" s="292" t="e">
        <f>VLOOKUP(功能_33[[#This Row],[功能代號]],需二審tmp!A:A,1,FALSE)</f>
        <v>#N/A</v>
      </c>
      <c r="AQ480" s="574" t="str">
        <f t="shared" si="51"/>
        <v>8-3</v>
      </c>
      <c r="AR480" s="576" t="str">
        <f t="shared" si="52"/>
        <v/>
      </c>
      <c r="AS480" s="578" t="str">
        <f t="shared" si="53"/>
        <v/>
      </c>
      <c r="AT480" s="580" t="str">
        <f t="shared" si="54"/>
        <v/>
      </c>
      <c r="AU480" s="582" t="str">
        <f t="shared" si="55"/>
        <v/>
      </c>
      <c r="AV480" s="584" t="str">
        <f t="shared" si="56"/>
        <v/>
      </c>
      <c r="AW480" s="662" t="str">
        <f>IFERROR(VLOOKUP(功能_33[[#This Row],[功能代號]],工作表3!C:C,1,FALSE),"未計SIT測試")</f>
        <v>未計SIT測試</v>
      </c>
    </row>
    <row r="481" spans="3:49" ht="13.5" x14ac:dyDescent="0.3">
      <c r="C481" s="292" t="s">
        <v>97</v>
      </c>
      <c r="D481" s="292" t="s">
        <v>2827</v>
      </c>
      <c r="E481" s="291" t="s">
        <v>1273</v>
      </c>
      <c r="F481" s="292" t="s">
        <v>1274</v>
      </c>
      <c r="G481" s="292" t="s">
        <v>1134</v>
      </c>
      <c r="H481" s="291" t="s">
        <v>136</v>
      </c>
      <c r="I481" s="291" t="s">
        <v>137</v>
      </c>
      <c r="J481" s="298" t="s">
        <v>3181</v>
      </c>
      <c r="K481" s="299">
        <v>44519</v>
      </c>
      <c r="L481" s="299">
        <v>44517</v>
      </c>
      <c r="M481" s="299">
        <v>44545</v>
      </c>
      <c r="N481" s="291" t="s">
        <v>7</v>
      </c>
      <c r="O481" s="291" t="s">
        <v>25</v>
      </c>
      <c r="T481" s="291"/>
      <c r="V481" s="291"/>
      <c r="W481" s="291"/>
      <c r="X481" s="292" t="str">
        <f>VLOOKUP(功能_33[[#This Row],[User]],SKL放款!A:G,7,FALSE)</f>
        <v>放款管理課</v>
      </c>
      <c r="Y481" s="299">
        <v>44545</v>
      </c>
      <c r="Z481" s="299" t="s">
        <v>2733</v>
      </c>
      <c r="AA481" s="299">
        <v>44540</v>
      </c>
      <c r="AB481" s="299">
        <v>44540</v>
      </c>
      <c r="AC481" s="299">
        <v>44545</v>
      </c>
      <c r="AD481" s="299"/>
      <c r="AE481" s="299"/>
      <c r="AF481" s="355"/>
      <c r="AG481" s="299" t="str">
        <f>IFERROR(IF(VLOOKUP(功能_33[[#This Row],[功能代號]],E:Q,11,FALSE)=0,"",VLOOKUP(功能_33[[#This Row],[功能代號]],E:Q,11,FALSE)),"")</f>
        <v>邱怡婷</v>
      </c>
      <c r="AH481" s="299"/>
      <c r="AI481" s="299"/>
      <c r="AJ481" s="292"/>
      <c r="AL481" s="291" t="s">
        <v>3054</v>
      </c>
      <c r="AM481" s="292" t="s">
        <v>3169</v>
      </c>
      <c r="AN481" s="292" t="e">
        <f>VLOOKUP(功能_33[[#This Row],[功能代號]],需二審tmp!A:A,1,FALSE)</f>
        <v>#N/A</v>
      </c>
      <c r="AQ481" s="574" t="str">
        <f t="shared" si="51"/>
        <v>8-3</v>
      </c>
      <c r="AR481" s="576" t="str">
        <f t="shared" si="52"/>
        <v/>
      </c>
      <c r="AS481" s="578" t="str">
        <f t="shared" si="53"/>
        <v/>
      </c>
      <c r="AT481" s="580" t="str">
        <f t="shared" si="54"/>
        <v/>
      </c>
      <c r="AU481" s="582" t="str">
        <f t="shared" si="55"/>
        <v/>
      </c>
      <c r="AV481" s="584" t="str">
        <f t="shared" si="56"/>
        <v/>
      </c>
      <c r="AW481" s="662" t="str">
        <f>IFERROR(VLOOKUP(功能_33[[#This Row],[功能代號]],工作表3!C:C,1,FALSE),"未計SIT測試")</f>
        <v>未計SIT測試</v>
      </c>
    </row>
    <row r="482" spans="3:49" ht="13.5" x14ac:dyDescent="0.3">
      <c r="C482" s="292" t="s">
        <v>97</v>
      </c>
      <c r="D482" s="292" t="s">
        <v>2827</v>
      </c>
      <c r="E482" s="291" t="s">
        <v>1275</v>
      </c>
      <c r="F482" s="292" t="s">
        <v>1276</v>
      </c>
      <c r="G482" s="292" t="s">
        <v>1134</v>
      </c>
      <c r="H482" s="291" t="s">
        <v>136</v>
      </c>
      <c r="I482" s="291" t="s">
        <v>137</v>
      </c>
      <c r="J482" s="298" t="s">
        <v>3181</v>
      </c>
      <c r="K482" s="299">
        <v>44519</v>
      </c>
      <c r="L482" s="299">
        <v>44517</v>
      </c>
      <c r="M482" s="299">
        <v>44545</v>
      </c>
      <c r="N482" s="291" t="s">
        <v>7</v>
      </c>
      <c r="O482" s="291" t="s">
        <v>25</v>
      </c>
      <c r="T482" s="291"/>
      <c r="V482" s="291"/>
      <c r="W482" s="291"/>
      <c r="X482" s="292" t="str">
        <f>VLOOKUP(功能_33[[#This Row],[User]],SKL放款!A:G,7,FALSE)</f>
        <v>放款管理課</v>
      </c>
      <c r="Y482" s="299">
        <v>44545</v>
      </c>
      <c r="Z482" s="299" t="s">
        <v>2733</v>
      </c>
      <c r="AA482" s="299">
        <v>44540</v>
      </c>
      <c r="AB482" s="299">
        <v>44540</v>
      </c>
      <c r="AC482" s="299">
        <v>44545</v>
      </c>
      <c r="AD482" s="299"/>
      <c r="AE482" s="299"/>
      <c r="AF482" s="355"/>
      <c r="AG482" s="299" t="str">
        <f>IFERROR(IF(VLOOKUP(功能_33[[#This Row],[功能代號]],E:Q,11,FALSE)=0,"",VLOOKUP(功能_33[[#This Row],[功能代號]],E:Q,11,FALSE)),"")</f>
        <v>邱怡婷</v>
      </c>
      <c r="AH482" s="299"/>
      <c r="AI482" s="299"/>
      <c r="AJ482" s="292"/>
      <c r="AL482" s="291" t="s">
        <v>3054</v>
      </c>
      <c r="AM482" s="292" t="s">
        <v>3169</v>
      </c>
      <c r="AN482" s="292" t="e">
        <f>VLOOKUP(功能_33[[#This Row],[功能代號]],需二審tmp!A:A,1,FALSE)</f>
        <v>#N/A</v>
      </c>
      <c r="AQ482" s="574" t="str">
        <f t="shared" si="51"/>
        <v>8-3</v>
      </c>
      <c r="AR482" s="576" t="str">
        <f t="shared" si="52"/>
        <v/>
      </c>
      <c r="AS482" s="578" t="str">
        <f t="shared" si="53"/>
        <v/>
      </c>
      <c r="AT482" s="580" t="str">
        <f t="shared" si="54"/>
        <v/>
      </c>
      <c r="AU482" s="582" t="str">
        <f t="shared" si="55"/>
        <v/>
      </c>
      <c r="AV482" s="584" t="str">
        <f t="shared" si="56"/>
        <v/>
      </c>
      <c r="AW482" s="662" t="str">
        <f>IFERROR(VLOOKUP(功能_33[[#This Row],[功能代號]],工作表3!C:C,1,FALSE),"未計SIT測試")</f>
        <v>未計SIT測試</v>
      </c>
    </row>
    <row r="483" spans="3:49" ht="13.5" x14ac:dyDescent="0.3">
      <c r="C483" s="292" t="s">
        <v>97</v>
      </c>
      <c r="D483" s="292" t="s">
        <v>2827</v>
      </c>
      <c r="E483" s="291" t="s">
        <v>1277</v>
      </c>
      <c r="F483" s="292" t="s">
        <v>1278</v>
      </c>
      <c r="G483" s="292" t="s">
        <v>1134</v>
      </c>
      <c r="H483" s="291" t="s">
        <v>136</v>
      </c>
      <c r="I483" s="291" t="s">
        <v>137</v>
      </c>
      <c r="J483" s="298" t="s">
        <v>3181</v>
      </c>
      <c r="K483" s="299">
        <v>44519</v>
      </c>
      <c r="L483" s="299">
        <v>44517</v>
      </c>
      <c r="M483" s="299">
        <v>44545</v>
      </c>
      <c r="N483" s="291" t="s">
        <v>7</v>
      </c>
      <c r="O483" s="291" t="s">
        <v>25</v>
      </c>
      <c r="T483" s="291"/>
      <c r="V483" s="291"/>
      <c r="W483" s="291"/>
      <c r="X483" s="292" t="str">
        <f>VLOOKUP(功能_33[[#This Row],[User]],SKL放款!A:G,7,FALSE)</f>
        <v>放款管理課</v>
      </c>
      <c r="Y483" s="299">
        <v>44545</v>
      </c>
      <c r="Z483" s="299" t="s">
        <v>2733</v>
      </c>
      <c r="AA483" s="299">
        <v>44540</v>
      </c>
      <c r="AB483" s="299">
        <v>44540</v>
      </c>
      <c r="AC483" s="299">
        <v>44545</v>
      </c>
      <c r="AD483" s="299"/>
      <c r="AE483" s="299"/>
      <c r="AF483" s="355"/>
      <c r="AG483" s="299" t="str">
        <f>IFERROR(IF(VLOOKUP(功能_33[[#This Row],[功能代號]],E:Q,11,FALSE)=0,"",VLOOKUP(功能_33[[#This Row],[功能代號]],E:Q,11,FALSE)),"")</f>
        <v>邱怡婷</v>
      </c>
      <c r="AH483" s="299"/>
      <c r="AI483" s="299"/>
      <c r="AJ483" s="292"/>
      <c r="AL483" s="291" t="s">
        <v>3054</v>
      </c>
      <c r="AM483" s="292" t="s">
        <v>3169</v>
      </c>
      <c r="AN483" s="292" t="e">
        <f>VLOOKUP(功能_33[[#This Row],[功能代號]],需二審tmp!A:A,1,FALSE)</f>
        <v>#N/A</v>
      </c>
      <c r="AQ483" s="574" t="str">
        <f t="shared" si="51"/>
        <v>8-3</v>
      </c>
      <c r="AR483" s="576" t="str">
        <f t="shared" si="52"/>
        <v/>
      </c>
      <c r="AS483" s="578" t="str">
        <f t="shared" si="53"/>
        <v/>
      </c>
      <c r="AT483" s="580" t="str">
        <f t="shared" si="54"/>
        <v/>
      </c>
      <c r="AU483" s="582" t="str">
        <f t="shared" si="55"/>
        <v/>
      </c>
      <c r="AV483" s="584" t="str">
        <f t="shared" si="56"/>
        <v/>
      </c>
      <c r="AW483" s="662" t="str">
        <f>IFERROR(VLOOKUP(功能_33[[#This Row],[功能代號]],工作表3!C:C,1,FALSE),"未計SIT測試")</f>
        <v>未計SIT測試</v>
      </c>
    </row>
    <row r="484" spans="3:49" ht="13.5" x14ac:dyDescent="0.3">
      <c r="C484" s="292" t="s">
        <v>97</v>
      </c>
      <c r="D484" s="292" t="s">
        <v>2827</v>
      </c>
      <c r="E484" s="291" t="s">
        <v>1279</v>
      </c>
      <c r="F484" s="292" t="s">
        <v>1280</v>
      </c>
      <c r="G484" s="292" t="s">
        <v>1134</v>
      </c>
      <c r="H484" s="291" t="s">
        <v>136</v>
      </c>
      <c r="I484" s="291" t="s">
        <v>137</v>
      </c>
      <c r="J484" s="298" t="s">
        <v>3181</v>
      </c>
      <c r="K484" s="299">
        <v>44519</v>
      </c>
      <c r="L484" s="299">
        <v>44517</v>
      </c>
      <c r="M484" s="299">
        <v>44545</v>
      </c>
      <c r="N484" s="291" t="s">
        <v>7</v>
      </c>
      <c r="O484" s="291" t="s">
        <v>25</v>
      </c>
      <c r="T484" s="291"/>
      <c r="V484" s="291"/>
      <c r="W484" s="291"/>
      <c r="X484" s="292" t="str">
        <f>VLOOKUP(功能_33[[#This Row],[User]],SKL放款!A:G,7,FALSE)</f>
        <v>放款管理課</v>
      </c>
      <c r="Y484" s="299">
        <v>44545</v>
      </c>
      <c r="Z484" s="299" t="s">
        <v>2733</v>
      </c>
      <c r="AA484" s="299">
        <v>44540</v>
      </c>
      <c r="AB484" s="299">
        <v>44540</v>
      </c>
      <c r="AC484" s="299">
        <v>44545</v>
      </c>
      <c r="AD484" s="299"/>
      <c r="AE484" s="299"/>
      <c r="AF484" s="355"/>
      <c r="AG484" s="299" t="str">
        <f>IFERROR(IF(VLOOKUP(功能_33[[#This Row],[功能代號]],E:Q,11,FALSE)=0,"",VLOOKUP(功能_33[[#This Row],[功能代號]],E:Q,11,FALSE)),"")</f>
        <v>邱怡婷</v>
      </c>
      <c r="AH484" s="299"/>
      <c r="AI484" s="299"/>
      <c r="AJ484" s="292"/>
      <c r="AL484" s="291" t="s">
        <v>3054</v>
      </c>
      <c r="AM484" s="292" t="s">
        <v>3169</v>
      </c>
      <c r="AN484" s="292" t="str">
        <f>VLOOKUP(功能_33[[#This Row],[功能代號]],需二審tmp!A:A,1,FALSE)</f>
        <v>L8336</v>
      </c>
      <c r="AQ484" s="574" t="str">
        <f t="shared" si="51"/>
        <v>8-3</v>
      </c>
      <c r="AR484" s="576" t="str">
        <f t="shared" si="52"/>
        <v/>
      </c>
      <c r="AS484" s="578" t="str">
        <f t="shared" si="53"/>
        <v/>
      </c>
      <c r="AT484" s="580" t="str">
        <f t="shared" si="54"/>
        <v/>
      </c>
      <c r="AU484" s="582" t="str">
        <f t="shared" si="55"/>
        <v/>
      </c>
      <c r="AV484" s="584" t="str">
        <f t="shared" si="56"/>
        <v/>
      </c>
      <c r="AW484" s="662" t="str">
        <f>IFERROR(VLOOKUP(功能_33[[#This Row],[功能代號]],工作表3!C:C,1,FALSE),"未計SIT測試")</f>
        <v>未計SIT測試</v>
      </c>
    </row>
    <row r="485" spans="3:49" ht="13.5" x14ac:dyDescent="0.3">
      <c r="C485" s="292" t="s">
        <v>97</v>
      </c>
      <c r="D485" s="292" t="s">
        <v>2827</v>
      </c>
      <c r="E485" s="291" t="s">
        <v>1281</v>
      </c>
      <c r="F485" s="292" t="s">
        <v>1282</v>
      </c>
      <c r="G485" s="292" t="s">
        <v>1134</v>
      </c>
      <c r="H485" s="291" t="s">
        <v>136</v>
      </c>
      <c r="I485" s="291" t="s">
        <v>137</v>
      </c>
      <c r="J485" s="298" t="s">
        <v>3181</v>
      </c>
      <c r="K485" s="299">
        <v>44519</v>
      </c>
      <c r="L485" s="299">
        <v>44517</v>
      </c>
      <c r="M485" s="299">
        <v>44545</v>
      </c>
      <c r="N485" s="291" t="s">
        <v>7</v>
      </c>
      <c r="O485" s="291" t="s">
        <v>25</v>
      </c>
      <c r="T485" s="291"/>
      <c r="V485" s="291"/>
      <c r="W485" s="291"/>
      <c r="X485" s="292" t="str">
        <f>VLOOKUP(功能_33[[#This Row],[User]],SKL放款!A:G,7,FALSE)</f>
        <v>放款管理課</v>
      </c>
      <c r="Y485" s="299">
        <v>44545</v>
      </c>
      <c r="Z485" s="299" t="s">
        <v>2733</v>
      </c>
      <c r="AA485" s="299">
        <v>44540</v>
      </c>
      <c r="AB485" s="299">
        <v>44540</v>
      </c>
      <c r="AC485" s="299">
        <v>44545</v>
      </c>
      <c r="AD485" s="299"/>
      <c r="AE485" s="299"/>
      <c r="AF485" s="355"/>
      <c r="AG485" s="299" t="str">
        <f>IFERROR(IF(VLOOKUP(功能_33[[#This Row],[功能代號]],E:Q,11,FALSE)=0,"",VLOOKUP(功能_33[[#This Row],[功能代號]],E:Q,11,FALSE)),"")</f>
        <v>邱怡婷</v>
      </c>
      <c r="AH485" s="299"/>
      <c r="AI485" s="299"/>
      <c r="AJ485" s="292"/>
      <c r="AL485" s="291" t="s">
        <v>3054</v>
      </c>
      <c r="AM485" s="292" t="s">
        <v>3169</v>
      </c>
      <c r="AN485" s="292" t="e">
        <f>VLOOKUP(功能_33[[#This Row],[功能代號]],需二審tmp!A:A,1,FALSE)</f>
        <v>#N/A</v>
      </c>
      <c r="AQ485" s="574" t="str">
        <f t="shared" si="51"/>
        <v>8-3</v>
      </c>
      <c r="AR485" s="576" t="str">
        <f t="shared" si="52"/>
        <v/>
      </c>
      <c r="AS485" s="578" t="str">
        <f t="shared" si="53"/>
        <v/>
      </c>
      <c r="AT485" s="580" t="str">
        <f t="shared" si="54"/>
        <v/>
      </c>
      <c r="AU485" s="582" t="str">
        <f t="shared" si="55"/>
        <v/>
      </c>
      <c r="AV485" s="584" t="str">
        <f t="shared" si="56"/>
        <v/>
      </c>
      <c r="AW485" s="662" t="str">
        <f>IFERROR(VLOOKUP(功能_33[[#This Row],[功能代號]],工作表3!C:C,1,FALSE),"未計SIT測試")</f>
        <v>未計SIT測試</v>
      </c>
    </row>
    <row r="486" spans="3:49" ht="13.5" x14ac:dyDescent="0.3">
      <c r="C486" s="292" t="s">
        <v>97</v>
      </c>
      <c r="D486" s="292" t="s">
        <v>2827</v>
      </c>
      <c r="E486" s="291" t="s">
        <v>1283</v>
      </c>
      <c r="F486" s="292" t="s">
        <v>1284</v>
      </c>
      <c r="G486" s="292" t="s">
        <v>1134</v>
      </c>
      <c r="H486" s="291" t="s">
        <v>136</v>
      </c>
      <c r="I486" s="291" t="s">
        <v>137</v>
      </c>
      <c r="J486" s="298" t="s">
        <v>3181</v>
      </c>
      <c r="K486" s="299">
        <v>44515</v>
      </c>
      <c r="L486" s="299">
        <v>44517</v>
      </c>
      <c r="M486" s="299">
        <v>44536</v>
      </c>
      <c r="N486" s="291" t="s">
        <v>7</v>
      </c>
      <c r="O486" s="291" t="s">
        <v>25</v>
      </c>
      <c r="T486" s="291"/>
      <c r="V486" s="291"/>
      <c r="W486" s="291"/>
      <c r="X486" s="292" t="str">
        <f>VLOOKUP(功能_33[[#This Row],[User]],SKL放款!A:G,7,FALSE)</f>
        <v>放款管理課</v>
      </c>
      <c r="Y486" s="299">
        <v>44533</v>
      </c>
      <c r="Z486" s="299" t="s">
        <v>195</v>
      </c>
      <c r="AA486" s="299">
        <v>44540</v>
      </c>
      <c r="AB486" s="299">
        <v>44540</v>
      </c>
      <c r="AC486" s="299">
        <v>44545</v>
      </c>
      <c r="AD486" s="299"/>
      <c r="AE486" s="299"/>
      <c r="AF486" s="355"/>
      <c r="AG486" s="299" t="str">
        <f>IFERROR(IF(VLOOKUP(功能_33[[#This Row],[功能代號]],E:Q,11,FALSE)=0,"",VLOOKUP(功能_33[[#This Row],[功能代號]],E:Q,11,FALSE)),"")</f>
        <v>邱怡婷</v>
      </c>
      <c r="AH486" s="299"/>
      <c r="AI486" s="299"/>
      <c r="AJ486" s="292"/>
      <c r="AL486" s="291" t="s">
        <v>3054</v>
      </c>
      <c r="AM486" s="292" t="s">
        <v>3170</v>
      </c>
      <c r="AN486" s="292" t="e">
        <f>VLOOKUP(功能_33[[#This Row],[功能代號]],需二審tmp!A:A,1,FALSE)</f>
        <v>#N/A</v>
      </c>
      <c r="AO486" s="356">
        <v>44533</v>
      </c>
      <c r="AQ486" s="574" t="str">
        <f t="shared" si="51"/>
        <v>8-3</v>
      </c>
      <c r="AR486" s="576" t="str">
        <f t="shared" si="52"/>
        <v/>
      </c>
      <c r="AS486" s="578" t="str">
        <f t="shared" si="53"/>
        <v/>
      </c>
      <c r="AT486" s="580" t="str">
        <f t="shared" si="54"/>
        <v/>
      </c>
      <c r="AU486" s="582" t="str">
        <f t="shared" si="55"/>
        <v/>
      </c>
      <c r="AV486" s="584" t="str">
        <f t="shared" si="56"/>
        <v/>
      </c>
      <c r="AW486" s="662" t="str">
        <f>IFERROR(VLOOKUP(功能_33[[#This Row],[功能代號]],工作表3!C:C,1,FALSE),"未計SIT測試")</f>
        <v>未計SIT測試</v>
      </c>
    </row>
    <row r="487" spans="3:49" ht="13.5" x14ac:dyDescent="0.3">
      <c r="C487" s="292" t="s">
        <v>97</v>
      </c>
      <c r="D487" s="292" t="s">
        <v>2827</v>
      </c>
      <c r="E487" s="291" t="s">
        <v>1285</v>
      </c>
      <c r="F487" s="292" t="s">
        <v>1286</v>
      </c>
      <c r="G487" s="292" t="s">
        <v>1134</v>
      </c>
      <c r="H487" s="291" t="s">
        <v>136</v>
      </c>
      <c r="I487" s="291" t="s">
        <v>137</v>
      </c>
      <c r="J487" s="298" t="s">
        <v>3181</v>
      </c>
      <c r="K487" s="299">
        <v>44515</v>
      </c>
      <c r="L487" s="299">
        <v>44517</v>
      </c>
      <c r="M487" s="299">
        <v>44536</v>
      </c>
      <c r="N487" s="291" t="s">
        <v>7</v>
      </c>
      <c r="O487" s="291" t="s">
        <v>25</v>
      </c>
      <c r="T487" s="291"/>
      <c r="V487" s="291"/>
      <c r="W487" s="291"/>
      <c r="X487" s="292" t="str">
        <f>VLOOKUP(功能_33[[#This Row],[User]],SKL放款!A:G,7,FALSE)</f>
        <v>放款管理課</v>
      </c>
      <c r="Y487" s="299">
        <v>44533</v>
      </c>
      <c r="Z487" s="299" t="s">
        <v>195</v>
      </c>
      <c r="AA487" s="299">
        <v>44540</v>
      </c>
      <c r="AB487" s="299">
        <v>44540</v>
      </c>
      <c r="AC487" s="299">
        <v>44545</v>
      </c>
      <c r="AD487" s="299"/>
      <c r="AE487" s="299"/>
      <c r="AF487" s="355"/>
      <c r="AG487" s="299" t="str">
        <f>IFERROR(IF(VLOOKUP(功能_33[[#This Row],[功能代號]],E:Q,11,FALSE)=0,"",VLOOKUP(功能_33[[#This Row],[功能代號]],E:Q,11,FALSE)),"")</f>
        <v>邱怡婷</v>
      </c>
      <c r="AH487" s="299"/>
      <c r="AI487" s="299"/>
      <c r="AJ487" s="292"/>
      <c r="AL487" s="291" t="s">
        <v>3054</v>
      </c>
      <c r="AM487" s="292" t="s">
        <v>3170</v>
      </c>
      <c r="AN487" s="292" t="e">
        <f>VLOOKUP(功能_33[[#This Row],[功能代號]],需二審tmp!A:A,1,FALSE)</f>
        <v>#N/A</v>
      </c>
      <c r="AO487" s="356">
        <v>44533</v>
      </c>
      <c r="AQ487" s="574" t="str">
        <f t="shared" si="51"/>
        <v>8-3</v>
      </c>
      <c r="AR487" s="576" t="str">
        <f t="shared" si="52"/>
        <v/>
      </c>
      <c r="AS487" s="578" t="str">
        <f t="shared" si="53"/>
        <v/>
      </c>
      <c r="AT487" s="580" t="str">
        <f t="shared" si="54"/>
        <v/>
      </c>
      <c r="AU487" s="582" t="str">
        <f t="shared" si="55"/>
        <v/>
      </c>
      <c r="AV487" s="584" t="str">
        <f t="shared" si="56"/>
        <v/>
      </c>
      <c r="AW487" s="662" t="str">
        <f>IFERROR(VLOOKUP(功能_33[[#This Row],[功能代號]],工作表3!C:C,1,FALSE),"未計SIT測試")</f>
        <v>未計SIT測試</v>
      </c>
    </row>
    <row r="488" spans="3:49" ht="13.5" x14ac:dyDescent="0.3">
      <c r="C488" s="292" t="s">
        <v>97</v>
      </c>
      <c r="D488" s="292" t="s">
        <v>2827</v>
      </c>
      <c r="E488" s="291" t="s">
        <v>1287</v>
      </c>
      <c r="F488" s="292" t="s">
        <v>1288</v>
      </c>
      <c r="G488" s="292" t="s">
        <v>1134</v>
      </c>
      <c r="H488" s="291" t="s">
        <v>136</v>
      </c>
      <c r="I488" s="291" t="s">
        <v>137</v>
      </c>
      <c r="J488" s="298" t="s">
        <v>3181</v>
      </c>
      <c r="K488" s="299">
        <v>44515</v>
      </c>
      <c r="L488" s="299">
        <v>44517</v>
      </c>
      <c r="M488" s="299">
        <v>44536</v>
      </c>
      <c r="N488" s="291" t="s">
        <v>7</v>
      </c>
      <c r="O488" s="291" t="s">
        <v>25</v>
      </c>
      <c r="T488" s="291"/>
      <c r="V488" s="291"/>
      <c r="W488" s="291"/>
      <c r="X488" s="292" t="str">
        <f>VLOOKUP(功能_33[[#This Row],[User]],SKL放款!A:G,7,FALSE)</f>
        <v>放款管理課</v>
      </c>
      <c r="Y488" s="299">
        <v>44533</v>
      </c>
      <c r="Z488" s="299" t="s">
        <v>195</v>
      </c>
      <c r="AA488" s="299">
        <v>44540</v>
      </c>
      <c r="AB488" s="299">
        <v>44540</v>
      </c>
      <c r="AC488" s="299">
        <v>44545</v>
      </c>
      <c r="AD488" s="299"/>
      <c r="AE488" s="299"/>
      <c r="AF488" s="355"/>
      <c r="AG488" s="299" t="str">
        <f>IFERROR(IF(VLOOKUP(功能_33[[#This Row],[功能代號]],E:Q,11,FALSE)=0,"",VLOOKUP(功能_33[[#This Row],[功能代號]],E:Q,11,FALSE)),"")</f>
        <v>邱怡婷</v>
      </c>
      <c r="AH488" s="299"/>
      <c r="AI488" s="299"/>
      <c r="AJ488" s="292"/>
      <c r="AL488" s="291" t="s">
        <v>3054</v>
      </c>
      <c r="AM488" s="292" t="s">
        <v>3170</v>
      </c>
      <c r="AN488" s="292" t="e">
        <f>VLOOKUP(功能_33[[#This Row],[功能代號]],需二審tmp!A:A,1,FALSE)</f>
        <v>#N/A</v>
      </c>
      <c r="AO488" s="356">
        <v>44533</v>
      </c>
      <c r="AQ488" s="574" t="str">
        <f t="shared" si="51"/>
        <v>8-3</v>
      </c>
      <c r="AR488" s="576" t="str">
        <f t="shared" si="52"/>
        <v/>
      </c>
      <c r="AS488" s="578" t="str">
        <f t="shared" si="53"/>
        <v/>
      </c>
      <c r="AT488" s="580" t="str">
        <f t="shared" si="54"/>
        <v/>
      </c>
      <c r="AU488" s="582" t="str">
        <f t="shared" si="55"/>
        <v/>
      </c>
      <c r="AV488" s="584" t="str">
        <f t="shared" si="56"/>
        <v/>
      </c>
      <c r="AW488" s="662" t="str">
        <f>IFERROR(VLOOKUP(功能_33[[#This Row],[功能代號]],工作表3!C:C,1,FALSE),"未計SIT測試")</f>
        <v>未計SIT測試</v>
      </c>
    </row>
    <row r="489" spans="3:49" ht="13.5" x14ac:dyDescent="0.3">
      <c r="C489" s="292" t="s">
        <v>97</v>
      </c>
      <c r="D489" s="292" t="s">
        <v>2827</v>
      </c>
      <c r="E489" s="291" t="s">
        <v>1289</v>
      </c>
      <c r="F489" s="292" t="s">
        <v>1290</v>
      </c>
      <c r="G489" s="292" t="s">
        <v>1134</v>
      </c>
      <c r="H489" s="291" t="s">
        <v>136</v>
      </c>
      <c r="I489" s="291" t="s">
        <v>137</v>
      </c>
      <c r="J489" s="298" t="s">
        <v>3181</v>
      </c>
      <c r="K489" s="299">
        <v>44515</v>
      </c>
      <c r="L489" s="299">
        <v>44517</v>
      </c>
      <c r="M489" s="299">
        <v>44536</v>
      </c>
      <c r="N489" s="291" t="s">
        <v>7</v>
      </c>
      <c r="O489" s="291" t="s">
        <v>25</v>
      </c>
      <c r="T489" s="291"/>
      <c r="V489" s="291"/>
      <c r="W489" s="291"/>
      <c r="X489" s="292" t="str">
        <f>VLOOKUP(功能_33[[#This Row],[User]],SKL放款!A:G,7,FALSE)</f>
        <v>放款管理課</v>
      </c>
      <c r="Y489" s="299">
        <v>44533</v>
      </c>
      <c r="Z489" s="299" t="s">
        <v>195</v>
      </c>
      <c r="AA489" s="299">
        <v>44540</v>
      </c>
      <c r="AB489" s="299">
        <v>44540</v>
      </c>
      <c r="AC489" s="299">
        <v>44545</v>
      </c>
      <c r="AD489" s="299"/>
      <c r="AE489" s="299"/>
      <c r="AF489" s="355"/>
      <c r="AG489" s="299" t="str">
        <f>IFERROR(IF(VLOOKUP(功能_33[[#This Row],[功能代號]],E:Q,11,FALSE)=0,"",VLOOKUP(功能_33[[#This Row],[功能代號]],E:Q,11,FALSE)),"")</f>
        <v>邱怡婷</v>
      </c>
      <c r="AH489" s="299"/>
      <c r="AI489" s="299"/>
      <c r="AJ489" s="292"/>
      <c r="AL489" s="291" t="s">
        <v>3054</v>
      </c>
      <c r="AM489" s="292" t="s">
        <v>3170</v>
      </c>
      <c r="AN489" s="292" t="e">
        <f>VLOOKUP(功能_33[[#This Row],[功能代號]],需二審tmp!A:A,1,FALSE)</f>
        <v>#N/A</v>
      </c>
      <c r="AO489" s="356">
        <v>44533</v>
      </c>
      <c r="AQ489" s="574" t="str">
        <f t="shared" si="51"/>
        <v>8-3</v>
      </c>
      <c r="AR489" s="576" t="str">
        <f t="shared" si="52"/>
        <v/>
      </c>
      <c r="AS489" s="578" t="str">
        <f t="shared" si="53"/>
        <v/>
      </c>
      <c r="AT489" s="580" t="str">
        <f t="shared" si="54"/>
        <v/>
      </c>
      <c r="AU489" s="582" t="str">
        <f t="shared" si="55"/>
        <v/>
      </c>
      <c r="AV489" s="584" t="str">
        <f t="shared" si="56"/>
        <v/>
      </c>
      <c r="AW489" s="662" t="str">
        <f>IFERROR(VLOOKUP(功能_33[[#This Row],[功能代號]],工作表3!C:C,1,FALSE),"未計SIT測試")</f>
        <v>未計SIT測試</v>
      </c>
    </row>
    <row r="490" spans="3:49" ht="13.5" x14ac:dyDescent="0.3">
      <c r="C490" s="292" t="s">
        <v>97</v>
      </c>
      <c r="D490" s="292" t="s">
        <v>2827</v>
      </c>
      <c r="E490" s="291" t="s">
        <v>1291</v>
      </c>
      <c r="F490" s="292" t="s">
        <v>1292</v>
      </c>
      <c r="G490" s="292" t="s">
        <v>1134</v>
      </c>
      <c r="H490" s="291" t="s">
        <v>136</v>
      </c>
      <c r="I490" s="291" t="s">
        <v>137</v>
      </c>
      <c r="J490" s="298" t="s">
        <v>3181</v>
      </c>
      <c r="K490" s="299">
        <v>44515</v>
      </c>
      <c r="L490" s="299">
        <v>44517</v>
      </c>
      <c r="M490" s="299">
        <v>44536</v>
      </c>
      <c r="N490" s="291" t="s">
        <v>7</v>
      </c>
      <c r="O490" s="291" t="s">
        <v>25</v>
      </c>
      <c r="T490" s="291"/>
      <c r="V490" s="291"/>
      <c r="W490" s="291"/>
      <c r="X490" s="292" t="str">
        <f>VLOOKUP(功能_33[[#This Row],[User]],SKL放款!A:G,7,FALSE)</f>
        <v>放款管理課</v>
      </c>
      <c r="Y490" s="299">
        <v>44533</v>
      </c>
      <c r="Z490" s="299" t="s">
        <v>195</v>
      </c>
      <c r="AA490" s="299">
        <v>44540</v>
      </c>
      <c r="AB490" s="299">
        <v>44540</v>
      </c>
      <c r="AC490" s="299">
        <v>44545</v>
      </c>
      <c r="AD490" s="299"/>
      <c r="AE490" s="299"/>
      <c r="AF490" s="355"/>
      <c r="AG490" s="299" t="str">
        <f>IFERROR(IF(VLOOKUP(功能_33[[#This Row],[功能代號]],E:Q,11,FALSE)=0,"",VLOOKUP(功能_33[[#This Row],[功能代號]],E:Q,11,FALSE)),"")</f>
        <v>邱怡婷</v>
      </c>
      <c r="AH490" s="299"/>
      <c r="AI490" s="299"/>
      <c r="AJ490" s="292"/>
      <c r="AL490" s="291" t="s">
        <v>3054</v>
      </c>
      <c r="AM490" s="292" t="s">
        <v>3170</v>
      </c>
      <c r="AN490" s="292" t="e">
        <f>VLOOKUP(功能_33[[#This Row],[功能代號]],需二審tmp!A:A,1,FALSE)</f>
        <v>#N/A</v>
      </c>
      <c r="AO490" s="356">
        <v>44533</v>
      </c>
      <c r="AQ490" s="574" t="str">
        <f t="shared" si="51"/>
        <v>8-3</v>
      </c>
      <c r="AR490" s="576" t="str">
        <f t="shared" si="52"/>
        <v/>
      </c>
      <c r="AS490" s="578" t="str">
        <f t="shared" si="53"/>
        <v/>
      </c>
      <c r="AT490" s="580" t="str">
        <f t="shared" si="54"/>
        <v/>
      </c>
      <c r="AU490" s="582" t="str">
        <f t="shared" si="55"/>
        <v/>
      </c>
      <c r="AV490" s="584" t="str">
        <f t="shared" si="56"/>
        <v/>
      </c>
      <c r="AW490" s="662" t="str">
        <f>IFERROR(VLOOKUP(功能_33[[#This Row],[功能代號]],工作表3!C:C,1,FALSE),"未計SIT測試")</f>
        <v>未計SIT測試</v>
      </c>
    </row>
    <row r="491" spans="3:49" ht="13.5" x14ac:dyDescent="0.3">
      <c r="C491" s="292" t="s">
        <v>97</v>
      </c>
      <c r="D491" s="292" t="s">
        <v>2827</v>
      </c>
      <c r="E491" s="291" t="s">
        <v>1293</v>
      </c>
      <c r="F491" s="292" t="s">
        <v>1294</v>
      </c>
      <c r="G491" s="292" t="s">
        <v>1134</v>
      </c>
      <c r="H491" s="291" t="s">
        <v>136</v>
      </c>
      <c r="I491" s="291" t="s">
        <v>137</v>
      </c>
      <c r="J491" s="298" t="s">
        <v>3181</v>
      </c>
      <c r="K491" s="299">
        <v>44515</v>
      </c>
      <c r="L491" s="299">
        <v>44517</v>
      </c>
      <c r="M491" s="299">
        <v>44536</v>
      </c>
      <c r="N491" s="291" t="s">
        <v>7</v>
      </c>
      <c r="O491" s="291" t="s">
        <v>25</v>
      </c>
      <c r="T491" s="291"/>
      <c r="V491" s="291"/>
      <c r="W491" s="291"/>
      <c r="X491" s="292" t="str">
        <f>VLOOKUP(功能_33[[#This Row],[User]],SKL放款!A:G,7,FALSE)</f>
        <v>放款管理課</v>
      </c>
      <c r="Y491" s="299">
        <v>44533</v>
      </c>
      <c r="Z491" s="299" t="s">
        <v>195</v>
      </c>
      <c r="AA491" s="299">
        <v>44540</v>
      </c>
      <c r="AB491" s="299">
        <v>44540</v>
      </c>
      <c r="AC491" s="299">
        <v>44545</v>
      </c>
      <c r="AD491" s="299"/>
      <c r="AE491" s="299"/>
      <c r="AF491" s="355"/>
      <c r="AG491" s="299" t="str">
        <f>IFERROR(IF(VLOOKUP(功能_33[[#This Row],[功能代號]],E:Q,11,FALSE)=0,"",VLOOKUP(功能_33[[#This Row],[功能代號]],E:Q,11,FALSE)),"")</f>
        <v>邱怡婷</v>
      </c>
      <c r="AH491" s="299"/>
      <c r="AI491" s="299"/>
      <c r="AJ491" s="292"/>
      <c r="AL491" s="291" t="s">
        <v>3054</v>
      </c>
      <c r="AM491" s="292" t="s">
        <v>3170</v>
      </c>
      <c r="AN491" s="292" t="e">
        <f>VLOOKUP(功能_33[[#This Row],[功能代號]],需二審tmp!A:A,1,FALSE)</f>
        <v>#N/A</v>
      </c>
      <c r="AO491" s="356">
        <v>44533</v>
      </c>
      <c r="AQ491" s="574" t="str">
        <f t="shared" si="51"/>
        <v>8-3</v>
      </c>
      <c r="AR491" s="576" t="str">
        <f t="shared" si="52"/>
        <v/>
      </c>
      <c r="AS491" s="578" t="str">
        <f t="shared" si="53"/>
        <v/>
      </c>
      <c r="AT491" s="580" t="str">
        <f t="shared" si="54"/>
        <v/>
      </c>
      <c r="AU491" s="582" t="str">
        <f t="shared" si="55"/>
        <v/>
      </c>
      <c r="AV491" s="584" t="str">
        <f t="shared" si="56"/>
        <v/>
      </c>
      <c r="AW491" s="662" t="str">
        <f>IFERROR(VLOOKUP(功能_33[[#This Row],[功能代號]],工作表3!C:C,1,FALSE),"未計SIT測試")</f>
        <v>未計SIT測試</v>
      </c>
    </row>
    <row r="492" spans="3:49" ht="13.5" x14ac:dyDescent="0.3">
      <c r="C492" s="292" t="s">
        <v>97</v>
      </c>
      <c r="D492" s="292" t="s">
        <v>2827</v>
      </c>
      <c r="E492" s="291" t="s">
        <v>1295</v>
      </c>
      <c r="F492" s="292" t="s">
        <v>1296</v>
      </c>
      <c r="G492" s="292" t="s">
        <v>1134</v>
      </c>
      <c r="H492" s="291" t="s">
        <v>136</v>
      </c>
      <c r="I492" s="291" t="s">
        <v>137</v>
      </c>
      <c r="J492" s="298" t="s">
        <v>3181</v>
      </c>
      <c r="K492" s="299">
        <v>44515</v>
      </c>
      <c r="L492" s="299">
        <v>44517</v>
      </c>
      <c r="M492" s="299">
        <v>44536</v>
      </c>
      <c r="N492" s="291" t="s">
        <v>7</v>
      </c>
      <c r="O492" s="291" t="s">
        <v>25</v>
      </c>
      <c r="T492" s="291"/>
      <c r="V492" s="291"/>
      <c r="W492" s="291"/>
      <c r="X492" s="292" t="str">
        <f>VLOOKUP(功能_33[[#This Row],[User]],SKL放款!A:G,7,FALSE)</f>
        <v>放款管理課</v>
      </c>
      <c r="Y492" s="299">
        <v>44533</v>
      </c>
      <c r="Z492" s="299" t="s">
        <v>195</v>
      </c>
      <c r="AA492" s="299">
        <v>44540</v>
      </c>
      <c r="AB492" s="299">
        <v>44540</v>
      </c>
      <c r="AC492" s="299">
        <v>44545</v>
      </c>
      <c r="AD492" s="299"/>
      <c r="AE492" s="299"/>
      <c r="AF492" s="355"/>
      <c r="AG492" s="299" t="str">
        <f>IFERROR(IF(VLOOKUP(功能_33[[#This Row],[功能代號]],E:Q,11,FALSE)=0,"",VLOOKUP(功能_33[[#This Row],[功能代號]],E:Q,11,FALSE)),"")</f>
        <v>邱怡婷</v>
      </c>
      <c r="AH492" s="299"/>
      <c r="AI492" s="299"/>
      <c r="AJ492" s="292"/>
      <c r="AL492" s="291" t="s">
        <v>3054</v>
      </c>
      <c r="AM492" s="292" t="s">
        <v>3170</v>
      </c>
      <c r="AN492" s="292" t="e">
        <f>VLOOKUP(功能_33[[#This Row],[功能代號]],需二審tmp!A:A,1,FALSE)</f>
        <v>#N/A</v>
      </c>
      <c r="AO492" s="356">
        <v>44533</v>
      </c>
      <c r="AQ492" s="574" t="str">
        <f t="shared" si="51"/>
        <v>8-3</v>
      </c>
      <c r="AR492" s="576" t="str">
        <f t="shared" si="52"/>
        <v/>
      </c>
      <c r="AS492" s="578" t="str">
        <f t="shared" si="53"/>
        <v/>
      </c>
      <c r="AT492" s="580" t="str">
        <f t="shared" si="54"/>
        <v/>
      </c>
      <c r="AU492" s="582" t="str">
        <f t="shared" si="55"/>
        <v/>
      </c>
      <c r="AV492" s="584" t="str">
        <f t="shared" si="56"/>
        <v/>
      </c>
      <c r="AW492" s="662" t="str">
        <f>IFERROR(VLOOKUP(功能_33[[#This Row],[功能代號]],工作表3!C:C,1,FALSE),"未計SIT測試")</f>
        <v>未計SIT測試</v>
      </c>
    </row>
    <row r="493" spans="3:49" ht="13.5" x14ac:dyDescent="0.3">
      <c r="C493" s="292" t="s">
        <v>97</v>
      </c>
      <c r="D493" s="292" t="s">
        <v>2827</v>
      </c>
      <c r="E493" s="291" t="s">
        <v>1297</v>
      </c>
      <c r="F493" s="292" t="s">
        <v>1298</v>
      </c>
      <c r="G493" s="292" t="s">
        <v>1134</v>
      </c>
      <c r="H493" s="291" t="s">
        <v>136</v>
      </c>
      <c r="I493" s="291" t="s">
        <v>137</v>
      </c>
      <c r="J493" s="298" t="s">
        <v>3181</v>
      </c>
      <c r="K493" s="299">
        <v>44515</v>
      </c>
      <c r="L493" s="299">
        <v>44517</v>
      </c>
      <c r="M493" s="299">
        <v>44536</v>
      </c>
      <c r="N493" s="291" t="s">
        <v>7</v>
      </c>
      <c r="O493" s="291" t="s">
        <v>25</v>
      </c>
      <c r="T493" s="291"/>
      <c r="V493" s="291"/>
      <c r="W493" s="291"/>
      <c r="X493" s="292" t="str">
        <f>VLOOKUP(功能_33[[#This Row],[User]],SKL放款!A:G,7,FALSE)</f>
        <v>放款管理課</v>
      </c>
      <c r="Y493" s="299">
        <v>44533</v>
      </c>
      <c r="Z493" s="299" t="s">
        <v>195</v>
      </c>
      <c r="AA493" s="299">
        <v>44540</v>
      </c>
      <c r="AB493" s="299">
        <v>44540</v>
      </c>
      <c r="AC493" s="299">
        <v>44545</v>
      </c>
      <c r="AD493" s="299"/>
      <c r="AE493" s="299"/>
      <c r="AF493" s="355"/>
      <c r="AG493" s="299" t="str">
        <f>IFERROR(IF(VLOOKUP(功能_33[[#This Row],[功能代號]],E:Q,11,FALSE)=0,"",VLOOKUP(功能_33[[#This Row],[功能代號]],E:Q,11,FALSE)),"")</f>
        <v>邱怡婷</v>
      </c>
      <c r="AH493" s="299"/>
      <c r="AI493" s="299"/>
      <c r="AJ493" s="292"/>
      <c r="AL493" s="291" t="s">
        <v>3054</v>
      </c>
      <c r="AM493" s="292" t="s">
        <v>3170</v>
      </c>
      <c r="AN493" s="292" t="e">
        <f>VLOOKUP(功能_33[[#This Row],[功能代號]],需二審tmp!A:A,1,FALSE)</f>
        <v>#N/A</v>
      </c>
      <c r="AO493" s="356">
        <v>44533</v>
      </c>
      <c r="AQ493" s="574" t="str">
        <f t="shared" si="51"/>
        <v>8-3</v>
      </c>
      <c r="AR493" s="576" t="str">
        <f t="shared" si="52"/>
        <v/>
      </c>
      <c r="AS493" s="578" t="str">
        <f t="shared" si="53"/>
        <v/>
      </c>
      <c r="AT493" s="580" t="str">
        <f t="shared" si="54"/>
        <v/>
      </c>
      <c r="AU493" s="582" t="str">
        <f t="shared" si="55"/>
        <v/>
      </c>
      <c r="AV493" s="584" t="str">
        <f t="shared" si="56"/>
        <v/>
      </c>
      <c r="AW493" s="662" t="str">
        <f>IFERROR(VLOOKUP(功能_33[[#This Row],[功能代號]],工作表3!C:C,1,FALSE),"未計SIT測試")</f>
        <v>未計SIT測試</v>
      </c>
    </row>
    <row r="494" spans="3:49" ht="13.5" x14ac:dyDescent="0.3">
      <c r="C494" s="292" t="s">
        <v>97</v>
      </c>
      <c r="D494" s="292" t="s">
        <v>2827</v>
      </c>
      <c r="E494" s="291" t="s">
        <v>1299</v>
      </c>
      <c r="F494" s="292" t="s">
        <v>1300</v>
      </c>
      <c r="G494" s="292" t="s">
        <v>1134</v>
      </c>
      <c r="H494" s="291" t="s">
        <v>136</v>
      </c>
      <c r="I494" s="291" t="s">
        <v>137</v>
      </c>
      <c r="J494" s="298" t="s">
        <v>3181</v>
      </c>
      <c r="K494" s="299">
        <v>44515</v>
      </c>
      <c r="L494" s="299">
        <v>44517</v>
      </c>
      <c r="M494" s="299">
        <v>44536</v>
      </c>
      <c r="N494" s="291" t="s">
        <v>7</v>
      </c>
      <c r="O494" s="291" t="s">
        <v>25</v>
      </c>
      <c r="T494" s="291"/>
      <c r="V494" s="291"/>
      <c r="W494" s="291"/>
      <c r="X494" s="292" t="str">
        <f>VLOOKUP(功能_33[[#This Row],[User]],SKL放款!A:G,7,FALSE)</f>
        <v>放款管理課</v>
      </c>
      <c r="Y494" s="299">
        <v>44533</v>
      </c>
      <c r="Z494" s="299" t="s">
        <v>195</v>
      </c>
      <c r="AA494" s="299">
        <v>44540</v>
      </c>
      <c r="AB494" s="299">
        <v>44540</v>
      </c>
      <c r="AC494" s="299">
        <v>44545</v>
      </c>
      <c r="AD494" s="299"/>
      <c r="AE494" s="299"/>
      <c r="AF494" s="355"/>
      <c r="AG494" s="299" t="str">
        <f>IFERROR(IF(VLOOKUP(功能_33[[#This Row],[功能代號]],E:Q,11,FALSE)=0,"",VLOOKUP(功能_33[[#This Row],[功能代號]],E:Q,11,FALSE)),"")</f>
        <v>邱怡婷</v>
      </c>
      <c r="AH494" s="299"/>
      <c r="AI494" s="299"/>
      <c r="AJ494" s="292"/>
      <c r="AL494" s="291" t="s">
        <v>3054</v>
      </c>
      <c r="AM494" s="292" t="s">
        <v>3170</v>
      </c>
      <c r="AN494" s="292" t="e">
        <f>VLOOKUP(功能_33[[#This Row],[功能代號]],需二審tmp!A:A,1,FALSE)</f>
        <v>#N/A</v>
      </c>
      <c r="AO494" s="356">
        <v>44533</v>
      </c>
      <c r="AQ494" s="574" t="str">
        <f t="shared" si="51"/>
        <v>8-3</v>
      </c>
      <c r="AR494" s="576" t="str">
        <f t="shared" si="52"/>
        <v/>
      </c>
      <c r="AS494" s="578" t="str">
        <f t="shared" si="53"/>
        <v/>
      </c>
      <c r="AT494" s="580" t="str">
        <f t="shared" si="54"/>
        <v/>
      </c>
      <c r="AU494" s="582" t="str">
        <f t="shared" si="55"/>
        <v/>
      </c>
      <c r="AV494" s="584" t="str">
        <f t="shared" si="56"/>
        <v/>
      </c>
      <c r="AW494" s="662" t="str">
        <f>IFERROR(VLOOKUP(功能_33[[#This Row],[功能代號]],工作表3!C:C,1,FALSE),"未計SIT測試")</f>
        <v>未計SIT測試</v>
      </c>
    </row>
    <row r="495" spans="3:49" ht="13.5" x14ac:dyDescent="0.3">
      <c r="C495" s="292" t="s">
        <v>97</v>
      </c>
      <c r="D495" s="292" t="s">
        <v>2827</v>
      </c>
      <c r="E495" s="291" t="s">
        <v>1301</v>
      </c>
      <c r="F495" s="292" t="s">
        <v>1302</v>
      </c>
      <c r="G495" s="292" t="s">
        <v>1134</v>
      </c>
      <c r="H495" s="291" t="s">
        <v>136</v>
      </c>
      <c r="I495" s="291" t="s">
        <v>137</v>
      </c>
      <c r="J495" s="298" t="s">
        <v>3181</v>
      </c>
      <c r="K495" s="299">
        <v>44515</v>
      </c>
      <c r="L495" s="299">
        <v>44517</v>
      </c>
      <c r="M495" s="299">
        <v>44536</v>
      </c>
      <c r="N495" s="291" t="s">
        <v>7</v>
      </c>
      <c r="O495" s="291" t="s">
        <v>25</v>
      </c>
      <c r="T495" s="291"/>
      <c r="V495" s="291"/>
      <c r="W495" s="291"/>
      <c r="X495" s="292" t="str">
        <f>VLOOKUP(功能_33[[#This Row],[User]],SKL放款!A:G,7,FALSE)</f>
        <v>放款管理課</v>
      </c>
      <c r="Y495" s="299">
        <v>44533</v>
      </c>
      <c r="Z495" s="299" t="s">
        <v>195</v>
      </c>
      <c r="AA495" s="299">
        <v>44540</v>
      </c>
      <c r="AB495" s="299">
        <v>44540</v>
      </c>
      <c r="AC495" s="299">
        <v>44545</v>
      </c>
      <c r="AD495" s="299"/>
      <c r="AE495" s="299"/>
      <c r="AF495" s="355"/>
      <c r="AG495" s="299" t="str">
        <f>IFERROR(IF(VLOOKUP(功能_33[[#This Row],[功能代號]],E:Q,11,FALSE)=0,"",VLOOKUP(功能_33[[#This Row],[功能代號]],E:Q,11,FALSE)),"")</f>
        <v>邱怡婷</v>
      </c>
      <c r="AH495" s="299"/>
      <c r="AI495" s="299"/>
      <c r="AJ495" s="292"/>
      <c r="AL495" s="291" t="s">
        <v>3054</v>
      </c>
      <c r="AM495" s="292" t="s">
        <v>3170</v>
      </c>
      <c r="AN495" s="292" t="e">
        <f>VLOOKUP(功能_33[[#This Row],[功能代號]],需二審tmp!A:A,1,FALSE)</f>
        <v>#N/A</v>
      </c>
      <c r="AO495" s="356">
        <v>44533</v>
      </c>
      <c r="AQ495" s="574" t="str">
        <f t="shared" si="51"/>
        <v>8-3</v>
      </c>
      <c r="AR495" s="576" t="str">
        <f t="shared" si="52"/>
        <v/>
      </c>
      <c r="AS495" s="578" t="str">
        <f t="shared" si="53"/>
        <v/>
      </c>
      <c r="AT495" s="580" t="str">
        <f t="shared" si="54"/>
        <v/>
      </c>
      <c r="AU495" s="582" t="str">
        <f t="shared" si="55"/>
        <v/>
      </c>
      <c r="AV495" s="584" t="str">
        <f t="shared" si="56"/>
        <v/>
      </c>
      <c r="AW495" s="662" t="str">
        <f>IFERROR(VLOOKUP(功能_33[[#This Row],[功能代號]],工作表3!C:C,1,FALSE),"未計SIT測試")</f>
        <v>未計SIT測試</v>
      </c>
    </row>
    <row r="496" spans="3:49" ht="13.5" x14ac:dyDescent="0.3">
      <c r="C496" s="292" t="s">
        <v>97</v>
      </c>
      <c r="D496" s="292" t="s">
        <v>2827</v>
      </c>
      <c r="E496" s="291" t="s">
        <v>1303</v>
      </c>
      <c r="F496" s="292" t="s">
        <v>1304</v>
      </c>
      <c r="G496" s="292" t="s">
        <v>1134</v>
      </c>
      <c r="H496" s="291" t="s">
        <v>136</v>
      </c>
      <c r="I496" s="291" t="s">
        <v>137</v>
      </c>
      <c r="J496" s="298" t="s">
        <v>3181</v>
      </c>
      <c r="K496" s="299">
        <v>44516</v>
      </c>
      <c r="L496" s="299">
        <v>44517</v>
      </c>
      <c r="M496" s="299">
        <v>44536</v>
      </c>
      <c r="N496" s="291" t="s">
        <v>7</v>
      </c>
      <c r="O496" s="291" t="s">
        <v>25</v>
      </c>
      <c r="T496" s="291"/>
      <c r="V496" s="291"/>
      <c r="W496" s="291"/>
      <c r="X496" s="292" t="str">
        <f>VLOOKUP(功能_33[[#This Row],[User]],SKL放款!A:G,7,FALSE)</f>
        <v>放款管理課</v>
      </c>
      <c r="Y496" s="299">
        <v>44533</v>
      </c>
      <c r="Z496" s="299" t="s">
        <v>195</v>
      </c>
      <c r="AA496" s="299">
        <v>44540</v>
      </c>
      <c r="AB496" s="299">
        <v>44540</v>
      </c>
      <c r="AC496" s="299">
        <v>44545</v>
      </c>
      <c r="AD496" s="299"/>
      <c r="AE496" s="299"/>
      <c r="AF496" s="355"/>
      <c r="AG496" s="299" t="str">
        <f>IFERROR(IF(VLOOKUP(功能_33[[#This Row],[功能代號]],E:Q,11,FALSE)=0,"",VLOOKUP(功能_33[[#This Row],[功能代號]],E:Q,11,FALSE)),"")</f>
        <v>邱怡婷</v>
      </c>
      <c r="AH496" s="299"/>
      <c r="AI496" s="299"/>
      <c r="AJ496" s="292"/>
      <c r="AL496" s="291" t="s">
        <v>3054</v>
      </c>
      <c r="AM496" s="292" t="s">
        <v>3170</v>
      </c>
      <c r="AN496" s="292" t="e">
        <f>VLOOKUP(功能_33[[#This Row],[功能代號]],需二審tmp!A:A,1,FALSE)</f>
        <v>#N/A</v>
      </c>
      <c r="AO496" s="356">
        <v>44533</v>
      </c>
      <c r="AQ496" s="574" t="str">
        <f t="shared" si="51"/>
        <v>8-3</v>
      </c>
      <c r="AR496" s="576" t="str">
        <f t="shared" si="52"/>
        <v/>
      </c>
      <c r="AS496" s="578" t="str">
        <f t="shared" si="53"/>
        <v/>
      </c>
      <c r="AT496" s="580" t="str">
        <f t="shared" si="54"/>
        <v/>
      </c>
      <c r="AU496" s="582" t="str">
        <f t="shared" si="55"/>
        <v/>
      </c>
      <c r="AV496" s="584" t="str">
        <f t="shared" si="56"/>
        <v/>
      </c>
      <c r="AW496" s="662" t="str">
        <f>IFERROR(VLOOKUP(功能_33[[#This Row],[功能代號]],工作表3!C:C,1,FALSE),"未計SIT測試")</f>
        <v>未計SIT測試</v>
      </c>
    </row>
    <row r="497" spans="3:49" ht="13.5" x14ac:dyDescent="0.3">
      <c r="C497" s="292" t="s">
        <v>97</v>
      </c>
      <c r="D497" s="292" t="s">
        <v>2827</v>
      </c>
      <c r="E497" s="291" t="s">
        <v>1305</v>
      </c>
      <c r="F497" s="292" t="s">
        <v>1306</v>
      </c>
      <c r="G497" s="292" t="s">
        <v>1134</v>
      </c>
      <c r="H497" s="291" t="s">
        <v>136</v>
      </c>
      <c r="I497" s="291" t="s">
        <v>137</v>
      </c>
      <c r="J497" s="298" t="s">
        <v>3181</v>
      </c>
      <c r="K497" s="299">
        <v>44516</v>
      </c>
      <c r="L497" s="299">
        <v>44517</v>
      </c>
      <c r="M497" s="299">
        <v>44536</v>
      </c>
      <c r="N497" s="291" t="s">
        <v>7</v>
      </c>
      <c r="O497" s="291" t="s">
        <v>25</v>
      </c>
      <c r="T497" s="291"/>
      <c r="V497" s="291"/>
      <c r="W497" s="291"/>
      <c r="X497" s="292" t="str">
        <f>VLOOKUP(功能_33[[#This Row],[User]],SKL放款!A:G,7,FALSE)</f>
        <v>放款管理課</v>
      </c>
      <c r="Y497" s="299">
        <v>44533</v>
      </c>
      <c r="Z497" s="299" t="s">
        <v>195</v>
      </c>
      <c r="AA497" s="299">
        <v>44540</v>
      </c>
      <c r="AB497" s="299">
        <v>44540</v>
      </c>
      <c r="AC497" s="299">
        <v>44545</v>
      </c>
      <c r="AD497" s="299"/>
      <c r="AE497" s="299"/>
      <c r="AF497" s="355"/>
      <c r="AG497" s="299" t="str">
        <f>IFERROR(IF(VLOOKUP(功能_33[[#This Row],[功能代號]],E:Q,11,FALSE)=0,"",VLOOKUP(功能_33[[#This Row],[功能代號]],E:Q,11,FALSE)),"")</f>
        <v>邱怡婷</v>
      </c>
      <c r="AH497" s="299"/>
      <c r="AI497" s="299"/>
      <c r="AJ497" s="292"/>
      <c r="AL497" s="291" t="s">
        <v>3054</v>
      </c>
      <c r="AM497" s="292" t="s">
        <v>3170</v>
      </c>
      <c r="AN497" s="292" t="e">
        <f>VLOOKUP(功能_33[[#This Row],[功能代號]],需二審tmp!A:A,1,FALSE)</f>
        <v>#N/A</v>
      </c>
      <c r="AO497" s="356">
        <v>44533</v>
      </c>
      <c r="AQ497" s="574" t="str">
        <f t="shared" si="51"/>
        <v>8-3</v>
      </c>
      <c r="AR497" s="576" t="str">
        <f t="shared" si="52"/>
        <v/>
      </c>
      <c r="AS497" s="578" t="str">
        <f t="shared" si="53"/>
        <v/>
      </c>
      <c r="AT497" s="580" t="str">
        <f t="shared" si="54"/>
        <v/>
      </c>
      <c r="AU497" s="582" t="str">
        <f t="shared" si="55"/>
        <v/>
      </c>
      <c r="AV497" s="584" t="str">
        <f t="shared" si="56"/>
        <v/>
      </c>
      <c r="AW497" s="662" t="str">
        <f>IFERROR(VLOOKUP(功能_33[[#This Row],[功能代號]],工作表3!C:C,1,FALSE),"未計SIT測試")</f>
        <v>未計SIT測試</v>
      </c>
    </row>
    <row r="498" spans="3:49" ht="13.5" x14ac:dyDescent="0.3">
      <c r="C498" s="292" t="s">
        <v>97</v>
      </c>
      <c r="D498" s="292" t="s">
        <v>2827</v>
      </c>
      <c r="E498" s="291" t="s">
        <v>1307</v>
      </c>
      <c r="F498" s="292" t="s">
        <v>1308</v>
      </c>
      <c r="G498" s="292" t="s">
        <v>1134</v>
      </c>
      <c r="H498" s="291" t="s">
        <v>136</v>
      </c>
      <c r="I498" s="291" t="s">
        <v>137</v>
      </c>
      <c r="J498" s="298" t="s">
        <v>3181</v>
      </c>
      <c r="K498" s="299">
        <v>44516</v>
      </c>
      <c r="L498" s="299">
        <v>44517</v>
      </c>
      <c r="M498" s="299">
        <v>44536</v>
      </c>
      <c r="N498" s="291" t="s">
        <v>7</v>
      </c>
      <c r="O498" s="291" t="s">
        <v>25</v>
      </c>
      <c r="T498" s="291"/>
      <c r="V498" s="291"/>
      <c r="W498" s="291"/>
      <c r="X498" s="292" t="str">
        <f>VLOOKUP(功能_33[[#This Row],[User]],SKL放款!A:G,7,FALSE)</f>
        <v>放款管理課</v>
      </c>
      <c r="Y498" s="299">
        <v>44533</v>
      </c>
      <c r="Z498" s="299" t="s">
        <v>195</v>
      </c>
      <c r="AA498" s="299">
        <v>44540</v>
      </c>
      <c r="AB498" s="299">
        <v>44540</v>
      </c>
      <c r="AC498" s="299">
        <v>44545</v>
      </c>
      <c r="AD498" s="299"/>
      <c r="AE498" s="299"/>
      <c r="AF498" s="355"/>
      <c r="AG498" s="299" t="str">
        <f>IFERROR(IF(VLOOKUP(功能_33[[#This Row],[功能代號]],E:Q,11,FALSE)=0,"",VLOOKUP(功能_33[[#This Row],[功能代號]],E:Q,11,FALSE)),"")</f>
        <v>邱怡婷</v>
      </c>
      <c r="AH498" s="299"/>
      <c r="AI498" s="299"/>
      <c r="AJ498" s="292"/>
      <c r="AL498" s="291" t="s">
        <v>3054</v>
      </c>
      <c r="AM498" s="292" t="s">
        <v>3170</v>
      </c>
      <c r="AN498" s="292" t="e">
        <f>VLOOKUP(功能_33[[#This Row],[功能代號]],需二審tmp!A:A,1,FALSE)</f>
        <v>#N/A</v>
      </c>
      <c r="AO498" s="356">
        <v>44533</v>
      </c>
      <c r="AQ498" s="574" t="str">
        <f t="shared" si="51"/>
        <v>8-3</v>
      </c>
      <c r="AR498" s="576" t="str">
        <f t="shared" si="52"/>
        <v/>
      </c>
      <c r="AS498" s="578" t="str">
        <f t="shared" si="53"/>
        <v/>
      </c>
      <c r="AT498" s="580" t="str">
        <f t="shared" si="54"/>
        <v/>
      </c>
      <c r="AU498" s="582" t="str">
        <f t="shared" si="55"/>
        <v/>
      </c>
      <c r="AV498" s="584" t="str">
        <f t="shared" si="56"/>
        <v/>
      </c>
      <c r="AW498" s="662" t="str">
        <f>IFERROR(VLOOKUP(功能_33[[#This Row],[功能代號]],工作表3!C:C,1,FALSE),"未計SIT測試")</f>
        <v>未計SIT測試</v>
      </c>
    </row>
    <row r="499" spans="3:49" ht="13.5" x14ac:dyDescent="0.3">
      <c r="C499" s="292" t="s">
        <v>97</v>
      </c>
      <c r="D499" s="292" t="s">
        <v>2827</v>
      </c>
      <c r="E499" s="291" t="s">
        <v>1309</v>
      </c>
      <c r="F499" s="292" t="s">
        <v>1310</v>
      </c>
      <c r="G499" s="292" t="s">
        <v>1134</v>
      </c>
      <c r="H499" s="291" t="s">
        <v>136</v>
      </c>
      <c r="I499" s="291" t="s">
        <v>137</v>
      </c>
      <c r="J499" s="298" t="s">
        <v>3181</v>
      </c>
      <c r="K499" s="299">
        <v>44516</v>
      </c>
      <c r="L499" s="299">
        <v>44517</v>
      </c>
      <c r="M499" s="299">
        <v>44536</v>
      </c>
      <c r="N499" s="291" t="s">
        <v>7</v>
      </c>
      <c r="O499" s="291" t="s">
        <v>25</v>
      </c>
      <c r="T499" s="291"/>
      <c r="V499" s="291"/>
      <c r="W499" s="291"/>
      <c r="X499" s="292" t="str">
        <f>VLOOKUP(功能_33[[#This Row],[User]],SKL放款!A:G,7,FALSE)</f>
        <v>放款管理課</v>
      </c>
      <c r="Y499" s="299">
        <v>44533</v>
      </c>
      <c r="Z499" s="299" t="s">
        <v>195</v>
      </c>
      <c r="AA499" s="299">
        <v>44540</v>
      </c>
      <c r="AB499" s="299">
        <v>44540</v>
      </c>
      <c r="AC499" s="299">
        <v>44545</v>
      </c>
      <c r="AD499" s="299"/>
      <c r="AE499" s="299"/>
      <c r="AF499" s="355"/>
      <c r="AG499" s="299" t="str">
        <f>IFERROR(IF(VLOOKUP(功能_33[[#This Row],[功能代號]],E:Q,11,FALSE)=0,"",VLOOKUP(功能_33[[#This Row],[功能代號]],E:Q,11,FALSE)),"")</f>
        <v>邱怡婷</v>
      </c>
      <c r="AH499" s="299"/>
      <c r="AI499" s="299"/>
      <c r="AJ499" s="292"/>
      <c r="AL499" s="291" t="s">
        <v>3054</v>
      </c>
      <c r="AM499" s="292" t="s">
        <v>3170</v>
      </c>
      <c r="AN499" s="292" t="e">
        <f>VLOOKUP(功能_33[[#This Row],[功能代號]],需二審tmp!A:A,1,FALSE)</f>
        <v>#N/A</v>
      </c>
      <c r="AO499" s="356">
        <v>44533</v>
      </c>
      <c r="AQ499" s="574" t="str">
        <f t="shared" si="51"/>
        <v>8-3</v>
      </c>
      <c r="AR499" s="576" t="str">
        <f t="shared" si="52"/>
        <v/>
      </c>
      <c r="AS499" s="578" t="str">
        <f t="shared" si="53"/>
        <v/>
      </c>
      <c r="AT499" s="580" t="str">
        <f t="shared" si="54"/>
        <v/>
      </c>
      <c r="AU499" s="582" t="str">
        <f t="shared" si="55"/>
        <v/>
      </c>
      <c r="AV499" s="584" t="str">
        <f t="shared" si="56"/>
        <v/>
      </c>
      <c r="AW499" s="662" t="str">
        <f>IFERROR(VLOOKUP(功能_33[[#This Row],[功能代號]],工作表3!C:C,1,FALSE),"未計SIT測試")</f>
        <v>未計SIT測試</v>
      </c>
    </row>
    <row r="500" spans="3:49" ht="13.5" x14ac:dyDescent="0.3">
      <c r="C500" s="292" t="s">
        <v>97</v>
      </c>
      <c r="D500" s="292" t="s">
        <v>2827</v>
      </c>
      <c r="E500" s="291" t="s">
        <v>1311</v>
      </c>
      <c r="F500" s="292" t="s">
        <v>1312</v>
      </c>
      <c r="G500" s="292" t="s">
        <v>1134</v>
      </c>
      <c r="H500" s="291" t="s">
        <v>136</v>
      </c>
      <c r="I500" s="291" t="s">
        <v>137</v>
      </c>
      <c r="J500" s="298" t="s">
        <v>3181</v>
      </c>
      <c r="K500" s="299">
        <v>44516</v>
      </c>
      <c r="L500" s="299">
        <v>44517</v>
      </c>
      <c r="M500" s="299">
        <v>44536</v>
      </c>
      <c r="N500" s="291" t="s">
        <v>7</v>
      </c>
      <c r="O500" s="291" t="s">
        <v>25</v>
      </c>
      <c r="T500" s="291"/>
      <c r="V500" s="291"/>
      <c r="W500" s="291"/>
      <c r="X500" s="292" t="str">
        <f>VLOOKUP(功能_33[[#This Row],[User]],SKL放款!A:G,7,FALSE)</f>
        <v>放款管理課</v>
      </c>
      <c r="Y500" s="299">
        <v>44533</v>
      </c>
      <c r="Z500" s="299" t="s">
        <v>195</v>
      </c>
      <c r="AA500" s="299">
        <v>44540</v>
      </c>
      <c r="AB500" s="299">
        <v>44540</v>
      </c>
      <c r="AC500" s="299">
        <v>44545</v>
      </c>
      <c r="AD500" s="299"/>
      <c r="AE500" s="299"/>
      <c r="AF500" s="355"/>
      <c r="AG500" s="299" t="str">
        <f>IFERROR(IF(VLOOKUP(功能_33[[#This Row],[功能代號]],E:Q,11,FALSE)=0,"",VLOOKUP(功能_33[[#This Row],[功能代號]],E:Q,11,FALSE)),"")</f>
        <v>邱怡婷</v>
      </c>
      <c r="AH500" s="299"/>
      <c r="AI500" s="299"/>
      <c r="AJ500" s="292"/>
      <c r="AL500" s="291" t="s">
        <v>3054</v>
      </c>
      <c r="AM500" s="292" t="s">
        <v>3170</v>
      </c>
      <c r="AN500" s="292" t="e">
        <f>VLOOKUP(功能_33[[#This Row],[功能代號]],需二審tmp!A:A,1,FALSE)</f>
        <v>#N/A</v>
      </c>
      <c r="AO500" s="356">
        <v>44533</v>
      </c>
      <c r="AQ500" s="574" t="str">
        <f t="shared" si="51"/>
        <v>8-3</v>
      </c>
      <c r="AR500" s="576" t="str">
        <f t="shared" si="52"/>
        <v/>
      </c>
      <c r="AS500" s="578" t="str">
        <f t="shared" si="53"/>
        <v/>
      </c>
      <c r="AT500" s="580" t="str">
        <f t="shared" si="54"/>
        <v/>
      </c>
      <c r="AU500" s="582" t="str">
        <f t="shared" si="55"/>
        <v/>
      </c>
      <c r="AV500" s="584" t="str">
        <f t="shared" si="56"/>
        <v/>
      </c>
      <c r="AW500" s="662" t="str">
        <f>IFERROR(VLOOKUP(功能_33[[#This Row],[功能代號]],工作表3!C:C,1,FALSE),"未計SIT測試")</f>
        <v>未計SIT測試</v>
      </c>
    </row>
    <row r="501" spans="3:49" ht="13.5" x14ac:dyDescent="0.3">
      <c r="C501" s="292" t="s">
        <v>97</v>
      </c>
      <c r="D501" s="292" t="s">
        <v>2827</v>
      </c>
      <c r="E501" s="291" t="s">
        <v>1313</v>
      </c>
      <c r="F501" s="292" t="s">
        <v>1314</v>
      </c>
      <c r="G501" s="292" t="s">
        <v>1134</v>
      </c>
      <c r="H501" s="291" t="s">
        <v>136</v>
      </c>
      <c r="I501" s="291" t="s">
        <v>137</v>
      </c>
      <c r="J501" s="298" t="s">
        <v>3181</v>
      </c>
      <c r="K501" s="299">
        <v>44516</v>
      </c>
      <c r="L501" s="299">
        <v>44517</v>
      </c>
      <c r="M501" s="299">
        <v>44536</v>
      </c>
      <c r="N501" s="291" t="s">
        <v>7</v>
      </c>
      <c r="O501" s="291" t="s">
        <v>25</v>
      </c>
      <c r="T501" s="291"/>
      <c r="V501" s="291"/>
      <c r="W501" s="291"/>
      <c r="X501" s="292" t="str">
        <f>VLOOKUP(功能_33[[#This Row],[User]],SKL放款!A:G,7,FALSE)</f>
        <v>放款管理課</v>
      </c>
      <c r="Y501" s="299">
        <v>44533</v>
      </c>
      <c r="Z501" s="299" t="s">
        <v>195</v>
      </c>
      <c r="AA501" s="299">
        <v>44540</v>
      </c>
      <c r="AB501" s="299">
        <v>44540</v>
      </c>
      <c r="AC501" s="299">
        <v>44545</v>
      </c>
      <c r="AD501" s="299"/>
      <c r="AE501" s="299"/>
      <c r="AF501" s="355"/>
      <c r="AG501" s="299" t="str">
        <f>IFERROR(IF(VLOOKUP(功能_33[[#This Row],[功能代號]],E:Q,11,FALSE)=0,"",VLOOKUP(功能_33[[#This Row],[功能代號]],E:Q,11,FALSE)),"")</f>
        <v>邱怡婷</v>
      </c>
      <c r="AH501" s="299"/>
      <c r="AI501" s="299"/>
      <c r="AJ501" s="292"/>
      <c r="AL501" s="291" t="s">
        <v>3054</v>
      </c>
      <c r="AM501" s="292" t="s">
        <v>3170</v>
      </c>
      <c r="AN501" s="292" t="e">
        <f>VLOOKUP(功能_33[[#This Row],[功能代號]],需二審tmp!A:A,1,FALSE)</f>
        <v>#N/A</v>
      </c>
      <c r="AO501" s="356">
        <v>44533</v>
      </c>
      <c r="AQ501" s="574" t="str">
        <f t="shared" si="51"/>
        <v>8-3</v>
      </c>
      <c r="AR501" s="576" t="str">
        <f t="shared" si="52"/>
        <v/>
      </c>
      <c r="AS501" s="578" t="str">
        <f t="shared" si="53"/>
        <v/>
      </c>
      <c r="AT501" s="580" t="str">
        <f t="shared" si="54"/>
        <v/>
      </c>
      <c r="AU501" s="582" t="str">
        <f t="shared" si="55"/>
        <v/>
      </c>
      <c r="AV501" s="584" t="str">
        <f t="shared" si="56"/>
        <v/>
      </c>
      <c r="AW501" s="662" t="str">
        <f>IFERROR(VLOOKUP(功能_33[[#This Row],[功能代號]],工作表3!C:C,1,FALSE),"未計SIT測試")</f>
        <v>未計SIT測試</v>
      </c>
    </row>
    <row r="502" spans="3:49" ht="13.5" x14ac:dyDescent="0.3">
      <c r="C502" s="292" t="s">
        <v>97</v>
      </c>
      <c r="D502" s="292" t="s">
        <v>2827</v>
      </c>
      <c r="E502" s="291" t="s">
        <v>1315</v>
      </c>
      <c r="F502" s="292" t="s">
        <v>1316</v>
      </c>
      <c r="G502" s="292" t="s">
        <v>1134</v>
      </c>
      <c r="H502" s="291" t="s">
        <v>136</v>
      </c>
      <c r="I502" s="291" t="s">
        <v>137</v>
      </c>
      <c r="J502" s="298" t="s">
        <v>3181</v>
      </c>
      <c r="K502" s="299">
        <v>44516</v>
      </c>
      <c r="L502" s="299">
        <v>44517</v>
      </c>
      <c r="M502" s="299">
        <v>44536</v>
      </c>
      <c r="N502" s="291" t="s">
        <v>7</v>
      </c>
      <c r="O502" s="291" t="s">
        <v>25</v>
      </c>
      <c r="T502" s="291"/>
      <c r="V502" s="291"/>
      <c r="W502" s="291"/>
      <c r="X502" s="292" t="str">
        <f>VLOOKUP(功能_33[[#This Row],[User]],SKL放款!A:G,7,FALSE)</f>
        <v>放款管理課</v>
      </c>
      <c r="Y502" s="299">
        <v>44533</v>
      </c>
      <c r="Z502" s="299" t="s">
        <v>195</v>
      </c>
      <c r="AA502" s="299">
        <v>44540</v>
      </c>
      <c r="AB502" s="299">
        <v>44540</v>
      </c>
      <c r="AC502" s="299">
        <v>44545</v>
      </c>
      <c r="AD502" s="299"/>
      <c r="AE502" s="299"/>
      <c r="AF502" s="355"/>
      <c r="AG502" s="299" t="str">
        <f>IFERROR(IF(VLOOKUP(功能_33[[#This Row],[功能代號]],E:Q,11,FALSE)=0,"",VLOOKUP(功能_33[[#This Row],[功能代號]],E:Q,11,FALSE)),"")</f>
        <v>邱怡婷</v>
      </c>
      <c r="AH502" s="299"/>
      <c r="AI502" s="299"/>
      <c r="AJ502" s="292"/>
      <c r="AL502" s="291" t="s">
        <v>3054</v>
      </c>
      <c r="AM502" s="292" t="s">
        <v>3170</v>
      </c>
      <c r="AN502" s="292" t="e">
        <f>VLOOKUP(功能_33[[#This Row],[功能代號]],需二審tmp!A:A,1,FALSE)</f>
        <v>#N/A</v>
      </c>
      <c r="AO502" s="356">
        <v>44533</v>
      </c>
      <c r="AQ502" s="574" t="str">
        <f t="shared" si="51"/>
        <v>8-3</v>
      </c>
      <c r="AR502" s="576" t="str">
        <f t="shared" si="52"/>
        <v/>
      </c>
      <c r="AS502" s="578" t="str">
        <f t="shared" si="53"/>
        <v/>
      </c>
      <c r="AT502" s="580" t="str">
        <f t="shared" si="54"/>
        <v/>
      </c>
      <c r="AU502" s="582" t="str">
        <f t="shared" si="55"/>
        <v/>
      </c>
      <c r="AV502" s="584" t="str">
        <f t="shared" si="56"/>
        <v/>
      </c>
      <c r="AW502" s="662" t="str">
        <f>IFERROR(VLOOKUP(功能_33[[#This Row],[功能代號]],工作表3!C:C,1,FALSE),"未計SIT測試")</f>
        <v>未計SIT測試</v>
      </c>
    </row>
    <row r="503" spans="3:49" ht="13.5" x14ac:dyDescent="0.3">
      <c r="C503" s="292" t="s">
        <v>97</v>
      </c>
      <c r="D503" s="292" t="s">
        <v>2827</v>
      </c>
      <c r="E503" s="291" t="s">
        <v>1317</v>
      </c>
      <c r="F503" s="292" t="s">
        <v>1318</v>
      </c>
      <c r="G503" s="292" t="s">
        <v>1134</v>
      </c>
      <c r="H503" s="291" t="s">
        <v>136</v>
      </c>
      <c r="I503" s="291" t="s">
        <v>137</v>
      </c>
      <c r="J503" s="298" t="s">
        <v>3181</v>
      </c>
      <c r="K503" s="299">
        <v>44517</v>
      </c>
      <c r="L503" s="299">
        <v>44517</v>
      </c>
      <c r="M503" s="299">
        <v>44536</v>
      </c>
      <c r="N503" s="291" t="s">
        <v>7</v>
      </c>
      <c r="O503" s="291" t="s">
        <v>25</v>
      </c>
      <c r="T503" s="291"/>
      <c r="V503" s="291"/>
      <c r="W503" s="291"/>
      <c r="X503" s="292" t="str">
        <f>VLOOKUP(功能_33[[#This Row],[User]],SKL放款!A:G,7,FALSE)</f>
        <v>放款管理課</v>
      </c>
      <c r="Y503" s="299">
        <v>44533</v>
      </c>
      <c r="Z503" s="299" t="s">
        <v>195</v>
      </c>
      <c r="AA503" s="299">
        <v>44540</v>
      </c>
      <c r="AB503" s="299">
        <v>44540</v>
      </c>
      <c r="AC503" s="299">
        <v>44545</v>
      </c>
      <c r="AD503" s="299"/>
      <c r="AE503" s="299"/>
      <c r="AF503" s="355"/>
      <c r="AG503" s="299" t="str">
        <f>IFERROR(IF(VLOOKUP(功能_33[[#This Row],[功能代號]],E:Q,11,FALSE)=0,"",VLOOKUP(功能_33[[#This Row],[功能代號]],E:Q,11,FALSE)),"")</f>
        <v>邱怡婷</v>
      </c>
      <c r="AH503" s="299"/>
      <c r="AI503" s="299"/>
      <c r="AJ503" s="292"/>
      <c r="AL503" s="291" t="s">
        <v>3054</v>
      </c>
      <c r="AM503" s="292" t="s">
        <v>3170</v>
      </c>
      <c r="AN503" s="292" t="e">
        <f>VLOOKUP(功能_33[[#This Row],[功能代號]],需二審tmp!A:A,1,FALSE)</f>
        <v>#N/A</v>
      </c>
      <c r="AO503" s="356">
        <v>44533</v>
      </c>
      <c r="AQ503" s="574" t="str">
        <f t="shared" si="51"/>
        <v>8-3</v>
      </c>
      <c r="AR503" s="576" t="str">
        <f t="shared" si="52"/>
        <v/>
      </c>
      <c r="AS503" s="578" t="str">
        <f t="shared" si="53"/>
        <v/>
      </c>
      <c r="AT503" s="580" t="str">
        <f t="shared" si="54"/>
        <v/>
      </c>
      <c r="AU503" s="582" t="str">
        <f t="shared" si="55"/>
        <v/>
      </c>
      <c r="AV503" s="584" t="str">
        <f t="shared" si="56"/>
        <v/>
      </c>
      <c r="AW503" s="662" t="str">
        <f>IFERROR(VLOOKUP(功能_33[[#This Row],[功能代號]],工作表3!C:C,1,FALSE),"未計SIT測試")</f>
        <v>未計SIT測試</v>
      </c>
    </row>
    <row r="504" spans="3:49" ht="13.5" x14ac:dyDescent="0.3">
      <c r="C504" s="292" t="s">
        <v>97</v>
      </c>
      <c r="D504" s="292" t="s">
        <v>2827</v>
      </c>
      <c r="E504" s="291" t="s">
        <v>1319</v>
      </c>
      <c r="F504" s="292" t="s">
        <v>1320</v>
      </c>
      <c r="G504" s="292" t="s">
        <v>1134</v>
      </c>
      <c r="H504" s="291" t="s">
        <v>136</v>
      </c>
      <c r="I504" s="291" t="s">
        <v>137</v>
      </c>
      <c r="J504" s="298" t="s">
        <v>3181</v>
      </c>
      <c r="K504" s="299">
        <v>44517</v>
      </c>
      <c r="L504" s="299">
        <v>44517</v>
      </c>
      <c r="M504" s="299">
        <v>44536</v>
      </c>
      <c r="N504" s="291" t="s">
        <v>7</v>
      </c>
      <c r="O504" s="291" t="s">
        <v>25</v>
      </c>
      <c r="T504" s="291"/>
      <c r="V504" s="291"/>
      <c r="W504" s="291"/>
      <c r="X504" s="292" t="str">
        <f>VLOOKUP(功能_33[[#This Row],[User]],SKL放款!A:G,7,FALSE)</f>
        <v>放款管理課</v>
      </c>
      <c r="Y504" s="299">
        <v>44533</v>
      </c>
      <c r="Z504" s="299" t="s">
        <v>195</v>
      </c>
      <c r="AA504" s="299">
        <v>44540</v>
      </c>
      <c r="AB504" s="299">
        <v>44540</v>
      </c>
      <c r="AC504" s="299">
        <v>44545</v>
      </c>
      <c r="AD504" s="299"/>
      <c r="AE504" s="299"/>
      <c r="AF504" s="355"/>
      <c r="AG504" s="299" t="str">
        <f>IFERROR(IF(VLOOKUP(功能_33[[#This Row],[功能代號]],E:Q,11,FALSE)=0,"",VLOOKUP(功能_33[[#This Row],[功能代號]],E:Q,11,FALSE)),"")</f>
        <v>邱怡婷</v>
      </c>
      <c r="AH504" s="299"/>
      <c r="AI504" s="299"/>
      <c r="AJ504" s="292"/>
      <c r="AL504" s="291" t="s">
        <v>3054</v>
      </c>
      <c r="AM504" s="292" t="s">
        <v>3170</v>
      </c>
      <c r="AN504" s="292" t="e">
        <f>VLOOKUP(功能_33[[#This Row],[功能代號]],需二審tmp!A:A,1,FALSE)</f>
        <v>#N/A</v>
      </c>
      <c r="AO504" s="356">
        <v>44533</v>
      </c>
      <c r="AQ504" s="574" t="str">
        <f t="shared" si="51"/>
        <v>8-3</v>
      </c>
      <c r="AR504" s="576" t="str">
        <f t="shared" si="52"/>
        <v/>
      </c>
      <c r="AS504" s="578" t="str">
        <f t="shared" si="53"/>
        <v/>
      </c>
      <c r="AT504" s="580" t="str">
        <f t="shared" si="54"/>
        <v/>
      </c>
      <c r="AU504" s="582" t="str">
        <f t="shared" si="55"/>
        <v/>
      </c>
      <c r="AV504" s="584" t="str">
        <f t="shared" si="56"/>
        <v/>
      </c>
      <c r="AW504" s="662" t="str">
        <f>IFERROR(VLOOKUP(功能_33[[#This Row],[功能代號]],工作表3!C:C,1,FALSE),"未計SIT測試")</f>
        <v>未計SIT測試</v>
      </c>
    </row>
    <row r="505" spans="3:49" ht="13.5" x14ac:dyDescent="0.3">
      <c r="C505" s="292" t="s">
        <v>97</v>
      </c>
      <c r="D505" s="292" t="s">
        <v>2827</v>
      </c>
      <c r="E505" s="291" t="s">
        <v>1321</v>
      </c>
      <c r="F505" s="292" t="s">
        <v>1322</v>
      </c>
      <c r="G505" s="292" t="s">
        <v>1134</v>
      </c>
      <c r="H505" s="291" t="s">
        <v>136</v>
      </c>
      <c r="I505" s="291" t="s">
        <v>137</v>
      </c>
      <c r="J505" s="298" t="s">
        <v>3181</v>
      </c>
      <c r="K505" s="299">
        <v>44517</v>
      </c>
      <c r="L505" s="299">
        <v>44517</v>
      </c>
      <c r="M505" s="299">
        <v>44536</v>
      </c>
      <c r="N505" s="291" t="s">
        <v>7</v>
      </c>
      <c r="O505" s="291" t="s">
        <v>25</v>
      </c>
      <c r="T505" s="291"/>
      <c r="V505" s="291"/>
      <c r="W505" s="291"/>
      <c r="X505" s="292" t="str">
        <f>VLOOKUP(功能_33[[#This Row],[User]],SKL放款!A:G,7,FALSE)</f>
        <v>放款管理課</v>
      </c>
      <c r="Y505" s="299">
        <v>44533</v>
      </c>
      <c r="Z505" s="299" t="s">
        <v>195</v>
      </c>
      <c r="AA505" s="299">
        <v>44540</v>
      </c>
      <c r="AB505" s="299">
        <v>44540</v>
      </c>
      <c r="AC505" s="299">
        <v>44545</v>
      </c>
      <c r="AD505" s="299"/>
      <c r="AE505" s="299"/>
      <c r="AF505" s="355"/>
      <c r="AG505" s="299" t="str">
        <f>IFERROR(IF(VLOOKUP(功能_33[[#This Row],[功能代號]],E:Q,11,FALSE)=0,"",VLOOKUP(功能_33[[#This Row],[功能代號]],E:Q,11,FALSE)),"")</f>
        <v>邱怡婷</v>
      </c>
      <c r="AH505" s="299"/>
      <c r="AI505" s="299"/>
      <c r="AJ505" s="292"/>
      <c r="AL505" s="291" t="s">
        <v>3054</v>
      </c>
      <c r="AM505" s="292" t="s">
        <v>3170</v>
      </c>
      <c r="AN505" s="292" t="e">
        <f>VLOOKUP(功能_33[[#This Row],[功能代號]],需二審tmp!A:A,1,FALSE)</f>
        <v>#N/A</v>
      </c>
      <c r="AO505" s="356">
        <v>44533</v>
      </c>
      <c r="AQ505" s="574" t="str">
        <f t="shared" si="51"/>
        <v>8-3</v>
      </c>
      <c r="AR505" s="576" t="str">
        <f t="shared" si="52"/>
        <v/>
      </c>
      <c r="AS505" s="578" t="str">
        <f t="shared" si="53"/>
        <v/>
      </c>
      <c r="AT505" s="580" t="str">
        <f t="shared" si="54"/>
        <v/>
      </c>
      <c r="AU505" s="582" t="str">
        <f t="shared" si="55"/>
        <v/>
      </c>
      <c r="AV505" s="584" t="str">
        <f t="shared" si="56"/>
        <v/>
      </c>
      <c r="AW505" s="662" t="str">
        <f>IFERROR(VLOOKUP(功能_33[[#This Row],[功能代號]],工作表3!C:C,1,FALSE),"未計SIT測試")</f>
        <v>未計SIT測試</v>
      </c>
    </row>
    <row r="506" spans="3:49" ht="13.5" x14ac:dyDescent="0.3">
      <c r="C506" s="292" t="s">
        <v>97</v>
      </c>
      <c r="D506" s="292" t="s">
        <v>2827</v>
      </c>
      <c r="E506" s="291" t="s">
        <v>1323</v>
      </c>
      <c r="F506" s="292" t="s">
        <v>1324</v>
      </c>
      <c r="G506" s="292" t="s">
        <v>1134</v>
      </c>
      <c r="H506" s="291" t="s">
        <v>136</v>
      </c>
      <c r="I506" s="291" t="s">
        <v>137</v>
      </c>
      <c r="J506" s="298" t="s">
        <v>3181</v>
      </c>
      <c r="K506" s="299">
        <v>44517</v>
      </c>
      <c r="L506" s="299">
        <v>44517</v>
      </c>
      <c r="M506" s="299">
        <v>44536</v>
      </c>
      <c r="N506" s="291" t="s">
        <v>7</v>
      </c>
      <c r="O506" s="291" t="s">
        <v>25</v>
      </c>
      <c r="T506" s="291"/>
      <c r="V506" s="291"/>
      <c r="W506" s="291"/>
      <c r="X506" s="292" t="str">
        <f>VLOOKUP(功能_33[[#This Row],[User]],SKL放款!A:G,7,FALSE)</f>
        <v>放款管理課</v>
      </c>
      <c r="Y506" s="299">
        <v>44533</v>
      </c>
      <c r="Z506" s="299" t="s">
        <v>195</v>
      </c>
      <c r="AA506" s="299">
        <v>44540</v>
      </c>
      <c r="AB506" s="299">
        <v>44540</v>
      </c>
      <c r="AC506" s="299">
        <v>44545</v>
      </c>
      <c r="AD506" s="299"/>
      <c r="AE506" s="299"/>
      <c r="AF506" s="355"/>
      <c r="AG506" s="299" t="str">
        <f>IFERROR(IF(VLOOKUP(功能_33[[#This Row],[功能代號]],E:Q,11,FALSE)=0,"",VLOOKUP(功能_33[[#This Row],[功能代號]],E:Q,11,FALSE)),"")</f>
        <v>邱怡婷</v>
      </c>
      <c r="AH506" s="299"/>
      <c r="AI506" s="299"/>
      <c r="AJ506" s="292"/>
      <c r="AL506" s="291" t="s">
        <v>3054</v>
      </c>
      <c r="AM506" s="292" t="s">
        <v>3170</v>
      </c>
      <c r="AN506" s="292" t="e">
        <f>VLOOKUP(功能_33[[#This Row],[功能代號]],需二審tmp!A:A,1,FALSE)</f>
        <v>#N/A</v>
      </c>
      <c r="AO506" s="356">
        <v>44533</v>
      </c>
      <c r="AQ506" s="574" t="str">
        <f t="shared" si="51"/>
        <v>8-3</v>
      </c>
      <c r="AR506" s="576" t="str">
        <f t="shared" si="52"/>
        <v/>
      </c>
      <c r="AS506" s="578" t="str">
        <f t="shared" si="53"/>
        <v/>
      </c>
      <c r="AT506" s="580" t="str">
        <f t="shared" si="54"/>
        <v/>
      </c>
      <c r="AU506" s="582" t="str">
        <f t="shared" si="55"/>
        <v/>
      </c>
      <c r="AV506" s="584" t="str">
        <f t="shared" si="56"/>
        <v/>
      </c>
      <c r="AW506" s="662" t="str">
        <f>IFERROR(VLOOKUP(功能_33[[#This Row],[功能代號]],工作表3!C:C,1,FALSE),"未計SIT測試")</f>
        <v>未計SIT測試</v>
      </c>
    </row>
    <row r="507" spans="3:49" ht="13.5" x14ac:dyDescent="0.3">
      <c r="C507" s="292" t="s">
        <v>97</v>
      </c>
      <c r="D507" s="292" t="s">
        <v>2827</v>
      </c>
      <c r="E507" s="291" t="s">
        <v>1325</v>
      </c>
      <c r="F507" s="292" t="s">
        <v>1326</v>
      </c>
      <c r="G507" s="292" t="s">
        <v>1134</v>
      </c>
      <c r="H507" s="291" t="s">
        <v>136</v>
      </c>
      <c r="I507" s="291" t="s">
        <v>137</v>
      </c>
      <c r="J507" s="298" t="s">
        <v>3181</v>
      </c>
      <c r="K507" s="299">
        <v>44518</v>
      </c>
      <c r="L507" s="299">
        <v>44517</v>
      </c>
      <c r="M507" s="299">
        <v>44536</v>
      </c>
      <c r="N507" s="291" t="s">
        <v>7</v>
      </c>
      <c r="O507" s="291" t="s">
        <v>25</v>
      </c>
      <c r="T507" s="291"/>
      <c r="V507" s="291"/>
      <c r="W507" s="291"/>
      <c r="X507" s="292" t="str">
        <f>VLOOKUP(功能_33[[#This Row],[User]],SKL放款!A:G,7,FALSE)</f>
        <v>放款管理課</v>
      </c>
      <c r="Y507" s="299">
        <v>44533</v>
      </c>
      <c r="Z507" s="299" t="s">
        <v>195</v>
      </c>
      <c r="AA507" s="299">
        <v>44540</v>
      </c>
      <c r="AB507" s="299">
        <v>44540</v>
      </c>
      <c r="AC507" s="299">
        <v>44545</v>
      </c>
      <c r="AD507" s="299"/>
      <c r="AE507" s="299"/>
      <c r="AF507" s="355"/>
      <c r="AG507" s="299" t="str">
        <f>IFERROR(IF(VLOOKUP(功能_33[[#This Row],[功能代號]],E:Q,11,FALSE)=0,"",VLOOKUP(功能_33[[#This Row],[功能代號]],E:Q,11,FALSE)),"")</f>
        <v>邱怡婷</v>
      </c>
      <c r="AH507" s="299"/>
      <c r="AI507" s="299"/>
      <c r="AJ507" s="292"/>
      <c r="AL507" s="291" t="s">
        <v>3054</v>
      </c>
      <c r="AM507" s="292" t="s">
        <v>3170</v>
      </c>
      <c r="AN507" s="292" t="e">
        <f>VLOOKUP(功能_33[[#This Row],[功能代號]],需二審tmp!A:A,1,FALSE)</f>
        <v>#N/A</v>
      </c>
      <c r="AO507" s="356">
        <v>44533</v>
      </c>
      <c r="AQ507" s="574" t="str">
        <f t="shared" si="51"/>
        <v>8-3</v>
      </c>
      <c r="AR507" s="576" t="str">
        <f t="shared" si="52"/>
        <v/>
      </c>
      <c r="AS507" s="578" t="str">
        <f t="shared" si="53"/>
        <v/>
      </c>
      <c r="AT507" s="580" t="str">
        <f t="shared" si="54"/>
        <v/>
      </c>
      <c r="AU507" s="582" t="str">
        <f t="shared" si="55"/>
        <v/>
      </c>
      <c r="AV507" s="584" t="str">
        <f t="shared" si="56"/>
        <v/>
      </c>
      <c r="AW507" s="662" t="str">
        <f>IFERROR(VLOOKUP(功能_33[[#This Row],[功能代號]],工作表3!C:C,1,FALSE),"未計SIT測試")</f>
        <v>未計SIT測試</v>
      </c>
    </row>
    <row r="508" spans="3:49" ht="13.5" x14ac:dyDescent="0.3">
      <c r="C508" s="292" t="s">
        <v>97</v>
      </c>
      <c r="D508" s="292" t="s">
        <v>2827</v>
      </c>
      <c r="E508" s="291" t="s">
        <v>1327</v>
      </c>
      <c r="F508" s="292" t="s">
        <v>1328</v>
      </c>
      <c r="G508" s="292" t="s">
        <v>1134</v>
      </c>
      <c r="H508" s="291" t="s">
        <v>136</v>
      </c>
      <c r="I508" s="291" t="s">
        <v>137</v>
      </c>
      <c r="J508" s="298" t="s">
        <v>3181</v>
      </c>
      <c r="K508" s="299">
        <v>44518</v>
      </c>
      <c r="L508" s="299">
        <v>44517</v>
      </c>
      <c r="M508" s="299">
        <v>44536</v>
      </c>
      <c r="N508" s="291" t="s">
        <v>7</v>
      </c>
      <c r="O508" s="291" t="s">
        <v>25</v>
      </c>
      <c r="T508" s="291"/>
      <c r="V508" s="291"/>
      <c r="W508" s="291"/>
      <c r="X508" s="292" t="str">
        <f>VLOOKUP(功能_33[[#This Row],[User]],SKL放款!A:G,7,FALSE)</f>
        <v>放款管理課</v>
      </c>
      <c r="Y508" s="299">
        <v>44533</v>
      </c>
      <c r="Z508" s="299" t="s">
        <v>195</v>
      </c>
      <c r="AA508" s="299">
        <v>44540</v>
      </c>
      <c r="AB508" s="299">
        <v>44540</v>
      </c>
      <c r="AC508" s="299">
        <v>44545</v>
      </c>
      <c r="AD508" s="299"/>
      <c r="AE508" s="299"/>
      <c r="AF508" s="355"/>
      <c r="AG508" s="299" t="str">
        <f>IFERROR(IF(VLOOKUP(功能_33[[#This Row],[功能代號]],E:Q,11,FALSE)=0,"",VLOOKUP(功能_33[[#This Row],[功能代號]],E:Q,11,FALSE)),"")</f>
        <v>邱怡婷</v>
      </c>
      <c r="AH508" s="299"/>
      <c r="AI508" s="299"/>
      <c r="AJ508" s="292"/>
      <c r="AL508" s="291" t="s">
        <v>3054</v>
      </c>
      <c r="AM508" s="292" t="s">
        <v>3170</v>
      </c>
      <c r="AN508" s="292" t="e">
        <f>VLOOKUP(功能_33[[#This Row],[功能代號]],需二審tmp!A:A,1,FALSE)</f>
        <v>#N/A</v>
      </c>
      <c r="AO508" s="356">
        <v>44533</v>
      </c>
      <c r="AQ508" s="574" t="str">
        <f t="shared" si="51"/>
        <v>8-3</v>
      </c>
      <c r="AR508" s="576" t="str">
        <f t="shared" si="52"/>
        <v/>
      </c>
      <c r="AS508" s="578" t="str">
        <f t="shared" si="53"/>
        <v/>
      </c>
      <c r="AT508" s="580" t="str">
        <f t="shared" si="54"/>
        <v/>
      </c>
      <c r="AU508" s="582" t="str">
        <f t="shared" si="55"/>
        <v/>
      </c>
      <c r="AV508" s="584" t="str">
        <f t="shared" si="56"/>
        <v/>
      </c>
      <c r="AW508" s="662" t="str">
        <f>IFERROR(VLOOKUP(功能_33[[#This Row],[功能代號]],工作表3!C:C,1,FALSE),"未計SIT測試")</f>
        <v>未計SIT測試</v>
      </c>
    </row>
    <row r="509" spans="3:49" ht="13.5" x14ac:dyDescent="0.3">
      <c r="C509" s="292" t="s">
        <v>97</v>
      </c>
      <c r="D509" s="292" t="s">
        <v>2827</v>
      </c>
      <c r="E509" s="291" t="s">
        <v>1329</v>
      </c>
      <c r="F509" s="292" t="s">
        <v>1330</v>
      </c>
      <c r="G509" s="292" t="s">
        <v>1134</v>
      </c>
      <c r="H509" s="291" t="s">
        <v>136</v>
      </c>
      <c r="I509" s="291" t="s">
        <v>137</v>
      </c>
      <c r="J509" s="298" t="s">
        <v>3181</v>
      </c>
      <c r="K509" s="299">
        <v>44518</v>
      </c>
      <c r="L509" s="299">
        <v>44517</v>
      </c>
      <c r="M509" s="299">
        <v>44536</v>
      </c>
      <c r="N509" s="291" t="s">
        <v>7</v>
      </c>
      <c r="O509" s="291" t="s">
        <v>25</v>
      </c>
      <c r="T509" s="291"/>
      <c r="V509" s="291"/>
      <c r="W509" s="291"/>
      <c r="X509" s="292" t="str">
        <f>VLOOKUP(功能_33[[#This Row],[User]],SKL放款!A:G,7,FALSE)</f>
        <v>放款管理課</v>
      </c>
      <c r="Y509" s="299">
        <v>44533</v>
      </c>
      <c r="Z509" s="299" t="s">
        <v>195</v>
      </c>
      <c r="AA509" s="299">
        <v>44540</v>
      </c>
      <c r="AB509" s="299">
        <v>44540</v>
      </c>
      <c r="AC509" s="299">
        <v>44545</v>
      </c>
      <c r="AD509" s="299"/>
      <c r="AE509" s="299"/>
      <c r="AF509" s="355"/>
      <c r="AG509" s="299" t="str">
        <f>IFERROR(IF(VLOOKUP(功能_33[[#This Row],[功能代號]],E:Q,11,FALSE)=0,"",VLOOKUP(功能_33[[#This Row],[功能代號]],E:Q,11,FALSE)),"")</f>
        <v>邱怡婷</v>
      </c>
      <c r="AH509" s="299"/>
      <c r="AI509" s="299"/>
      <c r="AJ509" s="292"/>
      <c r="AL509" s="291" t="s">
        <v>3054</v>
      </c>
      <c r="AM509" s="292" t="s">
        <v>3170</v>
      </c>
      <c r="AN509" s="292" t="e">
        <f>VLOOKUP(功能_33[[#This Row],[功能代號]],需二審tmp!A:A,1,FALSE)</f>
        <v>#N/A</v>
      </c>
      <c r="AO509" s="356">
        <v>44533</v>
      </c>
      <c r="AQ509" s="574" t="str">
        <f t="shared" si="51"/>
        <v>8-3</v>
      </c>
      <c r="AR509" s="576" t="str">
        <f t="shared" si="52"/>
        <v/>
      </c>
      <c r="AS509" s="578" t="str">
        <f t="shared" si="53"/>
        <v/>
      </c>
      <c r="AT509" s="580" t="str">
        <f t="shared" si="54"/>
        <v/>
      </c>
      <c r="AU509" s="582" t="str">
        <f t="shared" si="55"/>
        <v/>
      </c>
      <c r="AV509" s="584" t="str">
        <f t="shared" si="56"/>
        <v/>
      </c>
      <c r="AW509" s="662" t="str">
        <f>IFERROR(VLOOKUP(功能_33[[#This Row],[功能代號]],工作表3!C:C,1,FALSE),"未計SIT測試")</f>
        <v>未計SIT測試</v>
      </c>
    </row>
    <row r="510" spans="3:49" ht="13.5" x14ac:dyDescent="0.3">
      <c r="C510" s="292" t="s">
        <v>97</v>
      </c>
      <c r="D510" s="292" t="s">
        <v>2827</v>
      </c>
      <c r="E510" s="291" t="s">
        <v>1331</v>
      </c>
      <c r="F510" s="292" t="s">
        <v>1332</v>
      </c>
      <c r="G510" s="292" t="s">
        <v>1134</v>
      </c>
      <c r="H510" s="291" t="s">
        <v>136</v>
      </c>
      <c r="I510" s="291" t="s">
        <v>137</v>
      </c>
      <c r="J510" s="298" t="s">
        <v>3181</v>
      </c>
      <c r="K510" s="299">
        <v>44518</v>
      </c>
      <c r="L510" s="299">
        <v>44517</v>
      </c>
      <c r="M510" s="299">
        <v>44536</v>
      </c>
      <c r="N510" s="291" t="s">
        <v>7</v>
      </c>
      <c r="O510" s="291" t="s">
        <v>25</v>
      </c>
      <c r="T510" s="291"/>
      <c r="V510" s="291"/>
      <c r="W510" s="291"/>
      <c r="X510" s="292" t="str">
        <f>VLOOKUP(功能_33[[#This Row],[User]],SKL放款!A:G,7,FALSE)</f>
        <v>放款管理課</v>
      </c>
      <c r="Y510" s="299">
        <v>44533</v>
      </c>
      <c r="Z510" s="299" t="s">
        <v>195</v>
      </c>
      <c r="AA510" s="299">
        <v>44540</v>
      </c>
      <c r="AB510" s="299">
        <v>44540</v>
      </c>
      <c r="AC510" s="299">
        <v>44545</v>
      </c>
      <c r="AD510" s="299"/>
      <c r="AE510" s="299"/>
      <c r="AF510" s="355"/>
      <c r="AG510" s="299" t="str">
        <f>IFERROR(IF(VLOOKUP(功能_33[[#This Row],[功能代號]],E:Q,11,FALSE)=0,"",VLOOKUP(功能_33[[#This Row],[功能代號]],E:Q,11,FALSE)),"")</f>
        <v>邱怡婷</v>
      </c>
      <c r="AH510" s="299"/>
      <c r="AI510" s="299"/>
      <c r="AJ510" s="292"/>
      <c r="AL510" s="291" t="s">
        <v>3054</v>
      </c>
      <c r="AM510" s="292" t="s">
        <v>3170</v>
      </c>
      <c r="AN510" s="292" t="e">
        <f>VLOOKUP(功能_33[[#This Row],[功能代號]],需二審tmp!A:A,1,FALSE)</f>
        <v>#N/A</v>
      </c>
      <c r="AO510" s="356">
        <v>44533</v>
      </c>
      <c r="AQ510" s="574" t="str">
        <f t="shared" si="51"/>
        <v>8-3</v>
      </c>
      <c r="AR510" s="576" t="str">
        <f t="shared" si="52"/>
        <v/>
      </c>
      <c r="AS510" s="578" t="str">
        <f t="shared" si="53"/>
        <v/>
      </c>
      <c r="AT510" s="580" t="str">
        <f t="shared" si="54"/>
        <v/>
      </c>
      <c r="AU510" s="582" t="str">
        <f t="shared" si="55"/>
        <v/>
      </c>
      <c r="AV510" s="584" t="str">
        <f t="shared" si="56"/>
        <v/>
      </c>
      <c r="AW510" s="662" t="str">
        <f>IFERROR(VLOOKUP(功能_33[[#This Row],[功能代號]],工作表3!C:C,1,FALSE),"未計SIT測試")</f>
        <v>未計SIT測試</v>
      </c>
    </row>
    <row r="511" spans="3:49" ht="13.5" x14ac:dyDescent="0.3">
      <c r="C511" s="292" t="s">
        <v>97</v>
      </c>
      <c r="D511" s="292" t="s">
        <v>2827</v>
      </c>
      <c r="E511" s="291" t="s">
        <v>1333</v>
      </c>
      <c r="F511" s="292" t="s">
        <v>1334</v>
      </c>
      <c r="G511" s="292" t="s">
        <v>1134</v>
      </c>
      <c r="H511" s="291" t="s">
        <v>136</v>
      </c>
      <c r="I511" s="291" t="s">
        <v>137</v>
      </c>
      <c r="J511" s="298" t="s">
        <v>3181</v>
      </c>
      <c r="K511" s="299">
        <v>44518</v>
      </c>
      <c r="L511" s="299">
        <v>44517</v>
      </c>
      <c r="M511" s="299">
        <v>44536</v>
      </c>
      <c r="N511" s="291" t="s">
        <v>7</v>
      </c>
      <c r="O511" s="291" t="s">
        <v>25</v>
      </c>
      <c r="T511" s="291"/>
      <c r="V511" s="291"/>
      <c r="W511" s="291"/>
      <c r="X511" s="292" t="str">
        <f>VLOOKUP(功能_33[[#This Row],[User]],SKL放款!A:G,7,FALSE)</f>
        <v>放款管理課</v>
      </c>
      <c r="Y511" s="299">
        <v>44533</v>
      </c>
      <c r="Z511" s="299" t="s">
        <v>195</v>
      </c>
      <c r="AA511" s="299">
        <v>44540</v>
      </c>
      <c r="AB511" s="299">
        <v>44540</v>
      </c>
      <c r="AC511" s="299">
        <v>44545</v>
      </c>
      <c r="AD511" s="299"/>
      <c r="AE511" s="299"/>
      <c r="AF511" s="355"/>
      <c r="AG511" s="299" t="str">
        <f>IFERROR(IF(VLOOKUP(功能_33[[#This Row],[功能代號]],E:Q,11,FALSE)=0,"",VLOOKUP(功能_33[[#This Row],[功能代號]],E:Q,11,FALSE)),"")</f>
        <v>邱怡婷</v>
      </c>
      <c r="AH511" s="299"/>
      <c r="AI511" s="299"/>
      <c r="AJ511" s="292"/>
      <c r="AL511" s="291" t="s">
        <v>3054</v>
      </c>
      <c r="AM511" s="292" t="s">
        <v>3170</v>
      </c>
      <c r="AN511" s="292" t="e">
        <f>VLOOKUP(功能_33[[#This Row],[功能代號]],需二審tmp!A:A,1,FALSE)</f>
        <v>#N/A</v>
      </c>
      <c r="AO511" s="356">
        <v>44533</v>
      </c>
      <c r="AQ511" s="574" t="str">
        <f t="shared" si="51"/>
        <v>8-3</v>
      </c>
      <c r="AR511" s="576" t="str">
        <f t="shared" si="52"/>
        <v/>
      </c>
      <c r="AS511" s="578" t="str">
        <f t="shared" si="53"/>
        <v/>
      </c>
      <c r="AT511" s="580" t="str">
        <f t="shared" si="54"/>
        <v/>
      </c>
      <c r="AU511" s="582" t="str">
        <f t="shared" si="55"/>
        <v/>
      </c>
      <c r="AV511" s="584" t="str">
        <f t="shared" si="56"/>
        <v/>
      </c>
      <c r="AW511" s="662" t="str">
        <f>IFERROR(VLOOKUP(功能_33[[#This Row],[功能代號]],工作表3!C:C,1,FALSE),"未計SIT測試")</f>
        <v>未計SIT測試</v>
      </c>
    </row>
    <row r="512" spans="3:49" ht="13.5" x14ac:dyDescent="0.3">
      <c r="C512" s="292" t="s">
        <v>97</v>
      </c>
      <c r="D512" s="292" t="s">
        <v>2827</v>
      </c>
      <c r="E512" s="291" t="s">
        <v>1335</v>
      </c>
      <c r="F512" s="292" t="s">
        <v>1336</v>
      </c>
      <c r="G512" s="292" t="s">
        <v>1134</v>
      </c>
      <c r="H512" s="291" t="s">
        <v>136</v>
      </c>
      <c r="I512" s="291" t="s">
        <v>137</v>
      </c>
      <c r="J512" s="298" t="s">
        <v>3181</v>
      </c>
      <c r="K512" s="299">
        <v>44518</v>
      </c>
      <c r="L512" s="299">
        <v>44517</v>
      </c>
      <c r="M512" s="299">
        <v>44536</v>
      </c>
      <c r="N512" s="291" t="s">
        <v>7</v>
      </c>
      <c r="O512" s="291" t="s">
        <v>25</v>
      </c>
      <c r="T512" s="291"/>
      <c r="V512" s="291"/>
      <c r="W512" s="291"/>
      <c r="X512" s="292" t="str">
        <f>VLOOKUP(功能_33[[#This Row],[User]],SKL放款!A:G,7,FALSE)</f>
        <v>放款管理課</v>
      </c>
      <c r="Y512" s="299">
        <v>44533</v>
      </c>
      <c r="Z512" s="299" t="s">
        <v>195</v>
      </c>
      <c r="AA512" s="299">
        <v>44540</v>
      </c>
      <c r="AB512" s="299">
        <v>44540</v>
      </c>
      <c r="AC512" s="299">
        <v>44545</v>
      </c>
      <c r="AD512" s="299"/>
      <c r="AE512" s="299"/>
      <c r="AF512" s="355"/>
      <c r="AG512" s="299" t="str">
        <f>IFERROR(IF(VLOOKUP(功能_33[[#This Row],[功能代號]],E:Q,11,FALSE)=0,"",VLOOKUP(功能_33[[#This Row],[功能代號]],E:Q,11,FALSE)),"")</f>
        <v>邱怡婷</v>
      </c>
      <c r="AH512" s="299"/>
      <c r="AI512" s="299"/>
      <c r="AJ512" s="292"/>
      <c r="AL512" s="291" t="s">
        <v>3054</v>
      </c>
      <c r="AM512" s="292" t="s">
        <v>3170</v>
      </c>
      <c r="AN512" s="292" t="e">
        <f>VLOOKUP(功能_33[[#This Row],[功能代號]],需二審tmp!A:A,1,FALSE)</f>
        <v>#N/A</v>
      </c>
      <c r="AO512" s="356">
        <v>44533</v>
      </c>
      <c r="AQ512" s="574" t="str">
        <f t="shared" si="51"/>
        <v>8-3</v>
      </c>
      <c r="AR512" s="576" t="str">
        <f t="shared" si="52"/>
        <v/>
      </c>
      <c r="AS512" s="578" t="str">
        <f t="shared" si="53"/>
        <v/>
      </c>
      <c r="AT512" s="580" t="str">
        <f t="shared" si="54"/>
        <v/>
      </c>
      <c r="AU512" s="582" t="str">
        <f t="shared" si="55"/>
        <v/>
      </c>
      <c r="AV512" s="584" t="str">
        <f t="shared" si="56"/>
        <v/>
      </c>
      <c r="AW512" s="662" t="str">
        <f>IFERROR(VLOOKUP(功能_33[[#This Row],[功能代號]],工作表3!C:C,1,FALSE),"未計SIT測試")</f>
        <v>未計SIT測試</v>
      </c>
    </row>
    <row r="513" spans="3:49" ht="13.5" x14ac:dyDescent="0.3">
      <c r="C513" s="292" t="s">
        <v>97</v>
      </c>
      <c r="D513" s="292" t="s">
        <v>2827</v>
      </c>
      <c r="E513" s="291" t="s">
        <v>1337</v>
      </c>
      <c r="F513" s="292" t="s">
        <v>1338</v>
      </c>
      <c r="G513" s="292" t="s">
        <v>1134</v>
      </c>
      <c r="H513" s="291" t="s">
        <v>136</v>
      </c>
      <c r="I513" s="291" t="s">
        <v>137</v>
      </c>
      <c r="J513" s="298" t="s">
        <v>3181</v>
      </c>
      <c r="K513" s="299">
        <v>44518</v>
      </c>
      <c r="L513" s="299">
        <v>44517</v>
      </c>
      <c r="M513" s="299">
        <v>44536</v>
      </c>
      <c r="N513" s="291" t="s">
        <v>7</v>
      </c>
      <c r="O513" s="291" t="s">
        <v>25</v>
      </c>
      <c r="T513" s="291"/>
      <c r="V513" s="291"/>
      <c r="W513" s="291"/>
      <c r="X513" s="292" t="str">
        <f>VLOOKUP(功能_33[[#This Row],[User]],SKL放款!A:G,7,FALSE)</f>
        <v>放款管理課</v>
      </c>
      <c r="Y513" s="299">
        <v>44533</v>
      </c>
      <c r="Z513" s="299" t="s">
        <v>195</v>
      </c>
      <c r="AA513" s="299">
        <v>44540</v>
      </c>
      <c r="AB513" s="299">
        <v>44540</v>
      </c>
      <c r="AC513" s="299">
        <v>44545</v>
      </c>
      <c r="AD513" s="299"/>
      <c r="AE513" s="299"/>
      <c r="AF513" s="355"/>
      <c r="AG513" s="299" t="str">
        <f>IFERROR(IF(VLOOKUP(功能_33[[#This Row],[功能代號]],E:Q,11,FALSE)=0,"",VLOOKUP(功能_33[[#This Row],[功能代號]],E:Q,11,FALSE)),"")</f>
        <v>邱怡婷</v>
      </c>
      <c r="AH513" s="299"/>
      <c r="AI513" s="299"/>
      <c r="AJ513" s="292"/>
      <c r="AL513" s="291" t="s">
        <v>3054</v>
      </c>
      <c r="AM513" s="292" t="s">
        <v>3170</v>
      </c>
      <c r="AN513" s="292" t="e">
        <f>VLOOKUP(功能_33[[#This Row],[功能代號]],需二審tmp!A:A,1,FALSE)</f>
        <v>#N/A</v>
      </c>
      <c r="AO513" s="356">
        <v>44533</v>
      </c>
      <c r="AQ513" s="574" t="str">
        <f t="shared" si="51"/>
        <v>8-3</v>
      </c>
      <c r="AR513" s="576" t="str">
        <f t="shared" si="52"/>
        <v/>
      </c>
      <c r="AS513" s="578" t="str">
        <f t="shared" si="53"/>
        <v/>
      </c>
      <c r="AT513" s="580" t="str">
        <f t="shared" si="54"/>
        <v/>
      </c>
      <c r="AU513" s="582" t="str">
        <f t="shared" si="55"/>
        <v/>
      </c>
      <c r="AV513" s="584" t="str">
        <f t="shared" si="56"/>
        <v/>
      </c>
      <c r="AW513" s="662" t="str">
        <f>IFERROR(VLOOKUP(功能_33[[#This Row],[功能代號]],工作表3!C:C,1,FALSE),"未計SIT測試")</f>
        <v>未計SIT測試</v>
      </c>
    </row>
    <row r="514" spans="3:49" ht="13.5" x14ac:dyDescent="0.3">
      <c r="C514" s="292" t="s">
        <v>97</v>
      </c>
      <c r="D514" s="292" t="s">
        <v>2827</v>
      </c>
      <c r="E514" s="291" t="s">
        <v>1339</v>
      </c>
      <c r="F514" s="292" t="s">
        <v>1340</v>
      </c>
      <c r="G514" s="292" t="s">
        <v>1134</v>
      </c>
      <c r="H514" s="291" t="s">
        <v>136</v>
      </c>
      <c r="I514" s="291" t="s">
        <v>137</v>
      </c>
      <c r="J514" s="298" t="s">
        <v>3181</v>
      </c>
      <c r="K514" s="299">
        <v>44518</v>
      </c>
      <c r="L514" s="299">
        <v>44517</v>
      </c>
      <c r="M514" s="299">
        <v>44536</v>
      </c>
      <c r="N514" s="291" t="s">
        <v>7</v>
      </c>
      <c r="O514" s="291" t="s">
        <v>25</v>
      </c>
      <c r="T514" s="291"/>
      <c r="V514" s="291"/>
      <c r="W514" s="291"/>
      <c r="X514" s="292" t="str">
        <f>VLOOKUP(功能_33[[#This Row],[User]],SKL放款!A:G,7,FALSE)</f>
        <v>放款管理課</v>
      </c>
      <c r="Y514" s="299">
        <v>44533</v>
      </c>
      <c r="Z514" s="299" t="s">
        <v>195</v>
      </c>
      <c r="AA514" s="299">
        <v>44540</v>
      </c>
      <c r="AB514" s="299">
        <v>44540</v>
      </c>
      <c r="AC514" s="299">
        <v>44545</v>
      </c>
      <c r="AD514" s="299"/>
      <c r="AE514" s="299"/>
      <c r="AF514" s="355"/>
      <c r="AG514" s="299" t="str">
        <f>IFERROR(IF(VLOOKUP(功能_33[[#This Row],[功能代號]],E:Q,11,FALSE)=0,"",VLOOKUP(功能_33[[#This Row],[功能代號]],E:Q,11,FALSE)),"")</f>
        <v>邱怡婷</v>
      </c>
      <c r="AH514" s="299"/>
      <c r="AI514" s="299"/>
      <c r="AJ514" s="292"/>
      <c r="AL514" s="291" t="s">
        <v>3054</v>
      </c>
      <c r="AM514" s="292" t="s">
        <v>3170</v>
      </c>
      <c r="AN514" s="292" t="e">
        <f>VLOOKUP(功能_33[[#This Row],[功能代號]],需二審tmp!A:A,1,FALSE)</f>
        <v>#N/A</v>
      </c>
      <c r="AO514" s="356">
        <v>44533</v>
      </c>
      <c r="AQ514" s="574" t="str">
        <f t="shared" si="51"/>
        <v>8-3</v>
      </c>
      <c r="AR514" s="576" t="str">
        <f t="shared" si="52"/>
        <v/>
      </c>
      <c r="AS514" s="578" t="str">
        <f t="shared" si="53"/>
        <v/>
      </c>
      <c r="AT514" s="580" t="str">
        <f t="shared" si="54"/>
        <v/>
      </c>
      <c r="AU514" s="582" t="str">
        <f t="shared" si="55"/>
        <v/>
      </c>
      <c r="AV514" s="584" t="str">
        <f t="shared" si="56"/>
        <v/>
      </c>
      <c r="AW514" s="662" t="str">
        <f>IFERROR(VLOOKUP(功能_33[[#This Row],[功能代號]],工作表3!C:C,1,FALSE),"未計SIT測試")</f>
        <v>未計SIT測試</v>
      </c>
    </row>
    <row r="515" spans="3:49" ht="13.5" x14ac:dyDescent="0.3">
      <c r="C515" s="292" t="s">
        <v>97</v>
      </c>
      <c r="D515" s="292" t="s">
        <v>2827</v>
      </c>
      <c r="E515" s="291" t="s">
        <v>1341</v>
      </c>
      <c r="F515" s="292" t="s">
        <v>1342</v>
      </c>
      <c r="G515" s="292" t="s">
        <v>1134</v>
      </c>
      <c r="H515" s="291" t="s">
        <v>136</v>
      </c>
      <c r="I515" s="291" t="s">
        <v>137</v>
      </c>
      <c r="J515" s="298" t="s">
        <v>3181</v>
      </c>
      <c r="K515" s="299">
        <v>44518</v>
      </c>
      <c r="L515" s="299">
        <v>44517</v>
      </c>
      <c r="M515" s="299">
        <v>44536</v>
      </c>
      <c r="N515" s="291" t="s">
        <v>7</v>
      </c>
      <c r="O515" s="291" t="s">
        <v>25</v>
      </c>
      <c r="T515" s="291"/>
      <c r="V515" s="291"/>
      <c r="W515" s="291"/>
      <c r="X515" s="292" t="str">
        <f>VLOOKUP(功能_33[[#This Row],[User]],SKL放款!A:G,7,FALSE)</f>
        <v>放款管理課</v>
      </c>
      <c r="Y515" s="299">
        <v>44533</v>
      </c>
      <c r="Z515" s="299" t="s">
        <v>195</v>
      </c>
      <c r="AA515" s="299">
        <v>44540</v>
      </c>
      <c r="AB515" s="299">
        <v>44540</v>
      </c>
      <c r="AC515" s="299">
        <v>44545</v>
      </c>
      <c r="AD515" s="299"/>
      <c r="AE515" s="299"/>
      <c r="AF515" s="355"/>
      <c r="AG515" s="299" t="str">
        <f>IFERROR(IF(VLOOKUP(功能_33[[#This Row],[功能代號]],E:Q,11,FALSE)=0,"",VLOOKUP(功能_33[[#This Row],[功能代號]],E:Q,11,FALSE)),"")</f>
        <v>邱怡婷</v>
      </c>
      <c r="AH515" s="299"/>
      <c r="AI515" s="299"/>
      <c r="AJ515" s="292"/>
      <c r="AL515" s="291" t="s">
        <v>3054</v>
      </c>
      <c r="AM515" s="292" t="s">
        <v>3170</v>
      </c>
      <c r="AN515" s="292" t="e">
        <f>VLOOKUP(功能_33[[#This Row],[功能代號]],需二審tmp!A:A,1,FALSE)</f>
        <v>#N/A</v>
      </c>
      <c r="AO515" s="356">
        <v>44533</v>
      </c>
      <c r="AQ515" s="574" t="str">
        <f t="shared" si="51"/>
        <v>8-3</v>
      </c>
      <c r="AR515" s="576" t="str">
        <f t="shared" si="52"/>
        <v/>
      </c>
      <c r="AS515" s="578" t="str">
        <f t="shared" si="53"/>
        <v/>
      </c>
      <c r="AT515" s="580" t="str">
        <f t="shared" si="54"/>
        <v/>
      </c>
      <c r="AU515" s="582" t="str">
        <f t="shared" si="55"/>
        <v/>
      </c>
      <c r="AV515" s="584" t="str">
        <f t="shared" si="56"/>
        <v/>
      </c>
      <c r="AW515" s="662" t="str">
        <f>IFERROR(VLOOKUP(功能_33[[#This Row],[功能代號]],工作表3!C:C,1,FALSE),"未計SIT測試")</f>
        <v>未計SIT測試</v>
      </c>
    </row>
    <row r="516" spans="3:49" ht="13.5" x14ac:dyDescent="0.3">
      <c r="C516" s="292" t="s">
        <v>97</v>
      </c>
      <c r="D516" s="292" t="s">
        <v>2827</v>
      </c>
      <c r="E516" s="291" t="s">
        <v>1343</v>
      </c>
      <c r="F516" s="292" t="s">
        <v>1344</v>
      </c>
      <c r="G516" s="292" t="s">
        <v>1134</v>
      </c>
      <c r="H516" s="291" t="s">
        <v>136</v>
      </c>
      <c r="I516" s="291" t="s">
        <v>137</v>
      </c>
      <c r="J516" s="298" t="s">
        <v>3181</v>
      </c>
      <c r="K516" s="299">
        <v>44518</v>
      </c>
      <c r="L516" s="299">
        <v>44517</v>
      </c>
      <c r="M516" s="299">
        <v>44536</v>
      </c>
      <c r="N516" s="291" t="s">
        <v>7</v>
      </c>
      <c r="O516" s="291" t="s">
        <v>25</v>
      </c>
      <c r="T516" s="291"/>
      <c r="V516" s="291"/>
      <c r="W516" s="291"/>
      <c r="X516" s="292" t="str">
        <f>VLOOKUP(功能_33[[#This Row],[User]],SKL放款!A:G,7,FALSE)</f>
        <v>放款管理課</v>
      </c>
      <c r="Y516" s="299">
        <v>44533</v>
      </c>
      <c r="Z516" s="299" t="s">
        <v>195</v>
      </c>
      <c r="AA516" s="299">
        <v>44540</v>
      </c>
      <c r="AB516" s="299">
        <v>44540</v>
      </c>
      <c r="AC516" s="299">
        <v>44545</v>
      </c>
      <c r="AD516" s="299"/>
      <c r="AE516" s="299"/>
      <c r="AF516" s="355"/>
      <c r="AG516" s="299" t="str">
        <f>IFERROR(IF(VLOOKUP(功能_33[[#This Row],[功能代號]],E:Q,11,FALSE)=0,"",VLOOKUP(功能_33[[#This Row],[功能代號]],E:Q,11,FALSE)),"")</f>
        <v>邱怡婷</v>
      </c>
      <c r="AH516" s="299"/>
      <c r="AI516" s="299"/>
      <c r="AJ516" s="292"/>
      <c r="AL516" s="291" t="s">
        <v>3054</v>
      </c>
      <c r="AM516" s="292" t="s">
        <v>3170</v>
      </c>
      <c r="AN516" s="292" t="e">
        <f>VLOOKUP(功能_33[[#This Row],[功能代號]],需二審tmp!A:A,1,FALSE)</f>
        <v>#N/A</v>
      </c>
      <c r="AO516" s="356">
        <v>44533</v>
      </c>
      <c r="AQ516" s="574" t="str">
        <f t="shared" si="51"/>
        <v>8-3</v>
      </c>
      <c r="AR516" s="576" t="str">
        <f t="shared" si="52"/>
        <v/>
      </c>
      <c r="AS516" s="578" t="str">
        <f t="shared" si="53"/>
        <v/>
      </c>
      <c r="AT516" s="580" t="str">
        <f t="shared" si="54"/>
        <v/>
      </c>
      <c r="AU516" s="582" t="str">
        <f t="shared" si="55"/>
        <v/>
      </c>
      <c r="AV516" s="584" t="str">
        <f t="shared" si="56"/>
        <v/>
      </c>
      <c r="AW516" s="662" t="str">
        <f>IFERROR(VLOOKUP(功能_33[[#This Row],[功能代號]],工作表3!C:C,1,FALSE),"未計SIT測試")</f>
        <v>未計SIT測試</v>
      </c>
    </row>
    <row r="517" spans="3:49" ht="13.5" x14ac:dyDescent="0.3">
      <c r="C517" s="292" t="s">
        <v>97</v>
      </c>
      <c r="D517" s="292" t="s">
        <v>2827</v>
      </c>
      <c r="E517" s="291" t="s">
        <v>1345</v>
      </c>
      <c r="F517" s="292" t="s">
        <v>1346</v>
      </c>
      <c r="G517" s="292" t="s">
        <v>1134</v>
      </c>
      <c r="H517" s="291" t="s">
        <v>136</v>
      </c>
      <c r="I517" s="291" t="s">
        <v>137</v>
      </c>
      <c r="J517" s="298" t="s">
        <v>3181</v>
      </c>
      <c r="K517" s="299">
        <v>44519</v>
      </c>
      <c r="L517" s="299">
        <v>44517</v>
      </c>
      <c r="M517" s="299">
        <v>44536</v>
      </c>
      <c r="N517" s="291" t="s">
        <v>7</v>
      </c>
      <c r="O517" s="291" t="s">
        <v>25</v>
      </c>
      <c r="T517" s="291"/>
      <c r="V517" s="291"/>
      <c r="W517" s="291"/>
      <c r="X517" s="292" t="str">
        <f>VLOOKUP(功能_33[[#This Row],[User]],SKL放款!A:G,7,FALSE)</f>
        <v>放款管理課</v>
      </c>
      <c r="Y517" s="299">
        <v>44533</v>
      </c>
      <c r="Z517" s="299" t="s">
        <v>195</v>
      </c>
      <c r="AA517" s="299">
        <v>44540</v>
      </c>
      <c r="AB517" s="299">
        <v>44540</v>
      </c>
      <c r="AC517" s="299">
        <v>44545</v>
      </c>
      <c r="AD517" s="299"/>
      <c r="AE517" s="299"/>
      <c r="AF517" s="355"/>
      <c r="AG517" s="299" t="str">
        <f>IFERROR(IF(VLOOKUP(功能_33[[#This Row],[功能代號]],E:Q,11,FALSE)=0,"",VLOOKUP(功能_33[[#This Row],[功能代號]],E:Q,11,FALSE)),"")</f>
        <v>邱怡婷</v>
      </c>
      <c r="AH517" s="299"/>
      <c r="AI517" s="299"/>
      <c r="AJ517" s="292"/>
      <c r="AL517" s="291" t="s">
        <v>3054</v>
      </c>
      <c r="AM517" s="292" t="s">
        <v>3170</v>
      </c>
      <c r="AN517" s="292" t="e">
        <f>VLOOKUP(功能_33[[#This Row],[功能代號]],需二審tmp!A:A,1,FALSE)</f>
        <v>#N/A</v>
      </c>
      <c r="AO517" s="356">
        <v>44533</v>
      </c>
      <c r="AQ517" s="574" t="str">
        <f t="shared" si="51"/>
        <v>8-3</v>
      </c>
      <c r="AR517" s="576" t="str">
        <f t="shared" si="52"/>
        <v/>
      </c>
      <c r="AS517" s="578" t="str">
        <f t="shared" si="53"/>
        <v/>
      </c>
      <c r="AT517" s="580" t="str">
        <f t="shared" si="54"/>
        <v/>
      </c>
      <c r="AU517" s="582" t="str">
        <f t="shared" si="55"/>
        <v/>
      </c>
      <c r="AV517" s="584" t="str">
        <f t="shared" si="56"/>
        <v/>
      </c>
      <c r="AW517" s="662" t="str">
        <f>IFERROR(VLOOKUP(功能_33[[#This Row],[功能代號]],工作表3!C:C,1,FALSE),"未計SIT測試")</f>
        <v>未計SIT測試</v>
      </c>
    </row>
    <row r="518" spans="3:49" ht="13.5" x14ac:dyDescent="0.3">
      <c r="C518" s="292" t="s">
        <v>97</v>
      </c>
      <c r="D518" s="292" t="s">
        <v>2827</v>
      </c>
      <c r="E518" s="291" t="s">
        <v>1347</v>
      </c>
      <c r="F518" s="292" t="s">
        <v>1348</v>
      </c>
      <c r="G518" s="292" t="s">
        <v>1134</v>
      </c>
      <c r="H518" s="291" t="s">
        <v>136</v>
      </c>
      <c r="I518" s="291" t="s">
        <v>137</v>
      </c>
      <c r="J518" s="298" t="s">
        <v>3181</v>
      </c>
      <c r="K518" s="299">
        <v>44519</v>
      </c>
      <c r="L518" s="299">
        <v>44517</v>
      </c>
      <c r="M518" s="299">
        <v>44536</v>
      </c>
      <c r="N518" s="291" t="s">
        <v>7</v>
      </c>
      <c r="O518" s="291" t="s">
        <v>25</v>
      </c>
      <c r="T518" s="291"/>
      <c r="V518" s="291"/>
      <c r="W518" s="291"/>
      <c r="X518" s="292" t="str">
        <f>VLOOKUP(功能_33[[#This Row],[User]],SKL放款!A:G,7,FALSE)</f>
        <v>放款管理課</v>
      </c>
      <c r="Y518" s="299">
        <v>44533</v>
      </c>
      <c r="Z518" s="299" t="s">
        <v>195</v>
      </c>
      <c r="AA518" s="299">
        <v>44540</v>
      </c>
      <c r="AB518" s="299">
        <v>44540</v>
      </c>
      <c r="AC518" s="299">
        <v>44545</v>
      </c>
      <c r="AD518" s="299"/>
      <c r="AE518" s="299"/>
      <c r="AF518" s="355"/>
      <c r="AG518" s="299" t="str">
        <f>IFERROR(IF(VLOOKUP(功能_33[[#This Row],[功能代號]],E:Q,11,FALSE)=0,"",VLOOKUP(功能_33[[#This Row],[功能代號]],E:Q,11,FALSE)),"")</f>
        <v>邱怡婷</v>
      </c>
      <c r="AH518" s="299"/>
      <c r="AI518" s="299"/>
      <c r="AJ518" s="292"/>
      <c r="AL518" s="291" t="s">
        <v>3054</v>
      </c>
      <c r="AM518" s="292" t="s">
        <v>3170</v>
      </c>
      <c r="AN518" s="292" t="e">
        <f>VLOOKUP(功能_33[[#This Row],[功能代號]],需二審tmp!A:A,1,FALSE)</f>
        <v>#N/A</v>
      </c>
      <c r="AO518" s="356">
        <v>44533</v>
      </c>
      <c r="AQ518" s="574" t="str">
        <f t="shared" si="51"/>
        <v>8-3</v>
      </c>
      <c r="AR518" s="576" t="str">
        <f t="shared" si="52"/>
        <v/>
      </c>
      <c r="AS518" s="578" t="str">
        <f t="shared" si="53"/>
        <v/>
      </c>
      <c r="AT518" s="580" t="str">
        <f t="shared" si="54"/>
        <v/>
      </c>
      <c r="AU518" s="582" t="str">
        <f t="shared" si="55"/>
        <v/>
      </c>
      <c r="AV518" s="584" t="str">
        <f t="shared" si="56"/>
        <v/>
      </c>
      <c r="AW518" s="662" t="str">
        <f>IFERROR(VLOOKUP(功能_33[[#This Row],[功能代號]],工作表3!C:C,1,FALSE),"未計SIT測試")</f>
        <v>未計SIT測試</v>
      </c>
    </row>
    <row r="519" spans="3:49" ht="13.5" x14ac:dyDescent="0.3">
      <c r="C519" s="292" t="s">
        <v>97</v>
      </c>
      <c r="D519" s="292" t="s">
        <v>2827</v>
      </c>
      <c r="E519" s="291" t="s">
        <v>1349</v>
      </c>
      <c r="F519" s="292" t="s">
        <v>1350</v>
      </c>
      <c r="G519" s="292" t="s">
        <v>1134</v>
      </c>
      <c r="H519" s="291" t="s">
        <v>136</v>
      </c>
      <c r="I519" s="291" t="s">
        <v>137</v>
      </c>
      <c r="J519" s="298" t="s">
        <v>3181</v>
      </c>
      <c r="K519" s="299">
        <v>44519</v>
      </c>
      <c r="L519" s="299">
        <v>44517</v>
      </c>
      <c r="M519" s="299">
        <v>44536</v>
      </c>
      <c r="N519" s="291" t="s">
        <v>7</v>
      </c>
      <c r="O519" s="291" t="s">
        <v>25</v>
      </c>
      <c r="T519" s="291"/>
      <c r="V519" s="291"/>
      <c r="W519" s="291"/>
      <c r="X519" s="292" t="str">
        <f>VLOOKUP(功能_33[[#This Row],[User]],SKL放款!A:G,7,FALSE)</f>
        <v>放款管理課</v>
      </c>
      <c r="Y519" s="299">
        <v>44533</v>
      </c>
      <c r="Z519" s="299" t="s">
        <v>195</v>
      </c>
      <c r="AA519" s="299">
        <v>44540</v>
      </c>
      <c r="AB519" s="299">
        <v>44540</v>
      </c>
      <c r="AC519" s="299">
        <v>44545</v>
      </c>
      <c r="AD519" s="299"/>
      <c r="AE519" s="299"/>
      <c r="AF519" s="355"/>
      <c r="AG519" s="299" t="str">
        <f>IFERROR(IF(VLOOKUP(功能_33[[#This Row],[功能代號]],E:Q,11,FALSE)=0,"",VLOOKUP(功能_33[[#This Row],[功能代號]],E:Q,11,FALSE)),"")</f>
        <v>邱怡婷</v>
      </c>
      <c r="AH519" s="299"/>
      <c r="AI519" s="299"/>
      <c r="AJ519" s="292"/>
      <c r="AL519" s="291" t="s">
        <v>3054</v>
      </c>
      <c r="AM519" s="292" t="s">
        <v>3170</v>
      </c>
      <c r="AN519" s="292" t="e">
        <f>VLOOKUP(功能_33[[#This Row],[功能代號]],需二審tmp!A:A,1,FALSE)</f>
        <v>#N/A</v>
      </c>
      <c r="AO519" s="356">
        <v>44533</v>
      </c>
      <c r="AQ519" s="574" t="str">
        <f t="shared" si="51"/>
        <v>8-3</v>
      </c>
      <c r="AR519" s="576" t="str">
        <f t="shared" si="52"/>
        <v/>
      </c>
      <c r="AS519" s="578" t="str">
        <f t="shared" si="53"/>
        <v/>
      </c>
      <c r="AT519" s="580" t="str">
        <f t="shared" si="54"/>
        <v/>
      </c>
      <c r="AU519" s="582" t="str">
        <f t="shared" si="55"/>
        <v/>
      </c>
      <c r="AV519" s="584" t="str">
        <f t="shared" si="56"/>
        <v/>
      </c>
      <c r="AW519" s="662" t="str">
        <f>IFERROR(VLOOKUP(功能_33[[#This Row],[功能代號]],工作表3!C:C,1,FALSE),"未計SIT測試")</f>
        <v>未計SIT測試</v>
      </c>
    </row>
    <row r="520" spans="3:49" ht="13.5" x14ac:dyDescent="0.3">
      <c r="C520" s="292" t="s">
        <v>97</v>
      </c>
      <c r="D520" s="292" t="s">
        <v>2827</v>
      </c>
      <c r="E520" s="291" t="s">
        <v>1351</v>
      </c>
      <c r="F520" s="292" t="s">
        <v>1352</v>
      </c>
      <c r="G520" s="292" t="s">
        <v>1134</v>
      </c>
      <c r="H520" s="291" t="s">
        <v>136</v>
      </c>
      <c r="I520" s="291" t="s">
        <v>137</v>
      </c>
      <c r="J520" s="298" t="s">
        <v>3181</v>
      </c>
      <c r="K520" s="299">
        <v>44519</v>
      </c>
      <c r="L520" s="299">
        <v>44517</v>
      </c>
      <c r="M520" s="299">
        <v>44536</v>
      </c>
      <c r="N520" s="291" t="s">
        <v>7</v>
      </c>
      <c r="O520" s="291" t="s">
        <v>25</v>
      </c>
      <c r="T520" s="291"/>
      <c r="V520" s="291"/>
      <c r="W520" s="291"/>
      <c r="X520" s="292" t="str">
        <f>VLOOKUP(功能_33[[#This Row],[User]],SKL放款!A:G,7,FALSE)</f>
        <v>放款管理課</v>
      </c>
      <c r="Y520" s="299">
        <v>44533</v>
      </c>
      <c r="Z520" s="299" t="s">
        <v>195</v>
      </c>
      <c r="AA520" s="299">
        <v>44540</v>
      </c>
      <c r="AB520" s="299">
        <v>44540</v>
      </c>
      <c r="AC520" s="299">
        <v>44545</v>
      </c>
      <c r="AD520" s="299"/>
      <c r="AE520" s="299"/>
      <c r="AF520" s="355"/>
      <c r="AG520" s="299" t="str">
        <f>IFERROR(IF(VLOOKUP(功能_33[[#This Row],[功能代號]],E:Q,11,FALSE)=0,"",VLOOKUP(功能_33[[#This Row],[功能代號]],E:Q,11,FALSE)),"")</f>
        <v>邱怡婷</v>
      </c>
      <c r="AH520" s="299"/>
      <c r="AI520" s="299"/>
      <c r="AJ520" s="292"/>
      <c r="AL520" s="291" t="s">
        <v>3054</v>
      </c>
      <c r="AM520" s="292" t="s">
        <v>3170</v>
      </c>
      <c r="AN520" s="292" t="e">
        <f>VLOOKUP(功能_33[[#This Row],[功能代號]],需二審tmp!A:A,1,FALSE)</f>
        <v>#N/A</v>
      </c>
      <c r="AO520" s="356">
        <v>44533</v>
      </c>
      <c r="AQ520" s="574" t="str">
        <f t="shared" si="51"/>
        <v>8-3</v>
      </c>
      <c r="AR520" s="576" t="str">
        <f t="shared" si="52"/>
        <v/>
      </c>
      <c r="AS520" s="578" t="str">
        <f t="shared" si="53"/>
        <v/>
      </c>
      <c r="AT520" s="580" t="str">
        <f t="shared" si="54"/>
        <v/>
      </c>
      <c r="AU520" s="582" t="str">
        <f t="shared" si="55"/>
        <v/>
      </c>
      <c r="AV520" s="584" t="str">
        <f t="shared" si="56"/>
        <v/>
      </c>
      <c r="AW520" s="662" t="str">
        <f>IFERROR(VLOOKUP(功能_33[[#This Row],[功能代號]],工作表3!C:C,1,FALSE),"未計SIT測試")</f>
        <v>未計SIT測試</v>
      </c>
    </row>
    <row r="521" spans="3:49" ht="13.5" x14ac:dyDescent="0.3">
      <c r="C521" s="292" t="s">
        <v>97</v>
      </c>
      <c r="D521" s="292" t="s">
        <v>2827</v>
      </c>
      <c r="E521" s="291" t="s">
        <v>1353</v>
      </c>
      <c r="F521" s="292" t="s">
        <v>1354</v>
      </c>
      <c r="G521" s="292" t="s">
        <v>1134</v>
      </c>
      <c r="H521" s="291" t="s">
        <v>136</v>
      </c>
      <c r="I521" s="291" t="s">
        <v>137</v>
      </c>
      <c r="J521" s="298" t="s">
        <v>3181</v>
      </c>
      <c r="K521" s="299">
        <v>44519</v>
      </c>
      <c r="L521" s="299">
        <v>44517</v>
      </c>
      <c r="M521" s="299">
        <v>44536</v>
      </c>
      <c r="N521" s="291" t="s">
        <v>7</v>
      </c>
      <c r="O521" s="291" t="s">
        <v>25</v>
      </c>
      <c r="T521" s="291"/>
      <c r="V521" s="291"/>
      <c r="W521" s="291"/>
      <c r="X521" s="292" t="str">
        <f>VLOOKUP(功能_33[[#This Row],[User]],SKL放款!A:G,7,FALSE)</f>
        <v>放款管理課</v>
      </c>
      <c r="Y521" s="299">
        <v>44533</v>
      </c>
      <c r="Z521" s="299" t="s">
        <v>195</v>
      </c>
      <c r="AA521" s="299">
        <v>44540</v>
      </c>
      <c r="AB521" s="299">
        <v>44540</v>
      </c>
      <c r="AC521" s="299">
        <v>44545</v>
      </c>
      <c r="AD521" s="299"/>
      <c r="AE521" s="299"/>
      <c r="AF521" s="355"/>
      <c r="AG521" s="299" t="str">
        <f>IFERROR(IF(VLOOKUP(功能_33[[#This Row],[功能代號]],E:Q,11,FALSE)=0,"",VLOOKUP(功能_33[[#This Row],[功能代號]],E:Q,11,FALSE)),"")</f>
        <v>邱怡婷</v>
      </c>
      <c r="AH521" s="299"/>
      <c r="AI521" s="299"/>
      <c r="AJ521" s="292"/>
      <c r="AL521" s="291" t="s">
        <v>3054</v>
      </c>
      <c r="AM521" s="292" t="s">
        <v>3170</v>
      </c>
      <c r="AN521" s="292" t="e">
        <f>VLOOKUP(功能_33[[#This Row],[功能代號]],需二審tmp!A:A,1,FALSE)</f>
        <v>#N/A</v>
      </c>
      <c r="AO521" s="356">
        <v>44533</v>
      </c>
      <c r="AQ521" s="574" t="str">
        <f t="shared" si="51"/>
        <v>8-3</v>
      </c>
      <c r="AR521" s="576" t="str">
        <f t="shared" si="52"/>
        <v/>
      </c>
      <c r="AS521" s="578" t="str">
        <f t="shared" si="53"/>
        <v/>
      </c>
      <c r="AT521" s="580" t="str">
        <f t="shared" si="54"/>
        <v/>
      </c>
      <c r="AU521" s="582" t="str">
        <f t="shared" si="55"/>
        <v/>
      </c>
      <c r="AV521" s="584" t="str">
        <f t="shared" si="56"/>
        <v/>
      </c>
      <c r="AW521" s="662" t="str">
        <f>IFERROR(VLOOKUP(功能_33[[#This Row],[功能代號]],工作表3!C:C,1,FALSE),"未計SIT測試")</f>
        <v>未計SIT測試</v>
      </c>
    </row>
    <row r="522" spans="3:49" ht="13.5" x14ac:dyDescent="0.3">
      <c r="C522" s="292" t="s">
        <v>97</v>
      </c>
      <c r="D522" s="292" t="s">
        <v>2827</v>
      </c>
      <c r="E522" s="291" t="s">
        <v>1355</v>
      </c>
      <c r="F522" s="292" t="s">
        <v>1356</v>
      </c>
      <c r="G522" s="292" t="s">
        <v>1134</v>
      </c>
      <c r="H522" s="291" t="s">
        <v>136</v>
      </c>
      <c r="I522" s="291" t="s">
        <v>137</v>
      </c>
      <c r="J522" s="298" t="s">
        <v>3181</v>
      </c>
      <c r="K522" s="299">
        <v>44519</v>
      </c>
      <c r="L522" s="299">
        <v>44517</v>
      </c>
      <c r="M522" s="299">
        <v>44536</v>
      </c>
      <c r="N522" s="291" t="s">
        <v>7</v>
      </c>
      <c r="O522" s="291" t="s">
        <v>25</v>
      </c>
      <c r="T522" s="291"/>
      <c r="V522" s="291"/>
      <c r="W522" s="291"/>
      <c r="X522" s="292" t="str">
        <f>VLOOKUP(功能_33[[#This Row],[User]],SKL放款!A:G,7,FALSE)</f>
        <v>放款管理課</v>
      </c>
      <c r="Y522" s="299">
        <v>44533</v>
      </c>
      <c r="Z522" s="299" t="s">
        <v>195</v>
      </c>
      <c r="AA522" s="299">
        <v>44540</v>
      </c>
      <c r="AB522" s="299">
        <v>44540</v>
      </c>
      <c r="AC522" s="299">
        <v>44545</v>
      </c>
      <c r="AD522" s="299"/>
      <c r="AE522" s="299"/>
      <c r="AF522" s="355"/>
      <c r="AG522" s="299" t="str">
        <f>IFERROR(IF(VLOOKUP(功能_33[[#This Row],[功能代號]],E:Q,11,FALSE)=0,"",VLOOKUP(功能_33[[#This Row],[功能代號]],E:Q,11,FALSE)),"")</f>
        <v>邱怡婷</v>
      </c>
      <c r="AH522" s="299"/>
      <c r="AI522" s="299"/>
      <c r="AJ522" s="292"/>
      <c r="AL522" s="291" t="s">
        <v>3054</v>
      </c>
      <c r="AM522" s="292" t="s">
        <v>3170</v>
      </c>
      <c r="AN522" s="292" t="e">
        <f>VLOOKUP(功能_33[[#This Row],[功能代號]],需二審tmp!A:A,1,FALSE)</f>
        <v>#N/A</v>
      </c>
      <c r="AO522" s="356">
        <v>44533</v>
      </c>
      <c r="AQ522" s="574" t="str">
        <f t="shared" si="51"/>
        <v>8-3</v>
      </c>
      <c r="AR522" s="576" t="str">
        <f t="shared" si="52"/>
        <v/>
      </c>
      <c r="AS522" s="578" t="str">
        <f t="shared" si="53"/>
        <v/>
      </c>
      <c r="AT522" s="580" t="str">
        <f t="shared" si="54"/>
        <v/>
      </c>
      <c r="AU522" s="582" t="str">
        <f t="shared" si="55"/>
        <v/>
      </c>
      <c r="AV522" s="584" t="str">
        <f t="shared" si="56"/>
        <v/>
      </c>
      <c r="AW522" s="662" t="str">
        <f>IFERROR(VLOOKUP(功能_33[[#This Row],[功能代號]],工作表3!C:C,1,FALSE),"未計SIT測試")</f>
        <v>未計SIT測試</v>
      </c>
    </row>
    <row r="523" spans="3:49" ht="13.5" x14ac:dyDescent="0.3">
      <c r="C523" s="292" t="s">
        <v>97</v>
      </c>
      <c r="D523" s="292" t="s">
        <v>2828</v>
      </c>
      <c r="E523" s="291" t="s">
        <v>1357</v>
      </c>
      <c r="F523" s="292" t="s">
        <v>1358</v>
      </c>
      <c r="G523" s="292" t="s">
        <v>1359</v>
      </c>
      <c r="H523" s="291" t="s">
        <v>136</v>
      </c>
      <c r="I523" s="291" t="s">
        <v>137</v>
      </c>
      <c r="J523" s="298" t="s">
        <v>3148</v>
      </c>
      <c r="K523" s="299">
        <v>44524</v>
      </c>
      <c r="L523" s="299">
        <v>44525</v>
      </c>
      <c r="M523" s="299">
        <v>44533</v>
      </c>
      <c r="N523" s="291" t="str">
        <f>VLOOKUP(功能_33[[#This Row],[功能代號]],[5]外部輸出入介面!$C:$F,4,FALSE)</f>
        <v>林清河</v>
      </c>
      <c r="O523" s="291" t="s">
        <v>21</v>
      </c>
      <c r="P523" s="291"/>
      <c r="T523" s="291"/>
      <c r="V523" s="291"/>
      <c r="W523" s="291"/>
      <c r="X523" s="292" t="str">
        <f>VLOOKUP(功能_33[[#This Row],[User]],SKL放款!A:G,7,FALSE)</f>
        <v>放款管理課</v>
      </c>
      <c r="Y523" s="299">
        <v>44533</v>
      </c>
      <c r="Z523" s="299" t="s">
        <v>133</v>
      </c>
      <c r="AA523" s="299">
        <v>44540</v>
      </c>
      <c r="AB523" s="299">
        <v>44540</v>
      </c>
      <c r="AC523" s="299">
        <v>44544</v>
      </c>
      <c r="AD523" s="299"/>
      <c r="AE523" s="299"/>
      <c r="AF523" s="299"/>
      <c r="AG523" s="299" t="str">
        <f>IFERROR(IF(VLOOKUP(功能_33[[#This Row],[功能代號]],E:Q,11,FALSE)=0,"",VLOOKUP(功能_33[[#This Row],[功能代號]],E:Q,11,FALSE)),"")</f>
        <v>程慧娟</v>
      </c>
      <c r="AH523" s="299"/>
      <c r="AI523" s="299"/>
      <c r="AJ523" s="292"/>
      <c r="AL523" s="291" t="s">
        <v>3054</v>
      </c>
      <c r="AM523" s="292" t="s">
        <v>3142</v>
      </c>
      <c r="AN523" s="292" t="e">
        <f>VLOOKUP(功能_33[[#This Row],[功能代號]],需二審tmp!A:A,1,FALSE)</f>
        <v>#N/A</v>
      </c>
      <c r="AO523" s="356">
        <v>44526</v>
      </c>
      <c r="AQ523" s="574" t="str">
        <f t="shared" ref="AQ523:AQ545" si="57">IF(COUNTA(AC523)=1,LEFT(D523,3),"")</f>
        <v>8-5</v>
      </c>
      <c r="AR523" s="576" t="str">
        <f t="shared" ref="AR523:AR545" si="58">IF(AND(COUNTA(L523)=1,COUNTA(M523)=1,COUNTA(Y523)=1,COUNTA(AB523)=1,COUNTA(AC523)=0),LEFT(D523,3),"")</f>
        <v/>
      </c>
      <c r="AS523" s="578" t="str">
        <f t="shared" ref="AS523:AS545" si="59">IF(AND(COUNTA(L523)=1,COUNTA(M523)=1,COUNTA(Y523)=1,COUNTA(AB523)=0,COUNTA(AC523)=0),LEFT(D523,3),"")</f>
        <v/>
      </c>
      <c r="AT523" s="580" t="str">
        <f t="shared" ref="AT523:AT545" si="60">IF(AND(COUNTA(M523)=0,COUNTA(Y523)=1),LEFT(D523,3),"")</f>
        <v/>
      </c>
      <c r="AU523" s="582" t="str">
        <f t="shared" ref="AU523:AU545" si="61">IF(AND(COUNTA(M523)=1,COUNTA(Y523)=0),LEFT(D523,3),"")</f>
        <v/>
      </c>
      <c r="AV523" s="584" t="str">
        <f t="shared" ref="AV523:AV545" si="62">IF(AND(COUNTA(M523)=0,COUNTA(Y523)=0),LEFT(D523,3),"")</f>
        <v/>
      </c>
      <c r="AW523" s="662" t="str">
        <f>IFERROR(VLOOKUP(功能_33[[#This Row],[功能代號]],工作表3!C:C,1,FALSE),"未計SIT測試")</f>
        <v>未計SIT測試</v>
      </c>
    </row>
    <row r="524" spans="3:49" ht="13.5" x14ac:dyDescent="0.3">
      <c r="C524" s="292" t="s">
        <v>97</v>
      </c>
      <c r="D524" s="292" t="s">
        <v>2828</v>
      </c>
      <c r="E524" s="291" t="s">
        <v>1360</v>
      </c>
      <c r="F524" s="292" t="s">
        <v>1361</v>
      </c>
      <c r="G524" s="292" t="s">
        <v>1359</v>
      </c>
      <c r="H524" s="291" t="s">
        <v>136</v>
      </c>
      <c r="I524" s="291" t="s">
        <v>137</v>
      </c>
      <c r="J524" s="298" t="s">
        <v>3148</v>
      </c>
      <c r="K524" s="299">
        <v>44524</v>
      </c>
      <c r="L524" s="299">
        <v>44525</v>
      </c>
      <c r="M524" s="299">
        <v>44533</v>
      </c>
      <c r="N524" s="291" t="str">
        <f>VLOOKUP(功能_33[[#This Row],[功能代號]],[5]外部輸出入介面!$C:$F,4,FALSE)</f>
        <v>林清河</v>
      </c>
      <c r="O524" s="291" t="s">
        <v>21</v>
      </c>
      <c r="P524" s="291"/>
      <c r="T524" s="291"/>
      <c r="V524" s="291"/>
      <c r="W524" s="291"/>
      <c r="X524" s="292" t="str">
        <f>VLOOKUP(功能_33[[#This Row],[User]],SKL放款!A:G,7,FALSE)</f>
        <v>放款管理課</v>
      </c>
      <c r="Y524" s="299">
        <v>44533</v>
      </c>
      <c r="Z524" s="299" t="s">
        <v>133</v>
      </c>
      <c r="AA524" s="299">
        <v>44540</v>
      </c>
      <c r="AB524" s="299">
        <v>44540</v>
      </c>
      <c r="AC524" s="299">
        <v>44544</v>
      </c>
      <c r="AD524" s="299"/>
      <c r="AE524" s="299"/>
      <c r="AF524" s="299"/>
      <c r="AG524" s="299" t="str">
        <f>IFERROR(IF(VLOOKUP(功能_33[[#This Row],[功能代號]],E:Q,11,FALSE)=0,"",VLOOKUP(功能_33[[#This Row],[功能代號]],E:Q,11,FALSE)),"")</f>
        <v>程慧娟</v>
      </c>
      <c r="AH524" s="299"/>
      <c r="AI524" s="299"/>
      <c r="AJ524" s="292"/>
      <c r="AL524" s="291" t="s">
        <v>3054</v>
      </c>
      <c r="AM524" s="292" t="s">
        <v>3142</v>
      </c>
      <c r="AN524" s="292" t="e">
        <f>VLOOKUP(功能_33[[#This Row],[功能代號]],需二審tmp!A:A,1,FALSE)</f>
        <v>#N/A</v>
      </c>
      <c r="AO524" s="356">
        <v>44526</v>
      </c>
      <c r="AQ524" s="574" t="str">
        <f t="shared" si="57"/>
        <v>8-5</v>
      </c>
      <c r="AR524" s="576" t="str">
        <f t="shared" si="58"/>
        <v/>
      </c>
      <c r="AS524" s="578" t="str">
        <f t="shared" si="59"/>
        <v/>
      </c>
      <c r="AT524" s="580" t="str">
        <f t="shared" si="60"/>
        <v/>
      </c>
      <c r="AU524" s="582" t="str">
        <f t="shared" si="61"/>
        <v/>
      </c>
      <c r="AV524" s="584" t="str">
        <f t="shared" si="62"/>
        <v/>
      </c>
      <c r="AW524" s="662" t="str">
        <f>IFERROR(VLOOKUP(功能_33[[#This Row],[功能代號]],工作表3!C:C,1,FALSE),"未計SIT測試")</f>
        <v>未計SIT測試</v>
      </c>
    </row>
    <row r="525" spans="3:49" ht="13.5" x14ac:dyDescent="0.3">
      <c r="C525" s="292" t="s">
        <v>97</v>
      </c>
      <c r="D525" s="292" t="s">
        <v>2828</v>
      </c>
      <c r="E525" s="291" t="s">
        <v>1362</v>
      </c>
      <c r="F525" s="292" t="s">
        <v>1363</v>
      </c>
      <c r="G525" s="292" t="s">
        <v>1359</v>
      </c>
      <c r="H525" s="291" t="s">
        <v>136</v>
      </c>
      <c r="I525" s="291" t="s">
        <v>137</v>
      </c>
      <c r="J525" s="298" t="s">
        <v>3148</v>
      </c>
      <c r="K525" s="299">
        <v>44524</v>
      </c>
      <c r="L525" s="299">
        <v>44525</v>
      </c>
      <c r="M525" s="299">
        <v>44533</v>
      </c>
      <c r="N525" s="291" t="s">
        <v>7</v>
      </c>
      <c r="O525" s="291" t="s">
        <v>25</v>
      </c>
      <c r="P525" s="291" t="s">
        <v>21</v>
      </c>
      <c r="T525" s="291"/>
      <c r="V525" s="291"/>
      <c r="W525" s="291"/>
      <c r="X525" s="292" t="str">
        <f>VLOOKUP(功能_33[[#This Row],[User]],SKL放款!A:G,7,FALSE)</f>
        <v>放款管理課</v>
      </c>
      <c r="Y525" s="299">
        <v>44533</v>
      </c>
      <c r="Z525" s="299" t="s">
        <v>133</v>
      </c>
      <c r="AA525" s="299">
        <v>44540</v>
      </c>
      <c r="AB525" s="299">
        <v>44540</v>
      </c>
      <c r="AC525" s="299">
        <v>44544</v>
      </c>
      <c r="AD525" s="299"/>
      <c r="AE525" s="299"/>
      <c r="AF525" s="299"/>
      <c r="AG525" s="299" t="str">
        <f>IFERROR(IF(VLOOKUP(功能_33[[#This Row],[功能代號]],E:Q,11,FALSE)=0,"",VLOOKUP(功能_33[[#This Row],[功能代號]],E:Q,11,FALSE)),"")</f>
        <v>邱怡婷</v>
      </c>
      <c r="AH525" s="299"/>
      <c r="AI525" s="299"/>
      <c r="AJ525" s="292"/>
      <c r="AL525" s="291" t="s">
        <v>3054</v>
      </c>
      <c r="AM525" s="292" t="s">
        <v>3143</v>
      </c>
      <c r="AN525" s="292" t="e">
        <f>VLOOKUP(功能_33[[#This Row],[功能代號]],需二審tmp!A:A,1,FALSE)</f>
        <v>#N/A</v>
      </c>
      <c r="AO525" s="356">
        <v>44526</v>
      </c>
      <c r="AQ525" s="574" t="str">
        <f t="shared" si="57"/>
        <v>8-5</v>
      </c>
      <c r="AR525" s="576" t="str">
        <f t="shared" si="58"/>
        <v/>
      </c>
      <c r="AS525" s="578" t="str">
        <f t="shared" si="59"/>
        <v/>
      </c>
      <c r="AT525" s="580" t="str">
        <f t="shared" si="60"/>
        <v/>
      </c>
      <c r="AU525" s="582" t="str">
        <f t="shared" si="61"/>
        <v/>
      </c>
      <c r="AV525" s="584" t="str">
        <f t="shared" si="62"/>
        <v/>
      </c>
      <c r="AW525" s="662" t="str">
        <f>IFERROR(VLOOKUP(功能_33[[#This Row],[功能代號]],工作表3!C:C,1,FALSE),"未計SIT測試")</f>
        <v>未計SIT測試</v>
      </c>
    </row>
    <row r="526" spans="3:49" ht="30" x14ac:dyDescent="0.3">
      <c r="C526" s="292" t="s">
        <v>97</v>
      </c>
      <c r="D526" s="292" t="s">
        <v>2820</v>
      </c>
      <c r="E526" s="291" t="s">
        <v>1364</v>
      </c>
      <c r="F526" s="292" t="s">
        <v>1365</v>
      </c>
      <c r="G526" s="292" t="s">
        <v>1366</v>
      </c>
      <c r="H526" s="291" t="s">
        <v>480</v>
      </c>
      <c r="I526" s="291" t="s">
        <v>480</v>
      </c>
      <c r="J526" s="298" t="s">
        <v>3148</v>
      </c>
      <c r="K526" s="299">
        <v>44524</v>
      </c>
      <c r="L526" s="299">
        <v>44525</v>
      </c>
      <c r="M526" s="299">
        <v>44529</v>
      </c>
      <c r="N526" s="291" t="str">
        <f>VLOOKUP(功能_33[[#This Row],[功能代號]],[5]外部輸出入介面!$C:$F,4,FALSE)</f>
        <v>林清河</v>
      </c>
      <c r="O526" s="291" t="s">
        <v>567</v>
      </c>
      <c r="T526" s="291"/>
      <c r="V526" s="291"/>
      <c r="W526" s="291"/>
      <c r="X526" s="292" t="str">
        <f>VLOOKUP(功能_33[[#This Row],[User]],SKL放款!A:G,7,FALSE)</f>
        <v>放款審查課</v>
      </c>
      <c r="Y526" s="299">
        <v>44529</v>
      </c>
      <c r="Z526" s="299" t="s">
        <v>133</v>
      </c>
      <c r="AA526" s="282">
        <v>44544</v>
      </c>
      <c r="AB526" s="299">
        <v>44544</v>
      </c>
      <c r="AC526" s="299">
        <v>44544</v>
      </c>
      <c r="AD526" s="299"/>
      <c r="AE526" s="299"/>
      <c r="AF526" s="299"/>
      <c r="AG526" s="299" t="str">
        <f>IFERROR(IF(VLOOKUP(功能_33[[#This Row],[功能代號]],E:Q,11,FALSE)=0,"",VLOOKUP(功能_33[[#This Row],[功能代號]],E:Q,11,FALSE)),"")</f>
        <v>鄧雪美</v>
      </c>
      <c r="AH526" s="299"/>
      <c r="AI526" s="299"/>
      <c r="AJ526" s="292"/>
      <c r="AL526" s="308" t="s">
        <v>3153</v>
      </c>
      <c r="AM526" s="632" t="s">
        <v>3149</v>
      </c>
      <c r="AN526" s="292" t="str">
        <f>VLOOKUP(功能_33[[#This Row],[功能代號]],需二審tmp!A:A,1,FALSE)</f>
        <v>L8401</v>
      </c>
      <c r="AO526" s="356">
        <v>44526</v>
      </c>
      <c r="AQ526" s="574" t="str">
        <f t="shared" si="57"/>
        <v>8-4</v>
      </c>
      <c r="AR526" s="576" t="str">
        <f t="shared" si="58"/>
        <v/>
      </c>
      <c r="AS526" s="578" t="str">
        <f t="shared" si="59"/>
        <v/>
      </c>
      <c r="AT526" s="580" t="str">
        <f t="shared" si="60"/>
        <v/>
      </c>
      <c r="AU526" s="582" t="str">
        <f t="shared" si="61"/>
        <v/>
      </c>
      <c r="AV526" s="584" t="str">
        <f t="shared" si="62"/>
        <v/>
      </c>
      <c r="AW526" s="662" t="str">
        <f>IFERROR(VLOOKUP(功能_33[[#This Row],[功能代號]],工作表3!C:C,1,FALSE),"未計SIT測試")</f>
        <v>未計SIT測試</v>
      </c>
    </row>
    <row r="527" spans="3:49" ht="102.5" customHeight="1" x14ac:dyDescent="0.3">
      <c r="C527" s="292" t="s">
        <v>97</v>
      </c>
      <c r="D527" s="292" t="s">
        <v>2820</v>
      </c>
      <c r="E527" s="291" t="s">
        <v>1367</v>
      </c>
      <c r="F527" s="292" t="s">
        <v>1368</v>
      </c>
      <c r="G527" s="219" t="s">
        <v>2735</v>
      </c>
      <c r="H527" s="291" t="s">
        <v>480</v>
      </c>
      <c r="I527" s="291" t="s">
        <v>480</v>
      </c>
      <c r="J527" s="298" t="s">
        <v>3148</v>
      </c>
      <c r="K527" s="299">
        <v>44524</v>
      </c>
      <c r="L527" s="299">
        <v>44525</v>
      </c>
      <c r="M527" s="299">
        <v>44529</v>
      </c>
      <c r="N527" s="291" t="str">
        <f>VLOOKUP(功能_33[[#This Row],[功能代號]],[5]外部輸出入介面!$C:$F,4,FALSE)</f>
        <v>林清河</v>
      </c>
      <c r="O527" s="291" t="s">
        <v>567</v>
      </c>
      <c r="T527" s="291"/>
      <c r="V527" s="291"/>
      <c r="W527" s="291"/>
      <c r="X527" s="292" t="str">
        <f>VLOOKUP(功能_33[[#This Row],[User]],SKL放款!A:G,7,FALSE)</f>
        <v>放款審查課</v>
      </c>
      <c r="Y527" s="299">
        <v>44529</v>
      </c>
      <c r="Z527" s="299" t="s">
        <v>133</v>
      </c>
      <c r="AA527" s="282">
        <v>44544</v>
      </c>
      <c r="AB527" s="299">
        <v>44544</v>
      </c>
      <c r="AC527" s="299">
        <v>44544</v>
      </c>
      <c r="AD527" s="299"/>
      <c r="AE527" s="299"/>
      <c r="AF527" s="299"/>
      <c r="AG527" s="299" t="str">
        <f>IFERROR(IF(VLOOKUP(功能_33[[#This Row],[功能代號]],E:Q,11,FALSE)=0,"",VLOOKUP(功能_33[[#This Row],[功能代號]],E:Q,11,FALSE)),"")</f>
        <v>鄧雪美</v>
      </c>
      <c r="AH527" s="299"/>
      <c r="AI527" s="299"/>
      <c r="AJ527" s="292"/>
      <c r="AL527" s="308" t="s">
        <v>3152</v>
      </c>
      <c r="AM527" s="632" t="s">
        <v>3150</v>
      </c>
      <c r="AN527" s="292" t="str">
        <f>VLOOKUP(功能_33[[#This Row],[功能代號]],需二審tmp!A:A,1,FALSE)</f>
        <v>L8402</v>
      </c>
      <c r="AO527" s="356">
        <v>44526</v>
      </c>
      <c r="AQ527" s="574" t="str">
        <f t="shared" si="57"/>
        <v>8-4</v>
      </c>
      <c r="AR527" s="576" t="str">
        <f t="shared" si="58"/>
        <v/>
      </c>
      <c r="AS527" s="578" t="str">
        <f t="shared" si="59"/>
        <v/>
      </c>
      <c r="AT527" s="580" t="str">
        <f t="shared" si="60"/>
        <v/>
      </c>
      <c r="AU527" s="582" t="str">
        <f t="shared" si="61"/>
        <v/>
      </c>
      <c r="AV527" s="584" t="str">
        <f t="shared" si="62"/>
        <v/>
      </c>
      <c r="AW527" s="662" t="str">
        <f>IFERROR(VLOOKUP(功能_33[[#This Row],[功能代號]],工作表3!C:C,1,FALSE),"未計SIT測試")</f>
        <v>未計SIT測試</v>
      </c>
    </row>
    <row r="528" spans="3:49" ht="27" x14ac:dyDescent="0.3">
      <c r="C528" s="292" t="s">
        <v>96</v>
      </c>
      <c r="D528" s="280" t="s">
        <v>2821</v>
      </c>
      <c r="E528" s="291" t="s">
        <v>1369</v>
      </c>
      <c r="F528" s="292" t="s">
        <v>1370</v>
      </c>
      <c r="G528" s="292" t="s">
        <v>1371</v>
      </c>
      <c r="H528" s="291" t="s">
        <v>480</v>
      </c>
      <c r="I528" s="291" t="s">
        <v>480</v>
      </c>
      <c r="J528" s="298" t="s">
        <v>3221</v>
      </c>
      <c r="K528" s="299">
        <v>44530</v>
      </c>
      <c r="L528" s="299">
        <v>44530</v>
      </c>
      <c r="M528" s="299">
        <v>44536</v>
      </c>
      <c r="N528" s="291" t="str">
        <f>VLOOKUP(功能_33[[#This Row],[功能代號]],[5]外部輸出入介面!$C:$F,4,FALSE)</f>
        <v>林清河</v>
      </c>
      <c r="O528" s="291" t="str">
        <f>VLOOKUP(功能_33[[#This Row],[功能代號]],[5]外部輸出入介面!$C:$F,3,FALSE)</f>
        <v>張舜雯</v>
      </c>
      <c r="T528" s="291"/>
      <c r="V528" s="291"/>
      <c r="W528" s="291"/>
      <c r="X528" s="292" t="str">
        <f>VLOOKUP(功能_33[[#This Row],[User]],SKL放款!A:G,7,FALSE)</f>
        <v>放款管理課</v>
      </c>
      <c r="Y528" s="299">
        <v>44536</v>
      </c>
      <c r="Z528" s="299"/>
      <c r="AA528" s="299">
        <v>44546</v>
      </c>
      <c r="AB528" s="299">
        <v>44546</v>
      </c>
      <c r="AC528" s="299">
        <v>44546</v>
      </c>
      <c r="AD528" s="299"/>
      <c r="AE528" s="299"/>
      <c r="AF528" s="299"/>
      <c r="AG528" s="299" t="str">
        <f>IFERROR(IF(VLOOKUP(功能_33[[#This Row],[功能代號]],E:Q,11,FALSE)=0,"",VLOOKUP(功能_33[[#This Row],[功能代號]],E:Q,11,FALSE)),"")</f>
        <v>張舜雯</v>
      </c>
      <c r="AH528" s="299"/>
      <c r="AI528" s="299"/>
      <c r="AJ528" s="292"/>
      <c r="AL528" s="308" t="s">
        <v>2736</v>
      </c>
      <c r="AM528" s="292" t="s">
        <v>2737</v>
      </c>
      <c r="AN528" s="292" t="e">
        <f>VLOOKUP(功能_33[[#This Row],[功能代號]],需二審tmp!A:A,1,FALSE)</f>
        <v>#N/A</v>
      </c>
      <c r="AQ528" s="574" t="str">
        <f t="shared" si="57"/>
        <v>7-2</v>
      </c>
      <c r="AR528" s="576" t="str">
        <f t="shared" si="58"/>
        <v/>
      </c>
      <c r="AS528" s="578" t="str">
        <f t="shared" si="59"/>
        <v/>
      </c>
      <c r="AT528" s="580" t="str">
        <f t="shared" si="60"/>
        <v/>
      </c>
      <c r="AU528" s="582" t="str">
        <f t="shared" si="61"/>
        <v/>
      </c>
      <c r="AV528" s="584" t="str">
        <f t="shared" si="62"/>
        <v/>
      </c>
      <c r="AW528" s="662" t="str">
        <f>IFERROR(VLOOKUP(功能_33[[#This Row],[功能代號]],工作表3!C:C,1,FALSE),"未計SIT測試")</f>
        <v>未計SIT測試</v>
      </c>
    </row>
    <row r="529" spans="1:49" ht="27" x14ac:dyDescent="0.3">
      <c r="C529" s="292" t="s">
        <v>96</v>
      </c>
      <c r="D529" s="280" t="s">
        <v>2821</v>
      </c>
      <c r="E529" s="291" t="s">
        <v>1372</v>
      </c>
      <c r="F529" s="292" t="s">
        <v>1373</v>
      </c>
      <c r="G529" s="292" t="s">
        <v>1371</v>
      </c>
      <c r="H529" s="291" t="s">
        <v>480</v>
      </c>
      <c r="I529" s="291" t="s">
        <v>480</v>
      </c>
      <c r="J529" s="298" t="s">
        <v>3221</v>
      </c>
      <c r="K529" s="299">
        <v>44530</v>
      </c>
      <c r="L529" s="299">
        <v>44530</v>
      </c>
      <c r="M529" s="299">
        <v>44536</v>
      </c>
      <c r="N529" s="291" t="str">
        <f>VLOOKUP(功能_33[[#This Row],[功能代號]],[5]外部輸出入介面!$C:$F,4,FALSE)</f>
        <v>林清河</v>
      </c>
      <c r="O529" s="291" t="str">
        <f>VLOOKUP(功能_33[[#This Row],[功能代號]],[5]外部輸出入介面!$C:$F,3,FALSE)</f>
        <v>張舜雯</v>
      </c>
      <c r="T529" s="291"/>
      <c r="V529" s="291"/>
      <c r="W529" s="291"/>
      <c r="X529" s="292" t="str">
        <f>VLOOKUP(功能_33[[#This Row],[User]],SKL放款!A:G,7,FALSE)</f>
        <v>放款管理課</v>
      </c>
      <c r="Y529" s="299">
        <v>44536</v>
      </c>
      <c r="Z529" s="299" t="s">
        <v>2733</v>
      </c>
      <c r="AA529" s="299">
        <v>44546</v>
      </c>
      <c r="AB529" s="299">
        <v>44546</v>
      </c>
      <c r="AC529" s="299">
        <v>44546</v>
      </c>
      <c r="AD529" s="299"/>
      <c r="AE529" s="299"/>
      <c r="AF529" s="299"/>
      <c r="AG529" s="299" t="str">
        <f>IFERROR(IF(VLOOKUP(功能_33[[#This Row],[功能代號]],E:Q,11,FALSE)=0,"",VLOOKUP(功能_33[[#This Row],[功能代號]],E:Q,11,FALSE)),"")</f>
        <v>張舜雯</v>
      </c>
      <c r="AH529" s="299"/>
      <c r="AI529" s="299"/>
      <c r="AJ529" s="292"/>
      <c r="AL529" s="308" t="s">
        <v>2736</v>
      </c>
      <c r="AM529" s="292" t="s">
        <v>2737</v>
      </c>
      <c r="AN529" s="292" t="str">
        <f>VLOOKUP(功能_33[[#This Row],[功能代號]],需二審tmp!A:A,1,FALSE)</f>
        <v>L7202</v>
      </c>
      <c r="AQ529" s="574" t="str">
        <f t="shared" si="57"/>
        <v>7-2</v>
      </c>
      <c r="AR529" s="576" t="str">
        <f t="shared" si="58"/>
        <v/>
      </c>
      <c r="AS529" s="578" t="str">
        <f t="shared" si="59"/>
        <v/>
      </c>
      <c r="AT529" s="580" t="str">
        <f t="shared" si="60"/>
        <v/>
      </c>
      <c r="AU529" s="582" t="str">
        <f t="shared" si="61"/>
        <v/>
      </c>
      <c r="AV529" s="584" t="str">
        <f t="shared" si="62"/>
        <v/>
      </c>
      <c r="AW529" s="662" t="str">
        <f>IFERROR(VLOOKUP(功能_33[[#This Row],[功能代號]],工作表3!C:C,1,FALSE),"未計SIT測試")</f>
        <v>未計SIT測試</v>
      </c>
    </row>
    <row r="530" spans="1:49" ht="27" x14ac:dyDescent="0.3">
      <c r="C530" s="292" t="s">
        <v>96</v>
      </c>
      <c r="D530" s="280" t="s">
        <v>2821</v>
      </c>
      <c r="E530" s="291" t="s">
        <v>1374</v>
      </c>
      <c r="F530" s="292" t="s">
        <v>1375</v>
      </c>
      <c r="G530" s="292" t="s">
        <v>1371</v>
      </c>
      <c r="H530" s="291" t="s">
        <v>480</v>
      </c>
      <c r="I530" s="291" t="s">
        <v>480</v>
      </c>
      <c r="J530" s="298" t="s">
        <v>3221</v>
      </c>
      <c r="K530" s="299">
        <v>44530</v>
      </c>
      <c r="L530" s="299">
        <v>44530</v>
      </c>
      <c r="M530" s="299">
        <v>44536</v>
      </c>
      <c r="N530" s="291" t="str">
        <f>VLOOKUP(功能_33[[#This Row],[功能代號]],[5]外部輸出入介面!$C:$F,4,FALSE)</f>
        <v>林清河</v>
      </c>
      <c r="O530" s="291" t="str">
        <f>VLOOKUP(功能_33[[#This Row],[功能代號]],[5]外部輸出入介面!$C:$F,3,FALSE)</f>
        <v>張舜雯</v>
      </c>
      <c r="T530" s="291"/>
      <c r="V530" s="291"/>
      <c r="W530" s="291"/>
      <c r="X530" s="292" t="str">
        <f>VLOOKUP(功能_33[[#This Row],[User]],SKL放款!A:G,7,FALSE)</f>
        <v>放款管理課</v>
      </c>
      <c r="Y530" s="299">
        <v>44536</v>
      </c>
      <c r="Z530" s="299"/>
      <c r="AA530" s="299">
        <v>44546</v>
      </c>
      <c r="AB530" s="299">
        <v>44546</v>
      </c>
      <c r="AC530" s="299">
        <v>44546</v>
      </c>
      <c r="AD530" s="299"/>
      <c r="AE530" s="299"/>
      <c r="AF530" s="299"/>
      <c r="AG530" s="299" t="str">
        <f>IFERROR(IF(VLOOKUP(功能_33[[#This Row],[功能代號]],E:Q,11,FALSE)=0,"",VLOOKUP(功能_33[[#This Row],[功能代號]],E:Q,11,FALSE)),"")</f>
        <v>張舜雯</v>
      </c>
      <c r="AH530" s="299"/>
      <c r="AI530" s="299"/>
      <c r="AJ530" s="292"/>
      <c r="AL530" s="308" t="s">
        <v>2738</v>
      </c>
      <c r="AM530" s="292" t="s">
        <v>2739</v>
      </c>
      <c r="AN530" s="292" t="e">
        <f>VLOOKUP(功能_33[[#This Row],[功能代號]],需二審tmp!A:A,1,FALSE)</f>
        <v>#N/A</v>
      </c>
      <c r="AQ530" s="574" t="str">
        <f t="shared" si="57"/>
        <v>7-2</v>
      </c>
      <c r="AR530" s="576" t="str">
        <f t="shared" si="58"/>
        <v/>
      </c>
      <c r="AS530" s="578" t="str">
        <f t="shared" si="59"/>
        <v/>
      </c>
      <c r="AT530" s="580" t="str">
        <f t="shared" si="60"/>
        <v/>
      </c>
      <c r="AU530" s="582" t="str">
        <f t="shared" si="61"/>
        <v/>
      </c>
      <c r="AV530" s="584" t="str">
        <f t="shared" si="62"/>
        <v/>
      </c>
      <c r="AW530" s="662" t="str">
        <f>IFERROR(VLOOKUP(功能_33[[#This Row],[功能代號]],工作表3!C:C,1,FALSE),"未計SIT測試")</f>
        <v>未計SIT測試</v>
      </c>
    </row>
    <row r="531" spans="1:49" ht="27" x14ac:dyDescent="0.3">
      <c r="C531" s="292" t="s">
        <v>96</v>
      </c>
      <c r="D531" s="280" t="s">
        <v>2821</v>
      </c>
      <c r="E531" s="291" t="s">
        <v>1376</v>
      </c>
      <c r="F531" s="292" t="s">
        <v>1377</v>
      </c>
      <c r="G531" s="292" t="s">
        <v>1371</v>
      </c>
      <c r="H531" s="291" t="s">
        <v>480</v>
      </c>
      <c r="I531" s="291" t="s">
        <v>480</v>
      </c>
      <c r="J531" s="298" t="s">
        <v>3221</v>
      </c>
      <c r="K531" s="299">
        <v>44530</v>
      </c>
      <c r="L531" s="299">
        <v>44530</v>
      </c>
      <c r="M531" s="299">
        <v>44536</v>
      </c>
      <c r="N531" s="291" t="str">
        <f>VLOOKUP(功能_33[[#This Row],[功能代號]],[5]外部輸出入介面!$C:$F,4,FALSE)</f>
        <v>林清河</v>
      </c>
      <c r="O531" s="291" t="str">
        <f>VLOOKUP(功能_33[[#This Row],[功能代號]],[5]外部輸出入介面!$C:$F,3,FALSE)</f>
        <v>張舜雯</v>
      </c>
      <c r="T531" s="291"/>
      <c r="V531" s="291"/>
      <c r="W531" s="291"/>
      <c r="X531" s="292" t="str">
        <f>VLOOKUP(功能_33[[#This Row],[User]],SKL放款!A:G,7,FALSE)</f>
        <v>放款管理課</v>
      </c>
      <c r="Y531" s="299">
        <v>44536</v>
      </c>
      <c r="Z531" s="299" t="s">
        <v>2733</v>
      </c>
      <c r="AA531" s="299">
        <v>44546</v>
      </c>
      <c r="AB531" s="299">
        <v>44546</v>
      </c>
      <c r="AC531" s="299">
        <v>44546</v>
      </c>
      <c r="AD531" s="299"/>
      <c r="AE531" s="299"/>
      <c r="AF531" s="299"/>
      <c r="AG531" s="299" t="str">
        <f>IFERROR(IF(VLOOKUP(功能_33[[#This Row],[功能代號]],E:Q,11,FALSE)=0,"",VLOOKUP(功能_33[[#This Row],[功能代號]],E:Q,11,FALSE)),"")</f>
        <v>張舜雯</v>
      </c>
      <c r="AH531" s="299"/>
      <c r="AI531" s="299"/>
      <c r="AJ531" s="292"/>
      <c r="AL531" s="308" t="s">
        <v>2738</v>
      </c>
      <c r="AM531" s="292" t="s">
        <v>2739</v>
      </c>
      <c r="AN531" s="292" t="str">
        <f>VLOOKUP(功能_33[[#This Row],[功能代號]],需二審tmp!A:A,1,FALSE)</f>
        <v>L7210</v>
      </c>
      <c r="AQ531" s="574" t="str">
        <f t="shared" si="57"/>
        <v>7-2</v>
      </c>
      <c r="AR531" s="576" t="str">
        <f t="shared" si="58"/>
        <v/>
      </c>
      <c r="AS531" s="578" t="str">
        <f t="shared" si="59"/>
        <v/>
      </c>
      <c r="AT531" s="580" t="str">
        <f t="shared" si="60"/>
        <v/>
      </c>
      <c r="AU531" s="582" t="str">
        <f t="shared" si="61"/>
        <v/>
      </c>
      <c r="AV531" s="584" t="str">
        <f t="shared" si="62"/>
        <v/>
      </c>
      <c r="AW531" s="662" t="str">
        <f>IFERROR(VLOOKUP(功能_33[[#This Row],[功能代號]],工作表3!C:C,1,FALSE),"未計SIT測試")</f>
        <v>未計SIT測試</v>
      </c>
    </row>
    <row r="532" spans="1:49" ht="27" x14ac:dyDescent="0.3">
      <c r="C532" s="292" t="s">
        <v>96</v>
      </c>
      <c r="D532" s="280" t="s">
        <v>3140</v>
      </c>
      <c r="E532" s="291" t="s">
        <v>1378</v>
      </c>
      <c r="F532" s="292" t="s">
        <v>1379</v>
      </c>
      <c r="G532" s="292" t="s">
        <v>1371</v>
      </c>
      <c r="H532" s="291" t="s">
        <v>480</v>
      </c>
      <c r="I532" s="291" t="s">
        <v>480</v>
      </c>
      <c r="J532" s="298" t="s">
        <v>3221</v>
      </c>
      <c r="K532" s="299">
        <v>44530</v>
      </c>
      <c r="L532" s="299">
        <v>44530</v>
      </c>
      <c r="M532" s="299">
        <f>IFERROR(IF(VLOOKUP(功能_33[[#This Row],[功能代號]],討論項目!A:H,8,FALSE)=0,"",VLOOKUP(功能_33[[#This Row],[功能代號]],討論項目!A:H,8,FALSE)),"")</f>
        <v>44533</v>
      </c>
      <c r="N532" s="291" t="str">
        <f>VLOOKUP(功能_33[[#This Row],[功能代號]],[5]外部輸出入介面!$C:$F,4,FALSE)</f>
        <v>林清河</v>
      </c>
      <c r="O532" s="291" t="str">
        <f>VLOOKUP(功能_33[[#This Row],[功能代號]],[5]外部輸出入介面!$C:$F,3,FALSE)</f>
        <v>張舜雯</v>
      </c>
      <c r="T532" s="291"/>
      <c r="V532" s="291"/>
      <c r="W532" s="291"/>
      <c r="X532" s="292" t="str">
        <f>VLOOKUP(功能_33[[#This Row],[User]],SKL放款!A:G,7,FALSE)</f>
        <v>放款管理課</v>
      </c>
      <c r="Y532" s="299">
        <v>44533</v>
      </c>
      <c r="Z532" s="299" t="s">
        <v>2733</v>
      </c>
      <c r="AA532" s="299">
        <v>44546</v>
      </c>
      <c r="AB532" s="299">
        <v>44546</v>
      </c>
      <c r="AC532" s="299">
        <v>44546</v>
      </c>
      <c r="AD532" s="299"/>
      <c r="AE532" s="299"/>
      <c r="AF532" s="299"/>
      <c r="AG532" s="299" t="str">
        <f>IFERROR(IF(VLOOKUP(功能_33[[#This Row],[功能代號]],E:Q,11,FALSE)=0,"",VLOOKUP(功能_33[[#This Row],[功能代號]],E:Q,11,FALSE)),"")</f>
        <v>張舜雯</v>
      </c>
      <c r="AH532" s="299"/>
      <c r="AI532" s="299"/>
      <c r="AJ532" s="292"/>
      <c r="AL532" s="308" t="s">
        <v>2740</v>
      </c>
      <c r="AM532" s="292" t="s">
        <v>2741</v>
      </c>
      <c r="AN532" s="292" t="str">
        <f>VLOOKUP(功能_33[[#This Row],[功能代號]],需二審tmp!A:A,1,FALSE)</f>
        <v>L7904</v>
      </c>
      <c r="AO532" s="356">
        <v>44533</v>
      </c>
      <c r="AQ532" s="574" t="str">
        <f t="shared" si="57"/>
        <v>7-2</v>
      </c>
      <c r="AR532" s="576" t="str">
        <f t="shared" si="58"/>
        <v/>
      </c>
      <c r="AS532" s="578" t="str">
        <f t="shared" si="59"/>
        <v/>
      </c>
      <c r="AT532" s="580" t="str">
        <f t="shared" si="60"/>
        <v/>
      </c>
      <c r="AU532" s="582" t="str">
        <f t="shared" si="61"/>
        <v/>
      </c>
      <c r="AV532" s="584" t="str">
        <f t="shared" si="62"/>
        <v/>
      </c>
      <c r="AW532" s="662" t="str">
        <f>IFERROR(VLOOKUP(功能_33[[#This Row],[功能代號]],工作表3!C:C,1,FALSE),"未計SIT測試")</f>
        <v>未計SIT測試</v>
      </c>
    </row>
    <row r="533" spans="1:49" ht="27" x14ac:dyDescent="0.3">
      <c r="C533" s="292" t="s">
        <v>96</v>
      </c>
      <c r="D533" s="280" t="s">
        <v>2821</v>
      </c>
      <c r="E533" s="291" t="s">
        <v>1380</v>
      </c>
      <c r="F533" s="292" t="s">
        <v>1381</v>
      </c>
      <c r="G533" s="292" t="s">
        <v>1371</v>
      </c>
      <c r="H533" s="291" t="s">
        <v>480</v>
      </c>
      <c r="I533" s="291" t="s">
        <v>480</v>
      </c>
      <c r="J533" s="298" t="s">
        <v>3221</v>
      </c>
      <c r="K533" s="299">
        <v>44530</v>
      </c>
      <c r="L533" s="299">
        <v>44530</v>
      </c>
      <c r="M533" s="299">
        <v>44536</v>
      </c>
      <c r="N533" s="291" t="str">
        <f>VLOOKUP(功能_33[[#This Row],[功能代號]],[5]外部輸出入介面!$C:$F,4,FALSE)</f>
        <v>林清河</v>
      </c>
      <c r="O533" s="291" t="str">
        <f>VLOOKUP(功能_33[[#This Row],[功能代號]],[5]外部輸出入介面!$C:$F,3,FALSE)</f>
        <v>張舜雯</v>
      </c>
      <c r="T533" s="291"/>
      <c r="V533" s="291"/>
      <c r="W533" s="291"/>
      <c r="X533" s="292" t="str">
        <f>VLOOKUP(功能_33[[#This Row],[User]],SKL放款!A:G,7,FALSE)</f>
        <v>放款管理課</v>
      </c>
      <c r="Y533" s="299">
        <v>44536</v>
      </c>
      <c r="Z533" s="299" t="s">
        <v>2733</v>
      </c>
      <c r="AA533" s="299">
        <v>44546</v>
      </c>
      <c r="AB533" s="299">
        <v>44546</v>
      </c>
      <c r="AC533" s="299">
        <v>44546</v>
      </c>
      <c r="AD533" s="299"/>
      <c r="AE533" s="299"/>
      <c r="AF533" s="299"/>
      <c r="AG533" s="299" t="str">
        <f>IFERROR(IF(VLOOKUP(功能_33[[#This Row],[功能代號]],E:Q,11,FALSE)=0,"",VLOOKUP(功能_33[[#This Row],[功能代號]],E:Q,11,FALSE)),"")</f>
        <v>張舜雯</v>
      </c>
      <c r="AH533" s="299"/>
      <c r="AI533" s="299"/>
      <c r="AJ533" s="292"/>
      <c r="AL533" s="308" t="s">
        <v>2740</v>
      </c>
      <c r="AM533" s="292" t="s">
        <v>2741</v>
      </c>
      <c r="AN533" s="292" t="str">
        <f>VLOOKUP(功能_33[[#This Row],[功能代號]],需二審tmp!A:A,1,FALSE)</f>
        <v>L7204</v>
      </c>
      <c r="AQ533" s="574" t="str">
        <f t="shared" si="57"/>
        <v>7-2</v>
      </c>
      <c r="AR533" s="576" t="str">
        <f t="shared" si="58"/>
        <v/>
      </c>
      <c r="AS533" s="578" t="str">
        <f t="shared" si="59"/>
        <v/>
      </c>
      <c r="AT533" s="580" t="str">
        <f t="shared" si="60"/>
        <v/>
      </c>
      <c r="AU533" s="582" t="str">
        <f t="shared" si="61"/>
        <v/>
      </c>
      <c r="AV533" s="584" t="str">
        <f t="shared" si="62"/>
        <v/>
      </c>
      <c r="AW533" s="662" t="str">
        <f>IFERROR(VLOOKUP(功能_33[[#This Row],[功能代號]],工作表3!C:C,1,FALSE),"未計SIT測試")</f>
        <v>未計SIT測試</v>
      </c>
    </row>
    <row r="534" spans="1:49" ht="27" x14ac:dyDescent="0.3">
      <c r="C534" s="292" t="s">
        <v>96</v>
      </c>
      <c r="D534" s="280" t="s">
        <v>2821</v>
      </c>
      <c r="E534" s="291" t="s">
        <v>1382</v>
      </c>
      <c r="F534" s="292" t="s">
        <v>1383</v>
      </c>
      <c r="G534" s="292" t="s">
        <v>1371</v>
      </c>
      <c r="H534" s="291" t="s">
        <v>480</v>
      </c>
      <c r="I534" s="291" t="s">
        <v>480</v>
      </c>
      <c r="J534" s="298" t="s">
        <v>3221</v>
      </c>
      <c r="K534" s="299">
        <v>44530</v>
      </c>
      <c r="L534" s="299">
        <v>44530</v>
      </c>
      <c r="M534" s="299">
        <f>IFERROR(IF(VLOOKUP(功能_33[[#This Row],[功能代號]],討論項目!A:H,8,FALSE)=0,"",VLOOKUP(功能_33[[#This Row],[功能代號]],討論項目!A:H,8,FALSE)),"")</f>
        <v>44533</v>
      </c>
      <c r="N534" s="291" t="str">
        <f>VLOOKUP(功能_33[[#This Row],[功能代號]],[5]外部輸出入介面!$C:$F,4,FALSE)</f>
        <v>林清河</v>
      </c>
      <c r="O534" s="291" t="str">
        <f>VLOOKUP(功能_33[[#This Row],[功能代號]],[5]外部輸出入介面!$C:$F,3,FALSE)</f>
        <v>蔡珮瑜</v>
      </c>
      <c r="P534" s="270" t="s">
        <v>3052</v>
      </c>
      <c r="T534" s="291"/>
      <c r="V534" s="291"/>
      <c r="W534" s="291"/>
      <c r="X534" s="292" t="str">
        <f>VLOOKUP(功能_33[[#This Row],[User]],SKL放款!A:G,7,FALSE)</f>
        <v>放款服務課</v>
      </c>
      <c r="Y534" s="299">
        <v>44533</v>
      </c>
      <c r="Z534" s="299" t="s">
        <v>2733</v>
      </c>
      <c r="AA534" s="299">
        <v>44546</v>
      </c>
      <c r="AB534" s="299">
        <v>44546</v>
      </c>
      <c r="AC534" s="299">
        <v>44546</v>
      </c>
      <c r="AD534" s="299"/>
      <c r="AE534" s="299"/>
      <c r="AF534" s="299"/>
      <c r="AG534" s="299" t="str">
        <f>IFERROR(IF(VLOOKUP(功能_33[[#This Row],[功能代號]],E:Q,11,FALSE)=0,"",VLOOKUP(功能_33[[#This Row],[功能代號]],E:Q,11,FALSE)),"")</f>
        <v>蔡珮瑜</v>
      </c>
      <c r="AH534" s="299"/>
      <c r="AI534" s="299"/>
      <c r="AJ534" s="292"/>
      <c r="AL534" s="308" t="s">
        <v>2742</v>
      </c>
      <c r="AM534" s="292" t="s">
        <v>2743</v>
      </c>
      <c r="AN534" s="292" t="str">
        <f>VLOOKUP(功能_33[[#This Row],[功能代號]],需二審tmp!A:A,1,FALSE)</f>
        <v>L7203</v>
      </c>
      <c r="AO534" s="356">
        <v>44533</v>
      </c>
      <c r="AQ534" s="574" t="str">
        <f t="shared" si="57"/>
        <v>7-2</v>
      </c>
      <c r="AR534" s="576" t="str">
        <f t="shared" si="58"/>
        <v/>
      </c>
      <c r="AS534" s="578" t="str">
        <f t="shared" si="59"/>
        <v/>
      </c>
      <c r="AT534" s="580" t="str">
        <f t="shared" si="60"/>
        <v/>
      </c>
      <c r="AU534" s="582" t="str">
        <f t="shared" si="61"/>
        <v/>
      </c>
      <c r="AV534" s="584" t="str">
        <f t="shared" si="62"/>
        <v/>
      </c>
      <c r="AW534" s="662" t="str">
        <f>IFERROR(VLOOKUP(功能_33[[#This Row],[功能代號]],工作表3!C:C,1,FALSE),"未計SIT測試")</f>
        <v>未計SIT測試</v>
      </c>
    </row>
    <row r="535" spans="1:49" ht="81" x14ac:dyDescent="0.3">
      <c r="C535" s="292" t="s">
        <v>96</v>
      </c>
      <c r="D535" s="280" t="s">
        <v>2821</v>
      </c>
      <c r="E535" s="291" t="s">
        <v>1384</v>
      </c>
      <c r="F535" s="292" t="s">
        <v>1385</v>
      </c>
      <c r="G535" s="292" t="s">
        <v>1371</v>
      </c>
      <c r="H535" s="291" t="s">
        <v>480</v>
      </c>
      <c r="I535" s="291" t="s">
        <v>480</v>
      </c>
      <c r="J535" s="298" t="s">
        <v>3221</v>
      </c>
      <c r="K535" s="299">
        <v>44530</v>
      </c>
      <c r="L535" s="299">
        <v>44530</v>
      </c>
      <c r="M535" s="299">
        <f>IFERROR(IF(VLOOKUP(功能_33[[#This Row],[功能代號]],討論項目!A:H,8,FALSE)=0,"",VLOOKUP(功能_33[[#This Row],[功能代號]],討論項目!A:H,8,FALSE)),"")</f>
        <v>44533</v>
      </c>
      <c r="N535" s="291" t="str">
        <f>VLOOKUP(功能_33[[#This Row],[功能代號]],[5]外部輸出入介面!$C:$F,4,FALSE)</f>
        <v>林清河</v>
      </c>
      <c r="O535" s="291" t="str">
        <f>VLOOKUP(功能_33[[#This Row],[功能代號]],[5]外部輸出入介面!$C:$F,3,FALSE)</f>
        <v>張舜雯</v>
      </c>
      <c r="P535" s="270" t="s">
        <v>3052</v>
      </c>
      <c r="T535" s="291"/>
      <c r="V535" s="291"/>
      <c r="W535" s="291"/>
      <c r="X535" s="292" t="str">
        <f>VLOOKUP(功能_33[[#This Row],[User]],SKL放款!A:G,7,FALSE)</f>
        <v>放款管理課</v>
      </c>
      <c r="Y535" s="299">
        <v>44533</v>
      </c>
      <c r="Z535" s="299" t="s">
        <v>2733</v>
      </c>
      <c r="AA535" s="299">
        <v>44546</v>
      </c>
      <c r="AB535" s="299">
        <v>44546</v>
      </c>
      <c r="AC535" s="299">
        <v>44546</v>
      </c>
      <c r="AD535" s="299"/>
      <c r="AE535" s="299"/>
      <c r="AF535" s="299"/>
      <c r="AG535" s="299" t="str">
        <f>IFERROR(IF(VLOOKUP(功能_33[[#This Row],[功能代號]],E:Q,11,FALSE)=0,"",VLOOKUP(功能_33[[#This Row],[功能代號]],E:Q,11,FALSE)),"")</f>
        <v>張舜雯</v>
      </c>
      <c r="AH535" s="299"/>
      <c r="AI535" s="299"/>
      <c r="AJ535" s="292"/>
      <c r="AL535" s="308" t="s">
        <v>2744</v>
      </c>
      <c r="AM535" s="219" t="s">
        <v>2745</v>
      </c>
      <c r="AN535" s="292" t="str">
        <f>VLOOKUP(功能_33[[#This Row],[功能代號]],需二審tmp!A:A,1,FALSE)</f>
        <v>L7901</v>
      </c>
      <c r="AO535" s="356">
        <v>44533</v>
      </c>
      <c r="AQ535" s="574" t="str">
        <f t="shared" si="57"/>
        <v>7-2</v>
      </c>
      <c r="AR535" s="576" t="str">
        <f t="shared" si="58"/>
        <v/>
      </c>
      <c r="AS535" s="578" t="str">
        <f t="shared" si="59"/>
        <v/>
      </c>
      <c r="AT535" s="580" t="str">
        <f t="shared" si="60"/>
        <v/>
      </c>
      <c r="AU535" s="582" t="str">
        <f t="shared" si="61"/>
        <v/>
      </c>
      <c r="AV535" s="584" t="str">
        <f t="shared" si="62"/>
        <v/>
      </c>
      <c r="AW535" s="662" t="str">
        <f>IFERROR(VLOOKUP(功能_33[[#This Row],[功能代號]],工作表3!C:C,1,FALSE),"未計SIT測試")</f>
        <v>未計SIT測試</v>
      </c>
    </row>
    <row r="536" spans="1:49" ht="94.5" x14ac:dyDescent="0.3">
      <c r="A536" s="604">
        <v>44561</v>
      </c>
      <c r="C536" s="292" t="s">
        <v>96</v>
      </c>
      <c r="D536" s="280" t="s">
        <v>2821</v>
      </c>
      <c r="E536" s="291" t="s">
        <v>1386</v>
      </c>
      <c r="F536" s="292" t="s">
        <v>1387</v>
      </c>
      <c r="G536" s="292" t="s">
        <v>1371</v>
      </c>
      <c r="H536" s="291" t="s">
        <v>480</v>
      </c>
      <c r="I536" s="291" t="s">
        <v>480</v>
      </c>
      <c r="J536" s="298" t="s">
        <v>3221</v>
      </c>
      <c r="K536" s="220">
        <v>44530</v>
      </c>
      <c r="L536" s="220">
        <v>44530</v>
      </c>
      <c r="M536" s="228">
        <v>44546</v>
      </c>
      <c r="N536" s="291" t="str">
        <f>VLOOKUP(功能_33[[#This Row],[功能代號]],[5]外部輸出入介面!$C:$F,4,FALSE)</f>
        <v>林清河</v>
      </c>
      <c r="O536" s="291" t="str">
        <f>VLOOKUP(功能_33[[#This Row],[功能代號]],[5]外部輸出入介面!$C:$F,3,FALSE)</f>
        <v>蔡珮瑜</v>
      </c>
      <c r="P536" s="270" t="s">
        <v>3141</v>
      </c>
      <c r="T536" s="291"/>
      <c r="V536" s="291"/>
      <c r="W536" s="291"/>
      <c r="X536" s="292" t="str">
        <f>VLOOKUP(功能_33[[#This Row],[User]],SKL放款!A:G,7,FALSE)</f>
        <v>放款服務課</v>
      </c>
      <c r="Y536" s="228">
        <v>44546</v>
      </c>
      <c r="Z536" s="299" t="s">
        <v>2733</v>
      </c>
      <c r="AA536" s="299">
        <v>44546</v>
      </c>
      <c r="AB536" s="299">
        <v>44546</v>
      </c>
      <c r="AC536" s="299">
        <v>44546</v>
      </c>
      <c r="AD536" s="299"/>
      <c r="AE536" s="299"/>
      <c r="AF536" s="299"/>
      <c r="AG536" s="299" t="str">
        <f>IFERROR(IF(VLOOKUP(功能_33[[#This Row],[功能代號]],E:Q,11,FALSE)=0,"",VLOOKUP(功能_33[[#This Row],[功能代號]],E:Q,11,FALSE)),"")</f>
        <v>蔡珮瑜</v>
      </c>
      <c r="AH536" s="299"/>
      <c r="AI536" s="299"/>
      <c r="AJ536" s="292"/>
      <c r="AL536" s="308" t="s">
        <v>2746</v>
      </c>
      <c r="AM536" s="219" t="s">
        <v>2747</v>
      </c>
      <c r="AN536" s="292" t="str">
        <f>VLOOKUP(功能_33[[#This Row],[功能代號]],需二審tmp!A:A,1,FALSE)</f>
        <v>L7902</v>
      </c>
      <c r="AQ536" s="574" t="str">
        <f t="shared" si="57"/>
        <v>7-2</v>
      </c>
      <c r="AR536" s="576" t="str">
        <f t="shared" si="58"/>
        <v/>
      </c>
      <c r="AS536" s="578" t="str">
        <f t="shared" si="59"/>
        <v/>
      </c>
      <c r="AT536" s="580" t="str">
        <f t="shared" si="60"/>
        <v/>
      </c>
      <c r="AU536" s="582" t="str">
        <f t="shared" si="61"/>
        <v/>
      </c>
      <c r="AV536" s="584" t="str">
        <f t="shared" si="62"/>
        <v/>
      </c>
      <c r="AW536" s="662" t="str">
        <f>IFERROR(VLOOKUP(功能_33[[#This Row],[功能代號]],工作表3!C:C,1,FALSE),"未計SIT測試")</f>
        <v>未計SIT測試</v>
      </c>
    </row>
    <row r="537" spans="1:49" ht="13.5" x14ac:dyDescent="0.3">
      <c r="C537" s="292" t="s">
        <v>96</v>
      </c>
      <c r="D537" s="280" t="s">
        <v>2845</v>
      </c>
      <c r="E537" s="291" t="s">
        <v>1388</v>
      </c>
      <c r="F537" s="281" t="s">
        <v>1389</v>
      </c>
      <c r="G537" s="292" t="s">
        <v>1390</v>
      </c>
      <c r="H537" s="291" t="s">
        <v>136</v>
      </c>
      <c r="I537" s="291" t="s">
        <v>203</v>
      </c>
      <c r="J537" s="298" t="s">
        <v>3133</v>
      </c>
      <c r="K537" s="299">
        <v>44524</v>
      </c>
      <c r="L537" s="299">
        <v>44526</v>
      </c>
      <c r="M537" s="299">
        <v>44536</v>
      </c>
      <c r="N537" s="291" t="s">
        <v>10</v>
      </c>
      <c r="O537" s="291" t="s">
        <v>28</v>
      </c>
      <c r="T537" s="291"/>
      <c r="V537" s="291"/>
      <c r="W537" s="291"/>
      <c r="X537" s="292" t="str">
        <f>VLOOKUP(功能_33[[#This Row],[User]],SKL放款!A:G,7,FALSE)</f>
        <v>放款審查課</v>
      </c>
      <c r="Y537" s="299">
        <v>44533</v>
      </c>
      <c r="Z537" s="299" t="s">
        <v>2926</v>
      </c>
      <c r="AA537" s="299">
        <v>44524</v>
      </c>
      <c r="AB537" s="299">
        <v>44526</v>
      </c>
      <c r="AC537" s="299">
        <v>44544</v>
      </c>
      <c r="AD537" s="299"/>
      <c r="AE537" s="299"/>
      <c r="AF537" s="299"/>
      <c r="AG537" s="299" t="str">
        <f>IFERROR(IF(VLOOKUP(功能_33[[#This Row],[功能代號]],E:Q,11,FALSE)=0,"",VLOOKUP(功能_33[[#This Row],[功能代號]],E:Q,11,FALSE)),"")</f>
        <v>施美娟</v>
      </c>
      <c r="AH537" s="299"/>
      <c r="AI537" s="299"/>
      <c r="AJ537" s="292"/>
      <c r="AL537" s="291" t="s">
        <v>190</v>
      </c>
      <c r="AN537" s="292" t="e">
        <f>VLOOKUP(功能_33[[#This Row],[功能代號]],需二審tmp!A:A,1,FALSE)</f>
        <v>#N/A</v>
      </c>
      <c r="AO537" s="356">
        <v>44533</v>
      </c>
      <c r="AQ537" s="574" t="str">
        <f t="shared" si="57"/>
        <v>7-1</v>
      </c>
      <c r="AR537" s="576" t="str">
        <f t="shared" si="58"/>
        <v/>
      </c>
      <c r="AS537" s="578" t="str">
        <f t="shared" si="59"/>
        <v/>
      </c>
      <c r="AT537" s="580" t="str">
        <f t="shared" si="60"/>
        <v/>
      </c>
      <c r="AU537" s="582" t="str">
        <f t="shared" si="61"/>
        <v/>
      </c>
      <c r="AV537" s="584" t="str">
        <f t="shared" si="62"/>
        <v/>
      </c>
      <c r="AW537" s="662" t="str">
        <f>IFERROR(VLOOKUP(功能_33[[#This Row],[功能代號]],工作表3!C:C,1,FALSE),"未計SIT測試")</f>
        <v>未計SIT測試</v>
      </c>
    </row>
    <row r="538" spans="1:49" ht="13.5" x14ac:dyDescent="0.3">
      <c r="C538" s="292" t="s">
        <v>2848</v>
      </c>
      <c r="D538" s="292" t="s">
        <v>2936</v>
      </c>
      <c r="E538" s="291" t="s">
        <v>1391</v>
      </c>
      <c r="F538" s="281" t="s">
        <v>1392</v>
      </c>
      <c r="G538" s="281" t="s">
        <v>1393</v>
      </c>
      <c r="H538" s="291" t="s">
        <v>136</v>
      </c>
      <c r="I538" s="291" t="s">
        <v>136</v>
      </c>
      <c r="J538" s="298" t="s">
        <v>3180</v>
      </c>
      <c r="K538" s="299">
        <v>44533</v>
      </c>
      <c r="L538" s="299">
        <v>44533</v>
      </c>
      <c r="M538" s="299">
        <v>44545</v>
      </c>
      <c r="N538" s="291" t="s">
        <v>7</v>
      </c>
      <c r="O538" s="291" t="s">
        <v>3179</v>
      </c>
      <c r="T538" s="291"/>
      <c r="V538" s="291"/>
      <c r="W538" s="291"/>
      <c r="X538" s="292" t="str">
        <f>VLOOKUP(功能_33[[#This Row],[User]],SKL放款!A:G,7,FALSE)</f>
        <v>放款服務課</v>
      </c>
      <c r="Y538" s="299">
        <v>44545</v>
      </c>
      <c r="Z538" s="299" t="s">
        <v>2926</v>
      </c>
      <c r="AA538" s="282">
        <v>44543</v>
      </c>
      <c r="AB538" s="299">
        <v>44543</v>
      </c>
      <c r="AC538" s="299">
        <v>44545</v>
      </c>
      <c r="AD538" s="283"/>
      <c r="AE538" s="283"/>
      <c r="AF538" s="283"/>
      <c r="AG538" s="283" t="str">
        <f>IFERROR(IF(VLOOKUP(功能_33[[#This Row],[功能代號]],E:Q,11,FALSE)=0,"",VLOOKUP(功能_33[[#This Row],[功能代號]],E:Q,11,FALSE)),"")</f>
        <v>陳政皓</v>
      </c>
      <c r="AH538" s="283"/>
      <c r="AI538" s="283"/>
      <c r="AJ538" s="292"/>
      <c r="AL538" s="291" t="s">
        <v>2976</v>
      </c>
      <c r="AN538" s="292" t="e">
        <f>VLOOKUP(功能_33[[#This Row],[功能代號]],需二審tmp!A:A,1,FALSE)</f>
        <v>#N/A</v>
      </c>
      <c r="AQ538" s="574" t="str">
        <f t="shared" si="57"/>
        <v>LC.</v>
      </c>
      <c r="AR538" s="576" t="str">
        <f t="shared" si="58"/>
        <v/>
      </c>
      <c r="AS538" s="578" t="str">
        <f t="shared" si="59"/>
        <v/>
      </c>
      <c r="AT538" s="580" t="str">
        <f t="shared" si="60"/>
        <v/>
      </c>
      <c r="AU538" s="582" t="str">
        <f t="shared" si="61"/>
        <v/>
      </c>
      <c r="AV538" s="584" t="str">
        <f t="shared" si="62"/>
        <v/>
      </c>
      <c r="AW538" s="662" t="str">
        <f>IFERROR(VLOOKUP(功能_33[[#This Row],[功能代號]],工作表3!C:C,1,FALSE),"未計SIT測試")</f>
        <v>LC001</v>
      </c>
    </row>
    <row r="539" spans="1:49" ht="13.5" x14ac:dyDescent="0.3">
      <c r="C539" s="292" t="s">
        <v>2848</v>
      </c>
      <c r="D539" s="292" t="s">
        <v>2936</v>
      </c>
      <c r="E539" s="291" t="s">
        <v>1394</v>
      </c>
      <c r="F539" s="281" t="s">
        <v>1395</v>
      </c>
      <c r="G539" s="281" t="s">
        <v>1396</v>
      </c>
      <c r="H539" s="291" t="s">
        <v>136</v>
      </c>
      <c r="I539" s="291" t="s">
        <v>136</v>
      </c>
      <c r="J539" s="298" t="s">
        <v>3180</v>
      </c>
      <c r="K539" s="299">
        <v>44533</v>
      </c>
      <c r="L539" s="299">
        <v>44533</v>
      </c>
      <c r="M539" s="299">
        <v>44545</v>
      </c>
      <c r="N539" s="291" t="s">
        <v>7</v>
      </c>
      <c r="O539" s="291" t="s">
        <v>3179</v>
      </c>
      <c r="T539" s="291"/>
      <c r="V539" s="291"/>
      <c r="W539" s="291"/>
      <c r="X539" s="292" t="str">
        <f>VLOOKUP(功能_33[[#This Row],[User]],SKL放款!A:G,7,FALSE)</f>
        <v>放款服務課</v>
      </c>
      <c r="Y539" s="299">
        <v>44545</v>
      </c>
      <c r="Z539" s="299" t="s">
        <v>2926</v>
      </c>
      <c r="AA539" s="282">
        <v>44543</v>
      </c>
      <c r="AB539" s="299">
        <v>44543</v>
      </c>
      <c r="AC539" s="299">
        <v>44545</v>
      </c>
      <c r="AD539" s="283"/>
      <c r="AE539" s="283"/>
      <c r="AF539" s="283"/>
      <c r="AG539" s="283" t="str">
        <f>IFERROR(IF(VLOOKUP(功能_33[[#This Row],[功能代號]],E:Q,11,FALSE)=0,"",VLOOKUP(功能_33[[#This Row],[功能代號]],E:Q,11,FALSE)),"")</f>
        <v>陳政皓</v>
      </c>
      <c r="AH539" s="283"/>
      <c r="AI539" s="283"/>
      <c r="AJ539" s="292"/>
      <c r="AL539" s="291" t="s">
        <v>2976</v>
      </c>
      <c r="AN539" s="292" t="e">
        <f>VLOOKUP(功能_33[[#This Row],[功能代號]],需二審tmp!A:A,1,FALSE)</f>
        <v>#N/A</v>
      </c>
      <c r="AQ539" s="574" t="str">
        <f t="shared" si="57"/>
        <v>LC.</v>
      </c>
      <c r="AR539" s="576" t="str">
        <f t="shared" si="58"/>
        <v/>
      </c>
      <c r="AS539" s="578" t="str">
        <f t="shared" si="59"/>
        <v/>
      </c>
      <c r="AT539" s="580" t="str">
        <f t="shared" si="60"/>
        <v/>
      </c>
      <c r="AU539" s="582" t="str">
        <f t="shared" si="61"/>
        <v/>
      </c>
      <c r="AV539" s="584" t="str">
        <f t="shared" si="62"/>
        <v/>
      </c>
      <c r="AW539" s="662" t="str">
        <f>IFERROR(VLOOKUP(功能_33[[#This Row],[功能代號]],工作表3!C:C,1,FALSE),"未計SIT測試")</f>
        <v>LC002</v>
      </c>
    </row>
    <row r="540" spans="1:49" ht="13.5" x14ac:dyDescent="0.3">
      <c r="C540" s="292" t="s">
        <v>2848</v>
      </c>
      <c r="D540" s="292" t="s">
        <v>2936</v>
      </c>
      <c r="E540" s="291" t="s">
        <v>1397</v>
      </c>
      <c r="F540" s="281" t="s">
        <v>1398</v>
      </c>
      <c r="G540" s="281" t="s">
        <v>1399</v>
      </c>
      <c r="H540" s="291" t="s">
        <v>136</v>
      </c>
      <c r="I540" s="291" t="s">
        <v>136</v>
      </c>
      <c r="J540" s="298" t="s">
        <v>3180</v>
      </c>
      <c r="K540" s="299">
        <v>44533</v>
      </c>
      <c r="L540" s="299">
        <v>44533</v>
      </c>
      <c r="M540" s="299">
        <v>44545</v>
      </c>
      <c r="N540" s="291" t="s">
        <v>7</v>
      </c>
      <c r="O540" s="291" t="s">
        <v>3179</v>
      </c>
      <c r="T540" s="291"/>
      <c r="V540" s="291"/>
      <c r="W540" s="291"/>
      <c r="X540" s="292" t="str">
        <f>VLOOKUP(功能_33[[#This Row],[User]],SKL放款!A:G,7,FALSE)</f>
        <v>放款服務課</v>
      </c>
      <c r="Y540" s="299">
        <v>44545</v>
      </c>
      <c r="Z540" s="299" t="s">
        <v>2733</v>
      </c>
      <c r="AA540" s="282">
        <v>44543</v>
      </c>
      <c r="AB540" s="299">
        <v>44543</v>
      </c>
      <c r="AC540" s="299">
        <v>44545</v>
      </c>
      <c r="AD540" s="283"/>
      <c r="AE540" s="283"/>
      <c r="AF540" s="283"/>
      <c r="AG540" s="283" t="str">
        <f>IFERROR(IF(VLOOKUP(功能_33[[#This Row],[功能代號]],E:Q,11,FALSE)=0,"",VLOOKUP(功能_33[[#This Row],[功能代號]],E:Q,11,FALSE)),"")</f>
        <v>陳政皓</v>
      </c>
      <c r="AH540" s="283"/>
      <c r="AI540" s="283"/>
      <c r="AJ540" s="292"/>
      <c r="AL540" s="291" t="s">
        <v>2976</v>
      </c>
      <c r="AN540" s="292" t="str">
        <f>VLOOKUP(功能_33[[#This Row],[功能代號]],需二審tmp!A:A,1,FALSE)</f>
        <v>LC003</v>
      </c>
      <c r="AQ540" s="574" t="str">
        <f t="shared" si="57"/>
        <v>LC.</v>
      </c>
      <c r="AR540" s="576" t="str">
        <f t="shared" si="58"/>
        <v/>
      </c>
      <c r="AS540" s="578" t="str">
        <f t="shared" si="59"/>
        <v/>
      </c>
      <c r="AT540" s="580" t="str">
        <f t="shared" si="60"/>
        <v/>
      </c>
      <c r="AU540" s="582" t="str">
        <f t="shared" si="61"/>
        <v/>
      </c>
      <c r="AV540" s="584" t="str">
        <f t="shared" si="62"/>
        <v/>
      </c>
      <c r="AW540" s="662" t="str">
        <f>IFERROR(VLOOKUP(功能_33[[#This Row],[功能代號]],工作表3!C:C,1,FALSE),"未計SIT測試")</f>
        <v>LC003</v>
      </c>
    </row>
    <row r="541" spans="1:49" ht="13.5" x14ac:dyDescent="0.3">
      <c r="C541" s="292" t="s">
        <v>2848</v>
      </c>
      <c r="D541" s="292" t="s">
        <v>2936</v>
      </c>
      <c r="E541" s="291" t="s">
        <v>1400</v>
      </c>
      <c r="F541" s="281" t="s">
        <v>1401</v>
      </c>
      <c r="G541" s="281" t="s">
        <v>1396</v>
      </c>
      <c r="H541" s="291" t="s">
        <v>136</v>
      </c>
      <c r="I541" s="291" t="s">
        <v>136</v>
      </c>
      <c r="J541" s="298" t="s">
        <v>3180</v>
      </c>
      <c r="K541" s="222">
        <v>44533</v>
      </c>
      <c r="L541" s="299">
        <v>44533</v>
      </c>
      <c r="M541" s="299">
        <v>44545</v>
      </c>
      <c r="N541" s="291" t="s">
        <v>7</v>
      </c>
      <c r="O541" s="291" t="s">
        <v>3179</v>
      </c>
      <c r="T541" s="291"/>
      <c r="V541" s="291"/>
      <c r="W541" s="291"/>
      <c r="X541" s="292" t="str">
        <f>VLOOKUP(功能_33[[#This Row],[User]],SKL放款!A:G,7,FALSE)</f>
        <v>放款服務課</v>
      </c>
      <c r="Y541" s="299">
        <v>44545</v>
      </c>
      <c r="Z541" s="299" t="s">
        <v>2926</v>
      </c>
      <c r="AA541" s="282">
        <v>44543</v>
      </c>
      <c r="AB541" s="299">
        <v>44543</v>
      </c>
      <c r="AC541" s="299">
        <v>44545</v>
      </c>
      <c r="AD541" s="283"/>
      <c r="AE541" s="283"/>
      <c r="AF541" s="283"/>
      <c r="AG541" s="283" t="str">
        <f>IFERROR(IF(VLOOKUP(功能_33[[#This Row],[功能代號]],E:Q,11,FALSE)=0,"",VLOOKUP(功能_33[[#This Row],[功能代號]],E:Q,11,FALSE)),"")</f>
        <v>陳政皓</v>
      </c>
      <c r="AH541" s="283"/>
      <c r="AI541" s="283"/>
      <c r="AJ541" s="292"/>
      <c r="AL541" s="291" t="s">
        <v>2976</v>
      </c>
      <c r="AN541" s="292" t="e">
        <f>VLOOKUP(功能_33[[#This Row],[功能代號]],需二審tmp!A:A,1,FALSE)</f>
        <v>#N/A</v>
      </c>
      <c r="AQ541" s="574" t="str">
        <f t="shared" si="57"/>
        <v>LC.</v>
      </c>
      <c r="AR541" s="576" t="str">
        <f t="shared" si="58"/>
        <v/>
      </c>
      <c r="AS541" s="578" t="str">
        <f t="shared" si="59"/>
        <v/>
      </c>
      <c r="AT541" s="580" t="str">
        <f t="shared" si="60"/>
        <v/>
      </c>
      <c r="AU541" s="582" t="str">
        <f t="shared" si="61"/>
        <v/>
      </c>
      <c r="AV541" s="584" t="str">
        <f t="shared" si="62"/>
        <v/>
      </c>
      <c r="AW541" s="662" t="str">
        <f>IFERROR(VLOOKUP(功能_33[[#This Row],[功能代號]],工作表3!C:C,1,FALSE),"未計SIT測試")</f>
        <v>未計SIT測試</v>
      </c>
    </row>
    <row r="542" spans="1:49" ht="13.5" x14ac:dyDescent="0.3">
      <c r="C542" s="292" t="s">
        <v>2848</v>
      </c>
      <c r="D542" s="292" t="s">
        <v>2936</v>
      </c>
      <c r="E542" s="291" t="s">
        <v>1402</v>
      </c>
      <c r="F542" s="281" t="s">
        <v>1403</v>
      </c>
      <c r="G542" s="281" t="s">
        <v>1396</v>
      </c>
      <c r="H542" s="291" t="s">
        <v>136</v>
      </c>
      <c r="I542" s="291" t="s">
        <v>136</v>
      </c>
      <c r="J542" s="298" t="s">
        <v>3180</v>
      </c>
      <c r="K542" s="299">
        <v>44533</v>
      </c>
      <c r="L542" s="299">
        <v>44533</v>
      </c>
      <c r="M542" s="299">
        <v>44545</v>
      </c>
      <c r="N542" s="291" t="s">
        <v>7</v>
      </c>
      <c r="O542" s="291" t="s">
        <v>3179</v>
      </c>
      <c r="T542" s="291"/>
      <c r="V542" s="291"/>
      <c r="W542" s="291"/>
      <c r="X542" s="292" t="str">
        <f>VLOOKUP(功能_33[[#This Row],[User]],SKL放款!A:G,7,FALSE)</f>
        <v>放款服務課</v>
      </c>
      <c r="Y542" s="299">
        <v>44545</v>
      </c>
      <c r="Z542" s="299" t="s">
        <v>2926</v>
      </c>
      <c r="AA542" s="282">
        <v>44543</v>
      </c>
      <c r="AB542" s="299">
        <v>44543</v>
      </c>
      <c r="AC542" s="299">
        <v>44545</v>
      </c>
      <c r="AD542" s="283"/>
      <c r="AE542" s="283"/>
      <c r="AF542" s="283"/>
      <c r="AG542" s="283" t="str">
        <f>IFERROR(IF(VLOOKUP(功能_33[[#This Row],[功能代號]],E:Q,11,FALSE)=0,"",VLOOKUP(功能_33[[#This Row],[功能代號]],E:Q,11,FALSE)),"")</f>
        <v>陳政皓</v>
      </c>
      <c r="AH542" s="283"/>
      <c r="AI542" s="283"/>
      <c r="AJ542" s="292"/>
      <c r="AL542" s="291" t="s">
        <v>2976</v>
      </c>
      <c r="AN542" s="292" t="e">
        <f>VLOOKUP(功能_33[[#This Row],[功能代號]],需二審tmp!A:A,1,FALSE)</f>
        <v>#N/A</v>
      </c>
      <c r="AQ542" s="574" t="str">
        <f t="shared" si="57"/>
        <v>LC.</v>
      </c>
      <c r="AR542" s="576" t="str">
        <f t="shared" si="58"/>
        <v/>
      </c>
      <c r="AS542" s="578" t="str">
        <f t="shared" si="59"/>
        <v/>
      </c>
      <c r="AT542" s="580" t="str">
        <f t="shared" si="60"/>
        <v/>
      </c>
      <c r="AU542" s="582" t="str">
        <f t="shared" si="61"/>
        <v/>
      </c>
      <c r="AV542" s="584" t="str">
        <f t="shared" si="62"/>
        <v/>
      </c>
      <c r="AW542" s="662" t="str">
        <f>IFERROR(VLOOKUP(功能_33[[#This Row],[功能代號]],工作表3!C:C,1,FALSE),"未計SIT測試")</f>
        <v>LC005</v>
      </c>
    </row>
    <row r="543" spans="1:49" ht="13.5" x14ac:dyDescent="0.3">
      <c r="C543" s="292" t="s">
        <v>2848</v>
      </c>
      <c r="D543" s="292" t="s">
        <v>2936</v>
      </c>
      <c r="E543" s="291" t="s">
        <v>1404</v>
      </c>
      <c r="F543" s="281" t="s">
        <v>1405</v>
      </c>
      <c r="G543" s="281" t="s">
        <v>1393</v>
      </c>
      <c r="H543" s="291" t="s">
        <v>136</v>
      </c>
      <c r="I543" s="291" t="s">
        <v>136</v>
      </c>
      <c r="J543" s="298" t="s">
        <v>3180</v>
      </c>
      <c r="K543" s="299">
        <v>44533</v>
      </c>
      <c r="L543" s="299">
        <v>44533</v>
      </c>
      <c r="M543" s="299">
        <v>44545</v>
      </c>
      <c r="N543" s="291" t="s">
        <v>7</v>
      </c>
      <c r="O543" s="291" t="s">
        <v>3179</v>
      </c>
      <c r="T543" s="291"/>
      <c r="V543" s="291"/>
      <c r="W543" s="291"/>
      <c r="X543" s="292" t="str">
        <f>VLOOKUP(功能_33[[#This Row],[User]],SKL放款!A:G,7,FALSE)</f>
        <v>放款服務課</v>
      </c>
      <c r="Y543" s="299">
        <v>44545</v>
      </c>
      <c r="Z543" s="299" t="s">
        <v>2733</v>
      </c>
      <c r="AA543" s="282">
        <v>44543</v>
      </c>
      <c r="AB543" s="299">
        <v>44543</v>
      </c>
      <c r="AC543" s="299">
        <v>44545</v>
      </c>
      <c r="AD543" s="283"/>
      <c r="AE543" s="283"/>
      <c r="AF543" s="283"/>
      <c r="AG543" s="283" t="str">
        <f>IFERROR(IF(VLOOKUP(功能_33[[#This Row],[功能代號]],E:Q,11,FALSE)=0,"",VLOOKUP(功能_33[[#This Row],[功能代號]],E:Q,11,FALSE)),"")</f>
        <v>陳政皓</v>
      </c>
      <c r="AH543" s="283"/>
      <c r="AI543" s="283"/>
      <c r="AJ543" s="292"/>
      <c r="AL543" s="291" t="s">
        <v>2976</v>
      </c>
      <c r="AN543" s="292" t="str">
        <f>VLOOKUP(功能_33[[#This Row],[功能代號]],需二審tmp!A:A,1,FALSE)</f>
        <v>LC009</v>
      </c>
      <c r="AQ543" s="574" t="str">
        <f t="shared" si="57"/>
        <v>LC.</v>
      </c>
      <c r="AR543" s="576" t="str">
        <f t="shared" si="58"/>
        <v/>
      </c>
      <c r="AS543" s="578" t="str">
        <f t="shared" si="59"/>
        <v/>
      </c>
      <c r="AT543" s="580" t="str">
        <f t="shared" si="60"/>
        <v/>
      </c>
      <c r="AU543" s="582" t="str">
        <f t="shared" si="61"/>
        <v/>
      </c>
      <c r="AV543" s="584" t="str">
        <f t="shared" si="62"/>
        <v/>
      </c>
      <c r="AW543" s="662" t="str">
        <f>IFERROR(VLOOKUP(功能_33[[#This Row],[功能代號]],工作表3!C:C,1,FALSE),"未計SIT測試")</f>
        <v>LC009</v>
      </c>
    </row>
    <row r="544" spans="1:49" ht="13.5" x14ac:dyDescent="0.3">
      <c r="C544" s="292" t="s">
        <v>2848</v>
      </c>
      <c r="D544" s="292" t="s">
        <v>2936</v>
      </c>
      <c r="E544" s="291" t="s">
        <v>1406</v>
      </c>
      <c r="F544" s="281" t="s">
        <v>1407</v>
      </c>
      <c r="G544" s="281" t="s">
        <v>1393</v>
      </c>
      <c r="H544" s="291" t="s">
        <v>136</v>
      </c>
      <c r="I544" s="291" t="s">
        <v>136</v>
      </c>
      <c r="J544" s="298" t="s">
        <v>3180</v>
      </c>
      <c r="K544" s="222">
        <v>44533</v>
      </c>
      <c r="L544" s="299">
        <v>44533</v>
      </c>
      <c r="M544" s="299">
        <v>44545</v>
      </c>
      <c r="N544" s="291" t="s">
        <v>7</v>
      </c>
      <c r="O544" s="291" t="s">
        <v>3179</v>
      </c>
      <c r="T544" s="291"/>
      <c r="V544" s="291"/>
      <c r="W544" s="291"/>
      <c r="X544" s="292" t="str">
        <f>VLOOKUP(功能_33[[#This Row],[User]],SKL放款!A:G,7,FALSE)</f>
        <v>放款服務課</v>
      </c>
      <c r="Y544" s="299">
        <v>44545</v>
      </c>
      <c r="Z544" s="299" t="s">
        <v>2926</v>
      </c>
      <c r="AA544" s="282">
        <v>44543</v>
      </c>
      <c r="AB544" s="299">
        <v>44543</v>
      </c>
      <c r="AC544" s="299">
        <v>44545</v>
      </c>
      <c r="AD544" s="283"/>
      <c r="AE544" s="283"/>
      <c r="AF544" s="283"/>
      <c r="AG544" s="283" t="str">
        <f>IFERROR(IF(VLOOKUP(功能_33[[#This Row],[功能代號]],E:Q,11,FALSE)=0,"",VLOOKUP(功能_33[[#This Row],[功能代號]],E:Q,11,FALSE)),"")</f>
        <v>陳政皓</v>
      </c>
      <c r="AH544" s="283"/>
      <c r="AI544" s="283"/>
      <c r="AJ544" s="292"/>
      <c r="AL544" s="291" t="s">
        <v>2976</v>
      </c>
      <c r="AN544" s="292" t="e">
        <f>VLOOKUP(功能_33[[#This Row],[功能代號]],需二審tmp!A:A,1,FALSE)</f>
        <v>#N/A</v>
      </c>
      <c r="AQ544" s="574" t="str">
        <f t="shared" si="57"/>
        <v>LC.</v>
      </c>
      <c r="AR544" s="576" t="str">
        <f t="shared" si="58"/>
        <v/>
      </c>
      <c r="AS544" s="578" t="str">
        <f t="shared" si="59"/>
        <v/>
      </c>
      <c r="AT544" s="580" t="str">
        <f t="shared" si="60"/>
        <v/>
      </c>
      <c r="AU544" s="582" t="str">
        <f t="shared" si="61"/>
        <v/>
      </c>
      <c r="AV544" s="584" t="str">
        <f t="shared" si="62"/>
        <v/>
      </c>
      <c r="AW544" s="662" t="str">
        <f>IFERROR(VLOOKUP(功能_33[[#This Row],[功能代號]],工作表3!C:C,1,FALSE),"未計SIT測試")</f>
        <v>未計SIT測試</v>
      </c>
    </row>
    <row r="545" spans="1:49" ht="13.5" x14ac:dyDescent="0.3">
      <c r="C545" s="292" t="s">
        <v>2848</v>
      </c>
      <c r="D545" s="292" t="s">
        <v>2936</v>
      </c>
      <c r="E545" s="291" t="s">
        <v>1408</v>
      </c>
      <c r="F545" s="281" t="s">
        <v>1409</v>
      </c>
      <c r="G545" s="281" t="s">
        <v>1393</v>
      </c>
      <c r="H545" s="291" t="s">
        <v>136</v>
      </c>
      <c r="I545" s="291" t="s">
        <v>136</v>
      </c>
      <c r="J545" s="298" t="s">
        <v>3180</v>
      </c>
      <c r="K545" s="299">
        <v>44533</v>
      </c>
      <c r="L545" s="299">
        <v>44533</v>
      </c>
      <c r="M545" s="299">
        <v>44545</v>
      </c>
      <c r="N545" s="291" t="s">
        <v>7</v>
      </c>
      <c r="O545" s="291" t="s">
        <v>3179</v>
      </c>
      <c r="T545" s="291"/>
      <c r="V545" s="291"/>
      <c r="W545" s="291"/>
      <c r="X545" s="292" t="str">
        <f>VLOOKUP(功能_33[[#This Row],[User]],SKL放款!A:G,7,FALSE)</f>
        <v>放款服務課</v>
      </c>
      <c r="Y545" s="299">
        <v>44545</v>
      </c>
      <c r="Z545" s="299" t="s">
        <v>2733</v>
      </c>
      <c r="AA545" s="282">
        <v>44543</v>
      </c>
      <c r="AB545" s="299">
        <v>44543</v>
      </c>
      <c r="AC545" s="299">
        <v>44545</v>
      </c>
      <c r="AD545" s="283"/>
      <c r="AE545" s="283"/>
      <c r="AF545" s="283"/>
      <c r="AG545" s="283" t="str">
        <f>IFERROR(IF(VLOOKUP(功能_33[[#This Row],[功能代號]],E:Q,11,FALSE)=0,"",VLOOKUP(功能_33[[#This Row],[功能代號]],E:Q,11,FALSE)),"")</f>
        <v>陳政皓</v>
      </c>
      <c r="AH545" s="283"/>
      <c r="AI545" s="283"/>
      <c r="AJ545" s="292"/>
      <c r="AL545" s="291" t="s">
        <v>2976</v>
      </c>
      <c r="AN545" s="292" t="str">
        <f>VLOOKUP(功能_33[[#This Row],[功能代號]],需二審tmp!A:A,1,FALSE)</f>
        <v>LC011</v>
      </c>
      <c r="AQ545" s="574" t="str">
        <f t="shared" si="57"/>
        <v>LC.</v>
      </c>
      <c r="AR545" s="576" t="str">
        <f t="shared" si="58"/>
        <v/>
      </c>
      <c r="AS545" s="578" t="str">
        <f t="shared" si="59"/>
        <v/>
      </c>
      <c r="AT545" s="580" t="str">
        <f t="shared" si="60"/>
        <v/>
      </c>
      <c r="AU545" s="582" t="str">
        <f t="shared" si="61"/>
        <v/>
      </c>
      <c r="AV545" s="584" t="str">
        <f t="shared" si="62"/>
        <v/>
      </c>
      <c r="AW545" s="662" t="str">
        <f>IFERROR(VLOOKUP(功能_33[[#This Row],[功能代號]],工作表3!C:C,1,FALSE),"未計SIT測試")</f>
        <v>LC011</v>
      </c>
    </row>
    <row r="546" spans="1:49" ht="13.5" x14ac:dyDescent="0.3">
      <c r="A546" s="634"/>
      <c r="B546" s="423"/>
      <c r="C546" s="292" t="s">
        <v>2848</v>
      </c>
      <c r="D546" s="292" t="s">
        <v>2936</v>
      </c>
      <c r="E546" s="291" t="s">
        <v>3157</v>
      </c>
      <c r="F546" s="281" t="s">
        <v>3158</v>
      </c>
      <c r="G546" s="281" t="s">
        <v>3166</v>
      </c>
      <c r="H546" s="291" t="s">
        <v>136</v>
      </c>
      <c r="I546" s="291" t="s">
        <v>136</v>
      </c>
      <c r="J546" s="298" t="s">
        <v>3180</v>
      </c>
      <c r="K546" s="299">
        <v>44533</v>
      </c>
      <c r="L546" s="299">
        <v>44545</v>
      </c>
      <c r="M546" s="299">
        <v>44545</v>
      </c>
      <c r="N546" s="291" t="s">
        <v>7</v>
      </c>
      <c r="O546" s="291" t="s">
        <v>3179</v>
      </c>
      <c r="T546" s="291"/>
      <c r="V546" s="291"/>
      <c r="W546" s="291"/>
      <c r="X546" s="423" t="str">
        <f>VLOOKUP(功能_33[[#This Row],[User]],SKL放款!A:G,7,FALSE)</f>
        <v>放款服務課</v>
      </c>
      <c r="Y546" s="299">
        <v>44545</v>
      </c>
      <c r="Z546" s="299" t="s">
        <v>2791</v>
      </c>
      <c r="AA546" s="282">
        <v>44543</v>
      </c>
      <c r="AB546" s="299">
        <v>44543</v>
      </c>
      <c r="AC546" s="299">
        <v>44545</v>
      </c>
      <c r="AD546" s="283"/>
      <c r="AE546" s="283"/>
      <c r="AF546" s="283"/>
      <c r="AG546" s="283" t="str">
        <f>IFERROR(IF(VLOOKUP(功能_33[[#This Row],[功能代號]],E:Q,11,FALSE)=0,"",VLOOKUP(功能_33[[#This Row],[功能代號]],E:Q,11,FALSE)),"")</f>
        <v>陳政皓</v>
      </c>
      <c r="AH546" s="283"/>
      <c r="AI546" s="283"/>
      <c r="AJ546" s="423"/>
      <c r="AL546" s="291" t="s">
        <v>2976</v>
      </c>
      <c r="AM546" s="423"/>
      <c r="AN546" s="423" t="e">
        <f>VLOOKUP(功能_33[[#This Row],[功能代號]],需二審tmp!A:A,1,FALSE)</f>
        <v>#N/A</v>
      </c>
      <c r="AQ546" s="635" t="str">
        <f>IF(COUNTA(AC546)=1,LEFT(D546,3),"")</f>
        <v>LC.</v>
      </c>
      <c r="AR546" s="576" t="str">
        <f>IF(AND(COUNTA(L546)=1,COUNTA(M546)=1,COUNTA(Y546)=1,COUNTA(AB546)=1,COUNTA(AC546)=0),LEFT(D546,3),"")</f>
        <v/>
      </c>
      <c r="AS546" s="578" t="str">
        <f>IF(AND(COUNTA(L546)=1,COUNTA(M546)=1,COUNTA(Y546)=1,COUNTA(AB546)=0,COUNTA(AC546)=0),LEFT(D546,3),"")</f>
        <v/>
      </c>
      <c r="AT546" s="580" t="str">
        <f>IF(AND(COUNTA(M546)=0,COUNTA(Y546)=1),LEFT(D546,3),"")</f>
        <v/>
      </c>
      <c r="AU546" s="582" t="str">
        <f>IF(AND(COUNTA(M546)=1,COUNTA(Y546)=0),LEFT(D546,3),"")</f>
        <v/>
      </c>
      <c r="AV546" s="584" t="str">
        <f>IF(AND(COUNTA(M546)=0,COUNTA(Y546)=0),LEFT(D546,3),"")</f>
        <v/>
      </c>
      <c r="AW546" s="662" t="str">
        <f>IFERROR(VLOOKUP(功能_33[[#This Row],[功能代號]],工作表3!C:C,1,FALSE),"未計SIT測試")</f>
        <v>未計SIT測試</v>
      </c>
    </row>
    <row r="547" spans="1:49" ht="13.5" x14ac:dyDescent="0.3">
      <c r="A547" s="634"/>
      <c r="B547" s="423"/>
      <c r="C547" s="292" t="s">
        <v>2848</v>
      </c>
      <c r="D547" s="292" t="s">
        <v>2936</v>
      </c>
      <c r="E547" s="291" t="s">
        <v>3159</v>
      </c>
      <c r="F547" s="281" t="s">
        <v>3160</v>
      </c>
      <c r="G547" s="281" t="s">
        <v>3166</v>
      </c>
      <c r="H547" s="291" t="s">
        <v>136</v>
      </c>
      <c r="I547" s="291" t="s">
        <v>136</v>
      </c>
      <c r="J547" s="298" t="s">
        <v>3180</v>
      </c>
      <c r="K547" s="299">
        <v>44533</v>
      </c>
      <c r="L547" s="299">
        <v>44545</v>
      </c>
      <c r="M547" s="299">
        <v>44545</v>
      </c>
      <c r="N547" s="291" t="s">
        <v>7</v>
      </c>
      <c r="O547" s="291" t="s">
        <v>3179</v>
      </c>
      <c r="T547" s="291"/>
      <c r="V547" s="291"/>
      <c r="W547" s="291"/>
      <c r="X547" s="423" t="str">
        <f>VLOOKUP(功能_33[[#This Row],[User]],SKL放款!A:G,7,FALSE)</f>
        <v>放款服務課</v>
      </c>
      <c r="Y547" s="299">
        <v>44545</v>
      </c>
      <c r="Z547" s="299" t="s">
        <v>2791</v>
      </c>
      <c r="AA547" s="282">
        <v>44543</v>
      </c>
      <c r="AB547" s="299">
        <v>44543</v>
      </c>
      <c r="AC547" s="299">
        <v>44545</v>
      </c>
      <c r="AD547" s="283"/>
      <c r="AE547" s="283"/>
      <c r="AF547" s="283"/>
      <c r="AG547" s="283" t="str">
        <f>IFERROR(IF(VLOOKUP(功能_33[[#This Row],[功能代號]],E:Q,11,FALSE)=0,"",VLOOKUP(功能_33[[#This Row],[功能代號]],E:Q,11,FALSE)),"")</f>
        <v>陳政皓</v>
      </c>
      <c r="AH547" s="283"/>
      <c r="AI547" s="283"/>
      <c r="AJ547" s="423"/>
      <c r="AL547" s="291" t="s">
        <v>2976</v>
      </c>
      <c r="AM547" s="423"/>
      <c r="AN547" s="423" t="e">
        <f>VLOOKUP(功能_33[[#This Row],[功能代號]],需二審tmp!A:A,1,FALSE)</f>
        <v>#N/A</v>
      </c>
      <c r="AQ547" s="635" t="str">
        <f>IF(COUNTA(AC547)=1,LEFT(D547,3),"")</f>
        <v>LC.</v>
      </c>
      <c r="AR547" s="576" t="str">
        <f>IF(AND(COUNTA(L547)=1,COUNTA(M547)=1,COUNTA(Y547)=1,COUNTA(AB547)=1,COUNTA(AC547)=0),LEFT(D547,3),"")</f>
        <v/>
      </c>
      <c r="AS547" s="578" t="str">
        <f>IF(AND(COUNTA(L547)=1,COUNTA(M547)=1,COUNTA(Y547)=1,COUNTA(AB547)=0,COUNTA(AC547)=0),LEFT(D547,3),"")</f>
        <v/>
      </c>
      <c r="AT547" s="580" t="str">
        <f>IF(AND(COUNTA(M547)=0,COUNTA(Y547)=1),LEFT(D547,3),"")</f>
        <v/>
      </c>
      <c r="AU547" s="582" t="str">
        <f>IF(AND(COUNTA(M547)=1,COUNTA(Y547)=0),LEFT(D547,3),"")</f>
        <v/>
      </c>
      <c r="AV547" s="584" t="str">
        <f>IF(AND(COUNTA(M547)=0,COUNTA(Y547)=0),LEFT(D547,3),"")</f>
        <v/>
      </c>
      <c r="AW547" s="662" t="str">
        <f>IFERROR(VLOOKUP(功能_33[[#This Row],[功能代號]],工作表3!C:C,1,FALSE),"未計SIT測試")</f>
        <v>未計SIT測試</v>
      </c>
    </row>
    <row r="548" spans="1:49" ht="13.5" x14ac:dyDescent="0.3">
      <c r="A548" s="634"/>
      <c r="B548" s="423"/>
      <c r="C548" s="292" t="s">
        <v>2848</v>
      </c>
      <c r="D548" s="292" t="s">
        <v>2936</v>
      </c>
      <c r="E548" s="291" t="s">
        <v>3161</v>
      </c>
      <c r="F548" s="281" t="s">
        <v>3162</v>
      </c>
      <c r="G548" s="281" t="s">
        <v>3166</v>
      </c>
      <c r="H548" s="291" t="s">
        <v>136</v>
      </c>
      <c r="I548" s="291" t="s">
        <v>136</v>
      </c>
      <c r="J548" s="298" t="s">
        <v>3180</v>
      </c>
      <c r="K548" s="299">
        <v>44533</v>
      </c>
      <c r="L548" s="299">
        <v>44545</v>
      </c>
      <c r="M548" s="299">
        <v>44545</v>
      </c>
      <c r="N548" s="291" t="s">
        <v>7</v>
      </c>
      <c r="O548" s="291" t="s">
        <v>3179</v>
      </c>
      <c r="T548" s="291"/>
      <c r="V548" s="291"/>
      <c r="W548" s="291"/>
      <c r="X548" s="423" t="str">
        <f>VLOOKUP(功能_33[[#This Row],[User]],SKL放款!A:G,7,FALSE)</f>
        <v>放款服務課</v>
      </c>
      <c r="Y548" s="299">
        <v>44545</v>
      </c>
      <c r="Z548" s="299" t="s">
        <v>2791</v>
      </c>
      <c r="AA548" s="282">
        <v>44543</v>
      </c>
      <c r="AB548" s="299">
        <v>44543</v>
      </c>
      <c r="AC548" s="299">
        <v>44545</v>
      </c>
      <c r="AD548" s="283"/>
      <c r="AE548" s="283"/>
      <c r="AF548" s="283"/>
      <c r="AG548" s="283" t="str">
        <f>IFERROR(IF(VLOOKUP(功能_33[[#This Row],[功能代號]],E:Q,11,FALSE)=0,"",VLOOKUP(功能_33[[#This Row],[功能代號]],E:Q,11,FALSE)),"")</f>
        <v>陳政皓</v>
      </c>
      <c r="AH548" s="283"/>
      <c r="AI548" s="283"/>
      <c r="AJ548" s="423"/>
      <c r="AL548" s="291" t="s">
        <v>2976</v>
      </c>
      <c r="AM548" s="423"/>
      <c r="AN548" s="423" t="e">
        <f>VLOOKUP(功能_33[[#This Row],[功能代號]],需二審tmp!A:A,1,FALSE)</f>
        <v>#N/A</v>
      </c>
      <c r="AQ548" s="635" t="str">
        <f>IF(COUNTA(AC548)=1,LEFT(D548,3),"")</f>
        <v>LC.</v>
      </c>
      <c r="AR548" s="576" t="str">
        <f>IF(AND(COUNTA(L548)=1,COUNTA(M548)=1,COUNTA(Y548)=1,COUNTA(AB548)=1,COUNTA(AC548)=0),LEFT(D548,3),"")</f>
        <v/>
      </c>
      <c r="AS548" s="578" t="str">
        <f>IF(AND(COUNTA(L548)=1,COUNTA(M548)=1,COUNTA(Y548)=1,COUNTA(AB548)=0,COUNTA(AC548)=0),LEFT(D548,3),"")</f>
        <v/>
      </c>
      <c r="AT548" s="580" t="str">
        <f>IF(AND(COUNTA(M548)=0,COUNTA(Y548)=1),LEFT(D548,3),"")</f>
        <v/>
      </c>
      <c r="AU548" s="582" t="str">
        <f>IF(AND(COUNTA(M548)=1,COUNTA(Y548)=0),LEFT(D548,3),"")</f>
        <v/>
      </c>
      <c r="AV548" s="584" t="str">
        <f>IF(AND(COUNTA(M548)=0,COUNTA(Y548)=0),LEFT(D548,3),"")</f>
        <v/>
      </c>
      <c r="AW548" s="662" t="str">
        <f>IFERROR(VLOOKUP(功能_33[[#This Row],[功能代號]],工作表3!C:C,1,FALSE),"未計SIT測試")</f>
        <v>未計SIT測試</v>
      </c>
    </row>
    <row r="549" spans="1:49" ht="13.5" x14ac:dyDescent="0.3">
      <c r="A549" s="634"/>
      <c r="B549" s="423"/>
      <c r="C549" s="292" t="s">
        <v>2848</v>
      </c>
      <c r="D549" s="292" t="s">
        <v>2936</v>
      </c>
      <c r="E549" s="291" t="s">
        <v>3163</v>
      </c>
      <c r="F549" s="281" t="s">
        <v>3164</v>
      </c>
      <c r="G549" s="281" t="s">
        <v>3166</v>
      </c>
      <c r="H549" s="291" t="s">
        <v>136</v>
      </c>
      <c r="I549" s="291" t="s">
        <v>136</v>
      </c>
      <c r="J549" s="298" t="s">
        <v>3180</v>
      </c>
      <c r="K549" s="299">
        <v>44533</v>
      </c>
      <c r="L549" s="299">
        <v>44545</v>
      </c>
      <c r="M549" s="299">
        <v>44545</v>
      </c>
      <c r="N549" s="291" t="s">
        <v>7</v>
      </c>
      <c r="O549" s="291" t="s">
        <v>3179</v>
      </c>
      <c r="T549" s="291"/>
      <c r="V549" s="291"/>
      <c r="W549" s="291"/>
      <c r="X549" s="423" t="str">
        <f>VLOOKUP(功能_33[[#This Row],[User]],SKL放款!A:G,7,FALSE)</f>
        <v>放款服務課</v>
      </c>
      <c r="Y549" s="299">
        <v>44545</v>
      </c>
      <c r="Z549" s="299" t="s">
        <v>2791</v>
      </c>
      <c r="AA549" s="282">
        <v>44543</v>
      </c>
      <c r="AB549" s="299">
        <v>44543</v>
      </c>
      <c r="AC549" s="299">
        <v>44545</v>
      </c>
      <c r="AD549" s="283"/>
      <c r="AE549" s="283"/>
      <c r="AF549" s="283"/>
      <c r="AG549" s="283" t="str">
        <f>IFERROR(IF(VLOOKUP(功能_33[[#This Row],[功能代號]],E:Q,11,FALSE)=0,"",VLOOKUP(功能_33[[#This Row],[功能代號]],E:Q,11,FALSE)),"")</f>
        <v>陳政皓</v>
      </c>
      <c r="AH549" s="283"/>
      <c r="AI549" s="283"/>
      <c r="AJ549" s="423"/>
      <c r="AL549" s="291" t="s">
        <v>2976</v>
      </c>
      <c r="AM549" s="423"/>
      <c r="AN549" s="423" t="e">
        <f>VLOOKUP(功能_33[[#This Row],[功能代號]],需二審tmp!A:A,1,FALSE)</f>
        <v>#N/A</v>
      </c>
      <c r="AQ549" s="635" t="str">
        <f>IF(COUNTA(AC549)=1,LEFT(D549,3),"")</f>
        <v>LC.</v>
      </c>
      <c r="AR549" s="576" t="str">
        <f>IF(AND(COUNTA(L549)=1,COUNTA(M549)=1,COUNTA(Y549)=1,COUNTA(AB549)=1,COUNTA(AC549)=0),LEFT(D549,3),"")</f>
        <v/>
      </c>
      <c r="AS549" s="578" t="str">
        <f>IF(AND(COUNTA(L549)=1,COUNTA(M549)=1,COUNTA(Y549)=1,COUNTA(AB549)=0,COUNTA(AC549)=0),LEFT(D549,3),"")</f>
        <v/>
      </c>
      <c r="AT549" s="580" t="str">
        <f>IF(AND(COUNTA(M549)=0,COUNTA(Y549)=1),LEFT(D549,3),"")</f>
        <v/>
      </c>
      <c r="AU549" s="582" t="str">
        <f>IF(AND(COUNTA(M549)=1,COUNTA(Y549)=0),LEFT(D549,3),"")</f>
        <v/>
      </c>
      <c r="AV549" s="584" t="str">
        <f>IF(AND(COUNTA(M549)=0,COUNTA(Y549)=0),LEFT(D549,3),"")</f>
        <v/>
      </c>
      <c r="AW549" s="662" t="str">
        <f>IFERROR(VLOOKUP(功能_33[[#This Row],[功能代號]],工作表3!C:C,1,FALSE),"未計SIT測試")</f>
        <v>未計SIT測試</v>
      </c>
    </row>
    <row r="550" spans="1:49" s="504" customFormat="1" x14ac:dyDescent="0.3">
      <c r="A550" s="605"/>
      <c r="C550" s="505"/>
      <c r="D550" s="506"/>
      <c r="F550" s="507"/>
      <c r="G550" s="507"/>
      <c r="I550" s="507"/>
      <c r="J550" s="508"/>
      <c r="K550" s="505"/>
      <c r="L550" s="509"/>
      <c r="M550" s="505"/>
      <c r="P550" s="510"/>
      <c r="Q550" s="505"/>
      <c r="R550" s="505"/>
      <c r="S550" s="505"/>
      <c r="T550" s="509"/>
      <c r="U550" s="505"/>
      <c r="Y550" s="505"/>
      <c r="Z550" s="505"/>
      <c r="AE550" s="511"/>
      <c r="AF550" s="512"/>
      <c r="AH550" s="507"/>
      <c r="AI550" s="507"/>
      <c r="AJ550" s="507"/>
      <c r="AK550" s="513"/>
      <c r="AL550" s="505"/>
      <c r="AO550" s="503"/>
      <c r="AP550" s="503"/>
    </row>
    <row r="551" spans="1:49" ht="13.5" x14ac:dyDescent="0.3">
      <c r="A551" s="299"/>
      <c r="D551" s="292"/>
      <c r="F551" s="292"/>
      <c r="G551" s="292"/>
      <c r="I551" s="292"/>
      <c r="J551" s="298"/>
      <c r="L551" s="291"/>
      <c r="T551" s="291"/>
      <c r="AH551" s="292"/>
      <c r="AI551" s="292"/>
      <c r="AJ551" s="292"/>
      <c r="AQ551" s="636">
        <f t="shared" ref="AQ551:AV551" si="63">COUNTIF(AQ2:AQ549,"&gt;&lt;")</f>
        <v>548</v>
      </c>
      <c r="AR551" s="498">
        <f t="shared" si="63"/>
        <v>0</v>
      </c>
      <c r="AS551" s="498">
        <f t="shared" si="63"/>
        <v>0</v>
      </c>
      <c r="AT551" s="498">
        <f t="shared" si="63"/>
        <v>0</v>
      </c>
      <c r="AU551" s="498">
        <f t="shared" si="63"/>
        <v>0</v>
      </c>
      <c r="AV551" s="498">
        <f t="shared" si="63"/>
        <v>0</v>
      </c>
    </row>
    <row r="552" spans="1:49" x14ac:dyDescent="0.3">
      <c r="AV552" s="616"/>
    </row>
  </sheetData>
  <phoneticPr fontId="3" type="noConversion"/>
  <pageMargins left="0.7" right="0.7" top="0.75" bottom="0.75" header="0.3" footer="0.3"/>
  <pageSetup paperSize="9" orientation="portrait" horizontalDpi="180" verticalDpi="180" r:id="rId1"/>
  <legacyDrawing r:id="rId2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D770D-60A7-4B85-8708-BDA96F6EDDE0}">
  <sheetPr filterMode="1"/>
  <dimension ref="A1:PF421"/>
  <sheetViews>
    <sheetView topLeftCell="A374" workbookViewId="0">
      <selection activeCell="B3" sqref="B3:B421"/>
    </sheetView>
  </sheetViews>
  <sheetFormatPr defaultRowHeight="14.5" x14ac:dyDescent="0.3"/>
  <sheetData>
    <row r="1" spans="1:422" x14ac:dyDescent="0.3">
      <c r="D1">
        <v>18</v>
      </c>
      <c r="E1">
        <v>2</v>
      </c>
      <c r="F1">
        <v>2</v>
      </c>
      <c r="G1">
        <v>2</v>
      </c>
      <c r="H1">
        <v>2</v>
      </c>
      <c r="I1">
        <v>3</v>
      </c>
      <c r="J1">
        <v>2</v>
      </c>
      <c r="K1">
        <v>2</v>
      </c>
      <c r="L1">
        <v>2</v>
      </c>
      <c r="M1">
        <v>1</v>
      </c>
      <c r="N1">
        <v>2</v>
      </c>
      <c r="O1">
        <v>2</v>
      </c>
      <c r="P1">
        <v>2</v>
      </c>
      <c r="Q1">
        <v>4</v>
      </c>
      <c r="R1">
        <v>1</v>
      </c>
      <c r="S1">
        <v>2</v>
      </c>
      <c r="T1">
        <v>2</v>
      </c>
      <c r="U1">
        <v>10</v>
      </c>
      <c r="V1">
        <v>11</v>
      </c>
      <c r="W1">
        <v>4</v>
      </c>
      <c r="X1">
        <v>9</v>
      </c>
      <c r="Y1">
        <v>3</v>
      </c>
      <c r="Z1">
        <v>0</v>
      </c>
      <c r="AA1">
        <v>4</v>
      </c>
      <c r="AB1">
        <v>2</v>
      </c>
      <c r="AC1">
        <v>2</v>
      </c>
      <c r="AD1">
        <v>0</v>
      </c>
      <c r="AE1">
        <v>3</v>
      </c>
      <c r="AF1">
        <v>1</v>
      </c>
      <c r="AG1">
        <v>13</v>
      </c>
      <c r="AH1">
        <v>2</v>
      </c>
      <c r="AI1">
        <v>2</v>
      </c>
      <c r="AJ1">
        <v>0</v>
      </c>
      <c r="AK1">
        <v>0</v>
      </c>
      <c r="AL1">
        <v>3</v>
      </c>
      <c r="AM1">
        <v>2</v>
      </c>
      <c r="AN1">
        <v>2</v>
      </c>
      <c r="AO1">
        <v>0</v>
      </c>
      <c r="AP1">
        <v>0</v>
      </c>
      <c r="AQ1">
        <v>3</v>
      </c>
      <c r="AR1">
        <v>0</v>
      </c>
      <c r="AS1">
        <v>2</v>
      </c>
      <c r="AT1">
        <v>2</v>
      </c>
      <c r="AU1">
        <v>2</v>
      </c>
      <c r="AV1">
        <v>1</v>
      </c>
      <c r="AW1">
        <v>0</v>
      </c>
      <c r="AX1">
        <v>5</v>
      </c>
      <c r="AY1">
        <v>6</v>
      </c>
      <c r="AZ1">
        <v>9</v>
      </c>
      <c r="BA1">
        <v>2</v>
      </c>
      <c r="BB1">
        <v>1</v>
      </c>
      <c r="BC1">
        <v>3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6</v>
      </c>
      <c r="BM1">
        <v>2</v>
      </c>
      <c r="BN1">
        <v>2</v>
      </c>
      <c r="BO1">
        <v>2</v>
      </c>
      <c r="BP1">
        <v>1</v>
      </c>
      <c r="BQ1">
        <v>2</v>
      </c>
      <c r="BR1">
        <v>1</v>
      </c>
      <c r="BS1">
        <v>3</v>
      </c>
      <c r="BT1">
        <v>2</v>
      </c>
      <c r="BU1">
        <v>2</v>
      </c>
      <c r="BV1">
        <v>2</v>
      </c>
      <c r="BW1">
        <v>0</v>
      </c>
      <c r="BX1">
        <v>0</v>
      </c>
      <c r="BY1">
        <v>0</v>
      </c>
      <c r="BZ1">
        <v>2</v>
      </c>
      <c r="CA1">
        <v>2</v>
      </c>
      <c r="CB1">
        <v>2</v>
      </c>
      <c r="CC1">
        <v>1</v>
      </c>
      <c r="CD1">
        <v>1</v>
      </c>
      <c r="CE1">
        <v>4</v>
      </c>
      <c r="CF1">
        <v>1</v>
      </c>
      <c r="CG1">
        <v>1</v>
      </c>
      <c r="CH1">
        <v>1</v>
      </c>
      <c r="CI1">
        <v>1</v>
      </c>
      <c r="CJ1">
        <v>1</v>
      </c>
      <c r="CK1">
        <v>2</v>
      </c>
      <c r="CL1">
        <v>2</v>
      </c>
      <c r="CM1">
        <v>0</v>
      </c>
      <c r="CN1">
        <v>2</v>
      </c>
      <c r="CO1">
        <v>0</v>
      </c>
      <c r="CP1">
        <v>0</v>
      </c>
      <c r="CQ1">
        <v>1</v>
      </c>
      <c r="CR1">
        <v>1</v>
      </c>
      <c r="CS1">
        <v>1</v>
      </c>
      <c r="CT1">
        <v>6</v>
      </c>
      <c r="CU1">
        <v>4</v>
      </c>
      <c r="CV1">
        <v>1</v>
      </c>
      <c r="CW1">
        <v>0</v>
      </c>
      <c r="CX1">
        <v>3</v>
      </c>
      <c r="CY1">
        <v>4</v>
      </c>
      <c r="CZ1">
        <v>3</v>
      </c>
      <c r="DA1">
        <v>10</v>
      </c>
      <c r="DB1">
        <v>6</v>
      </c>
      <c r="DC1">
        <v>4</v>
      </c>
      <c r="DD1">
        <v>0</v>
      </c>
      <c r="DE1">
        <v>0</v>
      </c>
      <c r="DF1">
        <v>2</v>
      </c>
      <c r="DG1">
        <v>3</v>
      </c>
      <c r="DH1">
        <v>6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6</v>
      </c>
      <c r="DP1">
        <v>0</v>
      </c>
      <c r="DQ1">
        <v>1</v>
      </c>
      <c r="DR1">
        <v>0</v>
      </c>
      <c r="DS1">
        <v>2</v>
      </c>
      <c r="DT1">
        <v>1</v>
      </c>
      <c r="DU1">
        <v>3</v>
      </c>
      <c r="DV1">
        <v>2</v>
      </c>
      <c r="DW1">
        <v>0</v>
      </c>
      <c r="DX1">
        <v>0</v>
      </c>
      <c r="DY1">
        <v>0</v>
      </c>
      <c r="DZ1">
        <v>0</v>
      </c>
      <c r="EA1">
        <v>0</v>
      </c>
      <c r="EB1">
        <v>8</v>
      </c>
      <c r="EC1">
        <v>6</v>
      </c>
      <c r="ED1">
        <v>2</v>
      </c>
      <c r="EE1">
        <v>29</v>
      </c>
      <c r="EF1">
        <v>2</v>
      </c>
      <c r="EG1">
        <v>12</v>
      </c>
      <c r="EH1">
        <v>6</v>
      </c>
      <c r="EI1">
        <v>6</v>
      </c>
      <c r="EJ1">
        <v>10</v>
      </c>
      <c r="EK1">
        <v>9</v>
      </c>
      <c r="EL1">
        <v>4</v>
      </c>
      <c r="EM1">
        <v>2</v>
      </c>
      <c r="EN1">
        <v>1</v>
      </c>
      <c r="EO1">
        <v>1</v>
      </c>
      <c r="EP1">
        <v>5</v>
      </c>
      <c r="EQ1">
        <v>2</v>
      </c>
      <c r="ER1">
        <v>3</v>
      </c>
      <c r="ES1">
        <v>2</v>
      </c>
      <c r="ET1">
        <v>0</v>
      </c>
      <c r="EU1">
        <v>3</v>
      </c>
      <c r="EV1">
        <v>9</v>
      </c>
      <c r="EW1">
        <v>7</v>
      </c>
      <c r="EX1">
        <v>4</v>
      </c>
      <c r="EY1">
        <v>1</v>
      </c>
      <c r="EZ1">
        <v>4</v>
      </c>
      <c r="FA1">
        <v>8</v>
      </c>
      <c r="FB1">
        <v>4</v>
      </c>
      <c r="FC1">
        <v>1</v>
      </c>
      <c r="FD1">
        <v>8</v>
      </c>
      <c r="FE1">
        <v>8</v>
      </c>
      <c r="FF1">
        <v>2</v>
      </c>
      <c r="FG1">
        <v>2</v>
      </c>
      <c r="FH1">
        <v>2</v>
      </c>
      <c r="FI1">
        <v>1</v>
      </c>
      <c r="FJ1">
        <v>1</v>
      </c>
      <c r="FK1">
        <v>1</v>
      </c>
      <c r="FL1">
        <v>2</v>
      </c>
      <c r="FM1">
        <v>0</v>
      </c>
      <c r="FN1">
        <v>0</v>
      </c>
      <c r="FO1">
        <v>0</v>
      </c>
      <c r="FP1">
        <v>0</v>
      </c>
      <c r="FQ1">
        <v>0</v>
      </c>
      <c r="FR1">
        <v>2</v>
      </c>
      <c r="FS1">
        <v>2</v>
      </c>
      <c r="FT1">
        <v>2</v>
      </c>
      <c r="FU1">
        <v>1</v>
      </c>
      <c r="FV1">
        <v>1</v>
      </c>
      <c r="FW1">
        <v>2</v>
      </c>
      <c r="FX1">
        <v>1</v>
      </c>
      <c r="FY1">
        <v>1</v>
      </c>
      <c r="FZ1">
        <v>2</v>
      </c>
      <c r="GA1">
        <v>4</v>
      </c>
      <c r="GB1">
        <v>1</v>
      </c>
      <c r="GC1">
        <v>1</v>
      </c>
      <c r="GD1">
        <v>1</v>
      </c>
      <c r="GE1">
        <v>4</v>
      </c>
      <c r="GF1">
        <v>2</v>
      </c>
      <c r="GG1">
        <v>18</v>
      </c>
      <c r="GH1">
        <v>4</v>
      </c>
      <c r="GI1">
        <v>1</v>
      </c>
      <c r="GJ1">
        <v>1</v>
      </c>
      <c r="GK1">
        <v>1</v>
      </c>
      <c r="GL1">
        <v>1</v>
      </c>
      <c r="GM1">
        <v>1</v>
      </c>
      <c r="GN1">
        <v>4</v>
      </c>
      <c r="GO1">
        <v>6</v>
      </c>
      <c r="GP1">
        <v>4</v>
      </c>
      <c r="GQ1">
        <v>4</v>
      </c>
      <c r="GR1">
        <v>4</v>
      </c>
      <c r="GS1">
        <v>0</v>
      </c>
      <c r="GT1">
        <v>0</v>
      </c>
      <c r="GU1">
        <v>2</v>
      </c>
      <c r="GV1">
        <v>3</v>
      </c>
      <c r="GW1">
        <v>4</v>
      </c>
      <c r="GX1">
        <v>3</v>
      </c>
      <c r="GY1">
        <v>3</v>
      </c>
      <c r="GZ1">
        <v>1</v>
      </c>
      <c r="HA1">
        <v>3</v>
      </c>
      <c r="HB1">
        <v>4</v>
      </c>
      <c r="HC1">
        <v>2</v>
      </c>
      <c r="HD1">
        <v>2</v>
      </c>
      <c r="HE1">
        <v>0</v>
      </c>
      <c r="HF1">
        <v>2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1</v>
      </c>
      <c r="HQ1">
        <v>2</v>
      </c>
      <c r="HR1">
        <v>0</v>
      </c>
      <c r="HS1">
        <v>0</v>
      </c>
      <c r="HT1">
        <v>0</v>
      </c>
      <c r="HU1">
        <v>0</v>
      </c>
      <c r="HV1">
        <v>1</v>
      </c>
      <c r="HW1">
        <v>1</v>
      </c>
      <c r="HX1">
        <v>1</v>
      </c>
      <c r="HY1">
        <v>1</v>
      </c>
      <c r="HZ1">
        <v>1</v>
      </c>
      <c r="IA1">
        <v>3</v>
      </c>
      <c r="IB1">
        <v>0</v>
      </c>
      <c r="IC1">
        <v>0</v>
      </c>
      <c r="ID1">
        <v>1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2</v>
      </c>
      <c r="JC1">
        <v>2</v>
      </c>
      <c r="JD1">
        <v>0</v>
      </c>
      <c r="JE1">
        <v>0</v>
      </c>
      <c r="JF1">
        <v>2</v>
      </c>
      <c r="JG1">
        <v>0</v>
      </c>
      <c r="JH1">
        <v>0</v>
      </c>
      <c r="JI1">
        <v>1</v>
      </c>
      <c r="JJ1">
        <v>0</v>
      </c>
      <c r="JK1">
        <v>1</v>
      </c>
      <c r="JL1">
        <v>1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16</v>
      </c>
      <c r="KI1">
        <v>2</v>
      </c>
      <c r="KJ1">
        <v>2</v>
      </c>
      <c r="KK1">
        <v>4</v>
      </c>
      <c r="KL1">
        <v>2</v>
      </c>
      <c r="KM1">
        <v>2</v>
      </c>
      <c r="KN1">
        <v>2</v>
      </c>
      <c r="KO1">
        <v>2</v>
      </c>
      <c r="KP1">
        <v>2</v>
      </c>
      <c r="KQ1">
        <v>1</v>
      </c>
      <c r="KR1">
        <v>2</v>
      </c>
      <c r="KS1">
        <v>6</v>
      </c>
      <c r="KT1">
        <v>2</v>
      </c>
      <c r="KU1">
        <v>2</v>
      </c>
      <c r="KV1">
        <v>7</v>
      </c>
      <c r="KW1">
        <v>2</v>
      </c>
      <c r="KX1">
        <v>2</v>
      </c>
      <c r="KY1">
        <v>2</v>
      </c>
      <c r="KZ1">
        <v>2</v>
      </c>
      <c r="LA1">
        <v>1</v>
      </c>
      <c r="LB1">
        <v>2</v>
      </c>
      <c r="LC1">
        <v>6</v>
      </c>
      <c r="LD1">
        <v>2</v>
      </c>
      <c r="LE1">
        <v>3</v>
      </c>
      <c r="LF1">
        <v>2</v>
      </c>
      <c r="LG1">
        <v>2</v>
      </c>
      <c r="LH1">
        <v>2</v>
      </c>
      <c r="LI1">
        <v>2</v>
      </c>
      <c r="LJ1">
        <v>5</v>
      </c>
      <c r="LK1">
        <v>2</v>
      </c>
      <c r="LL1">
        <v>2</v>
      </c>
      <c r="LM1">
        <v>2</v>
      </c>
      <c r="LN1">
        <v>2</v>
      </c>
      <c r="LO1">
        <v>2</v>
      </c>
      <c r="LP1">
        <v>2</v>
      </c>
      <c r="LQ1">
        <v>1</v>
      </c>
      <c r="LR1">
        <v>2</v>
      </c>
      <c r="LS1">
        <v>0</v>
      </c>
      <c r="LT1">
        <v>2</v>
      </c>
      <c r="LU1">
        <v>2</v>
      </c>
      <c r="LV1">
        <v>1</v>
      </c>
      <c r="LW1">
        <v>1</v>
      </c>
      <c r="LX1">
        <v>1</v>
      </c>
      <c r="LY1">
        <v>2</v>
      </c>
      <c r="LZ1">
        <v>2</v>
      </c>
      <c r="MA1">
        <v>2</v>
      </c>
      <c r="MB1">
        <v>4</v>
      </c>
      <c r="MC1">
        <v>1</v>
      </c>
      <c r="MD1">
        <v>1</v>
      </c>
      <c r="ME1">
        <v>2</v>
      </c>
      <c r="MF1">
        <v>1</v>
      </c>
      <c r="MG1">
        <v>1</v>
      </c>
      <c r="MH1">
        <v>1</v>
      </c>
      <c r="MI1">
        <v>1</v>
      </c>
      <c r="MJ1">
        <v>1</v>
      </c>
      <c r="MK1">
        <v>2</v>
      </c>
      <c r="ML1">
        <v>1</v>
      </c>
      <c r="MM1">
        <v>1</v>
      </c>
      <c r="MN1">
        <v>4</v>
      </c>
      <c r="MO1">
        <v>1</v>
      </c>
      <c r="MP1">
        <v>1</v>
      </c>
      <c r="MQ1">
        <v>1</v>
      </c>
      <c r="MR1">
        <v>1</v>
      </c>
      <c r="MS1">
        <v>1</v>
      </c>
      <c r="MT1">
        <v>1</v>
      </c>
      <c r="MU1">
        <v>2</v>
      </c>
      <c r="MV1">
        <v>1</v>
      </c>
      <c r="MW1">
        <v>1</v>
      </c>
      <c r="MX1">
        <v>1</v>
      </c>
      <c r="MY1">
        <v>2</v>
      </c>
      <c r="MZ1">
        <v>1</v>
      </c>
      <c r="NA1">
        <v>4</v>
      </c>
      <c r="NB1">
        <v>2</v>
      </c>
      <c r="NC1">
        <v>2</v>
      </c>
      <c r="ND1">
        <v>1</v>
      </c>
      <c r="NE1">
        <v>1</v>
      </c>
      <c r="NF1">
        <v>1</v>
      </c>
      <c r="NG1">
        <v>2</v>
      </c>
      <c r="NH1">
        <v>11</v>
      </c>
      <c r="NI1">
        <v>1</v>
      </c>
      <c r="NJ1">
        <v>2</v>
      </c>
      <c r="NK1">
        <v>3</v>
      </c>
      <c r="NL1">
        <v>3</v>
      </c>
      <c r="NM1">
        <v>1</v>
      </c>
      <c r="NN1">
        <v>14</v>
      </c>
      <c r="NO1">
        <v>4</v>
      </c>
      <c r="NP1">
        <v>1</v>
      </c>
      <c r="NQ1">
        <v>1</v>
      </c>
      <c r="NR1">
        <v>2</v>
      </c>
      <c r="NS1">
        <v>1</v>
      </c>
      <c r="NT1">
        <v>0</v>
      </c>
      <c r="NU1">
        <v>4</v>
      </c>
      <c r="NV1">
        <v>0</v>
      </c>
      <c r="NW1">
        <v>2</v>
      </c>
      <c r="NX1">
        <v>0</v>
      </c>
      <c r="NY1">
        <v>5</v>
      </c>
      <c r="NZ1">
        <v>2</v>
      </c>
      <c r="OA1">
        <v>3</v>
      </c>
      <c r="OB1">
        <v>0</v>
      </c>
      <c r="OC1">
        <v>3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1</v>
      </c>
      <c r="OU1">
        <v>0</v>
      </c>
      <c r="OV1">
        <v>2</v>
      </c>
      <c r="OW1">
        <v>1</v>
      </c>
      <c r="OX1">
        <v>12</v>
      </c>
      <c r="OY1">
        <v>0</v>
      </c>
      <c r="OZ1">
        <v>1</v>
      </c>
      <c r="PA1">
        <v>33</v>
      </c>
      <c r="PB1">
        <v>0</v>
      </c>
      <c r="PC1">
        <v>1</v>
      </c>
      <c r="PD1">
        <v>1</v>
      </c>
      <c r="PE1">
        <v>2</v>
      </c>
      <c r="PF1">
        <v>1</v>
      </c>
    </row>
    <row r="2" spans="1:422" x14ac:dyDescent="0.3">
      <c r="D2" t="s">
        <v>134</v>
      </c>
      <c r="E2" t="s">
        <v>140</v>
      </c>
      <c r="F2" t="s">
        <v>144</v>
      </c>
      <c r="G2" t="s">
        <v>147</v>
      </c>
      <c r="H2" t="s">
        <v>151</v>
      </c>
      <c r="I2" t="s">
        <v>164</v>
      </c>
      <c r="J2" t="s">
        <v>184</v>
      </c>
      <c r="K2" t="s">
        <v>175</v>
      </c>
      <c r="L2" t="s">
        <v>177</v>
      </c>
      <c r="M2" t="s">
        <v>153</v>
      </c>
      <c r="N2" t="s">
        <v>157</v>
      </c>
      <c r="O2" t="s">
        <v>161</v>
      </c>
      <c r="P2" t="s">
        <v>179</v>
      </c>
      <c r="Q2" t="s">
        <v>170</v>
      </c>
      <c r="R2" t="s">
        <v>187</v>
      </c>
      <c r="S2" t="s">
        <v>166</v>
      </c>
      <c r="T2" t="s">
        <v>191</v>
      </c>
      <c r="U2" t="s">
        <v>201</v>
      </c>
      <c r="V2" t="s">
        <v>215</v>
      </c>
      <c r="W2" t="s">
        <v>221</v>
      </c>
      <c r="X2" t="s">
        <v>284</v>
      </c>
      <c r="Y2" t="s">
        <v>244</v>
      </c>
      <c r="Z2" t="s">
        <v>250</v>
      </c>
      <c r="AA2" t="s">
        <v>224</v>
      </c>
      <c r="AB2" t="s">
        <v>256</v>
      </c>
      <c r="AC2" t="s">
        <v>864</v>
      </c>
      <c r="AD2" t="s">
        <v>866</v>
      </c>
      <c r="AE2" t="s">
        <v>854</v>
      </c>
      <c r="AF2" t="s">
        <v>850</v>
      </c>
      <c r="AG2" t="s">
        <v>261</v>
      </c>
      <c r="AH2" t="s">
        <v>883</v>
      </c>
      <c r="AI2" t="s">
        <v>337</v>
      </c>
      <c r="AJ2" t="s">
        <v>429</v>
      </c>
      <c r="AK2" t="s">
        <v>436</v>
      </c>
      <c r="AL2" t="s">
        <v>347</v>
      </c>
      <c r="AM2" t="s">
        <v>305</v>
      </c>
      <c r="AN2" t="s">
        <v>877</v>
      </c>
      <c r="AO2" t="s">
        <v>804</v>
      </c>
      <c r="AP2" t="s">
        <v>816</v>
      </c>
      <c r="AQ2" t="s">
        <v>732</v>
      </c>
      <c r="AR2" t="s">
        <v>775</v>
      </c>
      <c r="AS2" t="s">
        <v>199</v>
      </c>
      <c r="AT2" t="s">
        <v>205</v>
      </c>
      <c r="AU2" t="s">
        <v>212</v>
      </c>
      <c r="AV2" t="s">
        <v>246</v>
      </c>
      <c r="AW2" t="s">
        <v>252</v>
      </c>
      <c r="AX2" t="s">
        <v>209</v>
      </c>
      <c r="AY2" t="s">
        <v>207</v>
      </c>
      <c r="AZ2" t="s">
        <v>218</v>
      </c>
      <c r="BA2" t="s">
        <v>258</v>
      </c>
      <c r="BB2" t="s">
        <v>869</v>
      </c>
      <c r="BC2" t="s">
        <v>228</v>
      </c>
      <c r="BD2" t="s">
        <v>858</v>
      </c>
      <c r="BE2" t="s">
        <v>860</v>
      </c>
      <c r="BF2" t="s">
        <v>263</v>
      </c>
      <c r="BG2" t="s">
        <v>288</v>
      </c>
      <c r="BH2" t="s">
        <v>292</v>
      </c>
      <c r="BI2" t="s">
        <v>297</v>
      </c>
      <c r="BJ2" t="s">
        <v>271</v>
      </c>
      <c r="BK2" t="s">
        <v>273</v>
      </c>
      <c r="BL2" t="s">
        <v>286</v>
      </c>
      <c r="BM2" t="s">
        <v>282</v>
      </c>
      <c r="BN2" t="s">
        <v>885</v>
      </c>
      <c r="BO2" t="s">
        <v>340</v>
      </c>
      <c r="BP2" t="s">
        <v>735</v>
      </c>
      <c r="BQ2" t="s">
        <v>738</v>
      </c>
      <c r="BR2" t="s">
        <v>729</v>
      </c>
      <c r="BS2" t="s">
        <v>3315</v>
      </c>
      <c r="BT2" t="s">
        <v>747</v>
      </c>
      <c r="BU2" t="s">
        <v>750</v>
      </c>
      <c r="BV2" t="s">
        <v>753</v>
      </c>
      <c r="BW2" t="s">
        <v>809</v>
      </c>
      <c r="BX2" t="s">
        <v>821</v>
      </c>
      <c r="BY2" t="s">
        <v>433</v>
      </c>
      <c r="BZ2" t="s">
        <v>301</v>
      </c>
      <c r="CA2" t="s">
        <v>880</v>
      </c>
      <c r="CB2" t="s">
        <v>241</v>
      </c>
      <c r="CC2" t="s">
        <v>230</v>
      </c>
      <c r="CD2" t="s">
        <v>872</v>
      </c>
      <c r="CE2" t="s">
        <v>268</v>
      </c>
      <c r="CF2" t="s">
        <v>290</v>
      </c>
      <c r="CG2" t="s">
        <v>295</v>
      </c>
      <c r="CH2" t="s">
        <v>299</v>
      </c>
      <c r="CI2" t="s">
        <v>275</v>
      </c>
      <c r="CJ2" t="s">
        <v>278</v>
      </c>
      <c r="CK2" t="s">
        <v>280</v>
      </c>
      <c r="CL2" t="s">
        <v>248</v>
      </c>
      <c r="CM2" t="s">
        <v>254</v>
      </c>
      <c r="CN2" t="s">
        <v>238</v>
      </c>
      <c r="CO2" t="s">
        <v>813</v>
      </c>
      <c r="CP2" t="s">
        <v>819</v>
      </c>
      <c r="CQ2" t="s">
        <v>741</v>
      </c>
      <c r="CR2" t="s">
        <v>744</v>
      </c>
      <c r="CS2" t="s">
        <v>875</v>
      </c>
      <c r="CT2" t="s">
        <v>335</v>
      </c>
      <c r="CU2" t="s">
        <v>330</v>
      </c>
      <c r="CV2" t="s">
        <v>318</v>
      </c>
      <c r="CW2" t="s">
        <v>706</v>
      </c>
      <c r="CX2" t="s">
        <v>357</v>
      </c>
      <c r="CY2" t="s">
        <v>422</v>
      </c>
      <c r="CZ2" t="s">
        <v>425</v>
      </c>
      <c r="DA2" t="s">
        <v>326</v>
      </c>
      <c r="DB2" t="s">
        <v>320</v>
      </c>
      <c r="DC2" t="s">
        <v>322</v>
      </c>
      <c r="DD2" t="s">
        <v>708</v>
      </c>
      <c r="DE2" t="s">
        <v>710</v>
      </c>
      <c r="DF2" t="s">
        <v>399</v>
      </c>
      <c r="DG2" t="s">
        <v>402</v>
      </c>
      <c r="DH2" t="s">
        <v>713</v>
      </c>
      <c r="DI2" t="s">
        <v>716</v>
      </c>
      <c r="DJ2" t="s">
        <v>719</v>
      </c>
      <c r="DK2" t="s">
        <v>772</v>
      </c>
      <c r="DL2" t="s">
        <v>365</v>
      </c>
      <c r="DM2" t="s">
        <v>723</v>
      </c>
      <c r="DN2" t="s">
        <v>726</v>
      </c>
      <c r="DO2" t="s">
        <v>362</v>
      </c>
      <c r="DP2" t="s">
        <v>721</v>
      </c>
      <c r="DQ2" t="s">
        <v>308</v>
      </c>
      <c r="DR2" t="s">
        <v>669</v>
      </c>
      <c r="DS2" t="s">
        <v>354</v>
      </c>
      <c r="DT2" t="s">
        <v>672</v>
      </c>
      <c r="DU2" t="s">
        <v>333</v>
      </c>
      <c r="DV2" t="s">
        <v>687</v>
      </c>
      <c r="DW2" t="s">
        <v>690</v>
      </c>
      <c r="DX2" t="s">
        <v>694</v>
      </c>
      <c r="DY2" t="s">
        <v>697</v>
      </c>
      <c r="DZ2" t="s">
        <v>700</v>
      </c>
      <c r="EA2" t="s">
        <v>703</v>
      </c>
      <c r="EB2" t="s">
        <v>359</v>
      </c>
      <c r="EC2" t="s">
        <v>427</v>
      </c>
      <c r="ED2" t="s">
        <v>371</v>
      </c>
      <c r="EE2" t="s">
        <v>647</v>
      </c>
      <c r="EF2" t="s">
        <v>840</v>
      </c>
      <c r="EG2" t="s">
        <v>829</v>
      </c>
      <c r="EH2" t="s">
        <v>383</v>
      </c>
      <c r="EI2" t="s">
        <v>395</v>
      </c>
      <c r="EJ2" t="s">
        <v>379</v>
      </c>
      <c r="EK2" t="s">
        <v>391</v>
      </c>
      <c r="EL2" t="s">
        <v>440</v>
      </c>
      <c r="EM2" t="s">
        <v>369</v>
      </c>
      <c r="EN2" t="s">
        <v>405</v>
      </c>
      <c r="EO2" t="s">
        <v>408</v>
      </c>
      <c r="EP2" t="s">
        <v>637</v>
      </c>
      <c r="EQ2" t="s">
        <v>679</v>
      </c>
      <c r="ER2" t="s">
        <v>660</v>
      </c>
      <c r="ES2" t="s">
        <v>662</v>
      </c>
      <c r="ET2" t="s">
        <v>643</v>
      </c>
      <c r="EU2" t="s">
        <v>645</v>
      </c>
      <c r="EV2" t="s">
        <v>650</v>
      </c>
      <c r="EW2" t="s">
        <v>652</v>
      </c>
      <c r="EX2" t="s">
        <v>675</v>
      </c>
      <c r="EY2" t="s">
        <v>3316</v>
      </c>
      <c r="EZ2" t="s">
        <v>827</v>
      </c>
      <c r="FA2" t="s">
        <v>831</v>
      </c>
      <c r="FB2" t="s">
        <v>825</v>
      </c>
      <c r="FC2" t="s">
        <v>833</v>
      </c>
      <c r="FD2" t="s">
        <v>381</v>
      </c>
      <c r="FE2" t="s">
        <v>393</v>
      </c>
      <c r="FF2" t="s">
        <v>385</v>
      </c>
      <c r="FG2" t="s">
        <v>466</v>
      </c>
      <c r="FH2" t="s">
        <v>472</v>
      </c>
      <c r="FI2" t="s">
        <v>474</v>
      </c>
      <c r="FJ2" t="s">
        <v>476</v>
      </c>
      <c r="FK2" t="s">
        <v>664</v>
      </c>
      <c r="FL2" t="s">
        <v>666</v>
      </c>
      <c r="FM2" t="s">
        <v>625</v>
      </c>
      <c r="FN2" t="s">
        <v>629</v>
      </c>
      <c r="FO2" t="s">
        <v>635</v>
      </c>
      <c r="FP2" t="s">
        <v>633</v>
      </c>
      <c r="FQ2" t="s">
        <v>640</v>
      </c>
      <c r="FR2" t="s">
        <v>444</v>
      </c>
      <c r="FS2" t="s">
        <v>446</v>
      </c>
      <c r="FT2" t="s">
        <v>450</v>
      </c>
      <c r="FU2" t="s">
        <v>452</v>
      </c>
      <c r="FV2" t="s">
        <v>757</v>
      </c>
      <c r="FW2" t="s">
        <v>759</v>
      </c>
      <c r="FX2" t="s">
        <v>761</v>
      </c>
      <c r="FY2" t="s">
        <v>763</v>
      </c>
      <c r="FZ2" t="s">
        <v>442</v>
      </c>
      <c r="GA2" t="s">
        <v>448</v>
      </c>
      <c r="GB2" t="s">
        <v>420</v>
      </c>
      <c r="GC2" t="s">
        <v>683</v>
      </c>
      <c r="GD2" t="s">
        <v>685</v>
      </c>
      <c r="GE2" t="s">
        <v>838</v>
      </c>
      <c r="GF2" t="s">
        <v>373</v>
      </c>
      <c r="GG2" t="s">
        <v>654</v>
      </c>
      <c r="GH2" t="s">
        <v>677</v>
      </c>
      <c r="GI2" t="s">
        <v>411</v>
      </c>
      <c r="GJ2" t="s">
        <v>413</v>
      </c>
      <c r="GK2" t="s">
        <v>656</v>
      </c>
      <c r="GL2" t="s">
        <v>681</v>
      </c>
      <c r="GM2" t="s">
        <v>658</v>
      </c>
      <c r="GN2" t="s">
        <v>836</v>
      </c>
      <c r="GO2" t="s">
        <v>387</v>
      </c>
      <c r="GP2" t="s">
        <v>389</v>
      </c>
      <c r="GQ2" t="s">
        <v>397</v>
      </c>
      <c r="GR2" t="s">
        <v>469</v>
      </c>
      <c r="GS2" t="s">
        <v>627</v>
      </c>
      <c r="GT2" t="s">
        <v>631</v>
      </c>
      <c r="GU2" t="s">
        <v>457</v>
      </c>
      <c r="GV2" t="s">
        <v>459</v>
      </c>
      <c r="GW2" t="s">
        <v>454</v>
      </c>
      <c r="GX2" t="s">
        <v>461</v>
      </c>
      <c r="GY2" t="s">
        <v>463</v>
      </c>
      <c r="GZ2" t="s">
        <v>765</v>
      </c>
      <c r="HA2" t="s">
        <v>1020</v>
      </c>
      <c r="HB2" t="s">
        <v>1032</v>
      </c>
      <c r="HC2" t="s">
        <v>1024</v>
      </c>
      <c r="HD2" t="s">
        <v>1028</v>
      </c>
      <c r="HE2" t="s">
        <v>1066</v>
      </c>
      <c r="HF2" t="s">
        <v>1073</v>
      </c>
      <c r="HG2" t="s">
        <v>1086</v>
      </c>
      <c r="HH2" t="s">
        <v>1092</v>
      </c>
      <c r="HI2" t="s">
        <v>887</v>
      </c>
      <c r="HJ2" t="s">
        <v>911</v>
      </c>
      <c r="HK2" t="s">
        <v>913</v>
      </c>
      <c r="HL2" t="s">
        <v>484</v>
      </c>
      <c r="HM2" t="s">
        <v>494</v>
      </c>
      <c r="HN2" t="s">
        <v>498</v>
      </c>
      <c r="HO2" t="s">
        <v>490</v>
      </c>
      <c r="HP2" t="s">
        <v>973</v>
      </c>
      <c r="HQ2" t="s">
        <v>980</v>
      </c>
      <c r="HR2" t="s">
        <v>986</v>
      </c>
      <c r="HS2" t="s">
        <v>988</v>
      </c>
      <c r="HT2" t="s">
        <v>994</v>
      </c>
      <c r="HU2" t="s">
        <v>996</v>
      </c>
      <c r="HV2" t="s">
        <v>1000</v>
      </c>
      <c r="HW2" t="s">
        <v>1022</v>
      </c>
      <c r="HX2" t="s">
        <v>1018</v>
      </c>
      <c r="HY2" t="s">
        <v>1030</v>
      </c>
      <c r="HZ2" t="s">
        <v>1026</v>
      </c>
      <c r="IA2" t="s">
        <v>1036</v>
      </c>
      <c r="IB2" t="s">
        <v>1081</v>
      </c>
      <c r="IC2" t="s">
        <v>1068</v>
      </c>
      <c r="ID2" t="s">
        <v>1075</v>
      </c>
      <c r="IE2" t="s">
        <v>1088</v>
      </c>
      <c r="IF2" t="s">
        <v>1094</v>
      </c>
      <c r="IG2" t="s">
        <v>1083</v>
      </c>
      <c r="IH2" t="s">
        <v>1085</v>
      </c>
      <c r="II2" t="s">
        <v>1090</v>
      </c>
      <c r="IJ2" t="s">
        <v>893</v>
      </c>
      <c r="IK2" t="s">
        <v>897</v>
      </c>
      <c r="IL2" t="s">
        <v>901</v>
      </c>
      <c r="IM2" t="s">
        <v>905</v>
      </c>
      <c r="IN2" t="s">
        <v>486</v>
      </c>
      <c r="IO2" t="s">
        <v>502</v>
      </c>
      <c r="IP2" t="s">
        <v>511</v>
      </c>
      <c r="IQ2" t="s">
        <v>513</v>
      </c>
      <c r="IR2" t="s">
        <v>478</v>
      </c>
      <c r="IS2" t="s">
        <v>482</v>
      </c>
      <c r="IT2" t="s">
        <v>515</v>
      </c>
      <c r="IU2" t="s">
        <v>527</v>
      </c>
      <c r="IV2" t="s">
        <v>529</v>
      </c>
      <c r="IW2" t="s">
        <v>531</v>
      </c>
      <c r="IX2" t="s">
        <v>959</v>
      </c>
      <c r="IY2" t="s">
        <v>965</v>
      </c>
      <c r="IZ2" t="s">
        <v>963</v>
      </c>
      <c r="JA2" t="s">
        <v>967</v>
      </c>
      <c r="JB2" t="s">
        <v>969</v>
      </c>
      <c r="JC2" t="s">
        <v>976</v>
      </c>
      <c r="JD2" t="s">
        <v>982</v>
      </c>
      <c r="JE2" t="s">
        <v>992</v>
      </c>
      <c r="JF2" t="s">
        <v>998</v>
      </c>
      <c r="JG2" t="s">
        <v>1462</v>
      </c>
      <c r="JH2" t="s">
        <v>1456</v>
      </c>
      <c r="JI2" t="s">
        <v>1099</v>
      </c>
      <c r="JJ2" t="s">
        <v>1459</v>
      </c>
      <c r="JK2" t="s">
        <v>1101</v>
      </c>
      <c r="JL2" t="s">
        <v>1034</v>
      </c>
      <c r="JM2" t="s">
        <v>1445</v>
      </c>
      <c r="JN2" t="s">
        <v>1448</v>
      </c>
      <c r="JO2" t="s">
        <v>1450</v>
      </c>
      <c r="JP2" t="s">
        <v>1096</v>
      </c>
      <c r="JQ2" t="s">
        <v>889</v>
      </c>
      <c r="JR2" t="s">
        <v>891</v>
      </c>
      <c r="JS2" t="s">
        <v>895</v>
      </c>
      <c r="JT2" t="s">
        <v>899</v>
      </c>
      <c r="JU2" t="s">
        <v>903</v>
      </c>
      <c r="JV2" t="s">
        <v>907</v>
      </c>
      <c r="JW2" t="s">
        <v>496</v>
      </c>
      <c r="JX2" t="s">
        <v>507</v>
      </c>
      <c r="JY2" t="s">
        <v>509</v>
      </c>
      <c r="JZ2" t="s">
        <v>517</v>
      </c>
      <c r="KA2" t="s">
        <v>492</v>
      </c>
      <c r="KB2" t="s">
        <v>519</v>
      </c>
      <c r="KC2" t="s">
        <v>521</v>
      </c>
      <c r="KD2" t="s">
        <v>523</v>
      </c>
      <c r="KE2" t="s">
        <v>500</v>
      </c>
      <c r="KF2" t="s">
        <v>488</v>
      </c>
      <c r="KG2" t="s">
        <v>961</v>
      </c>
      <c r="KH2" t="s">
        <v>375</v>
      </c>
      <c r="KI2" t="s">
        <v>349</v>
      </c>
      <c r="KJ2" t="s">
        <v>3300</v>
      </c>
      <c r="KK2" t="s">
        <v>542</v>
      </c>
      <c r="KL2" t="s">
        <v>842</v>
      </c>
      <c r="KM2" t="s">
        <v>844</v>
      </c>
      <c r="KN2" t="s">
        <v>1122</v>
      </c>
      <c r="KO2" t="s">
        <v>1103</v>
      </c>
      <c r="KP2" t="s">
        <v>1111</v>
      </c>
      <c r="KQ2" t="s">
        <v>1128</v>
      </c>
      <c r="KR2" t="s">
        <v>620</v>
      </c>
      <c r="KS2" t="s">
        <v>550</v>
      </c>
      <c r="KT2" t="s">
        <v>583</v>
      </c>
      <c r="KU2" t="s">
        <v>565</v>
      </c>
      <c r="KV2" t="s">
        <v>546</v>
      </c>
      <c r="KW2" t="s">
        <v>592</v>
      </c>
      <c r="KX2" t="s">
        <v>597</v>
      </c>
      <c r="KY2" t="s">
        <v>572</v>
      </c>
      <c r="KZ2" t="s">
        <v>1107</v>
      </c>
      <c r="LA2" t="s">
        <v>3317</v>
      </c>
      <c r="LB2" t="s">
        <v>233</v>
      </c>
      <c r="LC2" t="s">
        <v>603</v>
      </c>
      <c r="LD2" t="s">
        <v>1117</v>
      </c>
      <c r="LE2" t="s">
        <v>608</v>
      </c>
      <c r="LF2" t="s">
        <v>588</v>
      </c>
      <c r="LG2" t="s">
        <v>578</v>
      </c>
      <c r="LH2" t="s">
        <v>556</v>
      </c>
      <c r="LI2" t="s">
        <v>561</v>
      </c>
      <c r="LJ2" t="s">
        <v>614</v>
      </c>
      <c r="LK2" t="s">
        <v>1046</v>
      </c>
      <c r="LL2" t="s">
        <v>1010</v>
      </c>
      <c r="LM2" t="s">
        <v>1038</v>
      </c>
      <c r="LN2" t="s">
        <v>533</v>
      </c>
      <c r="LO2" t="s">
        <v>540</v>
      </c>
      <c r="LP2" t="s">
        <v>1050</v>
      </c>
      <c r="LQ2" t="s">
        <v>3302</v>
      </c>
      <c r="LR2" t="s">
        <v>415</v>
      </c>
      <c r="LS2" t="s">
        <v>801</v>
      </c>
      <c r="LT2" t="s">
        <v>1115</v>
      </c>
      <c r="LU2" t="s">
        <v>1126</v>
      </c>
      <c r="LV2" t="s">
        <v>780</v>
      </c>
      <c r="LW2" t="s">
        <v>352</v>
      </c>
      <c r="LX2" t="s">
        <v>3301</v>
      </c>
      <c r="LY2" t="s">
        <v>846</v>
      </c>
      <c r="LZ2" t="s">
        <v>848</v>
      </c>
      <c r="MA2" t="s">
        <v>544</v>
      </c>
      <c r="MB2" t="s">
        <v>1124</v>
      </c>
      <c r="MC2" t="s">
        <v>1105</v>
      </c>
      <c r="MD2" t="s">
        <v>1113</v>
      </c>
      <c r="ME2" t="s">
        <v>1054</v>
      </c>
      <c r="MF2" t="s">
        <v>622</v>
      </c>
      <c r="MG2" t="s">
        <v>1056</v>
      </c>
      <c r="MH2" t="s">
        <v>1059</v>
      </c>
      <c r="MI2" t="s">
        <v>1062</v>
      </c>
      <c r="MJ2" t="s">
        <v>1064</v>
      </c>
      <c r="MK2" t="s">
        <v>554</v>
      </c>
      <c r="ML2" t="s">
        <v>587</v>
      </c>
      <c r="MM2" t="s">
        <v>570</v>
      </c>
      <c r="MN2" t="s">
        <v>548</v>
      </c>
      <c r="MO2" t="s">
        <v>596</v>
      </c>
      <c r="MP2" t="s">
        <v>601</v>
      </c>
      <c r="MQ2" t="s">
        <v>576</v>
      </c>
      <c r="MR2" t="s">
        <v>1109</v>
      </c>
      <c r="MS2" t="s">
        <v>236</v>
      </c>
      <c r="MT2" t="s">
        <v>607</v>
      </c>
      <c r="MU2" t="s">
        <v>1121</v>
      </c>
      <c r="MV2" t="s">
        <v>612</v>
      </c>
      <c r="MW2" t="s">
        <v>590</v>
      </c>
      <c r="MX2" t="s">
        <v>582</v>
      </c>
      <c r="MY2" t="s">
        <v>560</v>
      </c>
      <c r="MZ2" t="s">
        <v>563</v>
      </c>
      <c r="NA2" t="s">
        <v>618</v>
      </c>
      <c r="NB2" t="s">
        <v>1048</v>
      </c>
      <c r="NC2" t="s">
        <v>1015</v>
      </c>
      <c r="ND2" t="s">
        <v>1042</v>
      </c>
      <c r="NE2" t="s">
        <v>538</v>
      </c>
      <c r="NF2" t="s">
        <v>1044</v>
      </c>
      <c r="NG2" t="s">
        <v>1052</v>
      </c>
      <c r="NH2" t="s">
        <v>784</v>
      </c>
      <c r="NI2" t="s">
        <v>786</v>
      </c>
      <c r="NJ2" t="s">
        <v>788</v>
      </c>
      <c r="NK2" t="s">
        <v>790</v>
      </c>
      <c r="NL2" t="s">
        <v>792</v>
      </c>
      <c r="NM2" t="s">
        <v>795</v>
      </c>
      <c r="NN2" t="s">
        <v>797</v>
      </c>
      <c r="NO2" t="s">
        <v>799</v>
      </c>
      <c r="NP2" t="s">
        <v>1130</v>
      </c>
      <c r="NQ2" t="s">
        <v>3303</v>
      </c>
      <c r="NR2" t="s">
        <v>3304</v>
      </c>
      <c r="NS2" t="s">
        <v>3246</v>
      </c>
      <c r="NT2" t="s">
        <v>778</v>
      </c>
      <c r="NU2" t="s">
        <v>767</v>
      </c>
      <c r="NV2" t="s">
        <v>769</v>
      </c>
      <c r="NW2" t="s">
        <v>324</v>
      </c>
      <c r="NX2" t="s">
        <v>1473</v>
      </c>
      <c r="NY2" t="s">
        <v>1814</v>
      </c>
      <c r="NZ2" t="s">
        <v>1040</v>
      </c>
      <c r="OA2" t="s">
        <v>919</v>
      </c>
      <c r="OB2" t="s">
        <v>924</v>
      </c>
      <c r="OC2" t="s">
        <v>922</v>
      </c>
      <c r="OD2" t="s">
        <v>930</v>
      </c>
      <c r="OE2" t="s">
        <v>1422</v>
      </c>
      <c r="OF2" t="s">
        <v>1453</v>
      </c>
      <c r="OG2" t="s">
        <v>2413</v>
      </c>
      <c r="OH2" t="s">
        <v>939</v>
      </c>
      <c r="OI2" t="s">
        <v>945</v>
      </c>
      <c r="OJ2" t="s">
        <v>952</v>
      </c>
      <c r="OK2" t="s">
        <v>957</v>
      </c>
      <c r="OL2" t="s">
        <v>1360</v>
      </c>
      <c r="OM2" t="s">
        <v>1362</v>
      </c>
      <c r="ON2" t="s">
        <v>933</v>
      </c>
      <c r="OO2" t="s">
        <v>937</v>
      </c>
      <c r="OP2" t="s">
        <v>948</v>
      </c>
      <c r="OQ2" t="s">
        <v>953</v>
      </c>
      <c r="OR2" t="s">
        <v>943</v>
      </c>
      <c r="OS2" t="s">
        <v>1357</v>
      </c>
      <c r="OT2" t="s">
        <v>312</v>
      </c>
      <c r="OU2" t="s">
        <v>2444</v>
      </c>
      <c r="OV2" t="s">
        <v>1391</v>
      </c>
      <c r="OW2" t="s">
        <v>1394</v>
      </c>
      <c r="OX2" t="s">
        <v>1397</v>
      </c>
      <c r="OY2" t="s">
        <v>1400</v>
      </c>
      <c r="OZ2" t="s">
        <v>1402</v>
      </c>
      <c r="PA2" t="s">
        <v>1404</v>
      </c>
      <c r="PB2" t="s">
        <v>1406</v>
      </c>
      <c r="PC2" t="s">
        <v>1408</v>
      </c>
      <c r="PD2" t="s">
        <v>3318</v>
      </c>
      <c r="PE2" t="s">
        <v>3319</v>
      </c>
      <c r="PF2" t="s">
        <v>3320</v>
      </c>
    </row>
    <row r="3" spans="1:422" x14ac:dyDescent="0.3">
      <c r="A3" s="293">
        <v>18</v>
      </c>
      <c r="B3" s="293" t="s">
        <v>134</v>
      </c>
    </row>
    <row r="4" spans="1:422" x14ac:dyDescent="0.3">
      <c r="A4" s="293">
        <v>2</v>
      </c>
      <c r="B4" s="293" t="s">
        <v>140</v>
      </c>
    </row>
    <row r="5" spans="1:422" x14ac:dyDescent="0.3">
      <c r="A5" s="293">
        <v>2</v>
      </c>
      <c r="B5" s="293" t="s">
        <v>144</v>
      </c>
    </row>
    <row r="6" spans="1:422" x14ac:dyDescent="0.3">
      <c r="A6" s="293">
        <v>2</v>
      </c>
      <c r="B6" s="293" t="s">
        <v>147</v>
      </c>
    </row>
    <row r="7" spans="1:422" x14ac:dyDescent="0.3">
      <c r="A7" s="293">
        <v>2</v>
      </c>
      <c r="B7" s="293" t="s">
        <v>151</v>
      </c>
    </row>
    <row r="8" spans="1:422" x14ac:dyDescent="0.3">
      <c r="A8" s="293">
        <v>3</v>
      </c>
      <c r="B8" s="293" t="s">
        <v>164</v>
      </c>
    </row>
    <row r="9" spans="1:422" x14ac:dyDescent="0.3">
      <c r="A9" s="293">
        <v>2</v>
      </c>
      <c r="B9" s="293" t="s">
        <v>184</v>
      </c>
    </row>
    <row r="10" spans="1:422" x14ac:dyDescent="0.3">
      <c r="A10" s="293">
        <v>2</v>
      </c>
      <c r="B10" s="293" t="s">
        <v>175</v>
      </c>
    </row>
    <row r="11" spans="1:422" x14ac:dyDescent="0.3">
      <c r="A11" s="293">
        <v>2</v>
      </c>
      <c r="B11" s="293" t="s">
        <v>177</v>
      </c>
    </row>
    <row r="12" spans="1:422" x14ac:dyDescent="0.3">
      <c r="A12" s="293">
        <v>1</v>
      </c>
      <c r="B12" s="293" t="s">
        <v>153</v>
      </c>
    </row>
    <row r="13" spans="1:422" x14ac:dyDescent="0.3">
      <c r="A13" s="293">
        <v>2</v>
      </c>
      <c r="B13" s="293" t="s">
        <v>157</v>
      </c>
    </row>
    <row r="14" spans="1:422" x14ac:dyDescent="0.3">
      <c r="A14" s="293">
        <v>2</v>
      </c>
      <c r="B14" s="293" t="s">
        <v>161</v>
      </c>
    </row>
    <row r="15" spans="1:422" x14ac:dyDescent="0.3">
      <c r="A15" s="293">
        <v>2</v>
      </c>
      <c r="B15" s="293" t="s">
        <v>179</v>
      </c>
    </row>
    <row r="16" spans="1:422" x14ac:dyDescent="0.3">
      <c r="A16" s="293">
        <v>4</v>
      </c>
      <c r="B16" s="293" t="s">
        <v>170</v>
      </c>
    </row>
    <row r="17" spans="1:2" x14ac:dyDescent="0.3">
      <c r="A17" s="293">
        <v>1</v>
      </c>
      <c r="B17" s="293" t="s">
        <v>187</v>
      </c>
    </row>
    <row r="18" spans="1:2" x14ac:dyDescent="0.3">
      <c r="A18" s="293">
        <v>2</v>
      </c>
      <c r="B18" s="293" t="s">
        <v>166</v>
      </c>
    </row>
    <row r="19" spans="1:2" x14ac:dyDescent="0.3">
      <c r="A19" s="293">
        <v>2</v>
      </c>
      <c r="B19" s="293" t="s">
        <v>191</v>
      </c>
    </row>
    <row r="20" spans="1:2" x14ac:dyDescent="0.3">
      <c r="A20" s="293">
        <v>10</v>
      </c>
      <c r="B20" s="293" t="s">
        <v>201</v>
      </c>
    </row>
    <row r="21" spans="1:2" x14ac:dyDescent="0.3">
      <c r="A21" s="293">
        <v>11</v>
      </c>
      <c r="B21" s="293" t="s">
        <v>215</v>
      </c>
    </row>
    <row r="22" spans="1:2" x14ac:dyDescent="0.3">
      <c r="A22" s="293">
        <v>4</v>
      </c>
      <c r="B22" s="293" t="s">
        <v>221</v>
      </c>
    </row>
    <row r="23" spans="1:2" x14ac:dyDescent="0.3">
      <c r="A23" s="293">
        <v>9</v>
      </c>
      <c r="B23" s="293" t="s">
        <v>284</v>
      </c>
    </row>
    <row r="24" spans="1:2" x14ac:dyDescent="0.3">
      <c r="A24" s="293">
        <v>3</v>
      </c>
      <c r="B24" s="293" t="s">
        <v>244</v>
      </c>
    </row>
    <row r="25" spans="1:2" hidden="1" x14ac:dyDescent="0.3">
      <c r="A25" s="293">
        <v>0</v>
      </c>
      <c r="B25" s="293" t="s">
        <v>250</v>
      </c>
    </row>
    <row r="26" spans="1:2" x14ac:dyDescent="0.3">
      <c r="A26" s="293">
        <v>4</v>
      </c>
      <c r="B26" s="293" t="s">
        <v>224</v>
      </c>
    </row>
    <row r="27" spans="1:2" x14ac:dyDescent="0.3">
      <c r="A27" s="293">
        <v>2</v>
      </c>
      <c r="B27" s="293" t="s">
        <v>256</v>
      </c>
    </row>
    <row r="28" spans="1:2" x14ac:dyDescent="0.3">
      <c r="A28" s="293">
        <v>2</v>
      </c>
      <c r="B28" s="293" t="s">
        <v>864</v>
      </c>
    </row>
    <row r="29" spans="1:2" hidden="1" x14ac:dyDescent="0.3">
      <c r="A29" s="293">
        <v>0</v>
      </c>
      <c r="B29" s="293" t="s">
        <v>866</v>
      </c>
    </row>
    <row r="30" spans="1:2" x14ac:dyDescent="0.3">
      <c r="A30" s="293">
        <v>3</v>
      </c>
      <c r="B30" s="293" t="s">
        <v>854</v>
      </c>
    </row>
    <row r="31" spans="1:2" x14ac:dyDescent="0.3">
      <c r="A31" s="293">
        <v>1</v>
      </c>
      <c r="B31" s="293" t="s">
        <v>850</v>
      </c>
    </row>
    <row r="32" spans="1:2" x14ac:dyDescent="0.3">
      <c r="A32" s="293">
        <v>13</v>
      </c>
      <c r="B32" s="293" t="s">
        <v>261</v>
      </c>
    </row>
    <row r="33" spans="1:2" x14ac:dyDescent="0.3">
      <c r="A33" s="293">
        <v>2</v>
      </c>
      <c r="B33" s="293" t="s">
        <v>883</v>
      </c>
    </row>
    <row r="34" spans="1:2" x14ac:dyDescent="0.3">
      <c r="A34" s="293">
        <v>2</v>
      </c>
      <c r="B34" s="293" t="s">
        <v>337</v>
      </c>
    </row>
    <row r="35" spans="1:2" hidden="1" x14ac:dyDescent="0.3">
      <c r="A35" s="293">
        <v>0</v>
      </c>
      <c r="B35" s="293" t="s">
        <v>429</v>
      </c>
    </row>
    <row r="36" spans="1:2" hidden="1" x14ac:dyDescent="0.3">
      <c r="A36" s="293">
        <v>0</v>
      </c>
      <c r="B36" s="293" t="s">
        <v>436</v>
      </c>
    </row>
    <row r="37" spans="1:2" x14ac:dyDescent="0.3">
      <c r="A37" s="293">
        <v>3</v>
      </c>
      <c r="B37" s="293" t="s">
        <v>347</v>
      </c>
    </row>
    <row r="38" spans="1:2" x14ac:dyDescent="0.3">
      <c r="A38" s="293">
        <v>2</v>
      </c>
      <c r="B38" s="293" t="s">
        <v>305</v>
      </c>
    </row>
    <row r="39" spans="1:2" x14ac:dyDescent="0.3">
      <c r="A39" s="293">
        <v>2</v>
      </c>
      <c r="B39" s="293" t="s">
        <v>877</v>
      </c>
    </row>
    <row r="40" spans="1:2" hidden="1" x14ac:dyDescent="0.3">
      <c r="A40" s="293">
        <v>0</v>
      </c>
      <c r="B40" s="293" t="s">
        <v>804</v>
      </c>
    </row>
    <row r="41" spans="1:2" hidden="1" x14ac:dyDescent="0.3">
      <c r="A41" s="293">
        <v>0</v>
      </c>
      <c r="B41" s="293" t="s">
        <v>816</v>
      </c>
    </row>
    <row r="42" spans="1:2" x14ac:dyDescent="0.3">
      <c r="A42" s="293">
        <v>3</v>
      </c>
      <c r="B42" s="293" t="s">
        <v>732</v>
      </c>
    </row>
    <row r="43" spans="1:2" hidden="1" x14ac:dyDescent="0.3">
      <c r="A43" s="293">
        <v>0</v>
      </c>
      <c r="B43" s="293" t="s">
        <v>775</v>
      </c>
    </row>
    <row r="44" spans="1:2" x14ac:dyDescent="0.3">
      <c r="A44" s="293">
        <v>2</v>
      </c>
      <c r="B44" s="293" t="s">
        <v>199</v>
      </c>
    </row>
    <row r="45" spans="1:2" x14ac:dyDescent="0.3">
      <c r="A45" s="293">
        <v>2</v>
      </c>
      <c r="B45" s="293" t="s">
        <v>205</v>
      </c>
    </row>
    <row r="46" spans="1:2" x14ac:dyDescent="0.3">
      <c r="A46" s="293">
        <v>2</v>
      </c>
      <c r="B46" s="293" t="s">
        <v>212</v>
      </c>
    </row>
    <row r="47" spans="1:2" x14ac:dyDescent="0.3">
      <c r="A47" s="293">
        <v>1</v>
      </c>
      <c r="B47" s="293" t="s">
        <v>246</v>
      </c>
    </row>
    <row r="48" spans="1:2" hidden="1" x14ac:dyDescent="0.3">
      <c r="A48" s="293">
        <v>0</v>
      </c>
      <c r="B48" s="293" t="s">
        <v>252</v>
      </c>
    </row>
    <row r="49" spans="1:2" x14ac:dyDescent="0.3">
      <c r="A49" s="293">
        <v>5</v>
      </c>
      <c r="B49" s="293" t="s">
        <v>209</v>
      </c>
    </row>
    <row r="50" spans="1:2" x14ac:dyDescent="0.3">
      <c r="A50" s="293">
        <v>6</v>
      </c>
      <c r="B50" s="293" t="s">
        <v>207</v>
      </c>
    </row>
    <row r="51" spans="1:2" x14ac:dyDescent="0.3">
      <c r="A51" s="293">
        <v>9</v>
      </c>
      <c r="B51" s="293" t="s">
        <v>218</v>
      </c>
    </row>
    <row r="52" spans="1:2" x14ac:dyDescent="0.3">
      <c r="A52" s="293">
        <v>2</v>
      </c>
      <c r="B52" s="293" t="s">
        <v>258</v>
      </c>
    </row>
    <row r="53" spans="1:2" x14ac:dyDescent="0.3">
      <c r="A53" s="293">
        <v>1</v>
      </c>
      <c r="B53" s="293" t="s">
        <v>869</v>
      </c>
    </row>
    <row r="54" spans="1:2" x14ac:dyDescent="0.3">
      <c r="A54" s="293">
        <v>3</v>
      </c>
      <c r="B54" s="293" t="s">
        <v>228</v>
      </c>
    </row>
    <row r="55" spans="1:2" x14ac:dyDescent="0.3">
      <c r="A55" s="293">
        <v>1</v>
      </c>
      <c r="B55" s="293" t="s">
        <v>858</v>
      </c>
    </row>
    <row r="56" spans="1:2" x14ac:dyDescent="0.3">
      <c r="A56" s="293">
        <v>1</v>
      </c>
      <c r="B56" s="293" t="s">
        <v>860</v>
      </c>
    </row>
    <row r="57" spans="1:2" x14ac:dyDescent="0.3">
      <c r="A57" s="293">
        <v>1</v>
      </c>
      <c r="B57" s="293" t="s">
        <v>263</v>
      </c>
    </row>
    <row r="58" spans="1:2" x14ac:dyDescent="0.3">
      <c r="A58" s="293">
        <v>1</v>
      </c>
      <c r="B58" s="293" t="s">
        <v>288</v>
      </c>
    </row>
    <row r="59" spans="1:2" x14ac:dyDescent="0.3">
      <c r="A59" s="293">
        <v>1</v>
      </c>
      <c r="B59" s="293" t="s">
        <v>292</v>
      </c>
    </row>
    <row r="60" spans="1:2" x14ac:dyDescent="0.3">
      <c r="A60" s="293">
        <v>1</v>
      </c>
      <c r="B60" s="293" t="s">
        <v>297</v>
      </c>
    </row>
    <row r="61" spans="1:2" x14ac:dyDescent="0.3">
      <c r="A61" s="293">
        <v>1</v>
      </c>
      <c r="B61" s="293" t="s">
        <v>271</v>
      </c>
    </row>
    <row r="62" spans="1:2" x14ac:dyDescent="0.3">
      <c r="A62" s="293">
        <v>1</v>
      </c>
      <c r="B62" s="293" t="s">
        <v>273</v>
      </c>
    </row>
    <row r="63" spans="1:2" x14ac:dyDescent="0.3">
      <c r="A63" s="293">
        <v>6</v>
      </c>
      <c r="B63" s="293" t="s">
        <v>286</v>
      </c>
    </row>
    <row r="64" spans="1:2" x14ac:dyDescent="0.3">
      <c r="A64" s="293">
        <v>2</v>
      </c>
      <c r="B64" s="293" t="s">
        <v>282</v>
      </c>
    </row>
    <row r="65" spans="1:2" x14ac:dyDescent="0.3">
      <c r="A65" s="293">
        <v>2</v>
      </c>
      <c r="B65" s="293" t="s">
        <v>885</v>
      </c>
    </row>
    <row r="66" spans="1:2" x14ac:dyDescent="0.3">
      <c r="A66" s="293">
        <v>2</v>
      </c>
      <c r="B66" s="293" t="s">
        <v>340</v>
      </c>
    </row>
    <row r="67" spans="1:2" x14ac:dyDescent="0.3">
      <c r="A67" s="293">
        <v>1</v>
      </c>
      <c r="B67" s="293" t="s">
        <v>735</v>
      </c>
    </row>
    <row r="68" spans="1:2" x14ac:dyDescent="0.3">
      <c r="A68" s="293">
        <v>2</v>
      </c>
      <c r="B68" s="293" t="s">
        <v>738</v>
      </c>
    </row>
    <row r="69" spans="1:2" x14ac:dyDescent="0.3">
      <c r="A69" s="293">
        <v>1</v>
      </c>
      <c r="B69" s="293" t="s">
        <v>729</v>
      </c>
    </row>
    <row r="70" spans="1:2" x14ac:dyDescent="0.3">
      <c r="A70" s="293">
        <v>3</v>
      </c>
      <c r="B70" s="293" t="s">
        <v>3315</v>
      </c>
    </row>
    <row r="71" spans="1:2" x14ac:dyDescent="0.3">
      <c r="A71" s="293">
        <v>2</v>
      </c>
      <c r="B71" s="293" t="s">
        <v>747</v>
      </c>
    </row>
    <row r="72" spans="1:2" x14ac:dyDescent="0.3">
      <c r="A72" s="293">
        <v>2</v>
      </c>
      <c r="B72" s="293" t="s">
        <v>750</v>
      </c>
    </row>
    <row r="73" spans="1:2" x14ac:dyDescent="0.3">
      <c r="A73" s="293">
        <v>2</v>
      </c>
      <c r="B73" s="293" t="s">
        <v>753</v>
      </c>
    </row>
    <row r="74" spans="1:2" hidden="1" x14ac:dyDescent="0.3">
      <c r="A74" s="293">
        <v>0</v>
      </c>
      <c r="B74" s="293" t="s">
        <v>809</v>
      </c>
    </row>
    <row r="75" spans="1:2" hidden="1" x14ac:dyDescent="0.3">
      <c r="A75" s="293">
        <v>0</v>
      </c>
      <c r="B75" s="293" t="s">
        <v>821</v>
      </c>
    </row>
    <row r="76" spans="1:2" hidden="1" x14ac:dyDescent="0.3">
      <c r="A76" s="293">
        <v>0</v>
      </c>
      <c r="B76" s="293" t="s">
        <v>433</v>
      </c>
    </row>
    <row r="77" spans="1:2" x14ac:dyDescent="0.3">
      <c r="A77" s="293">
        <v>2</v>
      </c>
      <c r="B77" s="293" t="s">
        <v>301</v>
      </c>
    </row>
    <row r="78" spans="1:2" x14ac:dyDescent="0.3">
      <c r="A78" s="293">
        <v>2</v>
      </c>
      <c r="B78" s="293" t="s">
        <v>880</v>
      </c>
    </row>
    <row r="79" spans="1:2" x14ac:dyDescent="0.3">
      <c r="A79" s="293">
        <v>2</v>
      </c>
      <c r="B79" s="293" t="s">
        <v>241</v>
      </c>
    </row>
    <row r="80" spans="1:2" x14ac:dyDescent="0.3">
      <c r="A80" s="293">
        <v>1</v>
      </c>
      <c r="B80" s="293" t="s">
        <v>230</v>
      </c>
    </row>
    <row r="81" spans="1:2" x14ac:dyDescent="0.3">
      <c r="A81" s="293">
        <v>1</v>
      </c>
      <c r="B81" s="293" t="s">
        <v>872</v>
      </c>
    </row>
    <row r="82" spans="1:2" x14ac:dyDescent="0.3">
      <c r="A82" s="293">
        <v>4</v>
      </c>
      <c r="B82" s="293" t="s">
        <v>268</v>
      </c>
    </row>
    <row r="83" spans="1:2" x14ac:dyDescent="0.3">
      <c r="A83" s="293">
        <v>1</v>
      </c>
      <c r="B83" s="293" t="s">
        <v>290</v>
      </c>
    </row>
    <row r="84" spans="1:2" x14ac:dyDescent="0.3">
      <c r="A84" s="293">
        <v>1</v>
      </c>
      <c r="B84" s="293" t="s">
        <v>295</v>
      </c>
    </row>
    <row r="85" spans="1:2" x14ac:dyDescent="0.3">
      <c r="A85" s="293">
        <v>1</v>
      </c>
      <c r="B85" s="293" t="s">
        <v>299</v>
      </c>
    </row>
    <row r="86" spans="1:2" x14ac:dyDescent="0.3">
      <c r="A86" s="293">
        <v>1</v>
      </c>
      <c r="B86" s="293" t="s">
        <v>275</v>
      </c>
    </row>
    <row r="87" spans="1:2" x14ac:dyDescent="0.3">
      <c r="A87" s="293">
        <v>1</v>
      </c>
      <c r="B87" s="293" t="s">
        <v>278</v>
      </c>
    </row>
    <row r="88" spans="1:2" x14ac:dyDescent="0.3">
      <c r="A88" s="293">
        <v>2</v>
      </c>
      <c r="B88" s="293" t="s">
        <v>280</v>
      </c>
    </row>
    <row r="89" spans="1:2" x14ac:dyDescent="0.3">
      <c r="A89" s="293">
        <v>2</v>
      </c>
      <c r="B89" s="293" t="s">
        <v>248</v>
      </c>
    </row>
    <row r="90" spans="1:2" hidden="1" x14ac:dyDescent="0.3">
      <c r="A90" s="293">
        <v>0</v>
      </c>
      <c r="B90" s="293" t="s">
        <v>254</v>
      </c>
    </row>
    <row r="91" spans="1:2" x14ac:dyDescent="0.3">
      <c r="A91" s="293">
        <v>2</v>
      </c>
      <c r="B91" s="293" t="s">
        <v>238</v>
      </c>
    </row>
    <row r="92" spans="1:2" hidden="1" x14ac:dyDescent="0.3">
      <c r="A92" s="293">
        <v>0</v>
      </c>
      <c r="B92" s="293" t="s">
        <v>813</v>
      </c>
    </row>
    <row r="93" spans="1:2" hidden="1" x14ac:dyDescent="0.3">
      <c r="A93" s="293">
        <v>0</v>
      </c>
      <c r="B93" s="293" t="s">
        <v>819</v>
      </c>
    </row>
    <row r="94" spans="1:2" x14ac:dyDescent="0.3">
      <c r="A94" s="293">
        <v>1</v>
      </c>
      <c r="B94" s="293" t="s">
        <v>741</v>
      </c>
    </row>
    <row r="95" spans="1:2" x14ac:dyDescent="0.3">
      <c r="A95" s="293">
        <v>1</v>
      </c>
      <c r="B95" s="293" t="s">
        <v>744</v>
      </c>
    </row>
    <row r="96" spans="1:2" x14ac:dyDescent="0.3">
      <c r="A96" s="293">
        <v>1</v>
      </c>
      <c r="B96" s="293" t="s">
        <v>875</v>
      </c>
    </row>
    <row r="97" spans="1:2" x14ac:dyDescent="0.3">
      <c r="A97" s="293">
        <v>6</v>
      </c>
      <c r="B97" s="293" t="s">
        <v>335</v>
      </c>
    </row>
    <row r="98" spans="1:2" x14ac:dyDescent="0.3">
      <c r="A98" s="293">
        <v>4</v>
      </c>
      <c r="B98" s="293" t="s">
        <v>330</v>
      </c>
    </row>
    <row r="99" spans="1:2" x14ac:dyDescent="0.3">
      <c r="A99" s="293">
        <v>1</v>
      </c>
      <c r="B99" s="293" t="s">
        <v>318</v>
      </c>
    </row>
    <row r="100" spans="1:2" hidden="1" x14ac:dyDescent="0.3">
      <c r="A100" s="293">
        <v>0</v>
      </c>
      <c r="B100" s="293" t="s">
        <v>706</v>
      </c>
    </row>
    <row r="101" spans="1:2" x14ac:dyDescent="0.3">
      <c r="A101" s="293">
        <v>3</v>
      </c>
      <c r="B101" s="293" t="s">
        <v>357</v>
      </c>
    </row>
    <row r="102" spans="1:2" x14ac:dyDescent="0.3">
      <c r="A102" s="293">
        <v>4</v>
      </c>
      <c r="B102" s="293" t="s">
        <v>422</v>
      </c>
    </row>
    <row r="103" spans="1:2" x14ac:dyDescent="0.3">
      <c r="A103" s="293">
        <v>3</v>
      </c>
      <c r="B103" s="293" t="s">
        <v>425</v>
      </c>
    </row>
    <row r="104" spans="1:2" x14ac:dyDescent="0.3">
      <c r="A104" s="293">
        <v>10</v>
      </c>
      <c r="B104" s="293" t="s">
        <v>326</v>
      </c>
    </row>
    <row r="105" spans="1:2" x14ac:dyDescent="0.3">
      <c r="A105" s="293">
        <v>6</v>
      </c>
      <c r="B105" s="293" t="s">
        <v>320</v>
      </c>
    </row>
    <row r="106" spans="1:2" x14ac:dyDescent="0.3">
      <c r="A106" s="293">
        <v>4</v>
      </c>
      <c r="B106" s="293" t="s">
        <v>322</v>
      </c>
    </row>
    <row r="107" spans="1:2" hidden="1" x14ac:dyDescent="0.3">
      <c r="A107" s="293">
        <v>0</v>
      </c>
      <c r="B107" s="293" t="s">
        <v>708</v>
      </c>
    </row>
    <row r="108" spans="1:2" hidden="1" x14ac:dyDescent="0.3">
      <c r="A108" s="293">
        <v>0</v>
      </c>
      <c r="B108" s="293" t="s">
        <v>710</v>
      </c>
    </row>
    <row r="109" spans="1:2" x14ac:dyDescent="0.3">
      <c r="A109" s="293">
        <v>2</v>
      </c>
      <c r="B109" s="293" t="s">
        <v>399</v>
      </c>
    </row>
    <row r="110" spans="1:2" x14ac:dyDescent="0.3">
      <c r="A110" s="293">
        <v>3</v>
      </c>
      <c r="B110" s="293" t="s">
        <v>402</v>
      </c>
    </row>
    <row r="111" spans="1:2" x14ac:dyDescent="0.3">
      <c r="A111" s="293">
        <v>6</v>
      </c>
      <c r="B111" s="293" t="s">
        <v>713</v>
      </c>
    </row>
    <row r="112" spans="1:2" hidden="1" x14ac:dyDescent="0.3">
      <c r="A112" s="293">
        <v>0</v>
      </c>
      <c r="B112" s="293" t="s">
        <v>716</v>
      </c>
    </row>
    <row r="113" spans="1:2" hidden="1" x14ac:dyDescent="0.3">
      <c r="A113" s="293">
        <v>0</v>
      </c>
      <c r="B113" s="293" t="s">
        <v>719</v>
      </c>
    </row>
    <row r="114" spans="1:2" hidden="1" x14ac:dyDescent="0.3">
      <c r="A114" s="293">
        <v>0</v>
      </c>
      <c r="B114" s="293" t="s">
        <v>772</v>
      </c>
    </row>
    <row r="115" spans="1:2" hidden="1" x14ac:dyDescent="0.3">
      <c r="A115" s="293">
        <v>0</v>
      </c>
      <c r="B115" s="293" t="s">
        <v>365</v>
      </c>
    </row>
    <row r="116" spans="1:2" hidden="1" x14ac:dyDescent="0.3">
      <c r="A116" s="293">
        <v>0</v>
      </c>
      <c r="B116" s="293" t="s">
        <v>723</v>
      </c>
    </row>
    <row r="117" spans="1:2" hidden="1" x14ac:dyDescent="0.3">
      <c r="A117" s="293">
        <v>0</v>
      </c>
      <c r="B117" s="293" t="s">
        <v>726</v>
      </c>
    </row>
    <row r="118" spans="1:2" x14ac:dyDescent="0.3">
      <c r="A118" s="293">
        <v>6</v>
      </c>
      <c r="B118" s="293" t="s">
        <v>362</v>
      </c>
    </row>
    <row r="119" spans="1:2" hidden="1" x14ac:dyDescent="0.3">
      <c r="A119" s="293">
        <v>0</v>
      </c>
      <c r="B119" s="293" t="s">
        <v>721</v>
      </c>
    </row>
    <row r="120" spans="1:2" x14ac:dyDescent="0.3">
      <c r="A120" s="293">
        <v>1</v>
      </c>
      <c r="B120" s="293" t="s">
        <v>308</v>
      </c>
    </row>
    <row r="121" spans="1:2" hidden="1" x14ac:dyDescent="0.3">
      <c r="A121" s="293">
        <v>0</v>
      </c>
      <c r="B121" s="293" t="s">
        <v>669</v>
      </c>
    </row>
    <row r="122" spans="1:2" x14ac:dyDescent="0.3">
      <c r="A122" s="293">
        <v>2</v>
      </c>
      <c r="B122" s="293" t="s">
        <v>354</v>
      </c>
    </row>
    <row r="123" spans="1:2" x14ac:dyDescent="0.3">
      <c r="A123" s="293">
        <v>1</v>
      </c>
      <c r="B123" s="293" t="s">
        <v>672</v>
      </c>
    </row>
    <row r="124" spans="1:2" x14ac:dyDescent="0.3">
      <c r="A124" s="293">
        <v>3</v>
      </c>
      <c r="B124" s="293" t="s">
        <v>333</v>
      </c>
    </row>
    <row r="125" spans="1:2" x14ac:dyDescent="0.3">
      <c r="A125" s="293">
        <v>2</v>
      </c>
      <c r="B125" s="293" t="s">
        <v>687</v>
      </c>
    </row>
    <row r="126" spans="1:2" hidden="1" x14ac:dyDescent="0.3">
      <c r="A126" s="293">
        <v>0</v>
      </c>
      <c r="B126" s="293" t="s">
        <v>690</v>
      </c>
    </row>
    <row r="127" spans="1:2" hidden="1" x14ac:dyDescent="0.3">
      <c r="A127" s="293">
        <v>0</v>
      </c>
      <c r="B127" s="293" t="s">
        <v>694</v>
      </c>
    </row>
    <row r="128" spans="1:2" hidden="1" x14ac:dyDescent="0.3">
      <c r="A128" s="293">
        <v>0</v>
      </c>
      <c r="B128" s="293" t="s">
        <v>697</v>
      </c>
    </row>
    <row r="129" spans="1:2" hidden="1" x14ac:dyDescent="0.3">
      <c r="A129" s="293">
        <v>0</v>
      </c>
      <c r="B129" s="293" t="s">
        <v>700</v>
      </c>
    </row>
    <row r="130" spans="1:2" hidden="1" x14ac:dyDescent="0.3">
      <c r="A130" s="293">
        <v>0</v>
      </c>
      <c r="B130" s="293" t="s">
        <v>703</v>
      </c>
    </row>
    <row r="131" spans="1:2" x14ac:dyDescent="0.3">
      <c r="A131" s="293">
        <v>8</v>
      </c>
      <c r="B131" s="293" t="s">
        <v>359</v>
      </c>
    </row>
    <row r="132" spans="1:2" x14ac:dyDescent="0.3">
      <c r="A132" s="293">
        <v>6</v>
      </c>
      <c r="B132" s="293" t="s">
        <v>427</v>
      </c>
    </row>
    <row r="133" spans="1:2" x14ac:dyDescent="0.3">
      <c r="A133" s="293">
        <v>2</v>
      </c>
      <c r="B133" s="293" t="s">
        <v>371</v>
      </c>
    </row>
    <row r="134" spans="1:2" x14ac:dyDescent="0.3">
      <c r="A134" s="293">
        <v>29</v>
      </c>
      <c r="B134" s="293" t="s">
        <v>647</v>
      </c>
    </row>
    <row r="135" spans="1:2" x14ac:dyDescent="0.3">
      <c r="A135" s="293">
        <v>2</v>
      </c>
      <c r="B135" s="293" t="s">
        <v>840</v>
      </c>
    </row>
    <row r="136" spans="1:2" x14ac:dyDescent="0.3">
      <c r="A136" s="293">
        <v>12</v>
      </c>
      <c r="B136" s="293" t="s">
        <v>829</v>
      </c>
    </row>
    <row r="137" spans="1:2" x14ac:dyDescent="0.3">
      <c r="A137" s="293">
        <v>6</v>
      </c>
      <c r="B137" s="293" t="s">
        <v>383</v>
      </c>
    </row>
    <row r="138" spans="1:2" x14ac:dyDescent="0.3">
      <c r="A138" s="293">
        <v>6</v>
      </c>
      <c r="B138" s="293" t="s">
        <v>395</v>
      </c>
    </row>
    <row r="139" spans="1:2" x14ac:dyDescent="0.3">
      <c r="A139" s="293">
        <v>10</v>
      </c>
      <c r="B139" s="293" t="s">
        <v>379</v>
      </c>
    </row>
    <row r="140" spans="1:2" x14ac:dyDescent="0.3">
      <c r="A140" s="293">
        <v>9</v>
      </c>
      <c r="B140" s="293" t="s">
        <v>391</v>
      </c>
    </row>
    <row r="141" spans="1:2" x14ac:dyDescent="0.3">
      <c r="A141" s="293">
        <v>4</v>
      </c>
      <c r="B141" s="293" t="s">
        <v>440</v>
      </c>
    </row>
    <row r="142" spans="1:2" x14ac:dyDescent="0.3">
      <c r="A142" s="293">
        <v>2</v>
      </c>
      <c r="B142" s="293" t="s">
        <v>369</v>
      </c>
    </row>
    <row r="143" spans="1:2" x14ac:dyDescent="0.3">
      <c r="A143" s="293">
        <v>1</v>
      </c>
      <c r="B143" s="293" t="s">
        <v>405</v>
      </c>
    </row>
    <row r="144" spans="1:2" x14ac:dyDescent="0.3">
      <c r="A144" s="293">
        <v>1</v>
      </c>
      <c r="B144" s="293" t="s">
        <v>408</v>
      </c>
    </row>
    <row r="145" spans="1:2" x14ac:dyDescent="0.3">
      <c r="A145" s="293">
        <v>5</v>
      </c>
      <c r="B145" s="293" t="s">
        <v>637</v>
      </c>
    </row>
    <row r="146" spans="1:2" x14ac:dyDescent="0.3">
      <c r="A146" s="293">
        <v>2</v>
      </c>
      <c r="B146" s="293" t="s">
        <v>679</v>
      </c>
    </row>
    <row r="147" spans="1:2" x14ac:dyDescent="0.3">
      <c r="A147" s="293">
        <v>3</v>
      </c>
      <c r="B147" s="293" t="s">
        <v>660</v>
      </c>
    </row>
    <row r="148" spans="1:2" x14ac:dyDescent="0.3">
      <c r="A148" s="293">
        <v>2</v>
      </c>
      <c r="B148" s="293" t="s">
        <v>662</v>
      </c>
    </row>
    <row r="149" spans="1:2" hidden="1" x14ac:dyDescent="0.3">
      <c r="A149" s="293">
        <v>0</v>
      </c>
      <c r="B149" s="293" t="s">
        <v>643</v>
      </c>
    </row>
    <row r="150" spans="1:2" x14ac:dyDescent="0.3">
      <c r="A150" s="293">
        <v>3</v>
      </c>
      <c r="B150" s="293" t="s">
        <v>645</v>
      </c>
    </row>
    <row r="151" spans="1:2" x14ac:dyDescent="0.3">
      <c r="A151" s="293">
        <v>9</v>
      </c>
      <c r="B151" s="293" t="s">
        <v>650</v>
      </c>
    </row>
    <row r="152" spans="1:2" x14ac:dyDescent="0.3">
      <c r="A152" s="293">
        <v>7</v>
      </c>
      <c r="B152" s="293" t="s">
        <v>652</v>
      </c>
    </row>
    <row r="153" spans="1:2" x14ac:dyDescent="0.3">
      <c r="A153" s="293">
        <v>4</v>
      </c>
      <c r="B153" s="293" t="s">
        <v>675</v>
      </c>
    </row>
    <row r="154" spans="1:2" x14ac:dyDescent="0.3">
      <c r="A154" s="293">
        <v>1</v>
      </c>
      <c r="B154" s="293" t="s">
        <v>3316</v>
      </c>
    </row>
    <row r="155" spans="1:2" x14ac:dyDescent="0.3">
      <c r="A155" s="293">
        <v>4</v>
      </c>
      <c r="B155" s="293" t="s">
        <v>827</v>
      </c>
    </row>
    <row r="156" spans="1:2" x14ac:dyDescent="0.3">
      <c r="A156" s="293">
        <v>8</v>
      </c>
      <c r="B156" s="293" t="s">
        <v>831</v>
      </c>
    </row>
    <row r="157" spans="1:2" x14ac:dyDescent="0.3">
      <c r="A157" s="293">
        <v>4</v>
      </c>
      <c r="B157" s="293" t="s">
        <v>825</v>
      </c>
    </row>
    <row r="158" spans="1:2" x14ac:dyDescent="0.3">
      <c r="A158" s="293">
        <v>1</v>
      </c>
      <c r="B158" s="293" t="s">
        <v>833</v>
      </c>
    </row>
    <row r="159" spans="1:2" x14ac:dyDescent="0.3">
      <c r="A159" s="293">
        <v>8</v>
      </c>
      <c r="B159" s="293" t="s">
        <v>381</v>
      </c>
    </row>
    <row r="160" spans="1:2" x14ac:dyDescent="0.3">
      <c r="A160" s="293">
        <v>8</v>
      </c>
      <c r="B160" s="293" t="s">
        <v>393</v>
      </c>
    </row>
    <row r="161" spans="1:2" x14ac:dyDescent="0.3">
      <c r="A161" s="293">
        <v>2</v>
      </c>
      <c r="B161" s="293" t="s">
        <v>385</v>
      </c>
    </row>
    <row r="162" spans="1:2" x14ac:dyDescent="0.3">
      <c r="A162" s="293">
        <v>2</v>
      </c>
      <c r="B162" s="293" t="s">
        <v>466</v>
      </c>
    </row>
    <row r="163" spans="1:2" x14ac:dyDescent="0.3">
      <c r="A163" s="293">
        <v>2</v>
      </c>
      <c r="B163" s="293" t="s">
        <v>472</v>
      </c>
    </row>
    <row r="164" spans="1:2" x14ac:dyDescent="0.3">
      <c r="A164" s="293">
        <v>1</v>
      </c>
      <c r="B164" s="293" t="s">
        <v>474</v>
      </c>
    </row>
    <row r="165" spans="1:2" x14ac:dyDescent="0.3">
      <c r="A165" s="293">
        <v>1</v>
      </c>
      <c r="B165" s="293" t="s">
        <v>476</v>
      </c>
    </row>
    <row r="166" spans="1:2" x14ac:dyDescent="0.3">
      <c r="A166" s="293">
        <v>1</v>
      </c>
      <c r="B166" s="293" t="s">
        <v>664</v>
      </c>
    </row>
    <row r="167" spans="1:2" x14ac:dyDescent="0.3">
      <c r="A167" s="293">
        <v>2</v>
      </c>
      <c r="B167" s="293" t="s">
        <v>666</v>
      </c>
    </row>
    <row r="168" spans="1:2" hidden="1" x14ac:dyDescent="0.3">
      <c r="A168" s="293">
        <v>0</v>
      </c>
      <c r="B168" s="293" t="s">
        <v>625</v>
      </c>
    </row>
    <row r="169" spans="1:2" hidden="1" x14ac:dyDescent="0.3">
      <c r="A169" s="293">
        <v>0</v>
      </c>
      <c r="B169" s="293" t="s">
        <v>629</v>
      </c>
    </row>
    <row r="170" spans="1:2" hidden="1" x14ac:dyDescent="0.3">
      <c r="A170" s="293">
        <v>0</v>
      </c>
      <c r="B170" s="293" t="s">
        <v>635</v>
      </c>
    </row>
    <row r="171" spans="1:2" hidden="1" x14ac:dyDescent="0.3">
      <c r="A171" s="293">
        <v>0</v>
      </c>
      <c r="B171" s="293" t="s">
        <v>633</v>
      </c>
    </row>
    <row r="172" spans="1:2" hidden="1" x14ac:dyDescent="0.3">
      <c r="A172" s="293">
        <v>0</v>
      </c>
      <c r="B172" s="293" t="s">
        <v>640</v>
      </c>
    </row>
    <row r="173" spans="1:2" x14ac:dyDescent="0.3">
      <c r="A173" s="293">
        <v>2</v>
      </c>
      <c r="B173" s="293" t="s">
        <v>444</v>
      </c>
    </row>
    <row r="174" spans="1:2" x14ac:dyDescent="0.3">
      <c r="A174" s="293">
        <v>2</v>
      </c>
      <c r="B174" s="293" t="s">
        <v>446</v>
      </c>
    </row>
    <row r="175" spans="1:2" x14ac:dyDescent="0.3">
      <c r="A175" s="293">
        <v>2</v>
      </c>
      <c r="B175" s="293" t="s">
        <v>450</v>
      </c>
    </row>
    <row r="176" spans="1:2" x14ac:dyDescent="0.3">
      <c r="A176" s="293">
        <v>1</v>
      </c>
      <c r="B176" s="293" t="s">
        <v>452</v>
      </c>
    </row>
    <row r="177" spans="1:2" x14ac:dyDescent="0.3">
      <c r="A177" s="293">
        <v>1</v>
      </c>
      <c r="B177" s="293" t="s">
        <v>757</v>
      </c>
    </row>
    <row r="178" spans="1:2" x14ac:dyDescent="0.3">
      <c r="A178" s="293">
        <v>2</v>
      </c>
      <c r="B178" s="293" t="s">
        <v>759</v>
      </c>
    </row>
    <row r="179" spans="1:2" x14ac:dyDescent="0.3">
      <c r="A179" s="293">
        <v>1</v>
      </c>
      <c r="B179" s="293" t="s">
        <v>761</v>
      </c>
    </row>
    <row r="180" spans="1:2" x14ac:dyDescent="0.3">
      <c r="A180" s="293">
        <v>1</v>
      </c>
      <c r="B180" s="293" t="s">
        <v>763</v>
      </c>
    </row>
    <row r="181" spans="1:2" x14ac:dyDescent="0.3">
      <c r="A181" s="293">
        <v>2</v>
      </c>
      <c r="B181" s="293" t="s">
        <v>442</v>
      </c>
    </row>
    <row r="182" spans="1:2" x14ac:dyDescent="0.3">
      <c r="A182" s="293">
        <v>4</v>
      </c>
      <c r="B182" s="293" t="s">
        <v>448</v>
      </c>
    </row>
    <row r="183" spans="1:2" x14ac:dyDescent="0.3">
      <c r="A183" s="293">
        <v>1</v>
      </c>
      <c r="B183" s="293" t="s">
        <v>420</v>
      </c>
    </row>
    <row r="184" spans="1:2" x14ac:dyDescent="0.3">
      <c r="A184" s="293">
        <v>1</v>
      </c>
      <c r="B184" s="293" t="s">
        <v>683</v>
      </c>
    </row>
    <row r="185" spans="1:2" x14ac:dyDescent="0.3">
      <c r="A185" s="293">
        <v>1</v>
      </c>
      <c r="B185" s="293" t="s">
        <v>685</v>
      </c>
    </row>
    <row r="186" spans="1:2" x14ac:dyDescent="0.3">
      <c r="A186" s="293">
        <v>4</v>
      </c>
      <c r="B186" s="293" t="s">
        <v>838</v>
      </c>
    </row>
    <row r="187" spans="1:2" x14ac:dyDescent="0.3">
      <c r="A187" s="293">
        <v>2</v>
      </c>
      <c r="B187" s="293" t="s">
        <v>373</v>
      </c>
    </row>
    <row r="188" spans="1:2" x14ac:dyDescent="0.3">
      <c r="A188" s="293">
        <v>18</v>
      </c>
      <c r="B188" s="293" t="s">
        <v>654</v>
      </c>
    </row>
    <row r="189" spans="1:2" x14ac:dyDescent="0.3">
      <c r="A189" s="293">
        <v>4</v>
      </c>
      <c r="B189" s="293" t="s">
        <v>677</v>
      </c>
    </row>
    <row r="190" spans="1:2" x14ac:dyDescent="0.3">
      <c r="A190" s="293">
        <v>1</v>
      </c>
      <c r="B190" s="293" t="s">
        <v>411</v>
      </c>
    </row>
    <row r="191" spans="1:2" x14ac:dyDescent="0.3">
      <c r="A191" s="293">
        <v>1</v>
      </c>
      <c r="B191" s="293" t="s">
        <v>413</v>
      </c>
    </row>
    <row r="192" spans="1:2" x14ac:dyDescent="0.3">
      <c r="A192" s="293">
        <v>1</v>
      </c>
      <c r="B192" s="293" t="s">
        <v>656</v>
      </c>
    </row>
    <row r="193" spans="1:2" x14ac:dyDescent="0.3">
      <c r="A193" s="293">
        <v>1</v>
      </c>
      <c r="B193" s="293" t="s">
        <v>681</v>
      </c>
    </row>
    <row r="194" spans="1:2" x14ac:dyDescent="0.3">
      <c r="A194" s="293">
        <v>1</v>
      </c>
      <c r="B194" s="293" t="s">
        <v>658</v>
      </c>
    </row>
    <row r="195" spans="1:2" x14ac:dyDescent="0.3">
      <c r="A195" s="293">
        <v>4</v>
      </c>
      <c r="B195" s="293" t="s">
        <v>836</v>
      </c>
    </row>
    <row r="196" spans="1:2" x14ac:dyDescent="0.3">
      <c r="A196" s="293">
        <v>6</v>
      </c>
      <c r="B196" s="293" t="s">
        <v>387</v>
      </c>
    </row>
    <row r="197" spans="1:2" x14ac:dyDescent="0.3">
      <c r="A197" s="293">
        <v>4</v>
      </c>
      <c r="B197" s="293" t="s">
        <v>389</v>
      </c>
    </row>
    <row r="198" spans="1:2" x14ac:dyDescent="0.3">
      <c r="A198" s="293">
        <v>4</v>
      </c>
      <c r="B198" s="293" t="s">
        <v>397</v>
      </c>
    </row>
    <row r="199" spans="1:2" x14ac:dyDescent="0.3">
      <c r="A199" s="293">
        <v>4</v>
      </c>
      <c r="B199" s="293" t="s">
        <v>469</v>
      </c>
    </row>
    <row r="200" spans="1:2" hidden="1" x14ac:dyDescent="0.3">
      <c r="A200" s="293">
        <v>0</v>
      </c>
      <c r="B200" s="293" t="s">
        <v>627</v>
      </c>
    </row>
    <row r="201" spans="1:2" hidden="1" x14ac:dyDescent="0.3">
      <c r="A201" s="293">
        <v>0</v>
      </c>
      <c r="B201" s="293" t="s">
        <v>631</v>
      </c>
    </row>
    <row r="202" spans="1:2" x14ac:dyDescent="0.3">
      <c r="A202" s="293">
        <v>2</v>
      </c>
      <c r="B202" s="293" t="s">
        <v>457</v>
      </c>
    </row>
    <row r="203" spans="1:2" x14ac:dyDescent="0.3">
      <c r="A203" s="293">
        <v>3</v>
      </c>
      <c r="B203" s="293" t="s">
        <v>459</v>
      </c>
    </row>
    <row r="204" spans="1:2" x14ac:dyDescent="0.3">
      <c r="A204" s="293">
        <v>4</v>
      </c>
      <c r="B204" s="293" t="s">
        <v>454</v>
      </c>
    </row>
    <row r="205" spans="1:2" x14ac:dyDescent="0.3">
      <c r="A205" s="293">
        <v>3</v>
      </c>
      <c r="B205" s="293" t="s">
        <v>461</v>
      </c>
    </row>
    <row r="206" spans="1:2" x14ac:dyDescent="0.3">
      <c r="A206" s="293">
        <v>3</v>
      </c>
      <c r="B206" s="293" t="s">
        <v>463</v>
      </c>
    </row>
    <row r="207" spans="1:2" x14ac:dyDescent="0.3">
      <c r="A207" s="293">
        <v>1</v>
      </c>
      <c r="B207" s="293" t="s">
        <v>765</v>
      </c>
    </row>
    <row r="208" spans="1:2" x14ac:dyDescent="0.3">
      <c r="A208" s="293">
        <v>3</v>
      </c>
      <c r="B208" s="293" t="s">
        <v>1020</v>
      </c>
    </row>
    <row r="209" spans="1:2" x14ac:dyDescent="0.3">
      <c r="A209" s="293">
        <v>4</v>
      </c>
      <c r="B209" s="293" t="s">
        <v>1032</v>
      </c>
    </row>
    <row r="210" spans="1:2" x14ac:dyDescent="0.3">
      <c r="A210" s="293">
        <v>2</v>
      </c>
      <c r="B210" s="293" t="s">
        <v>1024</v>
      </c>
    </row>
    <row r="211" spans="1:2" x14ac:dyDescent="0.3">
      <c r="A211" s="293">
        <v>2</v>
      </c>
      <c r="B211" s="293" t="s">
        <v>1028</v>
      </c>
    </row>
    <row r="212" spans="1:2" hidden="1" x14ac:dyDescent="0.3">
      <c r="A212" s="293">
        <v>0</v>
      </c>
      <c r="B212" s="293" t="s">
        <v>1066</v>
      </c>
    </row>
    <row r="213" spans="1:2" x14ac:dyDescent="0.3">
      <c r="A213" s="293">
        <v>2</v>
      </c>
      <c r="B213" s="293" t="s">
        <v>1073</v>
      </c>
    </row>
    <row r="214" spans="1:2" hidden="1" x14ac:dyDescent="0.3">
      <c r="A214" s="293">
        <v>0</v>
      </c>
      <c r="B214" s="293" t="s">
        <v>1086</v>
      </c>
    </row>
    <row r="215" spans="1:2" hidden="1" x14ac:dyDescent="0.3">
      <c r="A215" s="293">
        <v>0</v>
      </c>
      <c r="B215" s="293" t="s">
        <v>1092</v>
      </c>
    </row>
    <row r="216" spans="1:2" hidden="1" x14ac:dyDescent="0.3">
      <c r="A216" s="293">
        <v>0</v>
      </c>
      <c r="B216" s="293" t="s">
        <v>887</v>
      </c>
    </row>
    <row r="217" spans="1:2" hidden="1" x14ac:dyDescent="0.3">
      <c r="A217" s="293">
        <v>0</v>
      </c>
      <c r="B217" s="293" t="s">
        <v>911</v>
      </c>
    </row>
    <row r="218" spans="1:2" hidden="1" x14ac:dyDescent="0.3">
      <c r="A218" s="293">
        <v>0</v>
      </c>
      <c r="B218" s="293" t="s">
        <v>913</v>
      </c>
    </row>
    <row r="219" spans="1:2" hidden="1" x14ac:dyDescent="0.3">
      <c r="A219" s="293">
        <v>0</v>
      </c>
      <c r="B219" s="293" t="s">
        <v>484</v>
      </c>
    </row>
    <row r="220" spans="1:2" hidden="1" x14ac:dyDescent="0.3">
      <c r="A220" s="293">
        <v>0</v>
      </c>
      <c r="B220" s="293" t="s">
        <v>494</v>
      </c>
    </row>
    <row r="221" spans="1:2" hidden="1" x14ac:dyDescent="0.3">
      <c r="A221" s="293">
        <v>0</v>
      </c>
      <c r="B221" s="293" t="s">
        <v>498</v>
      </c>
    </row>
    <row r="222" spans="1:2" hidden="1" x14ac:dyDescent="0.3">
      <c r="A222" s="293">
        <v>0</v>
      </c>
      <c r="B222" s="293" t="s">
        <v>490</v>
      </c>
    </row>
    <row r="223" spans="1:2" x14ac:dyDescent="0.3">
      <c r="A223" s="293">
        <v>1</v>
      </c>
      <c r="B223" s="293" t="s">
        <v>973</v>
      </c>
    </row>
    <row r="224" spans="1:2" x14ac:dyDescent="0.3">
      <c r="A224" s="293">
        <v>2</v>
      </c>
      <c r="B224" s="293" t="s">
        <v>980</v>
      </c>
    </row>
    <row r="225" spans="1:2" hidden="1" x14ac:dyDescent="0.3">
      <c r="A225" s="293">
        <v>0</v>
      </c>
      <c r="B225" s="293" t="s">
        <v>986</v>
      </c>
    </row>
    <row r="226" spans="1:2" hidden="1" x14ac:dyDescent="0.3">
      <c r="A226" s="293">
        <v>0</v>
      </c>
      <c r="B226" s="293" t="s">
        <v>988</v>
      </c>
    </row>
    <row r="227" spans="1:2" hidden="1" x14ac:dyDescent="0.3">
      <c r="A227" s="293">
        <v>0</v>
      </c>
      <c r="B227" s="293" t="s">
        <v>994</v>
      </c>
    </row>
    <row r="228" spans="1:2" hidden="1" x14ac:dyDescent="0.3">
      <c r="A228" s="293">
        <v>0</v>
      </c>
      <c r="B228" s="293" t="s">
        <v>996</v>
      </c>
    </row>
    <row r="229" spans="1:2" x14ac:dyDescent="0.3">
      <c r="A229" s="293">
        <v>1</v>
      </c>
      <c r="B229" s="293" t="s">
        <v>1000</v>
      </c>
    </row>
    <row r="230" spans="1:2" x14ac:dyDescent="0.3">
      <c r="A230" s="293">
        <v>1</v>
      </c>
      <c r="B230" s="293" t="s">
        <v>1022</v>
      </c>
    </row>
    <row r="231" spans="1:2" x14ac:dyDescent="0.3">
      <c r="A231" s="293">
        <v>1</v>
      </c>
      <c r="B231" s="293" t="s">
        <v>1018</v>
      </c>
    </row>
    <row r="232" spans="1:2" x14ac:dyDescent="0.3">
      <c r="A232" s="293">
        <v>1</v>
      </c>
      <c r="B232" s="293" t="s">
        <v>1030</v>
      </c>
    </row>
    <row r="233" spans="1:2" x14ac:dyDescent="0.3">
      <c r="A233" s="293">
        <v>1</v>
      </c>
      <c r="B233" s="293" t="s">
        <v>1026</v>
      </c>
    </row>
    <row r="234" spans="1:2" x14ac:dyDescent="0.3">
      <c r="A234" s="293">
        <v>3</v>
      </c>
      <c r="B234" s="293" t="s">
        <v>1036</v>
      </c>
    </row>
    <row r="235" spans="1:2" hidden="1" x14ac:dyDescent="0.3">
      <c r="A235" s="293">
        <v>0</v>
      </c>
      <c r="B235" s="293" t="s">
        <v>1081</v>
      </c>
    </row>
    <row r="236" spans="1:2" hidden="1" x14ac:dyDescent="0.3">
      <c r="A236" s="293">
        <v>0</v>
      </c>
      <c r="B236" s="293" t="s">
        <v>1068</v>
      </c>
    </row>
    <row r="237" spans="1:2" x14ac:dyDescent="0.3">
      <c r="A237" s="293">
        <v>1</v>
      </c>
      <c r="B237" s="293" t="s">
        <v>1075</v>
      </c>
    </row>
    <row r="238" spans="1:2" hidden="1" x14ac:dyDescent="0.3">
      <c r="A238" s="293">
        <v>0</v>
      </c>
      <c r="B238" s="293" t="s">
        <v>1088</v>
      </c>
    </row>
    <row r="239" spans="1:2" hidden="1" x14ac:dyDescent="0.3">
      <c r="A239" s="293">
        <v>0</v>
      </c>
      <c r="B239" s="293" t="s">
        <v>1094</v>
      </c>
    </row>
    <row r="240" spans="1:2" hidden="1" x14ac:dyDescent="0.3">
      <c r="A240" s="293">
        <v>0</v>
      </c>
      <c r="B240" s="293" t="s">
        <v>1083</v>
      </c>
    </row>
    <row r="241" spans="1:2" hidden="1" x14ac:dyDescent="0.3">
      <c r="A241" s="293">
        <v>0</v>
      </c>
      <c r="B241" s="293" t="s">
        <v>1085</v>
      </c>
    </row>
    <row r="242" spans="1:2" hidden="1" x14ac:dyDescent="0.3">
      <c r="A242" s="293">
        <v>0</v>
      </c>
      <c r="B242" s="293" t="s">
        <v>1090</v>
      </c>
    </row>
    <row r="243" spans="1:2" hidden="1" x14ac:dyDescent="0.3">
      <c r="A243" s="293">
        <v>0</v>
      </c>
      <c r="B243" s="293" t="s">
        <v>893</v>
      </c>
    </row>
    <row r="244" spans="1:2" hidden="1" x14ac:dyDescent="0.3">
      <c r="A244" s="293">
        <v>0</v>
      </c>
      <c r="B244" s="293" t="s">
        <v>897</v>
      </c>
    </row>
    <row r="245" spans="1:2" hidden="1" x14ac:dyDescent="0.3">
      <c r="A245" s="293">
        <v>0</v>
      </c>
      <c r="B245" s="293" t="s">
        <v>901</v>
      </c>
    </row>
    <row r="246" spans="1:2" hidden="1" x14ac:dyDescent="0.3">
      <c r="A246" s="293">
        <v>0</v>
      </c>
      <c r="B246" s="293" t="s">
        <v>905</v>
      </c>
    </row>
    <row r="247" spans="1:2" hidden="1" x14ac:dyDescent="0.3">
      <c r="A247" s="293">
        <v>0</v>
      </c>
      <c r="B247" s="293" t="s">
        <v>486</v>
      </c>
    </row>
    <row r="248" spans="1:2" hidden="1" x14ac:dyDescent="0.3">
      <c r="A248" s="293">
        <v>0</v>
      </c>
      <c r="B248" s="293" t="s">
        <v>502</v>
      </c>
    </row>
    <row r="249" spans="1:2" hidden="1" x14ac:dyDescent="0.3">
      <c r="A249" s="293">
        <v>0</v>
      </c>
      <c r="B249" s="293" t="s">
        <v>511</v>
      </c>
    </row>
    <row r="250" spans="1:2" hidden="1" x14ac:dyDescent="0.3">
      <c r="A250" s="293">
        <v>0</v>
      </c>
      <c r="B250" s="293" t="s">
        <v>513</v>
      </c>
    </row>
    <row r="251" spans="1:2" hidden="1" x14ac:dyDescent="0.3">
      <c r="A251" s="293">
        <v>0</v>
      </c>
      <c r="B251" s="293" t="s">
        <v>478</v>
      </c>
    </row>
    <row r="252" spans="1:2" hidden="1" x14ac:dyDescent="0.3">
      <c r="A252" s="293">
        <v>0</v>
      </c>
      <c r="B252" s="293" t="s">
        <v>482</v>
      </c>
    </row>
    <row r="253" spans="1:2" hidden="1" x14ac:dyDescent="0.3">
      <c r="A253" s="293">
        <v>0</v>
      </c>
      <c r="B253" s="293" t="s">
        <v>515</v>
      </c>
    </row>
    <row r="254" spans="1:2" hidden="1" x14ac:dyDescent="0.3">
      <c r="A254" s="293">
        <v>0</v>
      </c>
      <c r="B254" s="293" t="s">
        <v>527</v>
      </c>
    </row>
    <row r="255" spans="1:2" hidden="1" x14ac:dyDescent="0.3">
      <c r="A255" s="293">
        <v>0</v>
      </c>
      <c r="B255" s="293" t="s">
        <v>529</v>
      </c>
    </row>
    <row r="256" spans="1:2" hidden="1" x14ac:dyDescent="0.3">
      <c r="A256" s="293">
        <v>0</v>
      </c>
      <c r="B256" s="293" t="s">
        <v>531</v>
      </c>
    </row>
    <row r="257" spans="1:2" hidden="1" x14ac:dyDescent="0.3">
      <c r="A257" s="293">
        <v>0</v>
      </c>
      <c r="B257" s="293" t="s">
        <v>959</v>
      </c>
    </row>
    <row r="258" spans="1:2" hidden="1" x14ac:dyDescent="0.3">
      <c r="A258" s="293">
        <v>0</v>
      </c>
      <c r="B258" s="293" t="s">
        <v>965</v>
      </c>
    </row>
    <row r="259" spans="1:2" hidden="1" x14ac:dyDescent="0.3">
      <c r="A259" s="293">
        <v>0</v>
      </c>
      <c r="B259" s="293" t="s">
        <v>963</v>
      </c>
    </row>
    <row r="260" spans="1:2" hidden="1" x14ac:dyDescent="0.3">
      <c r="A260" s="293">
        <v>0</v>
      </c>
      <c r="B260" s="293" t="s">
        <v>967</v>
      </c>
    </row>
    <row r="261" spans="1:2" x14ac:dyDescent="0.3">
      <c r="A261" s="293">
        <v>2</v>
      </c>
      <c r="B261" s="293" t="s">
        <v>969</v>
      </c>
    </row>
    <row r="262" spans="1:2" x14ac:dyDescent="0.3">
      <c r="A262" s="293">
        <v>2</v>
      </c>
      <c r="B262" s="293" t="s">
        <v>976</v>
      </c>
    </row>
    <row r="263" spans="1:2" hidden="1" x14ac:dyDescent="0.3">
      <c r="A263" s="293">
        <v>0</v>
      </c>
      <c r="B263" s="293" t="s">
        <v>982</v>
      </c>
    </row>
    <row r="264" spans="1:2" hidden="1" x14ac:dyDescent="0.3">
      <c r="A264" s="293">
        <v>0</v>
      </c>
      <c r="B264" s="293" t="s">
        <v>992</v>
      </c>
    </row>
    <row r="265" spans="1:2" x14ac:dyDescent="0.3">
      <c r="A265" s="293">
        <v>2</v>
      </c>
      <c r="B265" s="293" t="s">
        <v>998</v>
      </c>
    </row>
    <row r="266" spans="1:2" hidden="1" x14ac:dyDescent="0.3">
      <c r="A266" s="293">
        <v>0</v>
      </c>
      <c r="B266" s="293" t="s">
        <v>1462</v>
      </c>
    </row>
    <row r="267" spans="1:2" hidden="1" x14ac:dyDescent="0.3">
      <c r="A267" s="293">
        <v>0</v>
      </c>
      <c r="B267" s="293" t="s">
        <v>1456</v>
      </c>
    </row>
    <row r="268" spans="1:2" x14ac:dyDescent="0.3">
      <c r="A268" s="293">
        <v>1</v>
      </c>
      <c r="B268" s="293" t="s">
        <v>1099</v>
      </c>
    </row>
    <row r="269" spans="1:2" hidden="1" x14ac:dyDescent="0.3">
      <c r="A269" s="293">
        <v>0</v>
      </c>
      <c r="B269" s="293" t="s">
        <v>1459</v>
      </c>
    </row>
    <row r="270" spans="1:2" x14ac:dyDescent="0.3">
      <c r="A270" s="293">
        <v>1</v>
      </c>
      <c r="B270" s="293" t="s">
        <v>1101</v>
      </c>
    </row>
    <row r="271" spans="1:2" x14ac:dyDescent="0.3">
      <c r="A271" s="293">
        <v>1</v>
      </c>
      <c r="B271" s="293" t="s">
        <v>1034</v>
      </c>
    </row>
    <row r="272" spans="1:2" hidden="1" x14ac:dyDescent="0.3">
      <c r="A272" s="293">
        <v>0</v>
      </c>
      <c r="B272" s="293" t="s">
        <v>1445</v>
      </c>
    </row>
    <row r="273" spans="1:2" hidden="1" x14ac:dyDescent="0.3">
      <c r="A273" s="293">
        <v>0</v>
      </c>
      <c r="B273" s="293" t="s">
        <v>1448</v>
      </c>
    </row>
    <row r="274" spans="1:2" hidden="1" x14ac:dyDescent="0.3">
      <c r="A274" s="293">
        <v>0</v>
      </c>
      <c r="B274" s="293" t="s">
        <v>1450</v>
      </c>
    </row>
    <row r="275" spans="1:2" hidden="1" x14ac:dyDescent="0.3">
      <c r="A275" s="293">
        <v>0</v>
      </c>
      <c r="B275" s="293" t="s">
        <v>1096</v>
      </c>
    </row>
    <row r="276" spans="1:2" hidden="1" x14ac:dyDescent="0.3">
      <c r="A276" s="293">
        <v>0</v>
      </c>
      <c r="B276" s="293" t="s">
        <v>889</v>
      </c>
    </row>
    <row r="277" spans="1:2" hidden="1" x14ac:dyDescent="0.3">
      <c r="A277" s="293">
        <v>0</v>
      </c>
      <c r="B277" s="293" t="s">
        <v>891</v>
      </c>
    </row>
    <row r="278" spans="1:2" hidden="1" x14ac:dyDescent="0.3">
      <c r="A278" s="293">
        <v>0</v>
      </c>
      <c r="B278" s="293" t="s">
        <v>895</v>
      </c>
    </row>
    <row r="279" spans="1:2" hidden="1" x14ac:dyDescent="0.3">
      <c r="A279" s="293">
        <v>0</v>
      </c>
      <c r="B279" s="293" t="s">
        <v>899</v>
      </c>
    </row>
    <row r="280" spans="1:2" hidden="1" x14ac:dyDescent="0.3">
      <c r="A280" s="293">
        <v>0</v>
      </c>
      <c r="B280" s="293" t="s">
        <v>903</v>
      </c>
    </row>
    <row r="281" spans="1:2" hidden="1" x14ac:dyDescent="0.3">
      <c r="A281" s="293">
        <v>0</v>
      </c>
      <c r="B281" s="293" t="s">
        <v>907</v>
      </c>
    </row>
    <row r="282" spans="1:2" hidden="1" x14ac:dyDescent="0.3">
      <c r="A282" s="293">
        <v>0</v>
      </c>
      <c r="B282" s="293" t="s">
        <v>496</v>
      </c>
    </row>
    <row r="283" spans="1:2" hidden="1" x14ac:dyDescent="0.3">
      <c r="A283" s="293">
        <v>0</v>
      </c>
      <c r="B283" s="293" t="s">
        <v>507</v>
      </c>
    </row>
    <row r="284" spans="1:2" hidden="1" x14ac:dyDescent="0.3">
      <c r="A284" s="293">
        <v>0</v>
      </c>
      <c r="B284" s="293" t="s">
        <v>509</v>
      </c>
    </row>
    <row r="285" spans="1:2" hidden="1" x14ac:dyDescent="0.3">
      <c r="A285" s="293">
        <v>0</v>
      </c>
      <c r="B285" s="293" t="s">
        <v>517</v>
      </c>
    </row>
    <row r="286" spans="1:2" hidden="1" x14ac:dyDescent="0.3">
      <c r="A286" s="293">
        <v>0</v>
      </c>
      <c r="B286" s="293" t="s">
        <v>492</v>
      </c>
    </row>
    <row r="287" spans="1:2" hidden="1" x14ac:dyDescent="0.3">
      <c r="A287" s="293">
        <v>0</v>
      </c>
      <c r="B287" s="293" t="s">
        <v>519</v>
      </c>
    </row>
    <row r="288" spans="1:2" hidden="1" x14ac:dyDescent="0.3">
      <c r="A288" s="293">
        <v>0</v>
      </c>
      <c r="B288" s="293" t="s">
        <v>521</v>
      </c>
    </row>
    <row r="289" spans="1:2" hidden="1" x14ac:dyDescent="0.3">
      <c r="A289" s="293">
        <v>0</v>
      </c>
      <c r="B289" s="293" t="s">
        <v>523</v>
      </c>
    </row>
    <row r="290" spans="1:2" hidden="1" x14ac:dyDescent="0.3">
      <c r="A290" s="293">
        <v>0</v>
      </c>
      <c r="B290" s="293" t="s">
        <v>500</v>
      </c>
    </row>
    <row r="291" spans="1:2" hidden="1" x14ac:dyDescent="0.3">
      <c r="A291" s="293">
        <v>0</v>
      </c>
      <c r="B291" s="293" t="s">
        <v>488</v>
      </c>
    </row>
    <row r="292" spans="1:2" hidden="1" x14ac:dyDescent="0.3">
      <c r="A292" s="293">
        <v>0</v>
      </c>
      <c r="B292" s="293" t="s">
        <v>961</v>
      </c>
    </row>
    <row r="293" spans="1:2" x14ac:dyDescent="0.3">
      <c r="A293" s="293">
        <v>16</v>
      </c>
      <c r="B293" s="293" t="s">
        <v>375</v>
      </c>
    </row>
    <row r="294" spans="1:2" x14ac:dyDescent="0.3">
      <c r="A294" s="293">
        <v>2</v>
      </c>
      <c r="B294" s="293" t="s">
        <v>349</v>
      </c>
    </row>
    <row r="295" spans="1:2" x14ac:dyDescent="0.3">
      <c r="A295" s="293">
        <v>2</v>
      </c>
      <c r="B295" s="293" t="s">
        <v>3300</v>
      </c>
    </row>
    <row r="296" spans="1:2" x14ac:dyDescent="0.3">
      <c r="A296" s="293">
        <v>4</v>
      </c>
      <c r="B296" s="293" t="s">
        <v>542</v>
      </c>
    </row>
    <row r="297" spans="1:2" x14ac:dyDescent="0.3">
      <c r="A297" s="293">
        <v>2</v>
      </c>
      <c r="B297" s="293" t="s">
        <v>842</v>
      </c>
    </row>
    <row r="298" spans="1:2" x14ac:dyDescent="0.3">
      <c r="A298" s="293">
        <v>2</v>
      </c>
      <c r="B298" s="293" t="s">
        <v>844</v>
      </c>
    </row>
    <row r="299" spans="1:2" x14ac:dyDescent="0.3">
      <c r="A299" s="293">
        <v>2</v>
      </c>
      <c r="B299" s="293" t="s">
        <v>1122</v>
      </c>
    </row>
    <row r="300" spans="1:2" x14ac:dyDescent="0.3">
      <c r="A300" s="293">
        <v>2</v>
      </c>
      <c r="B300" s="293" t="s">
        <v>1103</v>
      </c>
    </row>
    <row r="301" spans="1:2" x14ac:dyDescent="0.3">
      <c r="A301" s="293">
        <v>2</v>
      </c>
      <c r="B301" s="293" t="s">
        <v>1111</v>
      </c>
    </row>
    <row r="302" spans="1:2" x14ac:dyDescent="0.3">
      <c r="A302" s="293">
        <v>1</v>
      </c>
      <c r="B302" s="293" t="s">
        <v>1128</v>
      </c>
    </row>
    <row r="303" spans="1:2" x14ac:dyDescent="0.3">
      <c r="A303" s="293">
        <v>2</v>
      </c>
      <c r="B303" s="293" t="s">
        <v>620</v>
      </c>
    </row>
    <row r="304" spans="1:2" x14ac:dyDescent="0.3">
      <c r="A304" s="293">
        <v>6</v>
      </c>
      <c r="B304" s="293" t="s">
        <v>550</v>
      </c>
    </row>
    <row r="305" spans="1:2" x14ac:dyDescent="0.3">
      <c r="A305" s="293">
        <v>2</v>
      </c>
      <c r="B305" s="293" t="s">
        <v>583</v>
      </c>
    </row>
    <row r="306" spans="1:2" x14ac:dyDescent="0.3">
      <c r="A306" s="293">
        <v>2</v>
      </c>
      <c r="B306" s="293" t="s">
        <v>565</v>
      </c>
    </row>
    <row r="307" spans="1:2" x14ac:dyDescent="0.3">
      <c r="A307" s="293">
        <v>7</v>
      </c>
      <c r="B307" s="293" t="s">
        <v>546</v>
      </c>
    </row>
    <row r="308" spans="1:2" x14ac:dyDescent="0.3">
      <c r="A308" s="293">
        <v>2</v>
      </c>
      <c r="B308" s="293" t="s">
        <v>592</v>
      </c>
    </row>
    <row r="309" spans="1:2" x14ac:dyDescent="0.3">
      <c r="A309" s="293">
        <v>2</v>
      </c>
      <c r="B309" s="293" t="s">
        <v>597</v>
      </c>
    </row>
    <row r="310" spans="1:2" x14ac:dyDescent="0.3">
      <c r="A310" s="293">
        <v>2</v>
      </c>
      <c r="B310" s="293" t="s">
        <v>572</v>
      </c>
    </row>
    <row r="311" spans="1:2" x14ac:dyDescent="0.3">
      <c r="A311" s="293">
        <v>2</v>
      </c>
      <c r="B311" s="293" t="s">
        <v>1107</v>
      </c>
    </row>
    <row r="312" spans="1:2" x14ac:dyDescent="0.3">
      <c r="A312" s="293">
        <v>1</v>
      </c>
      <c r="B312" s="293" t="s">
        <v>3317</v>
      </c>
    </row>
    <row r="313" spans="1:2" x14ac:dyDescent="0.3">
      <c r="A313" s="293">
        <v>2</v>
      </c>
      <c r="B313" s="293" t="s">
        <v>233</v>
      </c>
    </row>
    <row r="314" spans="1:2" x14ac:dyDescent="0.3">
      <c r="A314" s="293">
        <v>6</v>
      </c>
      <c r="B314" s="293" t="s">
        <v>603</v>
      </c>
    </row>
    <row r="315" spans="1:2" x14ac:dyDescent="0.3">
      <c r="A315" s="293">
        <v>2</v>
      </c>
      <c r="B315" s="293" t="s">
        <v>1117</v>
      </c>
    </row>
    <row r="316" spans="1:2" x14ac:dyDescent="0.3">
      <c r="A316" s="293">
        <v>3</v>
      </c>
      <c r="B316" s="293" t="s">
        <v>608</v>
      </c>
    </row>
    <row r="317" spans="1:2" x14ac:dyDescent="0.3">
      <c r="A317" s="293">
        <v>2</v>
      </c>
      <c r="B317" s="293" t="s">
        <v>588</v>
      </c>
    </row>
    <row r="318" spans="1:2" x14ac:dyDescent="0.3">
      <c r="A318" s="293">
        <v>2</v>
      </c>
      <c r="B318" s="293" t="s">
        <v>578</v>
      </c>
    </row>
    <row r="319" spans="1:2" x14ac:dyDescent="0.3">
      <c r="A319" s="293">
        <v>2</v>
      </c>
      <c r="B319" s="293" t="s">
        <v>556</v>
      </c>
    </row>
    <row r="320" spans="1:2" x14ac:dyDescent="0.3">
      <c r="A320" s="293">
        <v>2</v>
      </c>
      <c r="B320" s="293" t="s">
        <v>561</v>
      </c>
    </row>
    <row r="321" spans="1:2" x14ac:dyDescent="0.3">
      <c r="A321" s="293">
        <v>5</v>
      </c>
      <c r="B321" s="293" t="s">
        <v>614</v>
      </c>
    </row>
    <row r="322" spans="1:2" x14ac:dyDescent="0.3">
      <c r="A322" s="293">
        <v>2</v>
      </c>
      <c r="B322" s="293" t="s">
        <v>1046</v>
      </c>
    </row>
    <row r="323" spans="1:2" x14ac:dyDescent="0.3">
      <c r="A323" s="293">
        <v>2</v>
      </c>
      <c r="B323" s="293" t="s">
        <v>1010</v>
      </c>
    </row>
    <row r="324" spans="1:2" x14ac:dyDescent="0.3">
      <c r="A324" s="293">
        <v>2</v>
      </c>
      <c r="B324" s="293" t="s">
        <v>1038</v>
      </c>
    </row>
    <row r="325" spans="1:2" x14ac:dyDescent="0.3">
      <c r="A325" s="293">
        <v>2</v>
      </c>
      <c r="B325" s="293" t="s">
        <v>533</v>
      </c>
    </row>
    <row r="326" spans="1:2" x14ac:dyDescent="0.3">
      <c r="A326" s="293">
        <v>2</v>
      </c>
      <c r="B326" s="293" t="s">
        <v>540</v>
      </c>
    </row>
    <row r="327" spans="1:2" x14ac:dyDescent="0.3">
      <c r="A327" s="293">
        <v>2</v>
      </c>
      <c r="B327" s="293" t="s">
        <v>1050</v>
      </c>
    </row>
    <row r="328" spans="1:2" x14ac:dyDescent="0.3">
      <c r="A328" s="293">
        <v>1</v>
      </c>
      <c r="B328" s="293" t="s">
        <v>3302</v>
      </c>
    </row>
    <row r="329" spans="1:2" x14ac:dyDescent="0.3">
      <c r="A329" s="293">
        <v>2</v>
      </c>
      <c r="B329" s="293" t="s">
        <v>415</v>
      </c>
    </row>
    <row r="330" spans="1:2" hidden="1" x14ac:dyDescent="0.3">
      <c r="A330" s="293">
        <v>0</v>
      </c>
      <c r="B330" s="293" t="s">
        <v>801</v>
      </c>
    </row>
    <row r="331" spans="1:2" x14ac:dyDescent="0.3">
      <c r="A331" s="293">
        <v>2</v>
      </c>
      <c r="B331" s="293" t="s">
        <v>1115</v>
      </c>
    </row>
    <row r="332" spans="1:2" x14ac:dyDescent="0.3">
      <c r="A332" s="293">
        <v>2</v>
      </c>
      <c r="B332" s="293" t="s">
        <v>1126</v>
      </c>
    </row>
    <row r="333" spans="1:2" x14ac:dyDescent="0.3">
      <c r="A333" s="293">
        <v>1</v>
      </c>
      <c r="B333" s="293" t="s">
        <v>780</v>
      </c>
    </row>
    <row r="334" spans="1:2" x14ac:dyDescent="0.3">
      <c r="A334" s="293">
        <v>1</v>
      </c>
      <c r="B334" s="293" t="s">
        <v>352</v>
      </c>
    </row>
    <row r="335" spans="1:2" x14ac:dyDescent="0.3">
      <c r="A335" s="293">
        <v>1</v>
      </c>
      <c r="B335" s="293" t="s">
        <v>3301</v>
      </c>
    </row>
    <row r="336" spans="1:2" x14ac:dyDescent="0.3">
      <c r="A336" s="293">
        <v>2</v>
      </c>
      <c r="B336" s="293" t="s">
        <v>846</v>
      </c>
    </row>
    <row r="337" spans="1:2" x14ac:dyDescent="0.3">
      <c r="A337" s="293">
        <v>2</v>
      </c>
      <c r="B337" s="293" t="s">
        <v>848</v>
      </c>
    </row>
    <row r="338" spans="1:2" x14ac:dyDescent="0.3">
      <c r="A338" s="293">
        <v>2</v>
      </c>
      <c r="B338" s="293" t="s">
        <v>544</v>
      </c>
    </row>
    <row r="339" spans="1:2" x14ac:dyDescent="0.3">
      <c r="A339" s="293">
        <v>4</v>
      </c>
      <c r="B339" s="293" t="s">
        <v>1124</v>
      </c>
    </row>
    <row r="340" spans="1:2" x14ac:dyDescent="0.3">
      <c r="A340" s="293">
        <v>1</v>
      </c>
      <c r="B340" s="293" t="s">
        <v>1105</v>
      </c>
    </row>
    <row r="341" spans="1:2" x14ac:dyDescent="0.3">
      <c r="A341" s="293">
        <v>1</v>
      </c>
      <c r="B341" s="293" t="s">
        <v>1113</v>
      </c>
    </row>
    <row r="342" spans="1:2" x14ac:dyDescent="0.3">
      <c r="A342" s="293">
        <v>2</v>
      </c>
      <c r="B342" s="293" t="s">
        <v>1054</v>
      </c>
    </row>
    <row r="343" spans="1:2" x14ac:dyDescent="0.3">
      <c r="A343" s="293">
        <v>1</v>
      </c>
      <c r="B343" s="293" t="s">
        <v>622</v>
      </c>
    </row>
    <row r="344" spans="1:2" x14ac:dyDescent="0.3">
      <c r="A344" s="293">
        <v>1</v>
      </c>
      <c r="B344" s="293" t="s">
        <v>1056</v>
      </c>
    </row>
    <row r="345" spans="1:2" x14ac:dyDescent="0.3">
      <c r="A345" s="293">
        <v>1</v>
      </c>
      <c r="B345" s="293" t="s">
        <v>1059</v>
      </c>
    </row>
    <row r="346" spans="1:2" x14ac:dyDescent="0.3">
      <c r="A346" s="293">
        <v>1</v>
      </c>
      <c r="B346" s="293" t="s">
        <v>1062</v>
      </c>
    </row>
    <row r="347" spans="1:2" x14ac:dyDescent="0.3">
      <c r="A347" s="293">
        <v>1</v>
      </c>
      <c r="B347" s="293" t="s">
        <v>1064</v>
      </c>
    </row>
    <row r="348" spans="1:2" x14ac:dyDescent="0.3">
      <c r="A348" s="293">
        <v>2</v>
      </c>
      <c r="B348" s="293" t="s">
        <v>554</v>
      </c>
    </row>
    <row r="349" spans="1:2" x14ac:dyDescent="0.3">
      <c r="A349" s="293">
        <v>1</v>
      </c>
      <c r="B349" s="293" t="s">
        <v>587</v>
      </c>
    </row>
    <row r="350" spans="1:2" x14ac:dyDescent="0.3">
      <c r="A350" s="293">
        <v>1</v>
      </c>
      <c r="B350" s="293" t="s">
        <v>570</v>
      </c>
    </row>
    <row r="351" spans="1:2" x14ac:dyDescent="0.3">
      <c r="A351" s="293">
        <v>4</v>
      </c>
      <c r="B351" s="293" t="s">
        <v>548</v>
      </c>
    </row>
    <row r="352" spans="1:2" x14ac:dyDescent="0.3">
      <c r="A352" s="293">
        <v>1</v>
      </c>
      <c r="B352" s="293" t="s">
        <v>596</v>
      </c>
    </row>
    <row r="353" spans="1:2" x14ac:dyDescent="0.3">
      <c r="A353" s="293">
        <v>1</v>
      </c>
      <c r="B353" s="293" t="s">
        <v>601</v>
      </c>
    </row>
    <row r="354" spans="1:2" x14ac:dyDescent="0.3">
      <c r="A354" s="293">
        <v>1</v>
      </c>
      <c r="B354" s="293" t="s">
        <v>576</v>
      </c>
    </row>
    <row r="355" spans="1:2" x14ac:dyDescent="0.3">
      <c r="A355" s="293">
        <v>1</v>
      </c>
      <c r="B355" s="293" t="s">
        <v>1109</v>
      </c>
    </row>
    <row r="356" spans="1:2" x14ac:dyDescent="0.3">
      <c r="A356" s="293">
        <v>1</v>
      </c>
      <c r="B356" s="293" t="s">
        <v>236</v>
      </c>
    </row>
    <row r="357" spans="1:2" x14ac:dyDescent="0.3">
      <c r="A357" s="293">
        <v>1</v>
      </c>
      <c r="B357" s="293" t="s">
        <v>607</v>
      </c>
    </row>
    <row r="358" spans="1:2" x14ac:dyDescent="0.3">
      <c r="A358" s="293">
        <v>2</v>
      </c>
      <c r="B358" s="293" t="s">
        <v>1121</v>
      </c>
    </row>
    <row r="359" spans="1:2" x14ac:dyDescent="0.3">
      <c r="A359" s="293">
        <v>1</v>
      </c>
      <c r="B359" s="293" t="s">
        <v>612</v>
      </c>
    </row>
    <row r="360" spans="1:2" x14ac:dyDescent="0.3">
      <c r="A360" s="293">
        <v>1</v>
      </c>
      <c r="B360" s="293" t="s">
        <v>590</v>
      </c>
    </row>
    <row r="361" spans="1:2" x14ac:dyDescent="0.3">
      <c r="A361" s="293">
        <v>1</v>
      </c>
      <c r="B361" s="293" t="s">
        <v>582</v>
      </c>
    </row>
    <row r="362" spans="1:2" x14ac:dyDescent="0.3">
      <c r="A362" s="293">
        <v>2</v>
      </c>
      <c r="B362" s="293" t="s">
        <v>560</v>
      </c>
    </row>
    <row r="363" spans="1:2" x14ac:dyDescent="0.3">
      <c r="A363" s="293">
        <v>1</v>
      </c>
      <c r="B363" s="293" t="s">
        <v>563</v>
      </c>
    </row>
    <row r="364" spans="1:2" x14ac:dyDescent="0.3">
      <c r="A364" s="293">
        <v>4</v>
      </c>
      <c r="B364" s="293" t="s">
        <v>618</v>
      </c>
    </row>
    <row r="365" spans="1:2" x14ac:dyDescent="0.3">
      <c r="A365" s="293">
        <v>2</v>
      </c>
      <c r="B365" s="293" t="s">
        <v>1048</v>
      </c>
    </row>
    <row r="366" spans="1:2" x14ac:dyDescent="0.3">
      <c r="A366" s="293">
        <v>2</v>
      </c>
      <c r="B366" s="293" t="s">
        <v>1015</v>
      </c>
    </row>
    <row r="367" spans="1:2" x14ac:dyDescent="0.3">
      <c r="A367" s="293">
        <v>1</v>
      </c>
      <c r="B367" s="293" t="s">
        <v>1042</v>
      </c>
    </row>
    <row r="368" spans="1:2" x14ac:dyDescent="0.3">
      <c r="A368" s="293">
        <v>1</v>
      </c>
      <c r="B368" s="293" t="s">
        <v>538</v>
      </c>
    </row>
    <row r="369" spans="1:2" x14ac:dyDescent="0.3">
      <c r="A369" s="293">
        <v>1</v>
      </c>
      <c r="B369" s="293" t="s">
        <v>1044</v>
      </c>
    </row>
    <row r="370" spans="1:2" x14ac:dyDescent="0.3">
      <c r="A370" s="293">
        <v>2</v>
      </c>
      <c r="B370" s="293" t="s">
        <v>1052</v>
      </c>
    </row>
    <row r="371" spans="1:2" x14ac:dyDescent="0.3">
      <c r="A371" s="293">
        <v>11</v>
      </c>
      <c r="B371" s="293" t="s">
        <v>784</v>
      </c>
    </row>
    <row r="372" spans="1:2" x14ac:dyDescent="0.3">
      <c r="A372" s="293">
        <v>1</v>
      </c>
      <c r="B372" s="293" t="s">
        <v>786</v>
      </c>
    </row>
    <row r="373" spans="1:2" x14ac:dyDescent="0.3">
      <c r="A373" s="293">
        <v>2</v>
      </c>
      <c r="B373" s="293" t="s">
        <v>788</v>
      </c>
    </row>
    <row r="374" spans="1:2" x14ac:dyDescent="0.3">
      <c r="A374" s="293">
        <v>3</v>
      </c>
      <c r="B374" s="293" t="s">
        <v>790</v>
      </c>
    </row>
    <row r="375" spans="1:2" x14ac:dyDescent="0.3">
      <c r="A375" s="293">
        <v>3</v>
      </c>
      <c r="B375" s="293" t="s">
        <v>792</v>
      </c>
    </row>
    <row r="376" spans="1:2" x14ac:dyDescent="0.3">
      <c r="A376" s="293">
        <v>1</v>
      </c>
      <c r="B376" s="293" t="s">
        <v>795</v>
      </c>
    </row>
    <row r="377" spans="1:2" x14ac:dyDescent="0.3">
      <c r="A377" s="293">
        <v>14</v>
      </c>
      <c r="B377" s="293" t="s">
        <v>797</v>
      </c>
    </row>
    <row r="378" spans="1:2" x14ac:dyDescent="0.3">
      <c r="A378" s="293">
        <v>4</v>
      </c>
      <c r="B378" s="293" t="s">
        <v>799</v>
      </c>
    </row>
    <row r="379" spans="1:2" x14ac:dyDescent="0.3">
      <c r="A379" s="293">
        <v>1</v>
      </c>
      <c r="B379" s="293" t="s">
        <v>1130</v>
      </c>
    </row>
    <row r="380" spans="1:2" x14ac:dyDescent="0.3">
      <c r="A380" s="293">
        <v>1</v>
      </c>
      <c r="B380" s="293" t="s">
        <v>3303</v>
      </c>
    </row>
    <row r="381" spans="1:2" x14ac:dyDescent="0.3">
      <c r="A381" s="293">
        <v>2</v>
      </c>
      <c r="B381" s="293" t="s">
        <v>3304</v>
      </c>
    </row>
    <row r="382" spans="1:2" x14ac:dyDescent="0.3">
      <c r="A382" s="293">
        <v>1</v>
      </c>
      <c r="B382" s="293" t="s">
        <v>3246</v>
      </c>
    </row>
    <row r="383" spans="1:2" hidden="1" x14ac:dyDescent="0.3">
      <c r="A383" s="293">
        <v>0</v>
      </c>
      <c r="B383" s="293" t="s">
        <v>778</v>
      </c>
    </row>
    <row r="384" spans="1:2" x14ac:dyDescent="0.3">
      <c r="A384" s="293">
        <v>4</v>
      </c>
      <c r="B384" s="293" t="s">
        <v>767</v>
      </c>
    </row>
    <row r="385" spans="1:2" hidden="1" x14ac:dyDescent="0.3">
      <c r="A385" s="293">
        <v>0</v>
      </c>
      <c r="B385" s="293" t="s">
        <v>769</v>
      </c>
    </row>
    <row r="386" spans="1:2" x14ac:dyDescent="0.3">
      <c r="A386" s="293">
        <v>2</v>
      </c>
      <c r="B386" s="293" t="s">
        <v>324</v>
      </c>
    </row>
    <row r="387" spans="1:2" hidden="1" x14ac:dyDescent="0.3">
      <c r="A387" s="293">
        <v>0</v>
      </c>
      <c r="B387" s="293" t="s">
        <v>1473</v>
      </c>
    </row>
    <row r="388" spans="1:2" x14ac:dyDescent="0.3">
      <c r="A388" s="293">
        <v>5</v>
      </c>
      <c r="B388" s="293" t="s">
        <v>1814</v>
      </c>
    </row>
    <row r="389" spans="1:2" x14ac:dyDescent="0.3">
      <c r="A389" s="293">
        <v>2</v>
      </c>
      <c r="B389" s="293" t="s">
        <v>1040</v>
      </c>
    </row>
    <row r="390" spans="1:2" x14ac:dyDescent="0.3">
      <c r="A390" s="293">
        <v>3</v>
      </c>
      <c r="B390" s="293" t="s">
        <v>919</v>
      </c>
    </row>
    <row r="391" spans="1:2" hidden="1" x14ac:dyDescent="0.3">
      <c r="A391" s="293">
        <v>0</v>
      </c>
      <c r="B391" s="293" t="s">
        <v>924</v>
      </c>
    </row>
    <row r="392" spans="1:2" x14ac:dyDescent="0.3">
      <c r="A392" s="293">
        <v>3</v>
      </c>
      <c r="B392" s="293" t="s">
        <v>922</v>
      </c>
    </row>
    <row r="393" spans="1:2" hidden="1" x14ac:dyDescent="0.3">
      <c r="A393" s="293">
        <v>0</v>
      </c>
      <c r="B393" s="293" t="s">
        <v>930</v>
      </c>
    </row>
    <row r="394" spans="1:2" hidden="1" x14ac:dyDescent="0.3">
      <c r="A394" s="293">
        <v>0</v>
      </c>
      <c r="B394" s="293" t="s">
        <v>1422</v>
      </c>
    </row>
    <row r="395" spans="1:2" hidden="1" x14ac:dyDescent="0.3">
      <c r="A395" s="293">
        <v>0</v>
      </c>
      <c r="B395" s="293" t="s">
        <v>1453</v>
      </c>
    </row>
    <row r="396" spans="1:2" hidden="1" x14ac:dyDescent="0.3">
      <c r="A396" s="293">
        <v>0</v>
      </c>
      <c r="B396" s="293" t="s">
        <v>2413</v>
      </c>
    </row>
    <row r="397" spans="1:2" hidden="1" x14ac:dyDescent="0.3">
      <c r="A397" s="293">
        <v>0</v>
      </c>
      <c r="B397" s="293" t="s">
        <v>939</v>
      </c>
    </row>
    <row r="398" spans="1:2" hidden="1" x14ac:dyDescent="0.3">
      <c r="A398" s="293">
        <v>0</v>
      </c>
      <c r="B398" s="293" t="s">
        <v>945</v>
      </c>
    </row>
    <row r="399" spans="1:2" hidden="1" x14ac:dyDescent="0.3">
      <c r="A399" s="293">
        <v>0</v>
      </c>
      <c r="B399" s="293" t="s">
        <v>952</v>
      </c>
    </row>
    <row r="400" spans="1:2" hidden="1" x14ac:dyDescent="0.3">
      <c r="A400" s="293">
        <v>0</v>
      </c>
      <c r="B400" s="293" t="s">
        <v>957</v>
      </c>
    </row>
    <row r="401" spans="1:2" hidden="1" x14ac:dyDescent="0.3">
      <c r="A401" s="293">
        <v>0</v>
      </c>
      <c r="B401" s="293" t="s">
        <v>1360</v>
      </c>
    </row>
    <row r="402" spans="1:2" hidden="1" x14ac:dyDescent="0.3">
      <c r="A402" s="293">
        <v>0</v>
      </c>
      <c r="B402" s="293" t="s">
        <v>1362</v>
      </c>
    </row>
    <row r="403" spans="1:2" hidden="1" x14ac:dyDescent="0.3">
      <c r="A403" s="293">
        <v>0</v>
      </c>
      <c r="B403" s="293" t="s">
        <v>933</v>
      </c>
    </row>
    <row r="404" spans="1:2" hidden="1" x14ac:dyDescent="0.3">
      <c r="A404" s="293">
        <v>0</v>
      </c>
      <c r="B404" s="293" t="s">
        <v>937</v>
      </c>
    </row>
    <row r="405" spans="1:2" hidden="1" x14ac:dyDescent="0.3">
      <c r="A405" s="293">
        <v>0</v>
      </c>
      <c r="B405" s="293" t="s">
        <v>948</v>
      </c>
    </row>
    <row r="406" spans="1:2" hidden="1" x14ac:dyDescent="0.3">
      <c r="A406" s="293">
        <v>0</v>
      </c>
      <c r="B406" s="293" t="s">
        <v>953</v>
      </c>
    </row>
    <row r="407" spans="1:2" hidden="1" x14ac:dyDescent="0.3">
      <c r="A407" s="293">
        <v>0</v>
      </c>
      <c r="B407" s="293" t="s">
        <v>943</v>
      </c>
    </row>
    <row r="408" spans="1:2" hidden="1" x14ac:dyDescent="0.3">
      <c r="A408" s="293">
        <v>0</v>
      </c>
      <c r="B408" s="293" t="s">
        <v>1357</v>
      </c>
    </row>
    <row r="409" spans="1:2" x14ac:dyDescent="0.3">
      <c r="A409" s="293">
        <v>1</v>
      </c>
      <c r="B409" s="293" t="s">
        <v>312</v>
      </c>
    </row>
    <row r="410" spans="1:2" hidden="1" x14ac:dyDescent="0.3">
      <c r="A410" s="293">
        <v>0</v>
      </c>
      <c r="B410" s="293" t="s">
        <v>2444</v>
      </c>
    </row>
    <row r="411" spans="1:2" x14ac:dyDescent="0.3">
      <c r="A411" s="293">
        <v>2</v>
      </c>
      <c r="B411" s="293" t="s">
        <v>1391</v>
      </c>
    </row>
    <row r="412" spans="1:2" x14ac:dyDescent="0.3">
      <c r="A412" s="293">
        <v>1</v>
      </c>
      <c r="B412" s="293" t="s">
        <v>1394</v>
      </c>
    </row>
    <row r="413" spans="1:2" x14ac:dyDescent="0.3">
      <c r="A413" s="293">
        <v>12</v>
      </c>
      <c r="B413" s="293" t="s">
        <v>1397</v>
      </c>
    </row>
    <row r="414" spans="1:2" hidden="1" x14ac:dyDescent="0.3">
      <c r="A414" s="293">
        <v>0</v>
      </c>
      <c r="B414" s="293" t="s">
        <v>1400</v>
      </c>
    </row>
    <row r="415" spans="1:2" x14ac:dyDescent="0.3">
      <c r="A415" s="293">
        <v>1</v>
      </c>
      <c r="B415" s="293" t="s">
        <v>1402</v>
      </c>
    </row>
    <row r="416" spans="1:2" x14ac:dyDescent="0.3">
      <c r="A416" s="293">
        <v>33</v>
      </c>
      <c r="B416" s="293" t="s">
        <v>1404</v>
      </c>
    </row>
    <row r="417" spans="1:2" hidden="1" x14ac:dyDescent="0.3">
      <c r="A417" s="293">
        <v>0</v>
      </c>
      <c r="B417" s="293" t="s">
        <v>1406</v>
      </c>
    </row>
    <row r="418" spans="1:2" x14ac:dyDescent="0.3">
      <c r="A418" s="293">
        <v>1</v>
      </c>
      <c r="B418" s="293" t="s">
        <v>1408</v>
      </c>
    </row>
    <row r="419" spans="1:2" x14ac:dyDescent="0.3">
      <c r="A419" s="293">
        <v>1</v>
      </c>
      <c r="B419" s="293" t="s">
        <v>3318</v>
      </c>
    </row>
    <row r="420" spans="1:2" x14ac:dyDescent="0.3">
      <c r="A420" s="293">
        <v>2</v>
      </c>
      <c r="B420" s="293" t="s">
        <v>3319</v>
      </c>
    </row>
    <row r="421" spans="1:2" x14ac:dyDescent="0.3">
      <c r="A421" s="293">
        <v>1</v>
      </c>
      <c r="B421" s="293" t="s">
        <v>3320</v>
      </c>
    </row>
  </sheetData>
  <autoFilter ref="A1:B421" xr:uid="{A59D770D-60A7-4B85-8708-BDA96F6EDDE0}">
    <filterColumn colId="0">
      <filters blank="1">
        <filter val="1"/>
        <filter val="10"/>
        <filter val="11"/>
        <filter val="12"/>
        <filter val="13"/>
        <filter val="14"/>
        <filter val="16"/>
        <filter val="18"/>
        <filter val="2"/>
        <filter val="29"/>
        <filter val="3"/>
        <filter val="33"/>
        <filter val="4"/>
        <filter val="5"/>
        <filter val="6"/>
        <filter val="7"/>
        <filter val="8"/>
        <filter val="9"/>
      </filters>
    </filterColumn>
  </autoFilter>
  <phoneticPr fontId="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335ED-2FB9-4DE1-AD2B-BE9D66560FBD}">
  <dimension ref="C1:C292"/>
  <sheetViews>
    <sheetView workbookViewId="0">
      <selection activeCell="C1" sqref="C1:C292"/>
    </sheetView>
  </sheetViews>
  <sheetFormatPr defaultRowHeight="14.5" x14ac:dyDescent="0.3"/>
  <sheetData>
    <row r="1" spans="3:3" x14ac:dyDescent="0.3">
      <c r="C1" s="293" t="s">
        <v>134</v>
      </c>
    </row>
    <row r="2" spans="3:3" x14ac:dyDescent="0.3">
      <c r="C2" s="293" t="s">
        <v>140</v>
      </c>
    </row>
    <row r="3" spans="3:3" x14ac:dyDescent="0.3">
      <c r="C3" s="293" t="s">
        <v>144</v>
      </c>
    </row>
    <row r="4" spans="3:3" x14ac:dyDescent="0.3">
      <c r="C4" s="293" t="s">
        <v>147</v>
      </c>
    </row>
    <row r="5" spans="3:3" x14ac:dyDescent="0.3">
      <c r="C5" s="293" t="s">
        <v>151</v>
      </c>
    </row>
    <row r="6" spans="3:3" x14ac:dyDescent="0.3">
      <c r="C6" s="293" t="s">
        <v>164</v>
      </c>
    </row>
    <row r="7" spans="3:3" x14ac:dyDescent="0.3">
      <c r="C7" s="293" t="s">
        <v>184</v>
      </c>
    </row>
    <row r="8" spans="3:3" x14ac:dyDescent="0.3">
      <c r="C8" s="293" t="s">
        <v>175</v>
      </c>
    </row>
    <row r="9" spans="3:3" x14ac:dyDescent="0.3">
      <c r="C9" s="293" t="s">
        <v>177</v>
      </c>
    </row>
    <row r="10" spans="3:3" x14ac:dyDescent="0.3">
      <c r="C10" s="293" t="s">
        <v>153</v>
      </c>
    </row>
    <row r="11" spans="3:3" x14ac:dyDescent="0.3">
      <c r="C11" s="293" t="s">
        <v>157</v>
      </c>
    </row>
    <row r="12" spans="3:3" x14ac:dyDescent="0.3">
      <c r="C12" s="293" t="s">
        <v>161</v>
      </c>
    </row>
    <row r="13" spans="3:3" x14ac:dyDescent="0.3">
      <c r="C13" s="293" t="s">
        <v>179</v>
      </c>
    </row>
    <row r="14" spans="3:3" x14ac:dyDescent="0.3">
      <c r="C14" s="293" t="s">
        <v>170</v>
      </c>
    </row>
    <row r="15" spans="3:3" x14ac:dyDescent="0.3">
      <c r="C15" s="293" t="s">
        <v>187</v>
      </c>
    </row>
    <row r="16" spans="3:3" x14ac:dyDescent="0.3">
      <c r="C16" s="293" t="s">
        <v>166</v>
      </c>
    </row>
    <row r="17" spans="3:3" x14ac:dyDescent="0.3">
      <c r="C17" s="293" t="s">
        <v>191</v>
      </c>
    </row>
    <row r="18" spans="3:3" x14ac:dyDescent="0.3">
      <c r="C18" s="293" t="s">
        <v>201</v>
      </c>
    </row>
    <row r="19" spans="3:3" x14ac:dyDescent="0.3">
      <c r="C19" s="293" t="s">
        <v>215</v>
      </c>
    </row>
    <row r="20" spans="3:3" x14ac:dyDescent="0.3">
      <c r="C20" s="293" t="s">
        <v>221</v>
      </c>
    </row>
    <row r="21" spans="3:3" x14ac:dyDescent="0.3">
      <c r="C21" s="293" t="s">
        <v>284</v>
      </c>
    </row>
    <row r="22" spans="3:3" x14ac:dyDescent="0.3">
      <c r="C22" s="293" t="s">
        <v>244</v>
      </c>
    </row>
    <row r="23" spans="3:3" x14ac:dyDescent="0.3">
      <c r="C23" s="293" t="s">
        <v>224</v>
      </c>
    </row>
    <row r="24" spans="3:3" x14ac:dyDescent="0.3">
      <c r="C24" s="293" t="s">
        <v>256</v>
      </c>
    </row>
    <row r="25" spans="3:3" x14ac:dyDescent="0.3">
      <c r="C25" s="293" t="s">
        <v>864</v>
      </c>
    </row>
    <row r="26" spans="3:3" x14ac:dyDescent="0.3">
      <c r="C26" s="293" t="s">
        <v>854</v>
      </c>
    </row>
    <row r="27" spans="3:3" x14ac:dyDescent="0.3">
      <c r="C27" s="293" t="s">
        <v>850</v>
      </c>
    </row>
    <row r="28" spans="3:3" x14ac:dyDescent="0.3">
      <c r="C28" s="293" t="s">
        <v>261</v>
      </c>
    </row>
    <row r="29" spans="3:3" x14ac:dyDescent="0.3">
      <c r="C29" s="293" t="s">
        <v>883</v>
      </c>
    </row>
    <row r="30" spans="3:3" x14ac:dyDescent="0.3">
      <c r="C30" s="293" t="s">
        <v>337</v>
      </c>
    </row>
    <row r="31" spans="3:3" x14ac:dyDescent="0.3">
      <c r="C31" s="293" t="s">
        <v>347</v>
      </c>
    </row>
    <row r="32" spans="3:3" x14ac:dyDescent="0.3">
      <c r="C32" s="293" t="s">
        <v>305</v>
      </c>
    </row>
    <row r="33" spans="3:3" x14ac:dyDescent="0.3">
      <c r="C33" s="293" t="s">
        <v>877</v>
      </c>
    </row>
    <row r="34" spans="3:3" x14ac:dyDescent="0.3">
      <c r="C34" s="293" t="s">
        <v>732</v>
      </c>
    </row>
    <row r="35" spans="3:3" x14ac:dyDescent="0.3">
      <c r="C35" s="293" t="s">
        <v>199</v>
      </c>
    </row>
    <row r="36" spans="3:3" x14ac:dyDescent="0.3">
      <c r="C36" s="293" t="s">
        <v>205</v>
      </c>
    </row>
    <row r="37" spans="3:3" x14ac:dyDescent="0.3">
      <c r="C37" s="293" t="s">
        <v>212</v>
      </c>
    </row>
    <row r="38" spans="3:3" x14ac:dyDescent="0.3">
      <c r="C38" s="293" t="s">
        <v>246</v>
      </c>
    </row>
    <row r="39" spans="3:3" x14ac:dyDescent="0.3">
      <c r="C39" s="293" t="s">
        <v>209</v>
      </c>
    </row>
    <row r="40" spans="3:3" x14ac:dyDescent="0.3">
      <c r="C40" s="293" t="s">
        <v>207</v>
      </c>
    </row>
    <row r="41" spans="3:3" x14ac:dyDescent="0.3">
      <c r="C41" s="293" t="s">
        <v>218</v>
      </c>
    </row>
    <row r="42" spans="3:3" x14ac:dyDescent="0.3">
      <c r="C42" s="293" t="s">
        <v>258</v>
      </c>
    </row>
    <row r="43" spans="3:3" x14ac:dyDescent="0.3">
      <c r="C43" s="293" t="s">
        <v>869</v>
      </c>
    </row>
    <row r="44" spans="3:3" x14ac:dyDescent="0.3">
      <c r="C44" s="293" t="s">
        <v>228</v>
      </c>
    </row>
    <row r="45" spans="3:3" x14ac:dyDescent="0.3">
      <c r="C45" s="293" t="s">
        <v>858</v>
      </c>
    </row>
    <row r="46" spans="3:3" x14ac:dyDescent="0.3">
      <c r="C46" s="293" t="s">
        <v>860</v>
      </c>
    </row>
    <row r="47" spans="3:3" x14ac:dyDescent="0.3">
      <c r="C47" s="293" t="s">
        <v>263</v>
      </c>
    </row>
    <row r="48" spans="3:3" x14ac:dyDescent="0.3">
      <c r="C48" s="293" t="s">
        <v>288</v>
      </c>
    </row>
    <row r="49" spans="3:3" x14ac:dyDescent="0.3">
      <c r="C49" s="293" t="s">
        <v>292</v>
      </c>
    </row>
    <row r="50" spans="3:3" x14ac:dyDescent="0.3">
      <c r="C50" s="293" t="s">
        <v>297</v>
      </c>
    </row>
    <row r="51" spans="3:3" x14ac:dyDescent="0.3">
      <c r="C51" s="293" t="s">
        <v>271</v>
      </c>
    </row>
    <row r="52" spans="3:3" x14ac:dyDescent="0.3">
      <c r="C52" s="293" t="s">
        <v>273</v>
      </c>
    </row>
    <row r="53" spans="3:3" x14ac:dyDescent="0.3">
      <c r="C53" s="293" t="s">
        <v>286</v>
      </c>
    </row>
    <row r="54" spans="3:3" x14ac:dyDescent="0.3">
      <c r="C54" s="293" t="s">
        <v>282</v>
      </c>
    </row>
    <row r="55" spans="3:3" x14ac:dyDescent="0.3">
      <c r="C55" s="293" t="s">
        <v>885</v>
      </c>
    </row>
    <row r="56" spans="3:3" x14ac:dyDescent="0.3">
      <c r="C56" s="293" t="s">
        <v>340</v>
      </c>
    </row>
    <row r="57" spans="3:3" x14ac:dyDescent="0.3">
      <c r="C57" s="293" t="s">
        <v>735</v>
      </c>
    </row>
    <row r="58" spans="3:3" x14ac:dyDescent="0.3">
      <c r="C58" s="293" t="s">
        <v>738</v>
      </c>
    </row>
    <row r="59" spans="3:3" x14ac:dyDescent="0.3">
      <c r="C59" s="293" t="s">
        <v>729</v>
      </c>
    </row>
    <row r="60" spans="3:3" x14ac:dyDescent="0.3">
      <c r="C60" s="293" t="s">
        <v>3315</v>
      </c>
    </row>
    <row r="61" spans="3:3" x14ac:dyDescent="0.3">
      <c r="C61" s="293" t="s">
        <v>747</v>
      </c>
    </row>
    <row r="62" spans="3:3" x14ac:dyDescent="0.3">
      <c r="C62" s="293" t="s">
        <v>750</v>
      </c>
    </row>
    <row r="63" spans="3:3" x14ac:dyDescent="0.3">
      <c r="C63" s="293" t="s">
        <v>753</v>
      </c>
    </row>
    <row r="64" spans="3:3" x14ac:dyDescent="0.3">
      <c r="C64" s="293" t="s">
        <v>301</v>
      </c>
    </row>
    <row r="65" spans="3:3" x14ac:dyDescent="0.3">
      <c r="C65" s="293" t="s">
        <v>880</v>
      </c>
    </row>
    <row r="66" spans="3:3" x14ac:dyDescent="0.3">
      <c r="C66" s="293" t="s">
        <v>241</v>
      </c>
    </row>
    <row r="67" spans="3:3" x14ac:dyDescent="0.3">
      <c r="C67" s="293" t="s">
        <v>230</v>
      </c>
    </row>
    <row r="68" spans="3:3" x14ac:dyDescent="0.3">
      <c r="C68" s="293" t="s">
        <v>872</v>
      </c>
    </row>
    <row r="69" spans="3:3" x14ac:dyDescent="0.3">
      <c r="C69" s="293" t="s">
        <v>268</v>
      </c>
    </row>
    <row r="70" spans="3:3" x14ac:dyDescent="0.3">
      <c r="C70" s="293" t="s">
        <v>290</v>
      </c>
    </row>
    <row r="71" spans="3:3" x14ac:dyDescent="0.3">
      <c r="C71" s="293" t="s">
        <v>295</v>
      </c>
    </row>
    <row r="72" spans="3:3" x14ac:dyDescent="0.3">
      <c r="C72" s="293" t="s">
        <v>299</v>
      </c>
    </row>
    <row r="73" spans="3:3" x14ac:dyDescent="0.3">
      <c r="C73" s="293" t="s">
        <v>275</v>
      </c>
    </row>
    <row r="74" spans="3:3" x14ac:dyDescent="0.3">
      <c r="C74" s="293" t="s">
        <v>278</v>
      </c>
    </row>
    <row r="75" spans="3:3" x14ac:dyDescent="0.3">
      <c r="C75" s="293" t="s">
        <v>280</v>
      </c>
    </row>
    <row r="76" spans="3:3" x14ac:dyDescent="0.3">
      <c r="C76" s="293" t="s">
        <v>248</v>
      </c>
    </row>
    <row r="77" spans="3:3" x14ac:dyDescent="0.3">
      <c r="C77" s="293" t="s">
        <v>238</v>
      </c>
    </row>
    <row r="78" spans="3:3" x14ac:dyDescent="0.3">
      <c r="C78" s="293" t="s">
        <v>741</v>
      </c>
    </row>
    <row r="79" spans="3:3" x14ac:dyDescent="0.3">
      <c r="C79" s="293" t="s">
        <v>744</v>
      </c>
    </row>
    <row r="80" spans="3:3" x14ac:dyDescent="0.3">
      <c r="C80" s="293" t="s">
        <v>875</v>
      </c>
    </row>
    <row r="81" spans="3:3" x14ac:dyDescent="0.3">
      <c r="C81" s="293" t="s">
        <v>335</v>
      </c>
    </row>
    <row r="82" spans="3:3" x14ac:dyDescent="0.3">
      <c r="C82" s="293" t="s">
        <v>330</v>
      </c>
    </row>
    <row r="83" spans="3:3" x14ac:dyDescent="0.3">
      <c r="C83" s="293" t="s">
        <v>318</v>
      </c>
    </row>
    <row r="84" spans="3:3" x14ac:dyDescent="0.3">
      <c r="C84" s="293" t="s">
        <v>357</v>
      </c>
    </row>
    <row r="85" spans="3:3" x14ac:dyDescent="0.3">
      <c r="C85" s="293" t="s">
        <v>422</v>
      </c>
    </row>
    <row r="86" spans="3:3" x14ac:dyDescent="0.3">
      <c r="C86" s="293" t="s">
        <v>425</v>
      </c>
    </row>
    <row r="87" spans="3:3" x14ac:dyDescent="0.3">
      <c r="C87" s="293" t="s">
        <v>326</v>
      </c>
    </row>
    <row r="88" spans="3:3" x14ac:dyDescent="0.3">
      <c r="C88" s="293" t="s">
        <v>320</v>
      </c>
    </row>
    <row r="89" spans="3:3" x14ac:dyDescent="0.3">
      <c r="C89" s="293" t="s">
        <v>322</v>
      </c>
    </row>
    <row r="90" spans="3:3" x14ac:dyDescent="0.3">
      <c r="C90" s="293" t="s">
        <v>399</v>
      </c>
    </row>
    <row r="91" spans="3:3" x14ac:dyDescent="0.3">
      <c r="C91" s="293" t="s">
        <v>402</v>
      </c>
    </row>
    <row r="92" spans="3:3" x14ac:dyDescent="0.3">
      <c r="C92" s="293" t="s">
        <v>713</v>
      </c>
    </row>
    <row r="93" spans="3:3" x14ac:dyDescent="0.3">
      <c r="C93" s="293" t="s">
        <v>362</v>
      </c>
    </row>
    <row r="94" spans="3:3" x14ac:dyDescent="0.3">
      <c r="C94" s="293" t="s">
        <v>308</v>
      </c>
    </row>
    <row r="95" spans="3:3" x14ac:dyDescent="0.3">
      <c r="C95" s="293" t="s">
        <v>354</v>
      </c>
    </row>
    <row r="96" spans="3:3" x14ac:dyDescent="0.3">
      <c r="C96" s="293" t="s">
        <v>672</v>
      </c>
    </row>
    <row r="97" spans="3:3" x14ac:dyDescent="0.3">
      <c r="C97" s="293" t="s">
        <v>333</v>
      </c>
    </row>
    <row r="98" spans="3:3" x14ac:dyDescent="0.3">
      <c r="C98" s="293" t="s">
        <v>687</v>
      </c>
    </row>
    <row r="99" spans="3:3" x14ac:dyDescent="0.3">
      <c r="C99" s="293" t="s">
        <v>359</v>
      </c>
    </row>
    <row r="100" spans="3:3" x14ac:dyDescent="0.3">
      <c r="C100" s="293" t="s">
        <v>427</v>
      </c>
    </row>
    <row r="101" spans="3:3" x14ac:dyDescent="0.3">
      <c r="C101" s="293" t="s">
        <v>371</v>
      </c>
    </row>
    <row r="102" spans="3:3" x14ac:dyDescent="0.3">
      <c r="C102" s="293" t="s">
        <v>647</v>
      </c>
    </row>
    <row r="103" spans="3:3" x14ac:dyDescent="0.3">
      <c r="C103" s="293" t="s">
        <v>840</v>
      </c>
    </row>
    <row r="104" spans="3:3" x14ac:dyDescent="0.3">
      <c r="C104" s="293" t="s">
        <v>829</v>
      </c>
    </row>
    <row r="105" spans="3:3" x14ac:dyDescent="0.3">
      <c r="C105" s="293" t="s">
        <v>383</v>
      </c>
    </row>
    <row r="106" spans="3:3" x14ac:dyDescent="0.3">
      <c r="C106" s="293" t="s">
        <v>395</v>
      </c>
    </row>
    <row r="107" spans="3:3" x14ac:dyDescent="0.3">
      <c r="C107" s="293" t="s">
        <v>379</v>
      </c>
    </row>
    <row r="108" spans="3:3" x14ac:dyDescent="0.3">
      <c r="C108" s="293" t="s">
        <v>391</v>
      </c>
    </row>
    <row r="109" spans="3:3" x14ac:dyDescent="0.3">
      <c r="C109" s="293" t="s">
        <v>440</v>
      </c>
    </row>
    <row r="110" spans="3:3" x14ac:dyDescent="0.3">
      <c r="C110" s="293" t="s">
        <v>369</v>
      </c>
    </row>
    <row r="111" spans="3:3" x14ac:dyDescent="0.3">
      <c r="C111" s="293" t="s">
        <v>405</v>
      </c>
    </row>
    <row r="112" spans="3:3" x14ac:dyDescent="0.3">
      <c r="C112" s="293" t="s">
        <v>408</v>
      </c>
    </row>
    <row r="113" spans="3:3" x14ac:dyDescent="0.3">
      <c r="C113" s="293" t="s">
        <v>637</v>
      </c>
    </row>
    <row r="114" spans="3:3" x14ac:dyDescent="0.3">
      <c r="C114" s="293" t="s">
        <v>679</v>
      </c>
    </row>
    <row r="115" spans="3:3" x14ac:dyDescent="0.3">
      <c r="C115" s="293" t="s">
        <v>660</v>
      </c>
    </row>
    <row r="116" spans="3:3" x14ac:dyDescent="0.3">
      <c r="C116" s="293" t="s">
        <v>662</v>
      </c>
    </row>
    <row r="117" spans="3:3" x14ac:dyDescent="0.3">
      <c r="C117" s="293" t="s">
        <v>645</v>
      </c>
    </row>
    <row r="118" spans="3:3" x14ac:dyDescent="0.3">
      <c r="C118" s="293" t="s">
        <v>650</v>
      </c>
    </row>
    <row r="119" spans="3:3" x14ac:dyDescent="0.3">
      <c r="C119" s="293" t="s">
        <v>652</v>
      </c>
    </row>
    <row r="120" spans="3:3" x14ac:dyDescent="0.3">
      <c r="C120" s="293" t="s">
        <v>675</v>
      </c>
    </row>
    <row r="121" spans="3:3" x14ac:dyDescent="0.3">
      <c r="C121" s="293" t="s">
        <v>3316</v>
      </c>
    </row>
    <row r="122" spans="3:3" x14ac:dyDescent="0.3">
      <c r="C122" s="293" t="s">
        <v>827</v>
      </c>
    </row>
    <row r="123" spans="3:3" x14ac:dyDescent="0.3">
      <c r="C123" s="293" t="s">
        <v>831</v>
      </c>
    </row>
    <row r="124" spans="3:3" x14ac:dyDescent="0.3">
      <c r="C124" s="293" t="s">
        <v>825</v>
      </c>
    </row>
    <row r="125" spans="3:3" x14ac:dyDescent="0.3">
      <c r="C125" s="293" t="s">
        <v>833</v>
      </c>
    </row>
    <row r="126" spans="3:3" x14ac:dyDescent="0.3">
      <c r="C126" s="293" t="s">
        <v>381</v>
      </c>
    </row>
    <row r="127" spans="3:3" x14ac:dyDescent="0.3">
      <c r="C127" s="293" t="s">
        <v>393</v>
      </c>
    </row>
    <row r="128" spans="3:3" x14ac:dyDescent="0.3">
      <c r="C128" s="293" t="s">
        <v>385</v>
      </c>
    </row>
    <row r="129" spans="3:3" x14ac:dyDescent="0.3">
      <c r="C129" s="293" t="s">
        <v>466</v>
      </c>
    </row>
    <row r="130" spans="3:3" x14ac:dyDescent="0.3">
      <c r="C130" s="293" t="s">
        <v>472</v>
      </c>
    </row>
    <row r="131" spans="3:3" x14ac:dyDescent="0.3">
      <c r="C131" s="293" t="s">
        <v>474</v>
      </c>
    </row>
    <row r="132" spans="3:3" x14ac:dyDescent="0.3">
      <c r="C132" s="293" t="s">
        <v>476</v>
      </c>
    </row>
    <row r="133" spans="3:3" x14ac:dyDescent="0.3">
      <c r="C133" s="293" t="s">
        <v>664</v>
      </c>
    </row>
    <row r="134" spans="3:3" x14ac:dyDescent="0.3">
      <c r="C134" s="293" t="s">
        <v>666</v>
      </c>
    </row>
    <row r="135" spans="3:3" x14ac:dyDescent="0.3">
      <c r="C135" s="293" t="s">
        <v>444</v>
      </c>
    </row>
    <row r="136" spans="3:3" x14ac:dyDescent="0.3">
      <c r="C136" s="293" t="s">
        <v>446</v>
      </c>
    </row>
    <row r="137" spans="3:3" x14ac:dyDescent="0.3">
      <c r="C137" s="293" t="s">
        <v>450</v>
      </c>
    </row>
    <row r="138" spans="3:3" x14ac:dyDescent="0.3">
      <c r="C138" s="293" t="s">
        <v>452</v>
      </c>
    </row>
    <row r="139" spans="3:3" x14ac:dyDescent="0.3">
      <c r="C139" s="293" t="s">
        <v>757</v>
      </c>
    </row>
    <row r="140" spans="3:3" x14ac:dyDescent="0.3">
      <c r="C140" s="293" t="s">
        <v>759</v>
      </c>
    </row>
    <row r="141" spans="3:3" x14ac:dyDescent="0.3">
      <c r="C141" s="293" t="s">
        <v>761</v>
      </c>
    </row>
    <row r="142" spans="3:3" x14ac:dyDescent="0.3">
      <c r="C142" s="293" t="s">
        <v>763</v>
      </c>
    </row>
    <row r="143" spans="3:3" x14ac:dyDescent="0.3">
      <c r="C143" s="293" t="s">
        <v>442</v>
      </c>
    </row>
    <row r="144" spans="3:3" x14ac:dyDescent="0.3">
      <c r="C144" s="293" t="s">
        <v>448</v>
      </c>
    </row>
    <row r="145" spans="3:3" x14ac:dyDescent="0.3">
      <c r="C145" s="293" t="s">
        <v>420</v>
      </c>
    </row>
    <row r="146" spans="3:3" x14ac:dyDescent="0.3">
      <c r="C146" s="293" t="s">
        <v>683</v>
      </c>
    </row>
    <row r="147" spans="3:3" x14ac:dyDescent="0.3">
      <c r="C147" s="293" t="s">
        <v>685</v>
      </c>
    </row>
    <row r="148" spans="3:3" x14ac:dyDescent="0.3">
      <c r="C148" s="293" t="s">
        <v>838</v>
      </c>
    </row>
    <row r="149" spans="3:3" x14ac:dyDescent="0.3">
      <c r="C149" s="293" t="s">
        <v>373</v>
      </c>
    </row>
    <row r="150" spans="3:3" x14ac:dyDescent="0.3">
      <c r="C150" s="293" t="s">
        <v>654</v>
      </c>
    </row>
    <row r="151" spans="3:3" x14ac:dyDescent="0.3">
      <c r="C151" s="293" t="s">
        <v>677</v>
      </c>
    </row>
    <row r="152" spans="3:3" x14ac:dyDescent="0.3">
      <c r="C152" s="293" t="s">
        <v>411</v>
      </c>
    </row>
    <row r="153" spans="3:3" x14ac:dyDescent="0.3">
      <c r="C153" s="293" t="s">
        <v>413</v>
      </c>
    </row>
    <row r="154" spans="3:3" x14ac:dyDescent="0.3">
      <c r="C154" s="293" t="s">
        <v>656</v>
      </c>
    </row>
    <row r="155" spans="3:3" x14ac:dyDescent="0.3">
      <c r="C155" s="293" t="s">
        <v>681</v>
      </c>
    </row>
    <row r="156" spans="3:3" x14ac:dyDescent="0.3">
      <c r="C156" s="293" t="s">
        <v>658</v>
      </c>
    </row>
    <row r="157" spans="3:3" x14ac:dyDescent="0.3">
      <c r="C157" s="293" t="s">
        <v>836</v>
      </c>
    </row>
    <row r="158" spans="3:3" x14ac:dyDescent="0.3">
      <c r="C158" s="293" t="s">
        <v>387</v>
      </c>
    </row>
    <row r="159" spans="3:3" x14ac:dyDescent="0.3">
      <c r="C159" s="293" t="s">
        <v>389</v>
      </c>
    </row>
    <row r="160" spans="3:3" x14ac:dyDescent="0.3">
      <c r="C160" s="293" t="s">
        <v>397</v>
      </c>
    </row>
    <row r="161" spans="3:3" x14ac:dyDescent="0.3">
      <c r="C161" s="293" t="s">
        <v>469</v>
      </c>
    </row>
    <row r="162" spans="3:3" x14ac:dyDescent="0.3">
      <c r="C162" s="293" t="s">
        <v>457</v>
      </c>
    </row>
    <row r="163" spans="3:3" x14ac:dyDescent="0.3">
      <c r="C163" s="293" t="s">
        <v>459</v>
      </c>
    </row>
    <row r="164" spans="3:3" x14ac:dyDescent="0.3">
      <c r="C164" s="293" t="s">
        <v>454</v>
      </c>
    </row>
    <row r="165" spans="3:3" x14ac:dyDescent="0.3">
      <c r="C165" s="293" t="s">
        <v>461</v>
      </c>
    </row>
    <row r="166" spans="3:3" x14ac:dyDescent="0.3">
      <c r="C166" s="293" t="s">
        <v>463</v>
      </c>
    </row>
    <row r="167" spans="3:3" x14ac:dyDescent="0.3">
      <c r="C167" s="293" t="s">
        <v>765</v>
      </c>
    </row>
    <row r="168" spans="3:3" x14ac:dyDescent="0.3">
      <c r="C168" s="293" t="s">
        <v>1020</v>
      </c>
    </row>
    <row r="169" spans="3:3" x14ac:dyDescent="0.3">
      <c r="C169" s="293" t="s">
        <v>1032</v>
      </c>
    </row>
    <row r="170" spans="3:3" x14ac:dyDescent="0.3">
      <c r="C170" s="293" t="s">
        <v>1024</v>
      </c>
    </row>
    <row r="171" spans="3:3" x14ac:dyDescent="0.3">
      <c r="C171" s="293" t="s">
        <v>1028</v>
      </c>
    </row>
    <row r="172" spans="3:3" x14ac:dyDescent="0.3">
      <c r="C172" s="293" t="s">
        <v>1073</v>
      </c>
    </row>
    <row r="173" spans="3:3" x14ac:dyDescent="0.3">
      <c r="C173" s="293" t="s">
        <v>973</v>
      </c>
    </row>
    <row r="174" spans="3:3" x14ac:dyDescent="0.3">
      <c r="C174" s="293" t="s">
        <v>980</v>
      </c>
    </row>
    <row r="175" spans="3:3" x14ac:dyDescent="0.3">
      <c r="C175" s="293" t="s">
        <v>1000</v>
      </c>
    </row>
    <row r="176" spans="3:3" x14ac:dyDescent="0.3">
      <c r="C176" s="293" t="s">
        <v>1022</v>
      </c>
    </row>
    <row r="177" spans="3:3" x14ac:dyDescent="0.3">
      <c r="C177" s="293" t="s">
        <v>1018</v>
      </c>
    </row>
    <row r="178" spans="3:3" x14ac:dyDescent="0.3">
      <c r="C178" s="293" t="s">
        <v>1030</v>
      </c>
    </row>
    <row r="179" spans="3:3" x14ac:dyDescent="0.3">
      <c r="C179" s="293" t="s">
        <v>1026</v>
      </c>
    </row>
    <row r="180" spans="3:3" x14ac:dyDescent="0.3">
      <c r="C180" s="293" t="s">
        <v>1036</v>
      </c>
    </row>
    <row r="181" spans="3:3" x14ac:dyDescent="0.3">
      <c r="C181" s="293" t="s">
        <v>1075</v>
      </c>
    </row>
    <row r="182" spans="3:3" x14ac:dyDescent="0.3">
      <c r="C182" s="293" t="s">
        <v>969</v>
      </c>
    </row>
    <row r="183" spans="3:3" x14ac:dyDescent="0.3">
      <c r="C183" s="293" t="s">
        <v>976</v>
      </c>
    </row>
    <row r="184" spans="3:3" x14ac:dyDescent="0.3">
      <c r="C184" s="293" t="s">
        <v>998</v>
      </c>
    </row>
    <row r="185" spans="3:3" x14ac:dyDescent="0.3">
      <c r="C185" s="293" t="s">
        <v>1099</v>
      </c>
    </row>
    <row r="186" spans="3:3" x14ac:dyDescent="0.3">
      <c r="C186" s="293" t="s">
        <v>1101</v>
      </c>
    </row>
    <row r="187" spans="3:3" x14ac:dyDescent="0.3">
      <c r="C187" s="293" t="s">
        <v>1034</v>
      </c>
    </row>
    <row r="188" spans="3:3" x14ac:dyDescent="0.3">
      <c r="C188" s="293" t="s">
        <v>375</v>
      </c>
    </row>
    <row r="189" spans="3:3" x14ac:dyDescent="0.3">
      <c r="C189" s="293" t="s">
        <v>349</v>
      </c>
    </row>
    <row r="190" spans="3:3" x14ac:dyDescent="0.3">
      <c r="C190" s="293" t="s">
        <v>3300</v>
      </c>
    </row>
    <row r="191" spans="3:3" x14ac:dyDescent="0.3">
      <c r="C191" s="293" t="s">
        <v>542</v>
      </c>
    </row>
    <row r="192" spans="3:3" x14ac:dyDescent="0.3">
      <c r="C192" s="293" t="s">
        <v>842</v>
      </c>
    </row>
    <row r="193" spans="3:3" x14ac:dyDescent="0.3">
      <c r="C193" s="293" t="s">
        <v>844</v>
      </c>
    </row>
    <row r="194" spans="3:3" x14ac:dyDescent="0.3">
      <c r="C194" s="293" t="s">
        <v>1122</v>
      </c>
    </row>
    <row r="195" spans="3:3" x14ac:dyDescent="0.3">
      <c r="C195" s="293" t="s">
        <v>1103</v>
      </c>
    </row>
    <row r="196" spans="3:3" x14ac:dyDescent="0.3">
      <c r="C196" s="293" t="s">
        <v>1111</v>
      </c>
    </row>
    <row r="197" spans="3:3" x14ac:dyDescent="0.3">
      <c r="C197" s="293" t="s">
        <v>1128</v>
      </c>
    </row>
    <row r="198" spans="3:3" x14ac:dyDescent="0.3">
      <c r="C198" s="293" t="s">
        <v>620</v>
      </c>
    </row>
    <row r="199" spans="3:3" x14ac:dyDescent="0.3">
      <c r="C199" s="293" t="s">
        <v>550</v>
      </c>
    </row>
    <row r="200" spans="3:3" x14ac:dyDescent="0.3">
      <c r="C200" s="293" t="s">
        <v>583</v>
      </c>
    </row>
    <row r="201" spans="3:3" x14ac:dyDescent="0.3">
      <c r="C201" s="293" t="s">
        <v>565</v>
      </c>
    </row>
    <row r="202" spans="3:3" x14ac:dyDescent="0.3">
      <c r="C202" s="293" t="s">
        <v>546</v>
      </c>
    </row>
    <row r="203" spans="3:3" x14ac:dyDescent="0.3">
      <c r="C203" s="293" t="s">
        <v>592</v>
      </c>
    </row>
    <row r="204" spans="3:3" x14ac:dyDescent="0.3">
      <c r="C204" s="293" t="s">
        <v>597</v>
      </c>
    </row>
    <row r="205" spans="3:3" x14ac:dyDescent="0.3">
      <c r="C205" s="293" t="s">
        <v>572</v>
      </c>
    </row>
    <row r="206" spans="3:3" x14ac:dyDescent="0.3">
      <c r="C206" s="293" t="s">
        <v>1107</v>
      </c>
    </row>
    <row r="207" spans="3:3" x14ac:dyDescent="0.3">
      <c r="C207" s="293" t="s">
        <v>3317</v>
      </c>
    </row>
    <row r="208" spans="3:3" x14ac:dyDescent="0.3">
      <c r="C208" s="293" t="s">
        <v>233</v>
      </c>
    </row>
    <row r="209" spans="3:3" x14ac:dyDescent="0.3">
      <c r="C209" s="293" t="s">
        <v>603</v>
      </c>
    </row>
    <row r="210" spans="3:3" x14ac:dyDescent="0.3">
      <c r="C210" s="293" t="s">
        <v>1117</v>
      </c>
    </row>
    <row r="211" spans="3:3" x14ac:dyDescent="0.3">
      <c r="C211" s="293" t="s">
        <v>608</v>
      </c>
    </row>
    <row r="212" spans="3:3" x14ac:dyDescent="0.3">
      <c r="C212" s="293" t="s">
        <v>588</v>
      </c>
    </row>
    <row r="213" spans="3:3" x14ac:dyDescent="0.3">
      <c r="C213" s="293" t="s">
        <v>578</v>
      </c>
    </row>
    <row r="214" spans="3:3" x14ac:dyDescent="0.3">
      <c r="C214" s="293" t="s">
        <v>556</v>
      </c>
    </row>
    <row r="215" spans="3:3" x14ac:dyDescent="0.3">
      <c r="C215" s="293" t="s">
        <v>561</v>
      </c>
    </row>
    <row r="216" spans="3:3" x14ac:dyDescent="0.3">
      <c r="C216" s="293" t="s">
        <v>614</v>
      </c>
    </row>
    <row r="217" spans="3:3" x14ac:dyDescent="0.3">
      <c r="C217" s="293" t="s">
        <v>1046</v>
      </c>
    </row>
    <row r="218" spans="3:3" x14ac:dyDescent="0.3">
      <c r="C218" s="293" t="s">
        <v>1010</v>
      </c>
    </row>
    <row r="219" spans="3:3" x14ac:dyDescent="0.3">
      <c r="C219" s="293" t="s">
        <v>1038</v>
      </c>
    </row>
    <row r="220" spans="3:3" x14ac:dyDescent="0.3">
      <c r="C220" s="293" t="s">
        <v>533</v>
      </c>
    </row>
    <row r="221" spans="3:3" x14ac:dyDescent="0.3">
      <c r="C221" s="293" t="s">
        <v>540</v>
      </c>
    </row>
    <row r="222" spans="3:3" x14ac:dyDescent="0.3">
      <c r="C222" s="293" t="s">
        <v>1050</v>
      </c>
    </row>
    <row r="223" spans="3:3" x14ac:dyDescent="0.3">
      <c r="C223" s="293" t="s">
        <v>3302</v>
      </c>
    </row>
    <row r="224" spans="3:3" x14ac:dyDescent="0.3">
      <c r="C224" s="293" t="s">
        <v>415</v>
      </c>
    </row>
    <row r="225" spans="3:3" x14ac:dyDescent="0.3">
      <c r="C225" s="293" t="s">
        <v>1115</v>
      </c>
    </row>
    <row r="226" spans="3:3" x14ac:dyDescent="0.3">
      <c r="C226" s="293" t="s">
        <v>1126</v>
      </c>
    </row>
    <row r="227" spans="3:3" x14ac:dyDescent="0.3">
      <c r="C227" s="293" t="s">
        <v>780</v>
      </c>
    </row>
    <row r="228" spans="3:3" x14ac:dyDescent="0.3">
      <c r="C228" s="293" t="s">
        <v>352</v>
      </c>
    </row>
    <row r="229" spans="3:3" x14ac:dyDescent="0.3">
      <c r="C229" s="293" t="s">
        <v>3301</v>
      </c>
    </row>
    <row r="230" spans="3:3" x14ac:dyDescent="0.3">
      <c r="C230" s="293" t="s">
        <v>846</v>
      </c>
    </row>
    <row r="231" spans="3:3" x14ac:dyDescent="0.3">
      <c r="C231" s="293" t="s">
        <v>848</v>
      </c>
    </row>
    <row r="232" spans="3:3" x14ac:dyDescent="0.3">
      <c r="C232" s="293" t="s">
        <v>544</v>
      </c>
    </row>
    <row r="233" spans="3:3" x14ac:dyDescent="0.3">
      <c r="C233" s="293" t="s">
        <v>1124</v>
      </c>
    </row>
    <row r="234" spans="3:3" x14ac:dyDescent="0.3">
      <c r="C234" s="293" t="s">
        <v>1105</v>
      </c>
    </row>
    <row r="235" spans="3:3" x14ac:dyDescent="0.3">
      <c r="C235" s="293" t="s">
        <v>1113</v>
      </c>
    </row>
    <row r="236" spans="3:3" x14ac:dyDescent="0.3">
      <c r="C236" s="293" t="s">
        <v>1054</v>
      </c>
    </row>
    <row r="237" spans="3:3" x14ac:dyDescent="0.3">
      <c r="C237" s="293" t="s">
        <v>622</v>
      </c>
    </row>
    <row r="238" spans="3:3" x14ac:dyDescent="0.3">
      <c r="C238" s="293" t="s">
        <v>1056</v>
      </c>
    </row>
    <row r="239" spans="3:3" x14ac:dyDescent="0.3">
      <c r="C239" s="293" t="s">
        <v>1059</v>
      </c>
    </row>
    <row r="240" spans="3:3" x14ac:dyDescent="0.3">
      <c r="C240" s="293" t="s">
        <v>1062</v>
      </c>
    </row>
    <row r="241" spans="3:3" x14ac:dyDescent="0.3">
      <c r="C241" s="293" t="s">
        <v>1064</v>
      </c>
    </row>
    <row r="242" spans="3:3" x14ac:dyDescent="0.3">
      <c r="C242" s="293" t="s">
        <v>554</v>
      </c>
    </row>
    <row r="243" spans="3:3" x14ac:dyDescent="0.3">
      <c r="C243" s="293" t="s">
        <v>587</v>
      </c>
    </row>
    <row r="244" spans="3:3" x14ac:dyDescent="0.3">
      <c r="C244" s="293" t="s">
        <v>570</v>
      </c>
    </row>
    <row r="245" spans="3:3" x14ac:dyDescent="0.3">
      <c r="C245" s="293" t="s">
        <v>548</v>
      </c>
    </row>
    <row r="246" spans="3:3" x14ac:dyDescent="0.3">
      <c r="C246" s="293" t="s">
        <v>596</v>
      </c>
    </row>
    <row r="247" spans="3:3" x14ac:dyDescent="0.3">
      <c r="C247" s="293" t="s">
        <v>601</v>
      </c>
    </row>
    <row r="248" spans="3:3" x14ac:dyDescent="0.3">
      <c r="C248" s="293" t="s">
        <v>576</v>
      </c>
    </row>
    <row r="249" spans="3:3" x14ac:dyDescent="0.3">
      <c r="C249" s="293" t="s">
        <v>1109</v>
      </c>
    </row>
    <row r="250" spans="3:3" x14ac:dyDescent="0.3">
      <c r="C250" s="293" t="s">
        <v>236</v>
      </c>
    </row>
    <row r="251" spans="3:3" x14ac:dyDescent="0.3">
      <c r="C251" s="293" t="s">
        <v>607</v>
      </c>
    </row>
    <row r="252" spans="3:3" x14ac:dyDescent="0.3">
      <c r="C252" s="293" t="s">
        <v>1121</v>
      </c>
    </row>
    <row r="253" spans="3:3" x14ac:dyDescent="0.3">
      <c r="C253" s="293" t="s">
        <v>612</v>
      </c>
    </row>
    <row r="254" spans="3:3" x14ac:dyDescent="0.3">
      <c r="C254" s="293" t="s">
        <v>590</v>
      </c>
    </row>
    <row r="255" spans="3:3" x14ac:dyDescent="0.3">
      <c r="C255" s="293" t="s">
        <v>582</v>
      </c>
    </row>
    <row r="256" spans="3:3" x14ac:dyDescent="0.3">
      <c r="C256" s="293" t="s">
        <v>560</v>
      </c>
    </row>
    <row r="257" spans="3:3" x14ac:dyDescent="0.3">
      <c r="C257" s="293" t="s">
        <v>563</v>
      </c>
    </row>
    <row r="258" spans="3:3" x14ac:dyDescent="0.3">
      <c r="C258" s="293" t="s">
        <v>618</v>
      </c>
    </row>
    <row r="259" spans="3:3" x14ac:dyDescent="0.3">
      <c r="C259" s="293" t="s">
        <v>1048</v>
      </c>
    </row>
    <row r="260" spans="3:3" x14ac:dyDescent="0.3">
      <c r="C260" s="293" t="s">
        <v>1015</v>
      </c>
    </row>
    <row r="261" spans="3:3" x14ac:dyDescent="0.3">
      <c r="C261" s="293" t="s">
        <v>1042</v>
      </c>
    </row>
    <row r="262" spans="3:3" x14ac:dyDescent="0.3">
      <c r="C262" s="293" t="s">
        <v>538</v>
      </c>
    </row>
    <row r="263" spans="3:3" x14ac:dyDescent="0.3">
      <c r="C263" s="293" t="s">
        <v>1044</v>
      </c>
    </row>
    <row r="264" spans="3:3" x14ac:dyDescent="0.3">
      <c r="C264" s="293" t="s">
        <v>1052</v>
      </c>
    </row>
    <row r="265" spans="3:3" x14ac:dyDescent="0.3">
      <c r="C265" s="293" t="s">
        <v>784</v>
      </c>
    </row>
    <row r="266" spans="3:3" x14ac:dyDescent="0.3">
      <c r="C266" s="293" t="s">
        <v>786</v>
      </c>
    </row>
    <row r="267" spans="3:3" x14ac:dyDescent="0.3">
      <c r="C267" s="293" t="s">
        <v>788</v>
      </c>
    </row>
    <row r="268" spans="3:3" x14ac:dyDescent="0.3">
      <c r="C268" s="293" t="s">
        <v>790</v>
      </c>
    </row>
    <row r="269" spans="3:3" x14ac:dyDescent="0.3">
      <c r="C269" s="293" t="s">
        <v>792</v>
      </c>
    </row>
    <row r="270" spans="3:3" x14ac:dyDescent="0.3">
      <c r="C270" s="293" t="s">
        <v>795</v>
      </c>
    </row>
    <row r="271" spans="3:3" x14ac:dyDescent="0.3">
      <c r="C271" s="293" t="s">
        <v>797</v>
      </c>
    </row>
    <row r="272" spans="3:3" x14ac:dyDescent="0.3">
      <c r="C272" s="293" t="s">
        <v>799</v>
      </c>
    </row>
    <row r="273" spans="3:3" x14ac:dyDescent="0.3">
      <c r="C273" s="293" t="s">
        <v>1130</v>
      </c>
    </row>
    <row r="274" spans="3:3" x14ac:dyDescent="0.3">
      <c r="C274" s="293" t="s">
        <v>3303</v>
      </c>
    </row>
    <row r="275" spans="3:3" x14ac:dyDescent="0.3">
      <c r="C275" s="293" t="s">
        <v>3304</v>
      </c>
    </row>
    <row r="276" spans="3:3" x14ac:dyDescent="0.3">
      <c r="C276" s="293" t="s">
        <v>3246</v>
      </c>
    </row>
    <row r="277" spans="3:3" x14ac:dyDescent="0.3">
      <c r="C277" s="293" t="s">
        <v>767</v>
      </c>
    </row>
    <row r="278" spans="3:3" x14ac:dyDescent="0.3">
      <c r="C278" s="293" t="s">
        <v>324</v>
      </c>
    </row>
    <row r="279" spans="3:3" x14ac:dyDescent="0.3">
      <c r="C279" s="293" t="s">
        <v>1814</v>
      </c>
    </row>
    <row r="280" spans="3:3" x14ac:dyDescent="0.3">
      <c r="C280" s="293" t="s">
        <v>1040</v>
      </c>
    </row>
    <row r="281" spans="3:3" x14ac:dyDescent="0.3">
      <c r="C281" s="293" t="s">
        <v>919</v>
      </c>
    </row>
    <row r="282" spans="3:3" x14ac:dyDescent="0.3">
      <c r="C282" s="293" t="s">
        <v>922</v>
      </c>
    </row>
    <row r="283" spans="3:3" x14ac:dyDescent="0.3">
      <c r="C283" s="293" t="s">
        <v>312</v>
      </c>
    </row>
    <row r="284" spans="3:3" x14ac:dyDescent="0.3">
      <c r="C284" s="293" t="s">
        <v>1391</v>
      </c>
    </row>
    <row r="285" spans="3:3" x14ac:dyDescent="0.3">
      <c r="C285" s="293" t="s">
        <v>1394</v>
      </c>
    </row>
    <row r="286" spans="3:3" x14ac:dyDescent="0.3">
      <c r="C286" s="293" t="s">
        <v>1397</v>
      </c>
    </row>
    <row r="287" spans="3:3" x14ac:dyDescent="0.3">
      <c r="C287" s="293" t="s">
        <v>1402</v>
      </c>
    </row>
    <row r="288" spans="3:3" x14ac:dyDescent="0.3">
      <c r="C288" s="293" t="s">
        <v>1404</v>
      </c>
    </row>
    <row r="289" spans="3:3" x14ac:dyDescent="0.3">
      <c r="C289" s="293" t="s">
        <v>1408</v>
      </c>
    </row>
    <row r="290" spans="3:3" x14ac:dyDescent="0.3">
      <c r="C290" s="293" t="s">
        <v>3318</v>
      </c>
    </row>
    <row r="291" spans="3:3" x14ac:dyDescent="0.3">
      <c r="C291" s="293" t="s">
        <v>3319</v>
      </c>
    </row>
    <row r="292" spans="3:3" x14ac:dyDescent="0.3">
      <c r="C292" s="293" t="s">
        <v>3320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0.79998168889431442"/>
  </sheetPr>
  <dimension ref="C1:F5"/>
  <sheetViews>
    <sheetView workbookViewId="0">
      <selection activeCell="H12" sqref="H12"/>
    </sheetView>
  </sheetViews>
  <sheetFormatPr defaultColWidth="8.69921875" defaultRowHeight="14.5" x14ac:dyDescent="0.3"/>
  <cols>
    <col min="1" max="3" width="8.69921875" style="456"/>
    <col min="4" max="4" width="27.5" style="456" bestFit="1" customWidth="1"/>
    <col min="5" max="16384" width="8.69921875" style="456"/>
  </cols>
  <sheetData>
    <row r="1" spans="3:6" x14ac:dyDescent="0.3">
      <c r="C1" s="458" t="s">
        <v>3069</v>
      </c>
      <c r="D1" s="458" t="s">
        <v>3068</v>
      </c>
      <c r="E1" s="458" t="s">
        <v>2733</v>
      </c>
      <c r="F1" s="458" t="s">
        <v>3067</v>
      </c>
    </row>
    <row r="2" spans="3:6" x14ac:dyDescent="0.3">
      <c r="C2" s="456" t="s">
        <v>3065</v>
      </c>
      <c r="D2" s="467" t="s">
        <v>1461</v>
      </c>
      <c r="E2" s="456">
        <v>8</v>
      </c>
      <c r="F2" s="456">
        <v>10</v>
      </c>
    </row>
    <row r="3" spans="3:6" x14ac:dyDescent="0.3">
      <c r="D3" s="467" t="s">
        <v>2802</v>
      </c>
      <c r="E3" s="456">
        <v>1</v>
      </c>
      <c r="F3" s="456">
        <v>5</v>
      </c>
    </row>
    <row r="4" spans="3:6" x14ac:dyDescent="0.3">
      <c r="D4" s="467" t="s">
        <v>2873</v>
      </c>
      <c r="E4" s="456">
        <v>6</v>
      </c>
      <c r="F4" s="456">
        <v>7</v>
      </c>
    </row>
    <row r="5" spans="3:6" x14ac:dyDescent="0.3">
      <c r="C5" s="458" t="s">
        <v>2882</v>
      </c>
      <c r="D5" s="458"/>
      <c r="E5" s="458">
        <f>SUM(E2:E4)</f>
        <v>15</v>
      </c>
      <c r="F5" s="458">
        <f>SUM(F2:F4)</f>
        <v>22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E24"/>
  <sheetViews>
    <sheetView topLeftCell="A13" workbookViewId="0">
      <selection activeCell="A25" sqref="A25"/>
    </sheetView>
  </sheetViews>
  <sheetFormatPr defaultColWidth="8.69921875" defaultRowHeight="14.5" x14ac:dyDescent="0.3"/>
  <cols>
    <col min="1" max="1" width="12.59765625" style="168" bestFit="1" customWidth="1"/>
    <col min="2" max="2" width="3.19921875" style="166" bestFit="1" customWidth="1"/>
    <col min="3" max="3" width="3.3984375" style="166" bestFit="1" customWidth="1"/>
    <col min="4" max="4" width="15.8984375" style="166" bestFit="1" customWidth="1"/>
    <col min="5" max="5" width="28.8984375" style="166" bestFit="1" customWidth="1"/>
    <col min="6" max="6" width="6.3984375" style="166" bestFit="1" customWidth="1"/>
    <col min="7" max="7" width="27.69921875" style="166" bestFit="1" customWidth="1"/>
    <col min="8" max="8" width="37.59765625" style="166" bestFit="1" customWidth="1"/>
    <col min="9" max="10" width="7.3984375" style="166" bestFit="1" customWidth="1"/>
    <col min="11" max="11" width="11.3984375" style="166" bestFit="1" customWidth="1"/>
    <col min="12" max="12" width="12.69921875" style="166" bestFit="1" customWidth="1"/>
    <col min="13" max="13" width="8.69921875" style="166" customWidth="1"/>
    <col min="14" max="15" width="11.3984375" style="166" bestFit="1" customWidth="1"/>
    <col min="16" max="17" width="7.3984375" style="166" bestFit="1" customWidth="1"/>
    <col min="18" max="18" width="10.19921875" style="166" bestFit="1" customWidth="1"/>
    <col min="19" max="25" width="8.69921875" style="166" customWidth="1"/>
    <col min="26" max="26" width="11.3984375" style="166" bestFit="1" customWidth="1"/>
    <col min="27" max="27" width="10.19921875" style="166" bestFit="1" customWidth="1"/>
    <col min="28" max="31" width="11.3984375" style="166" bestFit="1" customWidth="1"/>
    <col min="32" max="32" width="5.3984375" style="166" bestFit="1" customWidth="1"/>
    <col min="33" max="33" width="3.69921875" style="166" bestFit="1" customWidth="1"/>
    <col min="34" max="34" width="6.3984375" style="166" bestFit="1" customWidth="1"/>
    <col min="35" max="35" width="8.8984375" style="166" bestFit="1" customWidth="1"/>
    <col min="36" max="39" width="8.69921875" style="166" customWidth="1"/>
    <col min="40" max="16384" width="8.69921875" style="166"/>
  </cols>
  <sheetData>
    <row r="1" spans="1:57" x14ac:dyDescent="0.3">
      <c r="A1" s="168" t="s">
        <v>1412</v>
      </c>
      <c r="R1" s="166" t="s">
        <v>1413</v>
      </c>
    </row>
    <row r="2" spans="1:57" s="254" customFormat="1" ht="14.25" customHeight="1" x14ac:dyDescent="0.3">
      <c r="A2" s="168">
        <v>44456</v>
      </c>
      <c r="B2" s="135">
        <v>11</v>
      </c>
      <c r="C2" s="136" t="str">
        <f>LEFT(功能_33[[#This Row],[功能代號]],2)</f>
        <v>L1</v>
      </c>
      <c r="D2" s="136" t="s">
        <v>90</v>
      </c>
      <c r="E2" s="136" t="s">
        <v>1414</v>
      </c>
      <c r="F2" s="1" t="s">
        <v>1415</v>
      </c>
      <c r="G2" s="44" t="s">
        <v>1416</v>
      </c>
      <c r="H2" s="136" t="s">
        <v>1417</v>
      </c>
      <c r="I2" s="1" t="s">
        <v>193</v>
      </c>
      <c r="J2" s="1" t="s">
        <v>137</v>
      </c>
      <c r="K2" s="144">
        <v>44403</v>
      </c>
      <c r="L2" s="144"/>
      <c r="M2" s="144"/>
      <c r="N2" s="144">
        <v>44403</v>
      </c>
      <c r="O2" s="144">
        <f>IFERROR(IF(VLOOKUP(功能_33[[#This Row],[功能代號]],討論項目!A:H,8,FALSE)=0,"",VLOOKUP(功能_33[[#This Row],[功能代號]],討論項目!A:H,8,FALSE)),"")</f>
        <v>44399</v>
      </c>
      <c r="P2" s="1" t="s">
        <v>10</v>
      </c>
      <c r="Q2" s="1" t="s">
        <v>172</v>
      </c>
      <c r="R2" s="136" t="s">
        <v>1418</v>
      </c>
      <c r="S2" s="1"/>
      <c r="T2" s="1"/>
      <c r="U2" s="1"/>
      <c r="V2" s="1"/>
      <c r="W2" s="1"/>
      <c r="X2" s="1"/>
      <c r="Y2" s="1"/>
      <c r="Z2" s="136" t="str">
        <f>VLOOKUP(功能_33[[#This Row],[User]],SKL放款!A:G,7,FALSE)</f>
        <v>放款推展課</v>
      </c>
      <c r="AA2" s="134">
        <f>IF(功能_33[[#This Row],[實際展示]]="","",功能_33[[#This Row],[實際展示]]+14)</f>
        <v>44413</v>
      </c>
      <c r="AB2" s="145">
        <v>44468</v>
      </c>
      <c r="AC2" s="134">
        <f>IF(功能_33[[#This Row],[實際展示]]="","",功能_33[[#This Row],[實際展示]]+21)</f>
        <v>44420</v>
      </c>
      <c r="AD2" s="134"/>
      <c r="AE2" s="136"/>
      <c r="AF2" s="134" t="str">
        <f>IFERROR(IF(VLOOKUP(功能_33[[#This Row],[功能代號]],Menu!A:D,4,FALSE)=0,"",VLOOKUP(功能_33[[#This Row],[功能代號]],Menu!A:D,4,FALSE)),"")</f>
        <v>L1-1</v>
      </c>
      <c r="AG2" s="136">
        <v>11</v>
      </c>
      <c r="AH2" s="136" t="str">
        <f>VLOOKUP(功能_33[[#This Row],[功能代號]],[6]交易清單!$E:$E,1,FALSE)</f>
        <v>L1001</v>
      </c>
    </row>
    <row r="3" spans="1:57" s="254" customFormat="1" ht="14.25" customHeight="1" x14ac:dyDescent="0.3">
      <c r="A3" s="168">
        <v>44456</v>
      </c>
      <c r="B3" s="135">
        <v>12</v>
      </c>
      <c r="C3" s="136" t="str">
        <f>LEFT(功能_33[[#This Row],[功能代號]],2)</f>
        <v>L1</v>
      </c>
      <c r="D3" s="136" t="s">
        <v>90</v>
      </c>
      <c r="E3" s="136" t="s">
        <v>1414</v>
      </c>
      <c r="F3" s="1" t="s">
        <v>1419</v>
      </c>
      <c r="G3" s="44" t="s">
        <v>1416</v>
      </c>
      <c r="H3" s="136" t="s">
        <v>1420</v>
      </c>
      <c r="I3" s="1" t="s">
        <v>193</v>
      </c>
      <c r="J3" s="1" t="s">
        <v>137</v>
      </c>
      <c r="K3" s="144">
        <v>44403</v>
      </c>
      <c r="L3" s="144"/>
      <c r="M3" s="144"/>
      <c r="N3" s="144">
        <v>44403</v>
      </c>
      <c r="O3" s="144">
        <f>IFERROR(IF(VLOOKUP(功能_33[[#This Row],[功能代號]],討論項目!A:H,8,FALSE)=0,"",VLOOKUP(功能_33[[#This Row],[功能代號]],討論項目!A:H,8,FALSE)),"")</f>
        <v>44456</v>
      </c>
      <c r="P3" s="1" t="s">
        <v>10</v>
      </c>
      <c r="Q3" s="1" t="s">
        <v>172</v>
      </c>
      <c r="R3" s="136" t="s">
        <v>1421</v>
      </c>
      <c r="S3" s="1"/>
      <c r="T3" s="1"/>
      <c r="U3" s="1"/>
      <c r="V3" s="1"/>
      <c r="W3" s="1"/>
      <c r="X3" s="1"/>
      <c r="Y3" s="1"/>
      <c r="Z3" s="136" t="str">
        <f>VLOOKUP(功能_33[[#This Row],[User]],SKL放款!A:G,7,FALSE)</f>
        <v>放款推展課</v>
      </c>
      <c r="AA3" s="134">
        <f>IF(功能_33[[#This Row],[實際展示]]="","",功能_33[[#This Row],[實際展示]]+14)</f>
        <v>44413</v>
      </c>
      <c r="AB3" s="145">
        <v>44468</v>
      </c>
      <c r="AC3" s="134">
        <f>IF(功能_33[[#This Row],[實際展示]]="","",功能_33[[#This Row],[實際展示]]+21)</f>
        <v>44420</v>
      </c>
      <c r="AD3" s="134"/>
      <c r="AE3" s="136"/>
      <c r="AF3" s="146" t="str">
        <f>AF2</f>
        <v>L1-1</v>
      </c>
      <c r="AG3" s="136">
        <v>12</v>
      </c>
      <c r="AH3" s="136" t="str">
        <f>VLOOKUP(功能_33[[#This Row],[功能代號]],[6]交易清單!$E:$E,1,FALSE)</f>
        <v>L1101</v>
      </c>
    </row>
    <row r="4" spans="1:57" x14ac:dyDescent="0.3">
      <c r="A4" s="168">
        <v>44495</v>
      </c>
      <c r="B4" s="135">
        <v>366</v>
      </c>
      <c r="C4" s="136" t="str">
        <f>LEFT(功能_33[[#This Row],[功能代號]],2)</f>
        <v>L1</v>
      </c>
      <c r="D4" s="136" t="s">
        <v>97</v>
      </c>
      <c r="E4" s="136"/>
      <c r="F4" s="1" t="s">
        <v>1422</v>
      </c>
      <c r="G4" s="136" t="s">
        <v>1423</v>
      </c>
      <c r="H4" s="136" t="s">
        <v>1424</v>
      </c>
      <c r="I4" s="1" t="s">
        <v>193</v>
      </c>
      <c r="J4" s="1" t="s">
        <v>314</v>
      </c>
      <c r="K4" s="170"/>
      <c r="L4" s="144"/>
      <c r="M4" s="169"/>
      <c r="N4" s="144" t="str">
        <f>IFERROR(IF(VLOOKUP(功能_33[[#This Row],[功能代號]],討論項目!B:I,8,FALSE)=0,"",VLOOKUP(功能_33[[#This Row],[功能代號]],討論項目!B:I,8,FALSE)),"")</f>
        <v/>
      </c>
      <c r="O4" s="1" t="s">
        <v>7</v>
      </c>
      <c r="P4" s="1" t="s">
        <v>24</v>
      </c>
      <c r="Q4" s="136"/>
      <c r="R4" s="1"/>
      <c r="S4" s="1"/>
      <c r="T4" s="1"/>
      <c r="U4" s="1"/>
      <c r="V4" s="1"/>
      <c r="W4" s="1"/>
      <c r="X4" s="1"/>
      <c r="Y4" s="136" t="e">
        <f>VLOOKUP(功能_33[[#This Row],[User]],SKL放款!B:H,7,FALSE)</f>
        <v>#N/A</v>
      </c>
      <c r="Z4" s="134">
        <f>IF(功能_33[[#This Row],[實際展示]]="","",功能_33[[#This Row],[實際展示]]+14)</f>
        <v>44417</v>
      </c>
      <c r="AA4" s="134"/>
      <c r="AB4" s="144">
        <f>IF(功能_33[[#This Row],[URS交二審]]=0,"",功能_33[[#This Row],[URS交二審]]+7)</f>
        <v>44470</v>
      </c>
      <c r="AC4" s="140"/>
      <c r="AD4" s="140"/>
      <c r="AE4" s="140"/>
      <c r="AF4" s="360"/>
      <c r="AG4" s="140" t="str">
        <f>IFERROR(IF(VLOOKUP(功能_33[[#This Row],[功能代號]],Menu!B:E,4,FALSE)=0,"",VLOOKUP(功能_33[[#This Row],[功能代號]],Menu!B:E,4,FALSE)),"")</f>
        <v/>
      </c>
      <c r="AH4" s="140"/>
      <c r="AI4" s="136" t="str">
        <f>VLOOKUP(功能_33[[#This Row],[功能代號]],[6]交易清單!$E:$E,1,FALSE)</f>
        <v>L1102</v>
      </c>
      <c r="AJ4" s="140"/>
      <c r="AK4" s="146" t="e">
        <f>#REF!</f>
        <v>#REF!</v>
      </c>
      <c r="AL4" s="136"/>
    </row>
    <row r="5" spans="1:57" s="254" customFormat="1" ht="14.25" customHeight="1" x14ac:dyDescent="0.3">
      <c r="A5" s="168">
        <v>44508</v>
      </c>
      <c r="B5" s="135">
        <v>207</v>
      </c>
      <c r="C5" s="136" t="s">
        <v>1425</v>
      </c>
      <c r="D5" s="136" t="s">
        <v>92</v>
      </c>
      <c r="E5" s="136"/>
      <c r="F5" s="1" t="s">
        <v>1426</v>
      </c>
      <c r="G5" s="44" t="s">
        <v>1427</v>
      </c>
      <c r="H5" s="136" t="s">
        <v>1428</v>
      </c>
      <c r="I5" s="1" t="s">
        <v>193</v>
      </c>
      <c r="J5" s="1" t="s">
        <v>194</v>
      </c>
      <c r="K5" s="144"/>
      <c r="L5" s="144">
        <v>44452</v>
      </c>
      <c r="M5" s="144">
        <v>44452</v>
      </c>
      <c r="N5" s="144">
        <v>44487</v>
      </c>
      <c r="O5" s="144" t="s">
        <v>8</v>
      </c>
      <c r="P5" s="1" t="s">
        <v>24</v>
      </c>
      <c r="Q5" s="1"/>
      <c r="R5" s="136" t="s">
        <v>1429</v>
      </c>
      <c r="S5" s="1"/>
      <c r="T5" s="1">
        <v>44496</v>
      </c>
      <c r="U5" s="1">
        <v>44496</v>
      </c>
      <c r="V5" s="1"/>
      <c r="W5" s="1"/>
      <c r="X5" s="1"/>
      <c r="Y5" s="1"/>
      <c r="Z5" s="136" t="s">
        <v>24</v>
      </c>
      <c r="AA5" s="134"/>
      <c r="AB5" s="145"/>
      <c r="AC5" s="134"/>
      <c r="AD5" s="134"/>
      <c r="AE5" s="136"/>
      <c r="AF5" s="134"/>
      <c r="AG5" s="136" t="e">
        <v>#N/A</v>
      </c>
      <c r="AH5" s="136"/>
    </row>
    <row r="6" spans="1:57" x14ac:dyDescent="0.3">
      <c r="A6" s="168">
        <v>44509</v>
      </c>
      <c r="B6" s="221">
        <v>43</v>
      </c>
      <c r="C6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6" s="292" t="s">
        <v>91</v>
      </c>
      <c r="E6" s="292" t="s">
        <v>260</v>
      </c>
      <c r="F6" s="291" t="s">
        <v>1430</v>
      </c>
      <c r="G6" s="292" t="s">
        <v>1431</v>
      </c>
      <c r="H6" s="136" t="s">
        <v>1432</v>
      </c>
      <c r="I6" s="291" t="s">
        <v>193</v>
      </c>
      <c r="J6" s="291" t="s">
        <v>194</v>
      </c>
      <c r="K6" s="225"/>
      <c r="L6" s="299">
        <v>44432</v>
      </c>
      <c r="M6" s="299">
        <v>44432</v>
      </c>
      <c r="N6" s="299" t="str">
        <f>IFERROR(IF(VLOOKUP(功能_33[[#This Row],[功能代號]],討論項目!B:I,8,FALSE)=0,"",VLOOKUP(功能_33[[#This Row],[功能代號]],討論項目!B:I,8,FALSE)),"")</f>
        <v/>
      </c>
      <c r="O6" s="291" t="s">
        <v>10</v>
      </c>
      <c r="P6" s="291" t="s">
        <v>13</v>
      </c>
      <c r="Q6" s="270" t="s">
        <v>226</v>
      </c>
      <c r="R6" s="291"/>
      <c r="S6" s="291"/>
      <c r="T6" s="291"/>
      <c r="U6" s="291"/>
      <c r="V6" s="291"/>
      <c r="W6" s="291"/>
      <c r="X6" s="291"/>
      <c r="Y6" s="292" t="e">
        <f>VLOOKUP(功能_33[[#This Row],[User]],SKL放款!B:H,7,FALSE)</f>
        <v>#N/A</v>
      </c>
      <c r="Z6" s="224">
        <f>IF(功能_33[[#This Row],[實際展示]]="","",功能_33[[#This Row],[實際展示]]+14)</f>
        <v>44417</v>
      </c>
      <c r="AA6" s="224"/>
      <c r="AB6" s="299">
        <v>44515</v>
      </c>
      <c r="AC6" s="299" t="s">
        <v>133</v>
      </c>
      <c r="AD6" s="299"/>
      <c r="AE6" s="299"/>
      <c r="AF6" s="299"/>
      <c r="AG6" s="355"/>
      <c r="AH6" s="299" t="str">
        <f>IFERROR(IF(VLOOKUP(功能_33[[#This Row],[功能代號]],F:R,11,FALSE)=0,"",VLOOKUP(功能_33[[#This Row],[功能代號]],F:R,11,FALSE)),"")</f>
        <v/>
      </c>
      <c r="AI6" s="299"/>
      <c r="AJ6" s="299"/>
      <c r="AK6" s="292"/>
      <c r="AL6" s="224"/>
      <c r="AM6" s="291"/>
      <c r="AN6" s="292"/>
      <c r="AO6" s="292" t="e">
        <f>VLOOKUP(功能_33[[#This Row],[功能代號]],#REF!,1,FALSE)</f>
        <v>#REF!</v>
      </c>
    </row>
    <row r="7" spans="1:57" x14ac:dyDescent="0.3">
      <c r="A7" s="168">
        <v>44509</v>
      </c>
      <c r="B7" s="221">
        <v>46</v>
      </c>
      <c r="C7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7" s="292" t="s">
        <v>91</v>
      </c>
      <c r="E7" s="292" t="s">
        <v>260</v>
      </c>
      <c r="F7" s="291" t="s">
        <v>1433</v>
      </c>
      <c r="G7" s="292" t="s">
        <v>1434</v>
      </c>
      <c r="H7" s="136" t="s">
        <v>1432</v>
      </c>
      <c r="I7" s="291" t="s">
        <v>193</v>
      </c>
      <c r="J7" s="291" t="s">
        <v>194</v>
      </c>
      <c r="K7" s="225"/>
      <c r="L7" s="299">
        <v>44432</v>
      </c>
      <c r="M7" s="299">
        <v>44432</v>
      </c>
      <c r="N7" s="299" t="str">
        <f>IFERROR(IF(VLOOKUP(功能_33[[#This Row],[功能代號]],討論項目!B:I,8,FALSE)=0,"",VLOOKUP(功能_33[[#This Row],[功能代號]],討論項目!B:I,8,FALSE)),"")</f>
        <v/>
      </c>
      <c r="O7" s="291" t="s">
        <v>10</v>
      </c>
      <c r="P7" s="291" t="s">
        <v>13</v>
      </c>
      <c r="Q7" s="270" t="s">
        <v>226</v>
      </c>
      <c r="R7" s="291"/>
      <c r="S7" s="291"/>
      <c r="T7" s="291"/>
      <c r="U7" s="291"/>
      <c r="V7" s="291"/>
      <c r="W7" s="291"/>
      <c r="X7" s="291"/>
      <c r="Y7" s="292" t="e">
        <f>VLOOKUP(功能_33[[#This Row],[User]],SKL放款!B:H,7,FALSE)</f>
        <v>#N/A</v>
      </c>
      <c r="Z7" s="224">
        <f>IF(功能_33[[#This Row],[實際展示]]="","",功能_33[[#This Row],[實際展示]]+14)</f>
        <v>44475</v>
      </c>
      <c r="AA7" s="224"/>
      <c r="AB7" s="299">
        <v>44515</v>
      </c>
      <c r="AC7" s="299" t="s">
        <v>133</v>
      </c>
      <c r="AD7" s="299"/>
      <c r="AE7" s="299"/>
      <c r="AF7" s="299"/>
      <c r="AG7" s="355"/>
      <c r="AH7" s="299" t="str">
        <f>IFERROR(IF(VLOOKUP(功能_33[[#This Row],[功能代號]],F:R,11,FALSE)=0,"",VLOOKUP(功能_33[[#This Row],[功能代號]],F:R,11,FALSE)),"")</f>
        <v/>
      </c>
      <c r="AI7" s="299"/>
      <c r="AJ7" s="299"/>
      <c r="AK7" s="292"/>
      <c r="AL7" s="224"/>
      <c r="AM7" s="291"/>
      <c r="AN7" s="292"/>
      <c r="AO7" s="292" t="e">
        <f>VLOOKUP(功能_33[[#This Row],[功能代號]],#REF!,1,FALSE)</f>
        <v>#REF!</v>
      </c>
    </row>
    <row r="8" spans="1:57" x14ac:dyDescent="0.3">
      <c r="A8" s="168">
        <v>44509</v>
      </c>
      <c r="B8" s="221">
        <v>58</v>
      </c>
      <c r="C8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8" s="292" t="s">
        <v>91</v>
      </c>
      <c r="E8" s="292" t="s">
        <v>260</v>
      </c>
      <c r="F8" s="291" t="s">
        <v>1435</v>
      </c>
      <c r="G8" s="292" t="s">
        <v>1436</v>
      </c>
      <c r="H8" s="292" t="s">
        <v>1437</v>
      </c>
      <c r="I8" s="291" t="s">
        <v>193</v>
      </c>
      <c r="J8" s="291" t="s">
        <v>194</v>
      </c>
      <c r="K8" s="225"/>
      <c r="L8" s="299">
        <v>44434</v>
      </c>
      <c r="M8" s="299">
        <v>44433</v>
      </c>
      <c r="N8" s="299" t="str">
        <f>IFERROR(IF(VLOOKUP(功能_33[[#This Row],[功能代號]],討論項目!B:I,8,FALSE)=0,"",VLOOKUP(功能_33[[#This Row],[功能代號]],討論項目!B:I,8,FALSE)),"")</f>
        <v/>
      </c>
      <c r="O8" s="291" t="s">
        <v>10</v>
      </c>
      <c r="P8" s="291" t="s">
        <v>13</v>
      </c>
      <c r="Q8" s="270" t="s">
        <v>226</v>
      </c>
      <c r="R8" s="291"/>
      <c r="S8" s="291"/>
      <c r="T8" s="291"/>
      <c r="U8" s="291"/>
      <c r="V8" s="291"/>
      <c r="W8" s="291"/>
      <c r="X8" s="291"/>
      <c r="Y8" s="292" t="e">
        <f>VLOOKUP(功能_33[[#This Row],[User]],SKL放款!B:H,7,FALSE)</f>
        <v>#N/A</v>
      </c>
      <c r="Z8" s="224">
        <f>IF(功能_33[[#This Row],[實際展示]]="","",功能_33[[#This Row],[實際展示]]+14)</f>
        <v>44475</v>
      </c>
      <c r="AA8" s="224"/>
      <c r="AB8" s="299">
        <v>44515</v>
      </c>
      <c r="AC8" s="299" t="s">
        <v>133</v>
      </c>
      <c r="AD8" s="299"/>
      <c r="AE8" s="299"/>
      <c r="AF8" s="299"/>
      <c r="AG8" s="355"/>
      <c r="AH8" s="299" t="str">
        <f>IFERROR(IF(VLOOKUP(功能_33[[#This Row],[功能代號]],F:R,11,FALSE)=0,"",VLOOKUP(功能_33[[#This Row],[功能代號]],F:R,11,FALSE)),"")</f>
        <v/>
      </c>
      <c r="AI8" s="299"/>
      <c r="AJ8" s="299"/>
      <c r="AK8" s="292"/>
      <c r="AL8" s="224"/>
      <c r="AM8" s="291"/>
      <c r="AN8" s="292"/>
      <c r="AO8" s="292" t="e">
        <f>VLOOKUP(功能_33[[#This Row],[功能代號]],#REF!,1,FALSE)</f>
        <v>#REF!</v>
      </c>
    </row>
    <row r="9" spans="1:57" x14ac:dyDescent="0.3">
      <c r="A9" s="168">
        <v>44509</v>
      </c>
      <c r="B9" s="221">
        <v>51</v>
      </c>
      <c r="C9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9" s="292" t="s">
        <v>91</v>
      </c>
      <c r="E9" s="292" t="s">
        <v>260</v>
      </c>
      <c r="F9" s="291" t="s">
        <v>1438</v>
      </c>
      <c r="G9" s="292" t="s">
        <v>1439</v>
      </c>
      <c r="H9" s="292" t="s">
        <v>1440</v>
      </c>
      <c r="I9" s="291" t="s">
        <v>193</v>
      </c>
      <c r="J9" s="291" t="s">
        <v>194</v>
      </c>
      <c r="K9" s="225"/>
      <c r="L9" s="299">
        <v>44433</v>
      </c>
      <c r="M9" s="299">
        <v>44433</v>
      </c>
      <c r="N9" s="299" t="str">
        <f>IFERROR(IF(VLOOKUP(功能_33[[#This Row],[功能代號]],討論項目!B:I,8,FALSE)=0,"",VLOOKUP(功能_33[[#This Row],[功能代號]],討論項目!B:I,8,FALSE)),"")</f>
        <v/>
      </c>
      <c r="O9" s="291" t="s">
        <v>10</v>
      </c>
      <c r="P9" s="291" t="s">
        <v>13</v>
      </c>
      <c r="Q9" s="270" t="s">
        <v>226</v>
      </c>
      <c r="R9" s="291"/>
      <c r="S9" s="291"/>
      <c r="T9" s="291"/>
      <c r="U9" s="291"/>
      <c r="V9" s="291"/>
      <c r="W9" s="291"/>
      <c r="X9" s="291"/>
      <c r="Y9" s="292" t="e">
        <f>VLOOKUP(功能_33[[#This Row],[User]],SKL放款!B:H,7,FALSE)</f>
        <v>#N/A</v>
      </c>
      <c r="Z9" s="224">
        <f>IF(功能_33[[#This Row],[實際展示]]="","",功能_33[[#This Row],[實際展示]]+14)</f>
        <v>44413</v>
      </c>
      <c r="AA9" s="224"/>
      <c r="AB9" s="299">
        <v>44515</v>
      </c>
      <c r="AC9" s="299" t="s">
        <v>133</v>
      </c>
      <c r="AD9" s="299"/>
      <c r="AE9" s="299"/>
      <c r="AF9" s="299"/>
      <c r="AG9" s="355"/>
      <c r="AH9" s="299" t="str">
        <f>IFERROR(IF(VLOOKUP(功能_33[[#This Row],[功能代號]],F:R,11,FALSE)=0,"",VLOOKUP(功能_33[[#This Row],[功能代號]],F:R,11,FALSE)),"")</f>
        <v/>
      </c>
      <c r="AI9" s="299"/>
      <c r="AJ9" s="299"/>
      <c r="AK9" s="292"/>
      <c r="AL9" s="224"/>
      <c r="AM9" s="291"/>
      <c r="AN9" s="292"/>
      <c r="AO9" s="292" t="e">
        <f>VLOOKUP(功能_33[[#This Row],[功能代號]],#REF!,1,FALSE)</f>
        <v>#REF!</v>
      </c>
      <c r="AP9" s="223"/>
      <c r="AQ9" s="223"/>
      <c r="AR9" s="223"/>
    </row>
    <row r="10" spans="1:57" x14ac:dyDescent="0.3">
      <c r="A10" s="168">
        <v>44509</v>
      </c>
      <c r="B10" s="221">
        <v>54</v>
      </c>
      <c r="C10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0" s="292" t="s">
        <v>91</v>
      </c>
      <c r="E10" s="292" t="s">
        <v>260</v>
      </c>
      <c r="F10" s="291" t="s">
        <v>1441</v>
      </c>
      <c r="G10" s="292" t="s">
        <v>1442</v>
      </c>
      <c r="H10" s="292" t="s">
        <v>1437</v>
      </c>
      <c r="I10" s="291" t="s">
        <v>193</v>
      </c>
      <c r="J10" s="291" t="s">
        <v>194</v>
      </c>
      <c r="K10" s="225"/>
      <c r="L10" s="299">
        <v>44434</v>
      </c>
      <c r="M10" s="299">
        <v>44433</v>
      </c>
      <c r="N10" s="299" t="str">
        <f>IFERROR(IF(VLOOKUP(功能_33[[#This Row],[功能代號]],討論項目!B:I,8,FALSE)=0,"",VLOOKUP(功能_33[[#This Row],[功能代號]],討論項目!B:I,8,FALSE)),"")</f>
        <v/>
      </c>
      <c r="O10" s="291" t="s">
        <v>10</v>
      </c>
      <c r="P10" s="291" t="s">
        <v>13</v>
      </c>
      <c r="Q10" s="270" t="s">
        <v>226</v>
      </c>
      <c r="R10" s="291"/>
      <c r="S10" s="291"/>
      <c r="T10" s="291"/>
      <c r="U10" s="291"/>
      <c r="V10" s="291"/>
      <c r="W10" s="291"/>
      <c r="X10" s="291"/>
      <c r="Y10" s="292" t="e">
        <f>VLOOKUP(功能_33[[#This Row],[User]],SKL放款!B:H,7,FALSE)</f>
        <v>#N/A</v>
      </c>
      <c r="Z10" s="224">
        <f>IF(功能_33[[#This Row],[實際展示]]="","",功能_33[[#This Row],[實際展示]]+14)</f>
        <v>44413</v>
      </c>
      <c r="AA10" s="224"/>
      <c r="AB10" s="299">
        <v>44515</v>
      </c>
      <c r="AC10" s="299" t="s">
        <v>133</v>
      </c>
      <c r="AD10" s="299"/>
      <c r="AE10" s="299"/>
      <c r="AF10" s="299"/>
      <c r="AG10" s="355"/>
      <c r="AH10" s="299" t="str">
        <f>IFERROR(IF(VLOOKUP(功能_33[[#This Row],[功能代號]],F:R,11,FALSE)=0,"",VLOOKUP(功能_33[[#This Row],[功能代號]],F:R,11,FALSE)),"")</f>
        <v/>
      </c>
      <c r="AI10" s="299"/>
      <c r="AJ10" s="299"/>
      <c r="AK10" s="292"/>
      <c r="AL10" s="224"/>
      <c r="AM10" s="291"/>
      <c r="AN10" s="292"/>
      <c r="AO10" s="292" t="e">
        <f>VLOOKUP(功能_33[[#This Row],[功能代號]],#REF!,1,FALSE)</f>
        <v>#REF!</v>
      </c>
      <c r="AP10" s="223"/>
      <c r="AQ10" s="223"/>
      <c r="AR10" s="223"/>
      <c r="AS10" s="223"/>
      <c r="AT10" s="223"/>
      <c r="AU10" s="223"/>
      <c r="AV10" s="223"/>
      <c r="AW10" s="223"/>
    </row>
    <row r="11" spans="1:57" x14ac:dyDescent="0.3">
      <c r="A11" s="168">
        <v>44509</v>
      </c>
      <c r="B11" s="221">
        <v>55</v>
      </c>
      <c r="C11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1" s="292" t="s">
        <v>91</v>
      </c>
      <c r="E11" s="292" t="s">
        <v>260</v>
      </c>
      <c r="F11" s="291" t="s">
        <v>1443</v>
      </c>
      <c r="G11" s="292" t="s">
        <v>1444</v>
      </c>
      <c r="H11" s="292" t="s">
        <v>1437</v>
      </c>
      <c r="I11" s="291" t="s">
        <v>193</v>
      </c>
      <c r="J11" s="291" t="s">
        <v>194</v>
      </c>
      <c r="K11" s="225"/>
      <c r="L11" s="299">
        <v>44434</v>
      </c>
      <c r="M11" s="299">
        <v>44433</v>
      </c>
      <c r="N11" s="299" t="str">
        <f>IFERROR(IF(VLOOKUP(功能_33[[#This Row],[功能代號]],討論項目!B:I,8,FALSE)=0,"",VLOOKUP(功能_33[[#This Row],[功能代號]],討論項目!B:I,8,FALSE)),"")</f>
        <v/>
      </c>
      <c r="O11" s="291" t="s">
        <v>10</v>
      </c>
      <c r="P11" s="291" t="s">
        <v>13</v>
      </c>
      <c r="Q11" s="270" t="s">
        <v>226</v>
      </c>
      <c r="R11" s="291"/>
      <c r="S11" s="291"/>
      <c r="T11" s="291"/>
      <c r="U11" s="291"/>
      <c r="V11" s="291"/>
      <c r="W11" s="291"/>
      <c r="X11" s="291"/>
      <c r="Y11" s="292" t="e">
        <f>VLOOKUP(功能_33[[#This Row],[User]],SKL放款!B:H,7,FALSE)</f>
        <v>#N/A</v>
      </c>
      <c r="Z11" s="224">
        <f>IF(功能_33[[#This Row],[實際展示]]="","",功能_33[[#This Row],[實際展示]]+14)</f>
        <v>44414</v>
      </c>
      <c r="AA11" s="224"/>
      <c r="AB11" s="299">
        <v>44515</v>
      </c>
      <c r="AC11" s="299" t="s">
        <v>133</v>
      </c>
      <c r="AD11" s="299"/>
      <c r="AE11" s="299"/>
      <c r="AF11" s="299"/>
      <c r="AG11" s="355"/>
      <c r="AH11" s="299" t="str">
        <f>IFERROR(IF(VLOOKUP(功能_33[[#This Row],[功能代號]],F:R,11,FALSE)=0,"",VLOOKUP(功能_33[[#This Row],[功能代號]],F:R,11,FALSE)),"")</f>
        <v/>
      </c>
      <c r="AI11" s="299"/>
      <c r="AJ11" s="299"/>
      <c r="AK11" s="292"/>
      <c r="AL11" s="224"/>
      <c r="AM11" s="291"/>
      <c r="AN11" s="292"/>
      <c r="AO11" s="292" t="e">
        <f>VLOOKUP(功能_33[[#This Row],[功能代號]],#REF!,1,FALSE)</f>
        <v>#REF!</v>
      </c>
      <c r="AP11" s="223"/>
      <c r="AQ11" s="223"/>
      <c r="AR11" s="223"/>
      <c r="AS11" s="223"/>
      <c r="AT11" s="223"/>
      <c r="AU11" s="223"/>
      <c r="AV11" s="223"/>
      <c r="AW11" s="223"/>
    </row>
    <row r="12" spans="1:57" x14ac:dyDescent="0.3">
      <c r="A12" s="168">
        <v>44510</v>
      </c>
      <c r="B12" s="221">
        <v>148</v>
      </c>
      <c r="C12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2" s="292" t="s">
        <v>94</v>
      </c>
      <c r="E12" s="230"/>
      <c r="F12" s="291" t="s">
        <v>1445</v>
      </c>
      <c r="G12" s="292" t="s">
        <v>1446</v>
      </c>
      <c r="H12" s="292" t="s">
        <v>1447</v>
      </c>
      <c r="I12" s="291" t="s">
        <v>136</v>
      </c>
      <c r="J12" s="291" t="s">
        <v>136</v>
      </c>
      <c r="K12" s="298"/>
      <c r="L12" s="260">
        <v>44518</v>
      </c>
      <c r="M12" s="299"/>
      <c r="N12" s="299" t="str">
        <f>IFERROR(IF(VLOOKUP(功能_33[[#This Row],[功能代號]],討論項目!B:I,8,FALSE)=0,"",VLOOKUP(功能_33[[#This Row],[功能代號]],討論項目!B:I,8,FALSE)),"")</f>
        <v/>
      </c>
      <c r="O12" s="291" t="s">
        <v>12</v>
      </c>
      <c r="P12" s="291" t="s">
        <v>13</v>
      </c>
      <c r="Q12" s="270"/>
      <c r="R12" s="291"/>
      <c r="S12" s="291"/>
      <c r="T12" s="291"/>
      <c r="U12" s="291"/>
      <c r="V12" s="291"/>
      <c r="W12" s="291"/>
      <c r="X12" s="291"/>
      <c r="Y12" s="292" t="e">
        <f>VLOOKUP(功能_33[[#This Row],[User]],SKL放款!B:H,7,FALSE)</f>
        <v>#N/A</v>
      </c>
      <c r="Z12" s="224">
        <f>IF(功能_33[[#This Row],[實際展示]]="","",功能_33[[#This Row],[實際展示]]+14)</f>
        <v>44414</v>
      </c>
      <c r="AA12" s="224"/>
      <c r="AB12" s="299">
        <f>IF(功能_33[[#This Row],[URS交二審]]=0,"",功能_33[[#This Row],[URS交二審]]+7)</f>
        <v>44470</v>
      </c>
      <c r="AC12" s="299"/>
      <c r="AD12" s="299"/>
      <c r="AE12" s="299"/>
      <c r="AF12" s="299"/>
      <c r="AG12" s="355"/>
      <c r="AH12" s="299" t="str">
        <f>IFERROR(IF(VLOOKUP(功能_33[[#This Row],[功能代號]],F:R,11,FALSE)=0,"",VLOOKUP(功能_33[[#This Row],[功能代號]],F:R,11,FALSE)),"")</f>
        <v/>
      </c>
      <c r="AI12" s="299"/>
      <c r="AJ12" s="299"/>
      <c r="AK12" s="292"/>
      <c r="AL12" s="299"/>
      <c r="AM12" s="291"/>
      <c r="AN12" s="292"/>
      <c r="AO12" s="292" t="e">
        <f>VLOOKUP(功能_33[[#This Row],[功能代號]],#REF!,1,FALSE)</f>
        <v>#REF!</v>
      </c>
      <c r="AP12" s="292" t="e">
        <f>VLOOKUP(功能_33[[#This Row],[功能代號]],#REF!,2,FALSE)</f>
        <v>#REF!</v>
      </c>
      <c r="AU12" s="361"/>
      <c r="AV12" s="362"/>
      <c r="AW12" s="363"/>
      <c r="AX12" s="363" t="e">
        <f>VLOOKUP([7]!功能[[#This Row],[功能項目
/代號]],[8]URS確認!$D:$J,6,FALSE)</f>
        <v>#REF!</v>
      </c>
      <c r="AY12" s="363"/>
      <c r="AZ12" s="363"/>
      <c r="BA12" s="362"/>
      <c r="BB12" s="279" t="e">
        <f>LEFT(#REF!,2)</f>
        <v>#REF!</v>
      </c>
      <c r="BC12" s="279"/>
      <c r="BD12" s="279"/>
      <c r="BE12" s="279"/>
    </row>
    <row r="13" spans="1:57" x14ac:dyDescent="0.3">
      <c r="A13" s="168">
        <v>44510</v>
      </c>
      <c r="B13" s="221">
        <v>151</v>
      </c>
      <c r="C13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3" s="292" t="s">
        <v>94</v>
      </c>
      <c r="E13" s="230"/>
      <c r="F13" s="291" t="s">
        <v>1448</v>
      </c>
      <c r="G13" s="292" t="s">
        <v>1449</v>
      </c>
      <c r="H13" s="292" t="s">
        <v>1447</v>
      </c>
      <c r="I13" s="291" t="s">
        <v>136</v>
      </c>
      <c r="J13" s="291" t="s">
        <v>136</v>
      </c>
      <c r="K13" s="298"/>
      <c r="L13" s="260">
        <v>44518</v>
      </c>
      <c r="M13" s="299"/>
      <c r="N13" s="299" t="str">
        <f>IFERROR(IF(VLOOKUP(功能_33[[#This Row],[功能代號]],討論項目!B:I,8,FALSE)=0,"",VLOOKUP(功能_33[[#This Row],[功能代號]],討論項目!B:I,8,FALSE)),"")</f>
        <v/>
      </c>
      <c r="O13" s="291" t="s">
        <v>12</v>
      </c>
      <c r="P13" s="291" t="s">
        <v>13</v>
      </c>
      <c r="Q13" s="270"/>
      <c r="R13" s="291"/>
      <c r="S13" s="291"/>
      <c r="T13" s="291"/>
      <c r="U13" s="291"/>
      <c r="V13" s="291"/>
      <c r="W13" s="291"/>
      <c r="X13" s="291"/>
      <c r="Y13" s="292" t="e">
        <f>VLOOKUP(功能_33[[#This Row],[User]],SKL放款!B:H,7,FALSE)</f>
        <v>#N/A</v>
      </c>
      <c r="Z13" s="224">
        <f>IF(功能_33[[#This Row],[實際展示]]="","",功能_33[[#This Row],[實際展示]]+14)</f>
        <v>44414</v>
      </c>
      <c r="AA13" s="224"/>
      <c r="AB13" s="299">
        <f>IF(功能_33[[#This Row],[URS交二審]]=0,"",功能_33[[#This Row],[URS交二審]]+7)</f>
        <v>44470</v>
      </c>
      <c r="AC13" s="299"/>
      <c r="AD13" s="299"/>
      <c r="AE13" s="299"/>
      <c r="AF13" s="299"/>
      <c r="AG13" s="355"/>
      <c r="AH13" s="299" t="str">
        <f>IFERROR(IF(VLOOKUP(功能_33[[#This Row],[功能代號]],F:R,11,FALSE)=0,"",VLOOKUP(功能_33[[#This Row],[功能代號]],F:R,11,FALSE)),"")</f>
        <v/>
      </c>
      <c r="AI13" s="299"/>
      <c r="AJ13" s="299"/>
      <c r="AK13" s="292"/>
      <c r="AL13" s="299"/>
      <c r="AM13" s="291"/>
      <c r="AN13" s="292"/>
      <c r="AO13" s="292" t="e">
        <f>VLOOKUP(功能_33[[#This Row],[功能代號]],#REF!,1,FALSE)</f>
        <v>#REF!</v>
      </c>
      <c r="AP13" s="292" t="e">
        <f>VLOOKUP(功能_33[[#This Row],[功能代號]],#REF!,2,FALSE)</f>
        <v>#REF!</v>
      </c>
      <c r="AQ13" s="223"/>
      <c r="AR13" s="223"/>
      <c r="AS13" s="223"/>
      <c r="AT13" s="223"/>
      <c r="AU13" s="223"/>
      <c r="AV13" s="223"/>
    </row>
    <row r="14" spans="1:57" x14ac:dyDescent="0.3">
      <c r="A14" s="168">
        <v>44511</v>
      </c>
      <c r="B14" s="221">
        <v>161</v>
      </c>
      <c r="C14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4" s="292" t="s">
        <v>94</v>
      </c>
      <c r="E14" s="229"/>
      <c r="F14" s="266" t="s">
        <v>1450</v>
      </c>
      <c r="G14" s="292" t="s">
        <v>1451</v>
      </c>
      <c r="H14" s="364" t="s">
        <v>1452</v>
      </c>
      <c r="I14" s="291" t="s">
        <v>136</v>
      </c>
      <c r="J14" s="291" t="s">
        <v>136</v>
      </c>
      <c r="K14" s="298"/>
      <c r="L14" s="260">
        <v>44519</v>
      </c>
      <c r="M14" s="299"/>
      <c r="N14" s="299" t="str">
        <f>IFERROR(IF(VLOOKUP(功能_33[[#This Row],[功能代號]],討論項目!B:I,8,FALSE)=0,"",VLOOKUP(功能_33[[#This Row],[功能代號]],討論項目!B:I,8,FALSE)),"")</f>
        <v/>
      </c>
      <c r="O14" s="291" t="s">
        <v>12</v>
      </c>
      <c r="P14" s="291" t="s">
        <v>18</v>
      </c>
      <c r="Q14" s="270"/>
      <c r="R14" s="291"/>
      <c r="S14" s="291"/>
      <c r="T14" s="291"/>
      <c r="U14" s="291"/>
      <c r="V14" s="291"/>
      <c r="W14" s="291"/>
      <c r="X14" s="291"/>
      <c r="Y14" s="292" t="e">
        <f>VLOOKUP(功能_33[[#This Row],[User]],SKL放款!B:H,7,FALSE)</f>
        <v>#N/A</v>
      </c>
      <c r="Z14" s="224">
        <f>IF(功能_33[[#This Row],[實際展示]]="","",功能_33[[#This Row],[實際展示]]+14)</f>
        <v>44414</v>
      </c>
      <c r="AA14" s="224"/>
      <c r="AB14" s="299">
        <f>IF(功能_33[[#This Row],[URS交二審]]=0,"",功能_33[[#This Row],[URS交二審]]+7)</f>
        <v>44470</v>
      </c>
      <c r="AC14" s="299"/>
      <c r="AD14" s="299"/>
      <c r="AE14" s="299"/>
      <c r="AF14" s="299"/>
      <c r="AG14" s="355"/>
      <c r="AH14" s="299" t="str">
        <f>IFERROR(IF(VLOOKUP(功能_33[[#This Row],[功能代號]],F:R,11,FALSE)=0,"",VLOOKUP(功能_33[[#This Row],[功能代號]],F:R,11,FALSE)),"")</f>
        <v/>
      </c>
      <c r="AI14" s="299"/>
      <c r="AJ14" s="299"/>
      <c r="AK14" s="292"/>
      <c r="AL14" s="299"/>
      <c r="AM14" s="291"/>
      <c r="AN14" s="292"/>
      <c r="AO14" s="292" t="e">
        <f>VLOOKUP(功能_33[[#This Row],[功能代號]],#REF!,1,FALSE)</f>
        <v>#REF!</v>
      </c>
      <c r="AP14" s="292" t="e">
        <f>VLOOKUP(功能_33[[#This Row],[功能代號]],#REF!,2,FALSE)</f>
        <v>#REF!</v>
      </c>
      <c r="AQ14" s="292" t="e">
        <f>VLOOKUP(功能_33[[#This Row],[功能代號]],#REF!,1,FALSE)</f>
        <v>#REF!</v>
      </c>
    </row>
    <row r="15" spans="1:57" x14ac:dyDescent="0.3">
      <c r="A15" s="168">
        <v>44512</v>
      </c>
      <c r="B15" s="221">
        <v>367</v>
      </c>
      <c r="C15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5" s="292" t="s">
        <v>97</v>
      </c>
      <c r="E15" s="292"/>
      <c r="F15" s="291" t="s">
        <v>1453</v>
      </c>
      <c r="G15" s="292" t="s">
        <v>1454</v>
      </c>
      <c r="H15" s="166" t="s">
        <v>1455</v>
      </c>
      <c r="I15" s="291" t="s">
        <v>193</v>
      </c>
      <c r="J15" s="291" t="s">
        <v>314</v>
      </c>
      <c r="K15" s="298"/>
      <c r="L15" s="228">
        <v>44526</v>
      </c>
      <c r="M15" s="299"/>
      <c r="N15" s="299" t="str">
        <f>IFERROR(IF(VLOOKUP(功能_33[[#This Row],[功能代號]],討論項目!B:I,8,FALSE)=0,"",VLOOKUP(功能_33[[#This Row],[功能代號]],討論項目!B:I,8,FALSE)),"")</f>
        <v/>
      </c>
      <c r="O15" s="291" t="s">
        <v>7</v>
      </c>
      <c r="P15" s="291" t="s">
        <v>11</v>
      </c>
      <c r="Q15" s="270"/>
      <c r="R15" s="291"/>
      <c r="S15" s="291"/>
      <c r="T15" s="291"/>
      <c r="U15" s="291"/>
      <c r="V15" s="291"/>
      <c r="W15" s="291"/>
      <c r="X15" s="291"/>
      <c r="Y15" s="292" t="e">
        <f>VLOOKUP(功能_33[[#This Row],[User]],SKL放款!B:H,7,FALSE)</f>
        <v>#N/A</v>
      </c>
      <c r="Z15" s="224">
        <f>IF(功能_33[[#This Row],[實際展示]]="","",功能_33[[#This Row],[實際展示]]+14)</f>
        <v>44414</v>
      </c>
      <c r="AA15" s="224"/>
      <c r="AB15" s="299">
        <f>IF(功能_33[[#This Row],[URS交二審]]=0,"",功能_33[[#This Row],[URS交二審]]+7)</f>
        <v>44470</v>
      </c>
      <c r="AC15" s="299"/>
      <c r="AD15" s="299"/>
      <c r="AE15" s="299"/>
      <c r="AF15" s="299"/>
      <c r="AG15" s="355"/>
      <c r="AH15" s="299" t="str">
        <f>IFERROR(IF(VLOOKUP(功能_33[[#This Row],[功能代號]],F:R,11,FALSE)=0,"",VLOOKUP(功能_33[[#This Row],[功能代號]],F:R,11,FALSE)),"")</f>
        <v/>
      </c>
      <c r="AI15" s="299"/>
      <c r="AJ15" s="299"/>
      <c r="AK15" s="292"/>
      <c r="AL15" s="299"/>
      <c r="AM15" s="291"/>
      <c r="AN15" s="292"/>
      <c r="AO15" s="292" t="e">
        <f>VLOOKUP(功能_33[[#This Row],[功能代號]],#REF!,1,FALSE)</f>
        <v>#REF!</v>
      </c>
    </row>
    <row r="16" spans="1:57" x14ac:dyDescent="0.3">
      <c r="A16" s="168">
        <v>44515</v>
      </c>
      <c r="B16" s="221">
        <v>164</v>
      </c>
      <c r="C16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6" s="292" t="s">
        <v>94</v>
      </c>
      <c r="E16" s="229"/>
      <c r="F16" s="291" t="s">
        <v>1456</v>
      </c>
      <c r="G16" s="292" t="s">
        <v>1457</v>
      </c>
      <c r="H16" s="292" t="s">
        <v>1458</v>
      </c>
      <c r="I16" s="291" t="s">
        <v>136</v>
      </c>
      <c r="J16" s="291" t="s">
        <v>137</v>
      </c>
      <c r="K16" s="298"/>
      <c r="L16" s="260">
        <v>44519</v>
      </c>
      <c r="M16" s="299"/>
      <c r="N16" s="299" t="str">
        <f>IFERROR(IF(VLOOKUP(功能_33[[#This Row],[功能代號]],討論項目!B:I,8,FALSE)=0,"",VLOOKUP(功能_33[[#This Row],[功能代號]],討論項目!B:I,8,FALSE)),"")</f>
        <v/>
      </c>
      <c r="O16" s="291" t="s">
        <v>12</v>
      </c>
      <c r="P16" s="291" t="s">
        <v>535</v>
      </c>
      <c r="Q16" s="270"/>
      <c r="R16" s="291"/>
      <c r="S16" s="291"/>
      <c r="T16" s="291"/>
      <c r="U16" s="291"/>
      <c r="V16" s="291"/>
      <c r="W16" s="291"/>
      <c r="X16" s="291"/>
      <c r="Y16" s="292" t="e">
        <f>VLOOKUP(功能_33[[#This Row],[User]],SKL放款!B:H,7,FALSE)</f>
        <v>#N/A</v>
      </c>
      <c r="Z16" s="224">
        <f>IF(功能_33[[#This Row],[實際展示]]="","",功能_33[[#This Row],[實際展示]]+14)</f>
        <v>44475</v>
      </c>
      <c r="AA16" s="224"/>
      <c r="AB16" s="299">
        <f>IF(功能_33[[#This Row],[URS交二審]]=0,"",功能_33[[#This Row],[URS交二審]]+7)</f>
        <v>44470</v>
      </c>
      <c r="AC16" s="299"/>
      <c r="AD16" s="299"/>
      <c r="AE16" s="299"/>
      <c r="AF16" s="299"/>
      <c r="AG16" s="355"/>
      <c r="AH16" s="299" t="str">
        <f>IFERROR(IF(VLOOKUP(功能_33[[#This Row],[功能代號]],F:R,11,FALSE)=0,"",VLOOKUP(功能_33[[#This Row],[功能代號]],F:R,11,FALSE)),"")</f>
        <v/>
      </c>
      <c r="AI16" s="299"/>
      <c r="AJ16" s="299"/>
      <c r="AK16" s="292"/>
      <c r="AL16" s="299"/>
      <c r="AM16" s="291"/>
      <c r="AN16" s="292"/>
      <c r="AO16" s="292" t="e">
        <f>VLOOKUP(功能_33[[#This Row],[功能代號]],#REF!,1,FALSE)</f>
        <v>#REF!</v>
      </c>
    </row>
    <row r="17" spans="1:52" x14ac:dyDescent="0.3">
      <c r="A17" s="168">
        <v>44515</v>
      </c>
      <c r="B17" s="221">
        <v>166</v>
      </c>
      <c r="C17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7" s="292" t="s">
        <v>94</v>
      </c>
      <c r="E17" s="229"/>
      <c r="F17" s="291" t="s">
        <v>1459</v>
      </c>
      <c r="G17" s="292" t="s">
        <v>1460</v>
      </c>
      <c r="H17" s="292" t="s">
        <v>1458</v>
      </c>
      <c r="I17" s="291" t="s">
        <v>136</v>
      </c>
      <c r="J17" s="291" t="s">
        <v>137</v>
      </c>
      <c r="K17" s="298"/>
      <c r="L17" s="260">
        <v>44519</v>
      </c>
      <c r="M17" s="299"/>
      <c r="N17" s="299" t="str">
        <f>IFERROR(IF(VLOOKUP(功能_33[[#This Row],[功能代號]],討論項目!B:I,8,FALSE)=0,"",VLOOKUP(功能_33[[#This Row],[功能代號]],討論項目!B:I,8,FALSE)),"")</f>
        <v/>
      </c>
      <c r="O17" s="291" t="s">
        <v>12</v>
      </c>
      <c r="P17" s="291" t="s">
        <v>535</v>
      </c>
      <c r="Q17" s="270"/>
      <c r="R17" s="291"/>
      <c r="S17" s="291"/>
      <c r="T17" s="291"/>
      <c r="U17" s="291"/>
      <c r="V17" s="291"/>
      <c r="W17" s="291"/>
      <c r="X17" s="291"/>
      <c r="Y17" s="292" t="e">
        <f>VLOOKUP(功能_33[[#This Row],[User]],SKL放款!B:H,7,FALSE)</f>
        <v>#N/A</v>
      </c>
      <c r="Z17" s="224">
        <f>IF(功能_33[[#This Row],[實際展示]]="","",功能_33[[#This Row],[實際展示]]+14)</f>
        <v>44417</v>
      </c>
      <c r="AA17" s="224"/>
      <c r="AB17" s="299" t="e">
        <f>IF(功能_33[[#This Row],[URS交二審]]=0,"",功能_33[[#This Row],[URS交二審]]+7)</f>
        <v>#VALUE!</v>
      </c>
      <c r="AC17" s="299"/>
      <c r="AD17" s="299"/>
      <c r="AE17" s="299"/>
      <c r="AF17" s="299"/>
      <c r="AG17" s="355"/>
      <c r="AH17" s="299" t="str">
        <f>IFERROR(IF(VLOOKUP(功能_33[[#This Row],[功能代號]],F:R,11,FALSE)=0,"",VLOOKUP(功能_33[[#This Row],[功能代號]],F:R,11,FALSE)),"")</f>
        <v/>
      </c>
      <c r="AI17" s="299"/>
      <c r="AJ17" s="299"/>
      <c r="AK17" s="292"/>
      <c r="AL17" s="299"/>
      <c r="AM17" s="291"/>
      <c r="AN17" s="292"/>
      <c r="AO17" s="292" t="e">
        <f>VLOOKUP(功能_33[[#This Row],[功能代號]],#REF!,1,FALSE)</f>
        <v>#REF!</v>
      </c>
    </row>
    <row r="18" spans="1:52" x14ac:dyDescent="0.3">
      <c r="A18" s="168">
        <v>44518</v>
      </c>
      <c r="B18" s="221">
        <v>163</v>
      </c>
      <c r="C18" s="292" t="s">
        <v>1461</v>
      </c>
      <c r="D18" s="292" t="s">
        <v>94</v>
      </c>
      <c r="E18" s="292"/>
      <c r="F18" s="291" t="s">
        <v>1462</v>
      </c>
      <c r="G18" s="292" t="s">
        <v>1463</v>
      </c>
      <c r="H18" s="292" t="s">
        <v>1464</v>
      </c>
      <c r="I18" s="291" t="s">
        <v>136</v>
      </c>
      <c r="J18" s="291" t="s">
        <v>137</v>
      </c>
      <c r="K18" s="298"/>
      <c r="L18" s="260">
        <v>44519</v>
      </c>
      <c r="M18" s="299"/>
      <c r="N18" s="299"/>
      <c r="O18" s="291" t="s">
        <v>12</v>
      </c>
      <c r="P18" s="291" t="s">
        <v>535</v>
      </c>
      <c r="Q18" s="270"/>
      <c r="R18" s="291"/>
      <c r="S18" s="291"/>
      <c r="T18" s="291"/>
      <c r="U18" s="291"/>
      <c r="V18" s="291"/>
      <c r="W18" s="291"/>
      <c r="X18" s="291"/>
      <c r="Y18" s="292" t="s">
        <v>1465</v>
      </c>
      <c r="Z18" s="224"/>
      <c r="AA18" s="224"/>
      <c r="AB18" s="299"/>
      <c r="AC18" s="299"/>
      <c r="AD18" s="299"/>
      <c r="AE18" s="299"/>
      <c r="AF18" s="299"/>
      <c r="AG18" s="355"/>
      <c r="AH18" s="299" t="s">
        <v>535</v>
      </c>
      <c r="AI18" s="299"/>
      <c r="AJ18" s="299"/>
      <c r="AK18" s="292"/>
      <c r="AL18" s="299"/>
      <c r="AM18" s="291"/>
      <c r="AN18" s="292"/>
      <c r="AO18" s="292" t="e">
        <v>#REF!</v>
      </c>
    </row>
    <row r="19" spans="1:52" x14ac:dyDescent="0.3">
      <c r="A19" s="168">
        <v>44518</v>
      </c>
      <c r="B19" s="221">
        <v>162</v>
      </c>
      <c r="C19" s="292" t="s">
        <v>2802</v>
      </c>
      <c r="D19" s="292" t="s">
        <v>94</v>
      </c>
      <c r="E19" s="292"/>
      <c r="F19" s="266" t="s">
        <v>1096</v>
      </c>
      <c r="G19" s="270" t="s">
        <v>1097</v>
      </c>
      <c r="H19" s="292" t="s">
        <v>1098</v>
      </c>
      <c r="I19" s="291" t="s">
        <v>136</v>
      </c>
      <c r="J19" s="291" t="s">
        <v>136</v>
      </c>
      <c r="K19" s="298"/>
      <c r="L19" s="299">
        <v>44519</v>
      </c>
      <c r="M19" s="299">
        <v>44518</v>
      </c>
      <c r="N19" s="299" t="s">
        <v>2803</v>
      </c>
      <c r="O19" s="291" t="s">
        <v>12</v>
      </c>
      <c r="P19" s="291" t="s">
        <v>535</v>
      </c>
      <c r="Q19" s="270"/>
      <c r="R19" s="292" t="s">
        <v>1465</v>
      </c>
      <c r="S19" s="224"/>
      <c r="T19" s="299" t="s">
        <v>195</v>
      </c>
      <c r="U19" s="299"/>
      <c r="V19" s="299"/>
      <c r="W19" s="299"/>
      <c r="X19" s="299"/>
      <c r="Y19" s="299"/>
      <c r="Z19" s="355"/>
      <c r="AA19" s="299" t="s">
        <v>535</v>
      </c>
      <c r="AB19" s="299"/>
      <c r="AC19" s="299"/>
      <c r="AD19" s="292"/>
      <c r="AE19" s="299"/>
      <c r="AF19" s="291"/>
      <c r="AG19" s="292"/>
      <c r="AH19" s="292" t="e">
        <v>#N/A</v>
      </c>
      <c r="AI19" s="356"/>
      <c r="AJ19" s="292" t="e">
        <v>#N/A</v>
      </c>
    </row>
    <row r="20" spans="1:52" x14ac:dyDescent="0.3">
      <c r="A20" s="168">
        <v>44523</v>
      </c>
      <c r="B20" s="221">
        <v>135</v>
      </c>
      <c r="C20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0" s="292" t="s">
        <v>95</v>
      </c>
      <c r="E20" s="229"/>
      <c r="F20" s="291" t="s">
        <v>1466</v>
      </c>
      <c r="G20" s="292" t="s">
        <v>1467</v>
      </c>
      <c r="H20" s="292" t="s">
        <v>1468</v>
      </c>
      <c r="I20" s="291" t="s">
        <v>193</v>
      </c>
      <c r="J20" s="291" t="s">
        <v>314</v>
      </c>
      <c r="K20" s="298" t="s">
        <v>417</v>
      </c>
      <c r="L20" s="260">
        <v>44397</v>
      </c>
      <c r="M20" s="299">
        <v>44397</v>
      </c>
      <c r="N20" s="299" t="str">
        <f>IFERROR(IF(VLOOKUP(功能_33[[#This Row],[功能代號]],討論項目!B:I,8,FALSE)=0,"",VLOOKUP(功能_33[[#This Row],[功能代號]],討論項目!B:I,8,FALSE)),"")</f>
        <v/>
      </c>
      <c r="O20" s="291" t="s">
        <v>12</v>
      </c>
      <c r="P20" s="291" t="s">
        <v>535</v>
      </c>
      <c r="Q20" s="270"/>
      <c r="R20" s="291">
        <v>1</v>
      </c>
      <c r="S20" s="291" t="s">
        <v>1012</v>
      </c>
      <c r="T20" s="291"/>
      <c r="U20" s="291"/>
      <c r="V20" s="291"/>
      <c r="W20" s="291"/>
      <c r="X20" s="291"/>
      <c r="Y20" s="292" t="e">
        <f>VLOOKUP(功能_33[[#This Row],[User]],SKL放款!B:H,7,FALSE)</f>
        <v>#N/A</v>
      </c>
      <c r="Z20" s="224">
        <f>IF(功能_33[[#This Row],[實際展示]]="","",功能_33[[#This Row],[實際展示]]+14)</f>
        <v>44417</v>
      </c>
      <c r="AA20" s="299" t="s">
        <v>133</v>
      </c>
      <c r="AB20" s="299"/>
      <c r="AC20" s="299"/>
      <c r="AD20" s="299"/>
      <c r="AE20" s="299"/>
      <c r="AF20" s="299"/>
      <c r="AG20" s="355"/>
      <c r="AH20" s="299" t="str">
        <f>IFERROR(IF(VLOOKUP(功能_33[[#This Row],[功能代號]],F:R,11,FALSE)=0,"",VLOOKUP(功能_33[[#This Row],[功能代號]],F:R,11,FALSE)),"")</f>
        <v/>
      </c>
      <c r="AI20" s="299"/>
      <c r="AJ20" s="299"/>
      <c r="AK20" s="292"/>
      <c r="AL20" s="299"/>
      <c r="AM20" s="303" t="s">
        <v>1469</v>
      </c>
      <c r="AN20" s="304" t="s">
        <v>1470</v>
      </c>
      <c r="AO20" s="292" t="e">
        <f>VLOOKUP(功能_33[[#This Row],[功能代號]],需二審tmp!B:B,1,FALSE)</f>
        <v>#N/A</v>
      </c>
      <c r="AP20" s="292"/>
    </row>
    <row r="21" spans="1:52" x14ac:dyDescent="0.3">
      <c r="A21" s="168">
        <v>44523</v>
      </c>
      <c r="B21" s="221">
        <v>136</v>
      </c>
      <c r="C21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1" s="292" t="s">
        <v>95</v>
      </c>
      <c r="E21" s="229"/>
      <c r="F21" s="291" t="s">
        <v>1471</v>
      </c>
      <c r="G21" s="292" t="s">
        <v>1472</v>
      </c>
      <c r="H21" s="292" t="s">
        <v>1468</v>
      </c>
      <c r="I21" s="291" t="s">
        <v>193</v>
      </c>
      <c r="J21" s="291" t="s">
        <v>314</v>
      </c>
      <c r="K21" s="298" t="s">
        <v>417</v>
      </c>
      <c r="L21" s="260">
        <v>44397</v>
      </c>
      <c r="M21" s="299">
        <v>44397</v>
      </c>
      <c r="N21" s="299" t="str">
        <f>IFERROR(IF(VLOOKUP(功能_33[[#This Row],[功能代號]],討論項目!B:I,8,FALSE)=0,"",VLOOKUP(功能_33[[#This Row],[功能代號]],討論項目!B:I,8,FALSE)),"")</f>
        <v/>
      </c>
      <c r="O21" s="291" t="s">
        <v>12</v>
      </c>
      <c r="P21" s="291" t="s">
        <v>535</v>
      </c>
      <c r="Q21" s="270"/>
      <c r="R21" s="291">
        <v>1</v>
      </c>
      <c r="S21" s="291" t="s">
        <v>1017</v>
      </c>
      <c r="T21" s="291"/>
      <c r="U21" s="291"/>
      <c r="V21" s="291"/>
      <c r="W21" s="291"/>
      <c r="X21" s="291"/>
      <c r="Y21" s="292" t="e">
        <f>VLOOKUP(功能_33[[#This Row],[User]],SKL放款!B:H,7,FALSE)</f>
        <v>#N/A</v>
      </c>
      <c r="Z21" s="224">
        <f>IF(功能_33[[#This Row],[實際展示]]="","",功能_33[[#This Row],[實際展示]]+14)</f>
        <v>44417</v>
      </c>
      <c r="AA21" s="299" t="s">
        <v>133</v>
      </c>
      <c r="AB21" s="299"/>
      <c r="AC21" s="299"/>
      <c r="AD21" s="299"/>
      <c r="AE21" s="299"/>
      <c r="AF21" s="299"/>
      <c r="AG21" s="355"/>
      <c r="AH21" s="299" t="str">
        <f>IFERROR(IF(VLOOKUP(功能_33[[#This Row],[功能代號]],F:R,11,FALSE)=0,"",VLOOKUP(功能_33[[#This Row],[功能代號]],F:R,11,FALSE)),"")</f>
        <v/>
      </c>
      <c r="AI21" s="299"/>
      <c r="AJ21" s="299"/>
      <c r="AK21" s="292"/>
      <c r="AL21" s="299"/>
      <c r="AM21" s="303" t="s">
        <v>1469</v>
      </c>
      <c r="AN21" s="304" t="s">
        <v>1470</v>
      </c>
      <c r="AO21" s="292" t="e">
        <f>VLOOKUP(功能_33[[#This Row],[功能代號]],需二審tmp!B:B,1,FALSE)</f>
        <v>#N/A</v>
      </c>
      <c r="AP21" s="292"/>
    </row>
    <row r="22" spans="1:52" x14ac:dyDescent="0.3">
      <c r="A22" s="168">
        <v>44523</v>
      </c>
      <c r="B22" s="221"/>
      <c r="C22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2" s="292" t="s">
        <v>95</v>
      </c>
      <c r="E22" s="226"/>
      <c r="F22" s="291" t="s">
        <v>1473</v>
      </c>
      <c r="G22" s="292" t="s">
        <v>1474</v>
      </c>
      <c r="H22" s="292" t="s">
        <v>1475</v>
      </c>
      <c r="I22" s="291" t="s">
        <v>193</v>
      </c>
      <c r="J22" s="291" t="s">
        <v>194</v>
      </c>
      <c r="K22" s="225"/>
      <c r="L22" s="299">
        <v>44488</v>
      </c>
      <c r="M22" s="299">
        <v>44488</v>
      </c>
      <c r="N22" s="299" t="str">
        <f>IFERROR(IF(VLOOKUP(功能_33[[#This Row],[功能代號]],討論項目!B:I,8,FALSE)=0,"",VLOOKUP(功能_33[[#This Row],[功能代號]],討論項目!B:I,8,FALSE)),"")</f>
        <v/>
      </c>
      <c r="O22" s="291" t="s">
        <v>7</v>
      </c>
      <c r="P22" s="291" t="s">
        <v>24</v>
      </c>
      <c r="Q22" s="270"/>
      <c r="R22" s="291"/>
      <c r="S22" s="291"/>
      <c r="T22" s="291"/>
      <c r="U22" s="291"/>
      <c r="V22" s="291"/>
      <c r="W22" s="291"/>
      <c r="X22" s="291"/>
      <c r="Y22" s="292" t="e">
        <f>VLOOKUP(功能_33[[#This Row],[User]],SKL放款!B:H,7,FALSE)</f>
        <v>#N/A</v>
      </c>
      <c r="Z22" s="224">
        <f>IF(功能_33[[#This Row],[實際展示]]="","",功能_33[[#This Row],[實際展示]]+14)</f>
        <v>44417</v>
      </c>
      <c r="AA22" s="299" t="s">
        <v>133</v>
      </c>
      <c r="AB22" s="299"/>
      <c r="AC22" s="299"/>
      <c r="AD22" s="299"/>
      <c r="AE22" s="299"/>
      <c r="AF22" s="299"/>
      <c r="AG22" s="299"/>
      <c r="AH22" s="299" t="str">
        <f>IFERROR(IF(VLOOKUP(功能_33[[#This Row],[功能代號]],F:R,11,FALSE)=0,"",VLOOKUP(功能_33[[#This Row],[功能代號]],F:R,11,FALSE)),"")</f>
        <v/>
      </c>
      <c r="AI22" s="299"/>
      <c r="AJ22" s="299"/>
      <c r="AK22" s="292"/>
      <c r="AL22" s="224"/>
      <c r="AM22" s="291"/>
      <c r="AN22" s="292"/>
      <c r="AO22" s="292" t="e">
        <f>VLOOKUP(功能_33[[#This Row],[功能代號]],需二審tmp!B:B,1,FALSE)</f>
        <v>#N/A</v>
      </c>
    </row>
    <row r="23" spans="1:52" x14ac:dyDescent="0.3">
      <c r="A23" s="168">
        <v>44545</v>
      </c>
      <c r="B23" s="604">
        <v>44547</v>
      </c>
      <c r="C23" s="292"/>
      <c r="D23" s="292" t="s">
        <v>2848</v>
      </c>
      <c r="E23" s="292" t="s">
        <v>2936</v>
      </c>
      <c r="F23" s="291" t="s">
        <v>1410</v>
      </c>
      <c r="G23" s="281" t="s">
        <v>1411</v>
      </c>
      <c r="H23" s="281" t="s">
        <v>3165</v>
      </c>
      <c r="I23" s="291" t="s">
        <v>136</v>
      </c>
      <c r="J23" s="291" t="s">
        <v>136</v>
      </c>
      <c r="K23" s="298"/>
      <c r="L23" s="299">
        <v>44533</v>
      </c>
      <c r="M23" s="299">
        <v>44533</v>
      </c>
      <c r="N23" s="299">
        <v>44545</v>
      </c>
      <c r="O23" s="291"/>
      <c r="P23" s="291"/>
      <c r="Q23" s="270"/>
      <c r="R23" s="291"/>
      <c r="S23" s="291"/>
      <c r="T23" s="291"/>
      <c r="U23" s="291"/>
      <c r="V23" s="291"/>
      <c r="W23" s="291"/>
      <c r="X23" s="291"/>
      <c r="Y23" s="292" t="e">
        <f>VLOOKUP(功能_33[[#This Row],[User]],SKL放款!B:H,7,FALSE)</f>
        <v>#N/A</v>
      </c>
      <c r="Z23" s="299">
        <v>44545</v>
      </c>
      <c r="AA23" s="299" t="s">
        <v>2926</v>
      </c>
      <c r="AB23" s="282"/>
      <c r="AC23" s="299">
        <v>44545</v>
      </c>
      <c r="AD23" s="283"/>
      <c r="AE23" s="283"/>
      <c r="AF23" s="283"/>
      <c r="AG23" s="283"/>
      <c r="AH23" s="283" t="str">
        <f>IFERROR(IF(VLOOKUP(功能_33[[#This Row],[功能代號]],F:R,11,FALSE)=0,"",VLOOKUP(功能_33[[#This Row],[功能代號]],F:R,11,FALSE)),"")</f>
        <v/>
      </c>
      <c r="AI23" s="283"/>
      <c r="AJ23" s="283"/>
      <c r="AK23" s="292"/>
      <c r="AL23" s="224"/>
      <c r="AM23" s="291"/>
      <c r="AN23" s="292"/>
      <c r="AO23" s="292" t="e">
        <f>VLOOKUP(功能_33[[#This Row],[功能代號]],需二審tmp!B:B,1,FALSE)</f>
        <v>#N/A</v>
      </c>
      <c r="AP23" s="356"/>
      <c r="AQ23" s="503"/>
      <c r="AR23" s="574" t="str">
        <f t="shared" ref="AR23" si="0">IF(COUNTA(AD23)=1,LEFT(E23,3),"")</f>
        <v/>
      </c>
      <c r="AS23" s="576" t="str">
        <f t="shared" ref="AS23" si="1">IF(AND(COUNTA(M23)=1,COUNTA(N23)=1,COUNTA(Z23)=1,COUNTA(AC23)=1,COUNTA(AD23)=0),LEFT(E23,3),"")</f>
        <v>LC.</v>
      </c>
      <c r="AT23" s="578" t="str">
        <f t="shared" ref="AT23" si="2">IF(AND(COUNTA(M23)=1,COUNTA(N23)=1,COUNTA(Z23)=1,COUNTA(AC23)=0,COUNTA(AD23)=0),LEFT(E23,3),"")</f>
        <v/>
      </c>
      <c r="AU23" s="580" t="str">
        <f t="shared" ref="AU23" si="3">IF(AND(COUNTA(N23)=0,COUNTA(Z23)=1),LEFT(E23,3),"")</f>
        <v/>
      </c>
      <c r="AV23" s="582" t="str">
        <f t="shared" ref="AV23" si="4">IF(AND(COUNTA(N23)=1,COUNTA(Z23)=0),LEFT(E23,3),"")</f>
        <v/>
      </c>
      <c r="AW23" s="584" t="str">
        <f t="shared" ref="AW23" si="5">IF(AND(COUNTA(N23)=0,COUNTA(Z23)=0),LEFT(E23,3),"")</f>
        <v/>
      </c>
      <c r="AX23" s="608" t="str">
        <f t="shared" ref="AX23" si="6">IF(OR(COUNTA(N23)=0,COUNTA(Z23)=0),J23,"")</f>
        <v/>
      </c>
    </row>
    <row r="24" spans="1:52" x14ac:dyDescent="0.3">
      <c r="A24" s="168">
        <v>44550</v>
      </c>
      <c r="D24" s="292" t="s">
        <v>90</v>
      </c>
      <c r="E24" s="292" t="s">
        <v>2849</v>
      </c>
      <c r="F24" s="680" t="s">
        <v>2846</v>
      </c>
      <c r="G24" s="681" t="s">
        <v>167</v>
      </c>
      <c r="H24" s="292" t="s">
        <v>3306</v>
      </c>
      <c r="I24" s="291" t="s">
        <v>136</v>
      </c>
      <c r="J24" s="291" t="s">
        <v>137</v>
      </c>
      <c r="K24" s="225" t="s">
        <v>138</v>
      </c>
      <c r="L24" s="299">
        <v>44399</v>
      </c>
      <c r="M24" s="299">
        <v>44400</v>
      </c>
      <c r="N24" s="299" t="str">
        <f>IFERROR(IF(VLOOKUP(功能_33[[#This Row],[功能代號]],討論項目!B:I,8,FALSE)=0,"",VLOOKUP(功能_33[[#This Row],[功能代號]],討論項目!B:I,8,FALSE)),"")</f>
        <v/>
      </c>
      <c r="O24" s="291" t="s">
        <v>10</v>
      </c>
      <c r="P24" s="291" t="s">
        <v>11</v>
      </c>
      <c r="Q24" s="270"/>
      <c r="R24" s="291"/>
      <c r="S24" s="291"/>
      <c r="T24" s="291"/>
      <c r="U24" s="291"/>
      <c r="V24" s="291"/>
      <c r="W24" s="291"/>
      <c r="X24" s="291"/>
      <c r="Y24" s="292" t="e">
        <f>VLOOKUP(功能_33[[#This Row],[User]],SKL放款!B:H,7,FALSE)</f>
        <v>#N/A</v>
      </c>
      <c r="Z24" s="299">
        <v>44470</v>
      </c>
      <c r="AA24" s="299">
        <v>44463</v>
      </c>
      <c r="AB24" s="299">
        <v>44468</v>
      </c>
      <c r="AC24" s="299">
        <v>44468</v>
      </c>
      <c r="AD24" s="604">
        <v>44470</v>
      </c>
      <c r="AE24" s="253" t="s">
        <v>7</v>
      </c>
      <c r="AF24" s="355">
        <v>44483.56527777778</v>
      </c>
      <c r="AG24" s="222">
        <v>44487.745833333327</v>
      </c>
      <c r="AH24" s="299" t="str">
        <f>IFERROR(IF(VLOOKUP(功能_33[[#This Row],[功能代號]],F:R,11,FALSE)=0,"",VLOOKUP(功能_33[[#This Row],[功能代號]],F:R,11,FALSE)),"")</f>
        <v/>
      </c>
      <c r="AI24" s="299"/>
      <c r="AJ24" s="299"/>
      <c r="AK24" s="292"/>
      <c r="AL24" s="292"/>
      <c r="AM24" s="291" t="s">
        <v>168</v>
      </c>
      <c r="AN24" s="292" t="s">
        <v>169</v>
      </c>
      <c r="AO24" s="292" t="e">
        <f>VLOOKUP(功能_33[[#This Row],[功能代號]],需二審tmp!B:B,1,FALSE)</f>
        <v>#N/A</v>
      </c>
      <c r="AP24" s="356">
        <v>44470</v>
      </c>
      <c r="AQ24" s="503"/>
      <c r="AR24" s="574" t="str">
        <f t="shared" ref="AR24" si="7">IF(COUNTA(AD24)=1,LEFT(E24,3),"")</f>
        <v>1-4</v>
      </c>
      <c r="AS24" s="576" t="str">
        <f t="shared" ref="AS24" si="8">IF(AND(COUNTA(M24)=1,COUNTA(N24)=1,COUNTA(Z24)=1,COUNTA(AC24)=1,COUNTA(AD24)=0),LEFT(E24,3),"")</f>
        <v/>
      </c>
      <c r="AT24" s="578" t="str">
        <f t="shared" ref="AT24" si="9">IF(AND(COUNTA(M24)=1,COUNTA(N24)=1,COUNTA(Z24)=1,COUNTA(AC24)=0,COUNTA(AD24)=0),LEFT(E24,3),"")</f>
        <v/>
      </c>
      <c r="AU24" s="580" t="str">
        <f t="shared" ref="AU24" si="10">IF(AND(COUNTA(N24)=0,COUNTA(Z24)=1),LEFT(E24,3),"")</f>
        <v/>
      </c>
      <c r="AV24" s="582" t="str">
        <f t="shared" ref="AV24" si="11">IF(AND(COUNTA(N24)=1,COUNTA(Z24)=0),LEFT(E24,3),"")</f>
        <v/>
      </c>
      <c r="AW24" s="584" t="str">
        <f t="shared" ref="AW24" si="12">IF(AND(COUNTA(N24)=0,COUNTA(Z24)=0),LEFT(E24,3),"")</f>
        <v/>
      </c>
      <c r="AX24" s="608" t="str">
        <f t="shared" ref="AX24" si="13">IF(OR(COUNTA(N24)=0,COUNTA(Z24)=0),J24,"")</f>
        <v/>
      </c>
      <c r="AY24" s="662" t="s">
        <v>166</v>
      </c>
      <c r="AZ24" s="584" t="str">
        <f>VLOOKUP(功能_33[[#This Row],[功能代號]],'[9]SIT-LAB-20211230'!$B:$B,1,FALSE)</f>
        <v>L2015</v>
      </c>
    </row>
  </sheetData>
  <phoneticPr fontId="3" type="noConversion"/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627"/>
  <sheetViews>
    <sheetView topLeftCell="E1" zoomScale="85" zoomScaleNormal="85" workbookViewId="0">
      <pane ySplit="3" topLeftCell="A4" activePane="bottomLeft" state="frozen"/>
      <selection pane="bottomLeft" activeCell="K16" sqref="K16"/>
    </sheetView>
  </sheetViews>
  <sheetFormatPr defaultColWidth="9" defaultRowHeight="17" x14ac:dyDescent="0.3"/>
  <cols>
    <col min="1" max="1" width="9.3984375" style="315" customWidth="1"/>
    <col min="2" max="2" width="23.69921875" style="74" customWidth="1"/>
    <col min="3" max="3" width="4.69921875" style="315" customWidth="1"/>
    <col min="4" max="4" width="124.5" style="74" bestFit="1" customWidth="1"/>
    <col min="5" max="5" width="15.69921875" style="315" customWidth="1"/>
    <col min="6" max="6" width="20.19921875" style="71" bestFit="1" customWidth="1"/>
    <col min="7" max="7" width="16.69921875" style="71" customWidth="1"/>
    <col min="8" max="8" width="15.3984375" style="315" bestFit="1" customWidth="1"/>
    <col min="9" max="9" width="13.3984375" style="315" customWidth="1"/>
    <col min="10" max="10" width="11.3984375" style="315" customWidth="1"/>
    <col min="11" max="11" width="16.59765625" style="315" customWidth="1"/>
    <col min="12" max="12" width="8.19921875" style="315" customWidth="1"/>
    <col min="13" max="13" width="21.59765625" style="315" customWidth="1"/>
    <col min="14" max="15" width="20.09765625" style="315" customWidth="1"/>
    <col min="16" max="16" width="12" style="315" customWidth="1"/>
    <col min="17" max="19" width="9" style="69" customWidth="1"/>
    <col min="20" max="16384" width="9" style="69"/>
  </cols>
  <sheetData>
    <row r="1" spans="1:16" ht="17" customHeight="1" x14ac:dyDescent="0.3">
      <c r="A1" s="686" t="s">
        <v>1476</v>
      </c>
      <c r="B1" s="689" t="s">
        <v>1477</v>
      </c>
      <c r="C1" s="689" t="s">
        <v>1478</v>
      </c>
      <c r="D1" s="689" t="s">
        <v>1479</v>
      </c>
      <c r="E1" s="686" t="s">
        <v>1480</v>
      </c>
      <c r="F1" s="693" t="s">
        <v>1481</v>
      </c>
      <c r="G1" s="693" t="s">
        <v>1482</v>
      </c>
      <c r="H1" s="274" t="s">
        <v>110</v>
      </c>
      <c r="I1" s="686" t="s">
        <v>1483</v>
      </c>
      <c r="J1" s="686" t="s">
        <v>1484</v>
      </c>
      <c r="K1" s="694"/>
      <c r="L1" s="694"/>
      <c r="M1" s="694"/>
      <c r="N1" s="695"/>
      <c r="O1" s="274"/>
      <c r="P1" s="686" t="s">
        <v>1485</v>
      </c>
    </row>
    <row r="2" spans="1:16" x14ac:dyDescent="0.3">
      <c r="A2" s="687"/>
      <c r="B2" s="690"/>
      <c r="C2" s="687"/>
      <c r="D2" s="687"/>
      <c r="E2" s="687"/>
      <c r="F2" s="687"/>
      <c r="G2" s="687"/>
      <c r="H2" s="276" t="s">
        <v>1482</v>
      </c>
      <c r="I2" s="687"/>
      <c r="J2" s="692" t="s">
        <v>1486</v>
      </c>
      <c r="K2" s="692" t="s">
        <v>1487</v>
      </c>
      <c r="L2" s="696" t="s">
        <v>1488</v>
      </c>
      <c r="M2" s="697"/>
      <c r="N2" s="697"/>
      <c r="O2" s="698"/>
      <c r="P2" s="687"/>
    </row>
    <row r="3" spans="1:16" x14ac:dyDescent="0.3">
      <c r="A3" s="688"/>
      <c r="B3" s="691"/>
      <c r="C3" s="688"/>
      <c r="D3" s="688"/>
      <c r="E3" s="688"/>
      <c r="F3" s="688"/>
      <c r="G3" s="688"/>
      <c r="H3" s="275"/>
      <c r="I3" s="688"/>
      <c r="J3" s="688"/>
      <c r="K3" s="688"/>
      <c r="L3" s="314" t="s">
        <v>1489</v>
      </c>
      <c r="M3" s="161" t="s">
        <v>1490</v>
      </c>
      <c r="N3" s="161" t="s">
        <v>1491</v>
      </c>
      <c r="O3" s="162" t="s">
        <v>1492</v>
      </c>
      <c r="P3" s="688"/>
    </row>
    <row r="4" spans="1:16" ht="33" customHeight="1" x14ac:dyDescent="0.3">
      <c r="A4" s="315" t="s">
        <v>1010</v>
      </c>
      <c r="B4" s="69" t="str">
        <f>VLOOKUP(A4,URS確認!$E:$F,2,FALSE)</f>
        <v>放款業績工作月查詢</v>
      </c>
      <c r="C4" s="315">
        <v>1</v>
      </c>
      <c r="D4" s="74" t="s">
        <v>1493</v>
      </c>
      <c r="E4" s="70">
        <v>44396</v>
      </c>
      <c r="F4" s="70">
        <v>44407</v>
      </c>
      <c r="G4" s="70">
        <v>44404</v>
      </c>
      <c r="H4" s="70">
        <v>44428</v>
      </c>
      <c r="I4" s="70" t="str">
        <f>VLOOKUP(A4,URS確認!E:I,5,FALSE)</f>
        <v>楊智誠</v>
      </c>
      <c r="L4" s="315" t="s">
        <v>1494</v>
      </c>
      <c r="P4" s="70"/>
    </row>
    <row r="5" spans="1:16" x14ac:dyDescent="0.3">
      <c r="A5" s="315" t="s">
        <v>1010</v>
      </c>
      <c r="B5" s="69" t="str">
        <f>VLOOKUP(A5,URS確認!$E:$F,2,FALSE)</f>
        <v>放款業績工作月查詢</v>
      </c>
      <c r="C5" s="315">
        <v>2</v>
      </c>
      <c r="D5" s="74" t="s">
        <v>1495</v>
      </c>
      <c r="E5" s="70">
        <v>44396</v>
      </c>
      <c r="F5" s="70">
        <v>44407</v>
      </c>
      <c r="G5" s="70">
        <v>44404</v>
      </c>
      <c r="H5" s="70">
        <v>44428</v>
      </c>
      <c r="I5" s="70" t="str">
        <f>VLOOKUP(A5,URS確認!E:I,5,FALSE)</f>
        <v>楊智誠</v>
      </c>
      <c r="L5" s="315" t="s">
        <v>1494</v>
      </c>
      <c r="P5" s="70"/>
    </row>
    <row r="6" spans="1:16" x14ac:dyDescent="0.3">
      <c r="A6" s="315" t="s">
        <v>1010</v>
      </c>
      <c r="B6" s="69" t="str">
        <f>VLOOKUP(A6,URS確認!$E:$F,2,FALSE)</f>
        <v>放款業績工作月查詢</v>
      </c>
      <c r="C6" s="315">
        <v>3</v>
      </c>
      <c r="D6" s="74" t="s">
        <v>1496</v>
      </c>
      <c r="E6" s="70">
        <v>44396</v>
      </c>
      <c r="F6" s="70">
        <v>44407</v>
      </c>
      <c r="G6" s="70">
        <v>44404</v>
      </c>
      <c r="H6" s="70">
        <v>44428</v>
      </c>
      <c r="I6" s="70" t="str">
        <f>VLOOKUP(A6,URS確認!E:I,5,FALSE)</f>
        <v>楊智誠</v>
      </c>
      <c r="L6" s="315" t="s">
        <v>1494</v>
      </c>
      <c r="P6" s="70"/>
    </row>
    <row r="7" spans="1:16" x14ac:dyDescent="0.3">
      <c r="A7" s="315" t="s">
        <v>1015</v>
      </c>
      <c r="B7" s="69" t="str">
        <f>VLOOKUP(A7,URS確認!$E:$F,2,FALSE)</f>
        <v>放款業績工作月維護</v>
      </c>
      <c r="C7" s="315">
        <v>1</v>
      </c>
      <c r="D7" s="74" t="s">
        <v>1497</v>
      </c>
      <c r="E7" s="70">
        <v>44396</v>
      </c>
      <c r="F7" s="70">
        <v>44407</v>
      </c>
      <c r="G7" s="70">
        <v>44404</v>
      </c>
      <c r="H7" s="70">
        <v>44428</v>
      </c>
      <c r="I7" s="70" t="str">
        <f>VLOOKUP(A7,URS確認!E:I,5,FALSE)</f>
        <v>楊智誠</v>
      </c>
      <c r="L7" s="315" t="s">
        <v>1494</v>
      </c>
      <c r="P7" s="70"/>
    </row>
    <row r="8" spans="1:16" x14ac:dyDescent="0.3">
      <c r="A8" s="315" t="s">
        <v>1018</v>
      </c>
      <c r="B8" s="69" t="str">
        <f>VLOOKUP(A8,URS確認!$E:$F,2,FALSE)</f>
        <v xml:space="preserve">年度業績目標更新                    </v>
      </c>
      <c r="C8" s="315">
        <v>1</v>
      </c>
      <c r="D8" s="74" t="s">
        <v>1498</v>
      </c>
      <c r="E8" s="70">
        <v>44396</v>
      </c>
      <c r="F8" s="70">
        <v>44407</v>
      </c>
      <c r="G8" s="70">
        <v>44407</v>
      </c>
      <c r="H8" s="70">
        <v>44407</v>
      </c>
      <c r="I8" s="70" t="str">
        <f>VLOOKUP(A8,URS確認!E:I,5,FALSE)</f>
        <v>張嘉榮</v>
      </c>
      <c r="J8" s="315" t="s">
        <v>1494</v>
      </c>
      <c r="P8" s="70"/>
    </row>
    <row r="9" spans="1:16" x14ac:dyDescent="0.3">
      <c r="A9" s="315" t="s">
        <v>1018</v>
      </c>
      <c r="B9" s="69" t="str">
        <f>VLOOKUP(A9,URS確認!$E:$F,2,FALSE)</f>
        <v xml:space="preserve">年度業績目標更新                    </v>
      </c>
      <c r="C9" s="315">
        <v>2</v>
      </c>
      <c r="D9" s="74" t="s">
        <v>1499</v>
      </c>
      <c r="E9" s="70">
        <v>44396</v>
      </c>
      <c r="F9" s="108" t="s">
        <v>1500</v>
      </c>
      <c r="G9" s="70">
        <v>44547</v>
      </c>
      <c r="H9" s="70">
        <v>44547</v>
      </c>
      <c r="I9" s="70" t="s">
        <v>136</v>
      </c>
      <c r="M9" s="315" t="s">
        <v>1501</v>
      </c>
      <c r="P9" s="70" t="s">
        <v>1502</v>
      </c>
    </row>
    <row r="10" spans="1:16" x14ac:dyDescent="0.3">
      <c r="A10" s="315" t="s">
        <v>1020</v>
      </c>
      <c r="B10" s="69" t="str">
        <f>VLOOKUP(A10,URS確認!$E:$F,2,FALSE)</f>
        <v xml:space="preserve">房貸專員明細資料查詢                </v>
      </c>
      <c r="C10" s="315">
        <v>1</v>
      </c>
      <c r="D10" s="74" t="s">
        <v>1503</v>
      </c>
      <c r="E10" s="70">
        <v>44396</v>
      </c>
      <c r="F10" s="70">
        <v>44407</v>
      </c>
      <c r="G10" s="70">
        <v>44405</v>
      </c>
      <c r="H10" s="70">
        <v>44405</v>
      </c>
      <c r="I10" s="70" t="str">
        <f>VLOOKUP(A10,URS確認!E:I,5,FALSE)</f>
        <v>張嘉榮</v>
      </c>
      <c r="K10" s="315" t="s">
        <v>1494</v>
      </c>
      <c r="P10" s="70"/>
    </row>
    <row r="11" spans="1:16" x14ac:dyDescent="0.3">
      <c r="A11" s="315" t="s">
        <v>1022</v>
      </c>
      <c r="B11" s="69" t="str">
        <f>VLOOKUP(A11,URS確認!$E:$F,2,FALSE)</f>
        <v xml:space="preserve">房貸專員資料維護                    </v>
      </c>
      <c r="C11" s="315">
        <v>1</v>
      </c>
      <c r="D11" s="74" t="s">
        <v>1504</v>
      </c>
      <c r="E11" s="70">
        <v>44396</v>
      </c>
      <c r="F11" s="70">
        <v>44407</v>
      </c>
      <c r="G11" s="70">
        <v>44407</v>
      </c>
      <c r="H11" s="70">
        <v>44407</v>
      </c>
      <c r="I11" s="70" t="str">
        <f>VLOOKUP(A11,URS確認!E:I,5,FALSE)</f>
        <v>張嘉榮</v>
      </c>
      <c r="L11" s="315" t="s">
        <v>1494</v>
      </c>
      <c r="P11" s="70"/>
    </row>
    <row r="12" spans="1:16" ht="33" customHeight="1" x14ac:dyDescent="0.3">
      <c r="A12" s="315" t="s">
        <v>1022</v>
      </c>
      <c r="B12" s="69" t="str">
        <f>VLOOKUP(A12,URS確認!$E:$F,2,FALSE)</f>
        <v xml:space="preserve">房貸專員資料維護                    </v>
      </c>
      <c r="C12" s="315">
        <v>2</v>
      </c>
      <c r="D12" s="74" t="s">
        <v>1505</v>
      </c>
      <c r="E12" s="70">
        <v>44396</v>
      </c>
      <c r="F12" s="70">
        <v>44407</v>
      </c>
      <c r="G12" s="70">
        <v>44405</v>
      </c>
      <c r="H12" s="70">
        <v>44405</v>
      </c>
      <c r="I12" s="70" t="str">
        <f>VLOOKUP(A12,URS確認!E:I,5,FALSE)</f>
        <v>張嘉榮</v>
      </c>
      <c r="L12" s="315" t="s">
        <v>1494</v>
      </c>
      <c r="P12" s="70"/>
    </row>
    <row r="13" spans="1:16" x14ac:dyDescent="0.3">
      <c r="A13" s="315" t="s">
        <v>1022</v>
      </c>
      <c r="B13" s="69" t="str">
        <f>VLOOKUP(A13,URS確認!$E:$F,2,FALSE)</f>
        <v xml:space="preserve">房貸專員資料維護                    </v>
      </c>
      <c r="C13" s="315">
        <v>3</v>
      </c>
      <c r="D13" s="74" t="s">
        <v>1506</v>
      </c>
      <c r="E13" s="70">
        <v>44396</v>
      </c>
      <c r="F13" s="70">
        <v>44407</v>
      </c>
      <c r="G13" s="70">
        <v>44407</v>
      </c>
      <c r="H13" s="70">
        <v>44407</v>
      </c>
      <c r="I13" s="70" t="str">
        <f>VLOOKUP(A13,URS確認!E:I,5,FALSE)</f>
        <v>張嘉榮</v>
      </c>
      <c r="J13" s="315" t="s">
        <v>1494</v>
      </c>
      <c r="P13" s="70"/>
    </row>
    <row r="14" spans="1:16" x14ac:dyDescent="0.3">
      <c r="A14" s="315" t="s">
        <v>1022</v>
      </c>
      <c r="B14" s="69" t="str">
        <f>VLOOKUP(A14,URS確認!$E:$F,2,FALSE)</f>
        <v xml:space="preserve">房貸專員資料維護                    </v>
      </c>
      <c r="C14" s="315">
        <v>4</v>
      </c>
      <c r="D14" s="74" t="s">
        <v>1507</v>
      </c>
      <c r="E14" s="70">
        <v>44396</v>
      </c>
      <c r="F14" s="70">
        <v>44407</v>
      </c>
      <c r="G14" s="70">
        <v>44407</v>
      </c>
      <c r="H14" s="70">
        <v>44407</v>
      </c>
      <c r="I14" s="70" t="str">
        <f>VLOOKUP(A14,URS確認!E:I,5,FALSE)</f>
        <v>張嘉榮</v>
      </c>
      <c r="J14" s="315" t="s">
        <v>1494</v>
      </c>
      <c r="P14" s="70"/>
    </row>
    <row r="15" spans="1:16" x14ac:dyDescent="0.3">
      <c r="A15" s="315" t="s">
        <v>1030</v>
      </c>
      <c r="B15" s="69" t="str">
        <f>VLOOKUP(A15,URS確認!$E:$F,2,FALSE)</f>
        <v xml:space="preserve">更改目標金額、累計目標金額          </v>
      </c>
      <c r="C15" s="315">
        <v>1</v>
      </c>
      <c r="D15" s="74" t="s">
        <v>1508</v>
      </c>
      <c r="E15" s="70">
        <v>44396</v>
      </c>
      <c r="F15" s="70">
        <v>44620</v>
      </c>
      <c r="G15" s="70">
        <v>44547</v>
      </c>
      <c r="H15" s="70">
        <v>44547</v>
      </c>
      <c r="I15" s="70" t="str">
        <f>VLOOKUP(A15,URS確認!E:I,5,FALSE)</f>
        <v>張嘉榮</v>
      </c>
      <c r="N15" s="315" t="s">
        <v>1494</v>
      </c>
      <c r="P15" s="70"/>
    </row>
    <row r="16" spans="1:16" ht="82.5" customHeight="1" x14ac:dyDescent="0.3">
      <c r="A16" s="315" t="s">
        <v>1030</v>
      </c>
      <c r="B16" s="74" t="str">
        <f>VLOOKUP(A16,URS確認!$E:$F,2,FALSE)</f>
        <v xml:space="preserve">更改目標金額、累計目標金額          </v>
      </c>
      <c r="C16" s="315">
        <v>2</v>
      </c>
      <c r="D16" s="74" t="s">
        <v>1509</v>
      </c>
      <c r="E16" s="70">
        <v>44396</v>
      </c>
      <c r="F16" s="70">
        <v>44620</v>
      </c>
      <c r="G16" s="70"/>
      <c r="H16" s="70"/>
      <c r="I16" s="70" t="s">
        <v>136</v>
      </c>
      <c r="M16" s="315" t="s">
        <v>1510</v>
      </c>
      <c r="P16" s="70" t="s">
        <v>1502</v>
      </c>
    </row>
    <row r="17" spans="1:16" ht="33" customHeight="1" x14ac:dyDescent="0.3">
      <c r="A17" s="315" t="s">
        <v>1030</v>
      </c>
      <c r="B17" s="69" t="str">
        <f>VLOOKUP(A17,URS確認!$E:$F,2,FALSE)</f>
        <v xml:space="preserve">更改目標金額、累計目標金額          </v>
      </c>
      <c r="C17" s="315">
        <v>3</v>
      </c>
      <c r="D17" s="74" t="s">
        <v>1511</v>
      </c>
      <c r="E17" s="70">
        <v>44396</v>
      </c>
      <c r="F17" s="70">
        <v>44439</v>
      </c>
      <c r="G17" s="70">
        <v>44447</v>
      </c>
      <c r="H17" s="70">
        <v>44447</v>
      </c>
      <c r="I17" s="70" t="str">
        <f>VLOOKUP(A17,URS確認!E:I,5,FALSE)</f>
        <v>張嘉榮</v>
      </c>
      <c r="L17" s="315" t="s">
        <v>1494</v>
      </c>
      <c r="P17" s="70"/>
    </row>
    <row r="18" spans="1:16" x14ac:dyDescent="0.3">
      <c r="A18" s="315" t="s">
        <v>1030</v>
      </c>
      <c r="B18" s="69" t="str">
        <f>VLOOKUP(A18,URS確認!$E:$F,2,FALSE)</f>
        <v xml:space="preserve">更改目標金額、累計目標金額          </v>
      </c>
      <c r="C18" s="315">
        <v>4</v>
      </c>
      <c r="D18" s="74" t="s">
        <v>1512</v>
      </c>
      <c r="E18" s="70">
        <v>44396</v>
      </c>
      <c r="F18" s="70">
        <v>44407</v>
      </c>
      <c r="G18" s="70">
        <v>44407</v>
      </c>
      <c r="H18" s="70">
        <v>44407</v>
      </c>
      <c r="I18" s="70" t="str">
        <f>VLOOKUP(A18,URS確認!E:I,5,FALSE)</f>
        <v>張嘉榮</v>
      </c>
      <c r="L18" s="315" t="s">
        <v>1494</v>
      </c>
      <c r="P18" s="70"/>
    </row>
    <row r="19" spans="1:16" x14ac:dyDescent="0.3">
      <c r="A19" s="315" t="s">
        <v>1024</v>
      </c>
      <c r="B19" s="69" t="str">
        <f>VLOOKUP(A19,URS確認!$E:$F,2,FALSE)</f>
        <v xml:space="preserve">晤談人員明細資料查詢                </v>
      </c>
      <c r="C19" s="315">
        <v>1</v>
      </c>
      <c r="D19" s="74" t="s">
        <v>2785</v>
      </c>
      <c r="E19" s="71">
        <v>44397</v>
      </c>
      <c r="F19" s="71">
        <v>44407</v>
      </c>
      <c r="G19" s="71">
        <v>44407</v>
      </c>
      <c r="H19" s="71">
        <v>44407</v>
      </c>
      <c r="I19" s="70" t="str">
        <f>VLOOKUP(A19,URS確認!E:I,5,FALSE)</f>
        <v>張嘉榮</v>
      </c>
      <c r="K19" s="315" t="s">
        <v>1494</v>
      </c>
      <c r="P19" s="71"/>
    </row>
    <row r="20" spans="1:16" x14ac:dyDescent="0.3">
      <c r="A20" s="409" t="s">
        <v>1024</v>
      </c>
      <c r="B20" s="69" t="str">
        <f>VLOOKUP(A20,URS確認!$E:$F,2,FALSE)</f>
        <v xml:space="preserve">晤談人員明細資料查詢                </v>
      </c>
      <c r="C20" s="409">
        <v>2</v>
      </c>
      <c r="D20" s="74" t="s">
        <v>2786</v>
      </c>
      <c r="E20" s="71">
        <v>44397</v>
      </c>
      <c r="F20" s="71">
        <v>44533</v>
      </c>
      <c r="G20" s="71">
        <v>44533</v>
      </c>
      <c r="H20" s="71">
        <v>44533</v>
      </c>
      <c r="I20" s="70" t="str">
        <f>VLOOKUP(A20,URS確認!E:I,5,FALSE)</f>
        <v>張嘉榮</v>
      </c>
      <c r="J20" s="409"/>
      <c r="K20" s="409"/>
      <c r="L20" s="409"/>
      <c r="M20" s="409"/>
      <c r="N20" s="409"/>
      <c r="O20" s="409"/>
      <c r="P20" s="71"/>
    </row>
    <row r="21" spans="1:16" x14ac:dyDescent="0.3">
      <c r="A21" s="315" t="s">
        <v>1026</v>
      </c>
      <c r="B21" s="69" t="str">
        <f>VLOOKUP(A21,URS確認!$E:$F,2,FALSE)</f>
        <v xml:space="preserve">晤談人員資料維護                    </v>
      </c>
      <c r="C21" s="315">
        <v>1</v>
      </c>
      <c r="D21" s="74" t="s">
        <v>1513</v>
      </c>
      <c r="E21" s="71">
        <v>44397</v>
      </c>
      <c r="F21" s="71">
        <v>44407</v>
      </c>
      <c r="G21" s="70">
        <v>44407</v>
      </c>
      <c r="H21" s="70">
        <v>44407</v>
      </c>
      <c r="I21" s="70" t="str">
        <f>VLOOKUP(A21,URS確認!E:I,5,FALSE)</f>
        <v>張嘉榮</v>
      </c>
      <c r="J21" s="315" t="s">
        <v>1494</v>
      </c>
      <c r="P21" s="71"/>
    </row>
    <row r="22" spans="1:16" ht="115.5" customHeight="1" x14ac:dyDescent="0.3">
      <c r="A22" s="315" t="s">
        <v>1032</v>
      </c>
      <c r="B22" s="69" t="str">
        <f>VLOOKUP(A22,URS確認!$E:$F,2,FALSE)</f>
        <v xml:space="preserve">協辦人員等級明細資料查詢            </v>
      </c>
      <c r="C22" s="315">
        <v>1</v>
      </c>
      <c r="D22" s="74" t="s">
        <v>1514</v>
      </c>
      <c r="E22" s="71">
        <v>44397</v>
      </c>
      <c r="F22" s="71">
        <v>44439</v>
      </c>
      <c r="G22" s="71">
        <v>44461</v>
      </c>
      <c r="H22" s="71">
        <v>44461</v>
      </c>
      <c r="I22" s="70" t="str">
        <f>VLOOKUP(A22,URS確認!E:I,5,FALSE)</f>
        <v>張嘉榮</v>
      </c>
      <c r="J22" s="315" t="s">
        <v>1494</v>
      </c>
      <c r="P22" s="71"/>
    </row>
    <row r="23" spans="1:16" ht="66" customHeight="1" x14ac:dyDescent="0.3">
      <c r="A23" s="315" t="s">
        <v>1032</v>
      </c>
      <c r="B23" s="69" t="str">
        <f>VLOOKUP(A23,URS確認!$E:$F,2,FALSE)</f>
        <v xml:space="preserve">協辦人員等級明細資料查詢            </v>
      </c>
      <c r="C23" s="315">
        <v>2</v>
      </c>
      <c r="D23" s="74" t="s">
        <v>1515</v>
      </c>
      <c r="E23" s="71">
        <v>44397</v>
      </c>
      <c r="F23" s="71">
        <v>44439</v>
      </c>
      <c r="G23" s="71">
        <v>44461</v>
      </c>
      <c r="H23" s="71">
        <v>44461</v>
      </c>
      <c r="I23" s="70" t="str">
        <f>VLOOKUP(A23,URS確認!E:I,5,FALSE)</f>
        <v>張嘉榮</v>
      </c>
      <c r="J23" s="315" t="s">
        <v>1494</v>
      </c>
      <c r="P23" s="71"/>
    </row>
    <row r="24" spans="1:16" x14ac:dyDescent="0.3">
      <c r="A24" s="315" t="s">
        <v>1032</v>
      </c>
      <c r="B24" s="69" t="str">
        <f>VLOOKUP(A24,URS確認!$E:$F,2,FALSE)</f>
        <v xml:space="preserve">協辦人員等級明細資料查詢            </v>
      </c>
      <c r="C24" s="315">
        <v>3</v>
      </c>
      <c r="D24" s="74" t="s">
        <v>1516</v>
      </c>
      <c r="E24" s="71">
        <v>44397</v>
      </c>
      <c r="F24" s="71">
        <v>44439</v>
      </c>
      <c r="G24" s="71">
        <v>44468</v>
      </c>
      <c r="H24" s="71">
        <f>G24</f>
        <v>44468</v>
      </c>
      <c r="I24" s="70" t="str">
        <f>VLOOKUP(A24,URS確認!E:I,5,FALSE)</f>
        <v>張嘉榮</v>
      </c>
      <c r="M24" s="315" t="s">
        <v>1517</v>
      </c>
      <c r="P24" s="71"/>
    </row>
    <row r="25" spans="1:16" x14ac:dyDescent="0.3">
      <c r="A25" s="315" t="s">
        <v>1036</v>
      </c>
      <c r="B25" s="69" t="str">
        <f>VLOOKUP(A25,URS確認!$E:$F,2,FALSE)</f>
        <v xml:space="preserve">房貸協辦人員等級維護                </v>
      </c>
      <c r="C25" s="315">
        <v>1</v>
      </c>
      <c r="D25" s="74" t="s">
        <v>1518</v>
      </c>
      <c r="E25" s="71">
        <v>44397</v>
      </c>
      <c r="F25" s="71">
        <v>44439</v>
      </c>
      <c r="G25" s="71">
        <v>44468</v>
      </c>
      <c r="H25" s="71">
        <f>G25</f>
        <v>44468</v>
      </c>
      <c r="I25" s="70" t="str">
        <f>VLOOKUP(A25,URS確認!E:I,5,FALSE)</f>
        <v>張嘉榮</v>
      </c>
      <c r="M25" s="315" t="s">
        <v>1517</v>
      </c>
      <c r="P25" s="71"/>
    </row>
    <row r="26" spans="1:16" ht="66" customHeight="1" x14ac:dyDescent="0.3">
      <c r="A26" s="315" t="s">
        <v>1048</v>
      </c>
      <c r="B26" s="69" t="str">
        <f>VLOOKUP(A26,URS確認!$E:$F,2,FALSE)</f>
        <v>介紹人加碼獎勵津貼標準設定</v>
      </c>
      <c r="C26" s="315">
        <v>1</v>
      </c>
      <c r="D26" s="74" t="s">
        <v>3228</v>
      </c>
      <c r="E26" s="71">
        <v>44397</v>
      </c>
      <c r="F26" s="71">
        <v>44419</v>
      </c>
      <c r="G26" s="71">
        <v>44419</v>
      </c>
      <c r="H26" s="70">
        <v>44428</v>
      </c>
      <c r="I26" s="70" t="str">
        <f>VLOOKUP(A26,URS確認!E:I,5,FALSE)</f>
        <v>楊智誠</v>
      </c>
      <c r="J26" s="315" t="s">
        <v>1494</v>
      </c>
      <c r="P26" s="71"/>
    </row>
    <row r="27" spans="1:16" ht="33" customHeight="1" x14ac:dyDescent="0.3">
      <c r="A27" s="315" t="s">
        <v>1048</v>
      </c>
      <c r="B27" s="69" t="str">
        <f>VLOOKUP(A27,URS確認!$E:$F,2,FALSE)</f>
        <v>介紹人加碼獎勵津貼標準設定</v>
      </c>
      <c r="C27" s="315">
        <v>2</v>
      </c>
      <c r="D27" s="74" t="s">
        <v>3229</v>
      </c>
      <c r="E27" s="71">
        <v>44397</v>
      </c>
      <c r="F27" s="71">
        <v>44439</v>
      </c>
      <c r="G27" s="71">
        <v>44435</v>
      </c>
      <c r="H27" s="71">
        <f>G27</f>
        <v>44435</v>
      </c>
      <c r="I27" s="70" t="str">
        <f>VLOOKUP(A27,URS確認!E:I,5,FALSE)</f>
        <v>楊智誠</v>
      </c>
      <c r="N27" s="315" t="s">
        <v>1494</v>
      </c>
      <c r="P27" s="71" t="s">
        <v>1520</v>
      </c>
    </row>
    <row r="28" spans="1:16" x14ac:dyDescent="0.3">
      <c r="A28" s="315" t="s">
        <v>1048</v>
      </c>
      <c r="B28" s="69" t="str">
        <f>VLOOKUP(A28,URS確認!$E:$F,2,FALSE)</f>
        <v>介紹人加碼獎勵津貼標準設定</v>
      </c>
      <c r="C28" s="315">
        <v>3</v>
      </c>
      <c r="D28" s="74" t="s">
        <v>1521</v>
      </c>
      <c r="E28" s="71">
        <v>44397</v>
      </c>
      <c r="F28" s="71">
        <v>44439</v>
      </c>
      <c r="G28" s="71">
        <v>44435</v>
      </c>
      <c r="H28" s="71">
        <v>44435</v>
      </c>
      <c r="I28" s="70" t="str">
        <f>VLOOKUP(A28,URS確認!E:I,5,FALSE)</f>
        <v>楊智誠</v>
      </c>
      <c r="J28" s="315" t="s">
        <v>1494</v>
      </c>
      <c r="P28" s="71"/>
    </row>
    <row r="29" spans="1:16" x14ac:dyDescent="0.3">
      <c r="A29" s="315" t="s">
        <v>1052</v>
      </c>
      <c r="B29" s="69" t="str">
        <f>VLOOKUP(A29,URS確認!$E:$F,2,FALSE)</f>
        <v>協辦獎勵津貼標準設定</v>
      </c>
      <c r="C29" s="315">
        <v>1</v>
      </c>
      <c r="D29" s="74" t="s">
        <v>1521</v>
      </c>
      <c r="E29" s="71">
        <v>44397</v>
      </c>
      <c r="F29" s="71">
        <v>44439</v>
      </c>
      <c r="G29" s="71">
        <v>44454</v>
      </c>
      <c r="H29" s="71">
        <f t="shared" ref="H29:H31" si="0">G29</f>
        <v>44454</v>
      </c>
      <c r="I29" s="70" t="str">
        <f>VLOOKUP(A29,URS確認!E:I,5,FALSE)</f>
        <v>張嘉榮</v>
      </c>
      <c r="J29" s="315" t="s">
        <v>1494</v>
      </c>
      <c r="P29" s="71"/>
    </row>
    <row r="30" spans="1:16" ht="34" customHeight="1" x14ac:dyDescent="0.3">
      <c r="A30" s="315" t="s">
        <v>1052</v>
      </c>
      <c r="B30" s="69" t="str">
        <f>VLOOKUP(A30,URS確認!$E:$F,2,FALSE)</f>
        <v>協辦獎勵津貼標準設定</v>
      </c>
      <c r="C30" s="315">
        <v>2</v>
      </c>
      <c r="D30" s="74" t="s">
        <v>1522</v>
      </c>
      <c r="E30" s="71">
        <v>44397</v>
      </c>
      <c r="F30" s="71">
        <v>44439</v>
      </c>
      <c r="G30" s="71">
        <v>44454</v>
      </c>
      <c r="H30" s="71">
        <f t="shared" si="0"/>
        <v>44454</v>
      </c>
      <c r="I30" s="70" t="str">
        <f>VLOOKUP(A30,URS確認!E:I,5,FALSE)</f>
        <v>張嘉榮</v>
      </c>
      <c r="L30" s="315" t="s">
        <v>1494</v>
      </c>
      <c r="P30" s="71"/>
    </row>
    <row r="31" spans="1:16" x14ac:dyDescent="0.3">
      <c r="A31" s="315" t="s">
        <v>1052</v>
      </c>
      <c r="B31" s="69" t="str">
        <f>VLOOKUP(A31,URS確認!$E:$F,2,FALSE)</f>
        <v>協辦獎勵津貼標準設定</v>
      </c>
      <c r="C31" s="315">
        <v>3</v>
      </c>
      <c r="D31" s="74" t="s">
        <v>1523</v>
      </c>
      <c r="E31" s="71">
        <v>44397</v>
      </c>
      <c r="F31" s="71">
        <v>44439</v>
      </c>
      <c r="G31" s="71">
        <v>44454</v>
      </c>
      <c r="H31" s="71">
        <f t="shared" si="0"/>
        <v>44454</v>
      </c>
      <c r="I31" s="70" t="str">
        <f>VLOOKUP(A31,URS確認!E:I,5,FALSE)</f>
        <v>張嘉榮</v>
      </c>
      <c r="J31" s="315" t="s">
        <v>1494</v>
      </c>
      <c r="P31" s="71"/>
    </row>
    <row r="32" spans="1:16" x14ac:dyDescent="0.3">
      <c r="A32" s="315" t="s">
        <v>1054</v>
      </c>
      <c r="B32" s="69" t="str">
        <f>VLOOKUP(A32,URS確認!$E:$F,2,FALSE)</f>
        <v>系統變數及系統值設定</v>
      </c>
      <c r="C32" s="315">
        <v>1</v>
      </c>
      <c r="D32" s="74" t="s">
        <v>1524</v>
      </c>
      <c r="E32" s="71">
        <v>44397</v>
      </c>
      <c r="F32" s="71">
        <v>44407</v>
      </c>
      <c r="G32" s="70">
        <v>44407</v>
      </c>
      <c r="H32" s="70">
        <v>44428</v>
      </c>
      <c r="I32" s="70" t="str">
        <f>VLOOKUP(A32,URS確認!E:I,5,FALSE)</f>
        <v>楊智誠</v>
      </c>
      <c r="L32" s="315" t="s">
        <v>1494</v>
      </c>
      <c r="P32" s="71"/>
    </row>
    <row r="33" spans="1:16" ht="49.5" customHeight="1" x14ac:dyDescent="0.3">
      <c r="A33" s="315" t="s">
        <v>1054</v>
      </c>
      <c r="B33" s="69" t="str">
        <f>VLOOKUP(A33,URS確認!$E:$F,2,FALSE)</f>
        <v>系統變數及系統值設定</v>
      </c>
      <c r="C33" s="315">
        <v>2</v>
      </c>
      <c r="D33" s="74" t="s">
        <v>1525</v>
      </c>
      <c r="E33" s="71">
        <v>44397</v>
      </c>
      <c r="F33" s="71">
        <v>44407</v>
      </c>
      <c r="G33" s="70">
        <v>44404</v>
      </c>
      <c r="H33" s="70">
        <v>44428</v>
      </c>
      <c r="I33" s="70" t="str">
        <f>VLOOKUP(A33,URS確認!E:I,5,FALSE)</f>
        <v>楊智誠</v>
      </c>
      <c r="J33" s="315" t="s">
        <v>1494</v>
      </c>
      <c r="P33" s="71"/>
    </row>
    <row r="34" spans="1:16" ht="49.5" customHeight="1" x14ac:dyDescent="0.3">
      <c r="A34" s="315" t="s">
        <v>1054</v>
      </c>
      <c r="B34" s="74" t="str">
        <f>VLOOKUP(A34,URS確認!$E:$F,2,FALSE)</f>
        <v>系統變數及系統值設定</v>
      </c>
      <c r="C34" s="315">
        <v>3</v>
      </c>
      <c r="D34" s="74" t="s">
        <v>1526</v>
      </c>
      <c r="E34" s="71">
        <v>44397</v>
      </c>
      <c r="F34" s="71">
        <v>44592</v>
      </c>
      <c r="H34" s="71"/>
      <c r="I34" s="70" t="s">
        <v>136</v>
      </c>
      <c r="M34" s="315" t="s">
        <v>1510</v>
      </c>
      <c r="P34" s="71" t="s">
        <v>1502</v>
      </c>
    </row>
    <row r="35" spans="1:16" s="163" customFormat="1" ht="33" customHeight="1" x14ac:dyDescent="0.3">
      <c r="A35" s="72" t="s">
        <v>1040</v>
      </c>
      <c r="B35" s="69" t="str">
        <f>VLOOKUP(A35,URS確認!$E:$F,2,FALSE)</f>
        <v>業績件數及金額核算標準設定查詢</v>
      </c>
      <c r="C35" s="72">
        <v>1</v>
      </c>
      <c r="D35" s="75" t="s">
        <v>1527</v>
      </c>
      <c r="E35" s="73">
        <v>44398</v>
      </c>
      <c r="F35" s="73">
        <v>44408</v>
      </c>
      <c r="G35" s="73">
        <v>44408</v>
      </c>
      <c r="H35" s="71">
        <f>G35</f>
        <v>44408</v>
      </c>
      <c r="I35" s="70" t="s">
        <v>136</v>
      </c>
      <c r="J35" s="72"/>
      <c r="K35" s="72"/>
      <c r="L35" s="72"/>
      <c r="M35" s="72"/>
      <c r="N35" s="72" t="s">
        <v>1494</v>
      </c>
      <c r="O35" s="72"/>
      <c r="P35" s="73" t="s">
        <v>1502</v>
      </c>
    </row>
    <row r="36" spans="1:16" x14ac:dyDescent="0.3">
      <c r="A36" s="315" t="s">
        <v>1042</v>
      </c>
      <c r="B36" s="69" t="str">
        <f>VLOOKUP(A36,URS確認!$E:$F,2,FALSE)</f>
        <v>業績件數及金額核算標準設定</v>
      </c>
      <c r="C36" s="315">
        <v>1</v>
      </c>
      <c r="D36" s="74" t="s">
        <v>1528</v>
      </c>
      <c r="E36" s="71">
        <v>44398</v>
      </c>
      <c r="F36" s="71">
        <v>44421</v>
      </c>
      <c r="G36" s="71">
        <v>44428</v>
      </c>
      <c r="H36" s="71">
        <v>44428</v>
      </c>
      <c r="I36" s="70" t="str">
        <f>VLOOKUP(A36,URS確認!E:I,5,FALSE)</f>
        <v>楊智誠</v>
      </c>
      <c r="J36" s="315" t="s">
        <v>1494</v>
      </c>
      <c r="P36" s="71"/>
    </row>
    <row r="37" spans="1:16" ht="33" customHeight="1" x14ac:dyDescent="0.3">
      <c r="A37" s="315" t="s">
        <v>1042</v>
      </c>
      <c r="B37" s="69" t="str">
        <f>VLOOKUP(A37,URS確認!$E:$F,2,FALSE)</f>
        <v>業績件數及金額核算標準設定</v>
      </c>
      <c r="C37" s="315">
        <v>2</v>
      </c>
      <c r="D37" s="74" t="s">
        <v>1529</v>
      </c>
      <c r="E37" s="71">
        <v>44398</v>
      </c>
      <c r="F37" s="71">
        <v>44439</v>
      </c>
      <c r="G37" s="71">
        <v>44435</v>
      </c>
      <c r="H37" s="71">
        <v>44435</v>
      </c>
      <c r="I37" s="70" t="str">
        <f>VLOOKUP(A37,URS確認!E:I,5,FALSE)</f>
        <v>楊智誠</v>
      </c>
      <c r="M37" s="315" t="s">
        <v>1510</v>
      </c>
      <c r="P37" s="71" t="s">
        <v>1530</v>
      </c>
    </row>
    <row r="38" spans="1:16" s="163" customFormat="1" ht="33" customHeight="1" x14ac:dyDescent="0.3">
      <c r="A38" s="72" t="s">
        <v>1042</v>
      </c>
      <c r="B38" s="69" t="str">
        <f>VLOOKUP(A38,URS確認!$E:$F,2,FALSE)</f>
        <v>業績件數及金額核算標準設定</v>
      </c>
      <c r="C38" s="72">
        <v>3</v>
      </c>
      <c r="D38" s="75" t="s">
        <v>1531</v>
      </c>
      <c r="E38" s="73">
        <v>44398</v>
      </c>
      <c r="F38" s="71">
        <v>44412</v>
      </c>
      <c r="G38" s="71">
        <v>44412</v>
      </c>
      <c r="H38" s="70">
        <v>44428</v>
      </c>
      <c r="I38" s="70" t="str">
        <f>VLOOKUP(A38,URS確認!E:I,5,FALSE)</f>
        <v>楊智誠</v>
      </c>
      <c r="J38" s="72"/>
      <c r="K38" s="72"/>
      <c r="L38" s="72"/>
      <c r="M38" s="72"/>
      <c r="N38" s="72"/>
      <c r="O38" s="72"/>
      <c r="P38" s="71"/>
    </row>
    <row r="39" spans="1:16" s="163" customFormat="1" x14ac:dyDescent="0.3">
      <c r="A39" s="72" t="s">
        <v>1042</v>
      </c>
      <c r="B39" s="69" t="str">
        <f>VLOOKUP(A39,URS確認!$E:$F,2,FALSE)</f>
        <v>業績件數及金額核算標準設定</v>
      </c>
      <c r="C39" s="72">
        <v>4</v>
      </c>
      <c r="D39" s="75" t="s">
        <v>1532</v>
      </c>
      <c r="E39" s="73">
        <v>44398</v>
      </c>
      <c r="F39" s="76">
        <v>44417</v>
      </c>
      <c r="G39" s="76">
        <v>44417</v>
      </c>
      <c r="H39" s="70">
        <v>44428</v>
      </c>
      <c r="I39" s="70" t="str">
        <f>VLOOKUP(A39,URS確認!E:I,5,FALSE)</f>
        <v>楊智誠</v>
      </c>
      <c r="J39" s="72"/>
      <c r="K39" s="72"/>
      <c r="L39" s="72"/>
      <c r="M39" s="72" t="s">
        <v>1510</v>
      </c>
      <c r="N39" s="72"/>
      <c r="O39" s="72"/>
      <c r="P39" s="76"/>
    </row>
    <row r="40" spans="1:16" ht="33" customHeight="1" x14ac:dyDescent="0.3">
      <c r="A40" s="315" t="s">
        <v>1044</v>
      </c>
      <c r="B40" s="69" t="str">
        <f>VLOOKUP(A40,URS確認!$E:$F,2,FALSE)</f>
        <v>業績件數及金額核算標準設定(整月)</v>
      </c>
      <c r="C40" s="315">
        <v>1</v>
      </c>
      <c r="D40" s="74" t="s">
        <v>1533</v>
      </c>
      <c r="E40" s="71">
        <v>44398</v>
      </c>
      <c r="F40" s="71">
        <v>44469</v>
      </c>
      <c r="G40" s="71">
        <v>44462</v>
      </c>
      <c r="H40" s="71">
        <f t="shared" ref="H40:H41" si="1">G40</f>
        <v>44462</v>
      </c>
      <c r="I40" s="70" t="str">
        <f>VLOOKUP(A40,URS確認!E:I,5,FALSE)</f>
        <v>張嘉榮</v>
      </c>
      <c r="M40" s="315" t="s">
        <v>1510</v>
      </c>
      <c r="P40" s="71" t="s">
        <v>1502</v>
      </c>
    </row>
    <row r="41" spans="1:16" x14ac:dyDescent="0.3">
      <c r="A41" s="315" t="s">
        <v>1081</v>
      </c>
      <c r="B41" s="69" t="str">
        <f>VLOOKUP(A41,URS確認!$E:$F,2,FALSE)</f>
        <v>工作日業績結算</v>
      </c>
      <c r="C41" s="315">
        <v>1</v>
      </c>
      <c r="D41" s="74" t="s">
        <v>1534</v>
      </c>
      <c r="E41" s="71">
        <v>44398</v>
      </c>
      <c r="F41" s="71">
        <v>44400</v>
      </c>
      <c r="G41" s="71">
        <v>44398</v>
      </c>
      <c r="H41" s="71">
        <f t="shared" si="1"/>
        <v>44398</v>
      </c>
      <c r="I41" s="70" t="str">
        <f>VLOOKUP(A41,URS確認!E:I,5,FALSE)</f>
        <v>張金龍</v>
      </c>
      <c r="L41" s="315" t="s">
        <v>1494</v>
      </c>
      <c r="P41" s="71"/>
    </row>
    <row r="42" spans="1:16" ht="30.65" customHeight="1" x14ac:dyDescent="0.3">
      <c r="A42" s="315" t="s">
        <v>1081</v>
      </c>
      <c r="B42" s="74" t="str">
        <f>VLOOKUP(A42,URS確認!$E:$F,2,FALSE)</f>
        <v>工作日業績結算</v>
      </c>
      <c r="C42" s="315">
        <v>2</v>
      </c>
      <c r="D42" s="74" t="s">
        <v>1535</v>
      </c>
      <c r="E42" s="71">
        <v>44398</v>
      </c>
      <c r="F42" s="71" t="s">
        <v>1536</v>
      </c>
      <c r="H42" s="71"/>
      <c r="I42" s="70" t="str">
        <f>VLOOKUP(A42,URS確認!E:I,5,FALSE)</f>
        <v>張金龍</v>
      </c>
      <c r="P42" s="71"/>
    </row>
    <row r="43" spans="1:16" x14ac:dyDescent="0.3">
      <c r="A43" s="315" t="s">
        <v>326</v>
      </c>
      <c r="B43" s="69" t="str">
        <f>VLOOKUP(A43,URS確認!$E:$F,2,FALSE)</f>
        <v xml:space="preserve">撥款                     </v>
      </c>
      <c r="C43" s="315">
        <v>1</v>
      </c>
      <c r="D43" s="74" t="s">
        <v>1537</v>
      </c>
      <c r="E43" s="71">
        <v>44398</v>
      </c>
      <c r="F43" s="71">
        <v>44412</v>
      </c>
      <c r="G43" s="71">
        <v>44412</v>
      </c>
      <c r="H43" s="71">
        <v>44428</v>
      </c>
      <c r="I43" s="70" t="str">
        <f>VLOOKUP(A43,URS確認!E:I,5,FALSE)</f>
        <v>余家興</v>
      </c>
      <c r="J43" s="315" t="s">
        <v>1494</v>
      </c>
      <c r="P43" s="71"/>
    </row>
    <row r="44" spans="1:16" x14ac:dyDescent="0.3">
      <c r="A44" s="315" t="s">
        <v>1445</v>
      </c>
      <c r="B44" s="69" t="e">
        <f>VLOOKUP(A44,URS確認!$E:$F,2,FALSE)</f>
        <v>#N/A</v>
      </c>
      <c r="C44" s="315">
        <v>1</v>
      </c>
      <c r="D44" s="74" t="s">
        <v>1538</v>
      </c>
      <c r="E44" s="71">
        <v>44398</v>
      </c>
      <c r="F44" s="71">
        <v>44439</v>
      </c>
      <c r="G44" s="71">
        <v>44518</v>
      </c>
      <c r="H44" s="71">
        <f t="shared" ref="H44:H49" si="2">G44</f>
        <v>44518</v>
      </c>
      <c r="I44" s="70" t="s">
        <v>136</v>
      </c>
      <c r="L44" s="315" t="s">
        <v>1494</v>
      </c>
      <c r="P44" s="71"/>
    </row>
    <row r="45" spans="1:16" ht="34" customHeight="1" x14ac:dyDescent="0.3">
      <c r="A45" s="72" t="s">
        <v>1445</v>
      </c>
      <c r="B45" s="69" t="e">
        <f>VLOOKUP(A45,URS確認!$E:$F,2,FALSE)</f>
        <v>#N/A</v>
      </c>
      <c r="C45" s="72">
        <v>2</v>
      </c>
      <c r="D45" s="75" t="s">
        <v>1539</v>
      </c>
      <c r="E45" s="71">
        <v>44398</v>
      </c>
      <c r="F45" s="71">
        <v>44439</v>
      </c>
      <c r="G45" s="71">
        <v>44518</v>
      </c>
      <c r="H45" s="71">
        <f t="shared" si="2"/>
        <v>44518</v>
      </c>
      <c r="I45" s="70" t="s">
        <v>136</v>
      </c>
      <c r="M45" s="315" t="s">
        <v>1510</v>
      </c>
      <c r="P45" s="71"/>
    </row>
    <row r="46" spans="1:16" x14ac:dyDescent="0.3">
      <c r="A46" s="315" t="s">
        <v>1448</v>
      </c>
      <c r="B46" s="69" t="e">
        <f>VLOOKUP(A46,URS確認!$E:$F,2,FALSE)</f>
        <v>#N/A</v>
      </c>
      <c r="C46" s="315">
        <v>1</v>
      </c>
      <c r="D46" s="74" t="s">
        <v>1540</v>
      </c>
      <c r="E46" s="71">
        <v>44398</v>
      </c>
      <c r="F46" s="71">
        <v>44439</v>
      </c>
      <c r="G46" s="71">
        <v>44518</v>
      </c>
      <c r="H46" s="71">
        <f t="shared" si="2"/>
        <v>44518</v>
      </c>
      <c r="I46" s="70" t="s">
        <v>136</v>
      </c>
      <c r="L46" s="315" t="s">
        <v>1494</v>
      </c>
      <c r="P46" s="71"/>
    </row>
    <row r="47" spans="1:16" ht="34" customHeight="1" x14ac:dyDescent="0.3">
      <c r="A47" s="72" t="s">
        <v>1448</v>
      </c>
      <c r="B47" s="69" t="e">
        <f>VLOOKUP(A47,URS確認!$E:$F,2,FALSE)</f>
        <v>#N/A</v>
      </c>
      <c r="C47" s="72">
        <v>2</v>
      </c>
      <c r="D47" s="75" t="s">
        <v>1541</v>
      </c>
      <c r="E47" s="71">
        <v>44398</v>
      </c>
      <c r="F47" s="71">
        <v>44439</v>
      </c>
      <c r="G47" s="71">
        <v>44518</v>
      </c>
      <c r="H47" s="71">
        <f t="shared" si="2"/>
        <v>44518</v>
      </c>
      <c r="I47" s="70" t="s">
        <v>136</v>
      </c>
      <c r="M47" s="315" t="s">
        <v>1510</v>
      </c>
      <c r="P47" s="71"/>
    </row>
    <row r="48" spans="1:16" x14ac:dyDescent="0.3">
      <c r="A48" s="315" t="s">
        <v>1542</v>
      </c>
      <c r="B48" s="69" t="s">
        <v>1543</v>
      </c>
      <c r="C48" s="315">
        <v>1</v>
      </c>
      <c r="D48" s="74" t="s">
        <v>1544</v>
      </c>
      <c r="E48" s="71">
        <v>44398</v>
      </c>
      <c r="F48" s="71">
        <v>44399</v>
      </c>
      <c r="G48" s="71">
        <v>44399</v>
      </c>
      <c r="H48" s="71">
        <f t="shared" si="2"/>
        <v>44399</v>
      </c>
      <c r="I48" s="70" t="s">
        <v>1545</v>
      </c>
      <c r="J48" s="315" t="s">
        <v>1494</v>
      </c>
      <c r="P48" s="71"/>
    </row>
    <row r="49" spans="1:16" x14ac:dyDescent="0.3">
      <c r="A49" s="315" t="s">
        <v>1546</v>
      </c>
      <c r="B49" s="69" t="s">
        <v>1547</v>
      </c>
      <c r="C49" s="315">
        <v>1</v>
      </c>
      <c r="D49" s="74" t="s">
        <v>1544</v>
      </c>
      <c r="E49" s="71">
        <v>44398</v>
      </c>
      <c r="F49" s="71">
        <v>44399</v>
      </c>
      <c r="G49" s="71">
        <v>44399</v>
      </c>
      <c r="H49" s="71">
        <f t="shared" si="2"/>
        <v>44399</v>
      </c>
      <c r="I49" s="70" t="s">
        <v>1545</v>
      </c>
      <c r="J49" s="315" t="s">
        <v>1494</v>
      </c>
      <c r="P49" s="71"/>
    </row>
    <row r="50" spans="1:16" x14ac:dyDescent="0.3">
      <c r="A50" s="315" t="s">
        <v>134</v>
      </c>
      <c r="B50" s="69" t="str">
        <f>VLOOKUP(A50,URS確認!$E:$F,2,FALSE)</f>
        <v>顧客明細資料查詢</v>
      </c>
      <c r="C50" s="315">
        <v>1</v>
      </c>
      <c r="D50" s="74" t="s">
        <v>1548</v>
      </c>
      <c r="E50" s="71">
        <v>44399</v>
      </c>
      <c r="F50" s="71">
        <v>44399</v>
      </c>
      <c r="G50" s="71">
        <v>44399</v>
      </c>
      <c r="H50" s="71">
        <v>44399</v>
      </c>
      <c r="I50" s="70" t="str">
        <f>VLOOKUP(A50,URS確認!E:I,5,FALSE)</f>
        <v>張嘉榮</v>
      </c>
      <c r="L50" s="315" t="s">
        <v>1494</v>
      </c>
      <c r="P50" s="71"/>
    </row>
    <row r="51" spans="1:16" ht="66" customHeight="1" x14ac:dyDescent="0.3">
      <c r="A51" s="315" t="s">
        <v>140</v>
      </c>
      <c r="B51" s="69" t="str">
        <f>VLOOKUP(A51,URS確認!$E:$F,2,FALSE)</f>
        <v>顧客基本資料維護-自然人</v>
      </c>
      <c r="C51" s="315">
        <v>1</v>
      </c>
      <c r="D51" s="74" t="s">
        <v>1549</v>
      </c>
      <c r="E51" s="71">
        <v>44399</v>
      </c>
      <c r="F51" s="71">
        <v>44410</v>
      </c>
      <c r="G51" s="71">
        <v>44410</v>
      </c>
      <c r="H51" s="71">
        <v>44456</v>
      </c>
      <c r="I51" s="70" t="s">
        <v>136</v>
      </c>
      <c r="L51" s="315" t="s">
        <v>1494</v>
      </c>
      <c r="P51" s="71"/>
    </row>
    <row r="52" spans="1:16" ht="82.5" customHeight="1" x14ac:dyDescent="0.3">
      <c r="A52" s="315" t="s">
        <v>140</v>
      </c>
      <c r="B52" s="69" t="str">
        <f>VLOOKUP(A52,URS確認!$E:$F,2,FALSE)</f>
        <v>顧客基本資料維護-自然人</v>
      </c>
      <c r="C52" s="315">
        <v>2</v>
      </c>
      <c r="D52" s="74" t="s">
        <v>1550</v>
      </c>
      <c r="E52" s="71">
        <v>44399</v>
      </c>
      <c r="F52" s="71">
        <v>44410</v>
      </c>
      <c r="G52" s="71">
        <v>44410</v>
      </c>
      <c r="H52" s="71">
        <v>44457</v>
      </c>
      <c r="I52" s="70" t="s">
        <v>136</v>
      </c>
      <c r="L52" s="315" t="s">
        <v>1494</v>
      </c>
      <c r="P52" s="71"/>
    </row>
    <row r="53" spans="1:16" ht="82.5" customHeight="1" x14ac:dyDescent="0.3">
      <c r="A53" s="315" t="s">
        <v>140</v>
      </c>
      <c r="B53" s="69" t="str">
        <f>VLOOKUP(A53,URS確認!$E:$F,2,FALSE)</f>
        <v>顧客基本資料維護-自然人</v>
      </c>
      <c r="C53" s="315">
        <v>3</v>
      </c>
      <c r="D53" s="74" t="s">
        <v>1551</v>
      </c>
      <c r="E53" s="71">
        <v>44399</v>
      </c>
      <c r="F53" s="71">
        <v>44410</v>
      </c>
      <c r="G53" s="71">
        <v>44410</v>
      </c>
      <c r="H53" s="71">
        <v>44458</v>
      </c>
      <c r="I53" s="70" t="s">
        <v>136</v>
      </c>
      <c r="L53" s="315" t="s">
        <v>1494</v>
      </c>
      <c r="P53" s="71"/>
    </row>
    <row r="54" spans="1:16" ht="66" customHeight="1" x14ac:dyDescent="0.3">
      <c r="A54" s="315" t="s">
        <v>140</v>
      </c>
      <c r="B54" s="69" t="str">
        <f>VLOOKUP(A54,URS確認!$E:$F,2,FALSE)</f>
        <v>顧客基本資料維護-自然人</v>
      </c>
      <c r="C54" s="315">
        <v>4</v>
      </c>
      <c r="D54" s="74" t="s">
        <v>1552</v>
      </c>
      <c r="E54" s="71">
        <v>44399</v>
      </c>
      <c r="F54" s="71">
        <v>44410</v>
      </c>
      <c r="G54" s="71">
        <v>44410</v>
      </c>
      <c r="H54" s="71">
        <v>44459</v>
      </c>
      <c r="I54" s="70" t="s">
        <v>136</v>
      </c>
      <c r="L54" s="315" t="s">
        <v>1494</v>
      </c>
      <c r="P54" s="71"/>
    </row>
    <row r="55" spans="1:16" ht="66" customHeight="1" x14ac:dyDescent="0.3">
      <c r="A55" s="315" t="s">
        <v>140</v>
      </c>
      <c r="B55" s="69" t="str">
        <f>VLOOKUP(A55,URS確認!$E:$F,2,FALSE)</f>
        <v>顧客基本資料維護-自然人</v>
      </c>
      <c r="C55" s="315">
        <v>5</v>
      </c>
      <c r="D55" s="74" t="s">
        <v>1553</v>
      </c>
      <c r="E55" s="71">
        <v>44399</v>
      </c>
      <c r="F55" s="71">
        <v>44410</v>
      </c>
      <c r="G55" s="71">
        <v>44410</v>
      </c>
      <c r="H55" s="71">
        <v>44460</v>
      </c>
      <c r="I55" s="70" t="s">
        <v>136</v>
      </c>
      <c r="L55" s="315" t="s">
        <v>1494</v>
      </c>
      <c r="P55" s="71"/>
    </row>
    <row r="56" spans="1:16" ht="49.5" customHeight="1" x14ac:dyDescent="0.3">
      <c r="A56" s="315" t="s">
        <v>140</v>
      </c>
      <c r="B56" s="69" t="str">
        <f>VLOOKUP(A56,URS確認!$E:$F,2,FALSE)</f>
        <v>顧客基本資料維護-自然人</v>
      </c>
      <c r="C56" s="315">
        <v>6</v>
      </c>
      <c r="D56" s="74" t="s">
        <v>1554</v>
      </c>
      <c r="E56" s="71">
        <v>44399</v>
      </c>
      <c r="F56" s="71">
        <v>44410</v>
      </c>
      <c r="G56" s="71">
        <v>44410</v>
      </c>
      <c r="H56" s="71">
        <v>44461</v>
      </c>
      <c r="I56" s="70" t="s">
        <v>136</v>
      </c>
      <c r="L56" s="315" t="s">
        <v>1494</v>
      </c>
      <c r="P56" s="71"/>
    </row>
    <row r="57" spans="1:16" x14ac:dyDescent="0.3">
      <c r="A57" s="315" t="s">
        <v>140</v>
      </c>
      <c r="B57" s="69" t="str">
        <f>VLOOKUP(A57,URS確認!$E:$F,2,FALSE)</f>
        <v>顧客基本資料維護-自然人</v>
      </c>
      <c r="C57" s="315">
        <v>7</v>
      </c>
      <c r="D57" s="74" t="s">
        <v>1555</v>
      </c>
      <c r="E57" s="71">
        <v>44399</v>
      </c>
      <c r="F57" s="71">
        <v>44410</v>
      </c>
      <c r="G57" s="71">
        <v>44410</v>
      </c>
      <c r="H57" s="71">
        <v>44462</v>
      </c>
      <c r="I57" s="70" t="s">
        <v>136</v>
      </c>
      <c r="L57" s="315" t="s">
        <v>1494</v>
      </c>
      <c r="P57" s="71"/>
    </row>
    <row r="58" spans="1:16" x14ac:dyDescent="0.3">
      <c r="A58" s="315" t="s">
        <v>140</v>
      </c>
      <c r="B58" s="69" t="str">
        <f>VLOOKUP(A58,URS確認!$E:$F,2,FALSE)</f>
        <v>顧客基本資料維護-自然人</v>
      </c>
      <c r="C58" s="315">
        <v>8</v>
      </c>
      <c r="D58" s="74" t="s">
        <v>1556</v>
      </c>
      <c r="E58" s="71">
        <v>44399</v>
      </c>
      <c r="F58" s="71">
        <v>44410</v>
      </c>
      <c r="G58" s="71">
        <v>44410</v>
      </c>
      <c r="H58" s="71">
        <v>44463</v>
      </c>
      <c r="I58" s="70" t="s">
        <v>136</v>
      </c>
      <c r="L58" s="315" t="s">
        <v>1494</v>
      </c>
      <c r="P58" s="71"/>
    </row>
    <row r="59" spans="1:16" x14ac:dyDescent="0.3">
      <c r="A59" s="315" t="s">
        <v>140</v>
      </c>
      <c r="B59" s="69" t="str">
        <f>VLOOKUP(A59,URS確認!$E:$F,2,FALSE)</f>
        <v>顧客基本資料維護-自然人</v>
      </c>
      <c r="C59" s="315">
        <v>9</v>
      </c>
      <c r="D59" s="74" t="s">
        <v>1557</v>
      </c>
      <c r="E59" s="71">
        <v>44399</v>
      </c>
      <c r="F59" s="71">
        <v>44410</v>
      </c>
      <c r="G59" s="71">
        <v>44410</v>
      </c>
      <c r="H59" s="71">
        <v>44464</v>
      </c>
      <c r="I59" s="70" t="s">
        <v>136</v>
      </c>
      <c r="L59" s="315" t="s">
        <v>1494</v>
      </c>
      <c r="P59" s="71"/>
    </row>
    <row r="60" spans="1:16" ht="33" customHeight="1" x14ac:dyDescent="0.3">
      <c r="A60" s="315" t="s">
        <v>140</v>
      </c>
      <c r="B60" s="69" t="str">
        <f>VLOOKUP(A60,URS確認!$E:$F,2,FALSE)</f>
        <v>顧客基本資料維護-自然人</v>
      </c>
      <c r="C60" s="315">
        <v>10</v>
      </c>
      <c r="D60" s="74" t="s">
        <v>1558</v>
      </c>
      <c r="E60" s="71">
        <v>44399</v>
      </c>
      <c r="F60" s="71">
        <v>44439</v>
      </c>
      <c r="G60" s="71">
        <v>44439</v>
      </c>
      <c r="H60" s="71">
        <v>44465</v>
      </c>
      <c r="I60" s="70" t="s">
        <v>136</v>
      </c>
      <c r="L60" s="315" t="s">
        <v>1494</v>
      </c>
      <c r="P60" s="71"/>
    </row>
    <row r="61" spans="1:16" ht="33" customHeight="1" x14ac:dyDescent="0.3">
      <c r="A61" s="315" t="s">
        <v>140</v>
      </c>
      <c r="B61" s="69" t="str">
        <f>VLOOKUP(A61,URS確認!$E:$F,2,FALSE)</f>
        <v>顧客基本資料維護-自然人</v>
      </c>
      <c r="C61" s="315">
        <v>11</v>
      </c>
      <c r="D61" s="74" t="s">
        <v>1559</v>
      </c>
      <c r="E61" s="71">
        <v>44399</v>
      </c>
      <c r="F61" s="71">
        <v>44439</v>
      </c>
      <c r="G61" s="71">
        <v>44439</v>
      </c>
      <c r="H61" s="71">
        <v>44466</v>
      </c>
      <c r="I61" s="70" t="s">
        <v>136</v>
      </c>
      <c r="M61" s="315" t="s">
        <v>1510</v>
      </c>
      <c r="P61" s="71" t="s">
        <v>1502</v>
      </c>
    </row>
    <row r="62" spans="1:16" ht="33" customHeight="1" x14ac:dyDescent="0.3">
      <c r="A62" s="315" t="s">
        <v>140</v>
      </c>
      <c r="B62" s="69" t="str">
        <f>VLOOKUP(A62,URS確認!$E:$F,2,FALSE)</f>
        <v>顧客基本資料維護-自然人</v>
      </c>
      <c r="C62" s="315">
        <v>12</v>
      </c>
      <c r="D62" s="74" t="s">
        <v>1560</v>
      </c>
      <c r="E62" s="71">
        <v>44399</v>
      </c>
      <c r="F62" s="71">
        <v>44410</v>
      </c>
      <c r="G62" s="71">
        <v>44410</v>
      </c>
      <c r="H62" s="71">
        <v>44467</v>
      </c>
      <c r="I62" s="70" t="s">
        <v>136</v>
      </c>
      <c r="L62" s="315" t="s">
        <v>1494</v>
      </c>
      <c r="P62" s="71"/>
    </row>
    <row r="63" spans="1:16" ht="33" customHeight="1" x14ac:dyDescent="0.3">
      <c r="A63" s="315" t="s">
        <v>140</v>
      </c>
      <c r="B63" s="69" t="str">
        <f>VLOOKUP(A63,URS確認!$E:$F,2,FALSE)</f>
        <v>顧客基本資料維護-自然人</v>
      </c>
      <c r="C63" s="315">
        <v>13</v>
      </c>
      <c r="D63" s="74" t="s">
        <v>1561</v>
      </c>
      <c r="E63" s="71">
        <v>44399</v>
      </c>
      <c r="F63" s="71">
        <v>44410</v>
      </c>
      <c r="G63" s="71">
        <v>44409</v>
      </c>
      <c r="H63" s="71">
        <v>44468</v>
      </c>
      <c r="I63" s="70" t="s">
        <v>136</v>
      </c>
      <c r="M63" s="315" t="s">
        <v>1510</v>
      </c>
      <c r="P63" s="71"/>
    </row>
    <row r="64" spans="1:16" ht="66" customHeight="1" x14ac:dyDescent="0.3">
      <c r="A64" s="315" t="s">
        <v>147</v>
      </c>
      <c r="B64" s="69" t="str">
        <f>VLOOKUP(A64,URS確認!$E:$F,2,FALSE)</f>
        <v>顧客基本資料修改-自然人</v>
      </c>
      <c r="C64" s="315">
        <v>1</v>
      </c>
      <c r="D64" s="74" t="s">
        <v>1549</v>
      </c>
      <c r="E64" s="71">
        <v>44399</v>
      </c>
      <c r="F64" s="71">
        <v>44419</v>
      </c>
      <c r="G64" s="71">
        <v>44409</v>
      </c>
      <c r="H64" s="71">
        <v>44469</v>
      </c>
      <c r="I64" s="70" t="s">
        <v>136</v>
      </c>
      <c r="L64" s="315" t="s">
        <v>1562</v>
      </c>
      <c r="M64" s="315" t="s">
        <v>1517</v>
      </c>
      <c r="P64" s="71"/>
    </row>
    <row r="65" spans="1:16" ht="82.5" customHeight="1" x14ac:dyDescent="0.3">
      <c r="A65" s="315" t="s">
        <v>147</v>
      </c>
      <c r="B65" s="69" t="str">
        <f>VLOOKUP(A65,URS確認!$E:$F,2,FALSE)</f>
        <v>顧客基本資料修改-自然人</v>
      </c>
      <c r="C65" s="315">
        <v>2</v>
      </c>
      <c r="D65" s="74" t="s">
        <v>1563</v>
      </c>
      <c r="E65" s="71">
        <v>44399</v>
      </c>
      <c r="F65" s="71">
        <v>44421</v>
      </c>
      <c r="G65" s="71">
        <v>44439</v>
      </c>
      <c r="H65" s="71">
        <v>44470</v>
      </c>
      <c r="I65" s="70" t="s">
        <v>136</v>
      </c>
      <c r="L65" s="315" t="s">
        <v>1494</v>
      </c>
      <c r="P65" s="71"/>
    </row>
    <row r="66" spans="1:16" ht="33" customHeight="1" x14ac:dyDescent="0.3">
      <c r="A66" s="315" t="s">
        <v>147</v>
      </c>
      <c r="B66" s="69" t="str">
        <f>VLOOKUP(A66,URS確認!$E:$F,2,FALSE)</f>
        <v>顧客基本資料修改-自然人</v>
      </c>
      <c r="C66" s="315">
        <v>3</v>
      </c>
      <c r="D66" s="74" t="s">
        <v>1564</v>
      </c>
      <c r="E66" s="71">
        <v>44399</v>
      </c>
      <c r="F66" s="71">
        <v>44421</v>
      </c>
      <c r="G66" s="71">
        <v>44439</v>
      </c>
      <c r="H66" s="71">
        <v>44471</v>
      </c>
      <c r="I66" s="70" t="s">
        <v>136</v>
      </c>
      <c r="L66" s="315" t="s">
        <v>1494</v>
      </c>
      <c r="P66" s="71"/>
    </row>
    <row r="67" spans="1:16" x14ac:dyDescent="0.3">
      <c r="A67" s="315" t="s">
        <v>147</v>
      </c>
      <c r="B67" s="69" t="str">
        <f>VLOOKUP(A67,URS確認!$E:$F,2,FALSE)</f>
        <v>顧客基本資料修改-自然人</v>
      </c>
      <c r="C67" s="315">
        <v>4</v>
      </c>
      <c r="D67" s="74" t="s">
        <v>1565</v>
      </c>
      <c r="E67" s="71">
        <v>44399</v>
      </c>
      <c r="F67" s="71">
        <v>44438</v>
      </c>
      <c r="G67" s="71">
        <v>44439</v>
      </c>
      <c r="H67" s="71">
        <v>44472</v>
      </c>
      <c r="I67" s="70" t="s">
        <v>136</v>
      </c>
      <c r="N67" s="315" t="s">
        <v>1494</v>
      </c>
      <c r="P67" s="71" t="s">
        <v>1566</v>
      </c>
    </row>
    <row r="68" spans="1:16" ht="66" customHeight="1" x14ac:dyDescent="0.3">
      <c r="A68" s="315" t="s">
        <v>147</v>
      </c>
      <c r="B68" s="69" t="str">
        <f>VLOOKUP(A68,URS確認!$E:$F,2,FALSE)</f>
        <v>顧客基本資料修改-自然人</v>
      </c>
      <c r="C68" s="315">
        <v>5</v>
      </c>
      <c r="D68" s="74" t="s">
        <v>1552</v>
      </c>
      <c r="E68" s="71">
        <v>44399</v>
      </c>
      <c r="F68" s="71">
        <v>44438</v>
      </c>
      <c r="G68" s="71">
        <v>44439</v>
      </c>
      <c r="H68" s="71">
        <v>44473</v>
      </c>
      <c r="I68" s="70" t="s">
        <v>136</v>
      </c>
      <c r="N68" s="315" t="s">
        <v>1494</v>
      </c>
      <c r="P68" s="71" t="s">
        <v>1566</v>
      </c>
    </row>
    <row r="69" spans="1:16" x14ac:dyDescent="0.3">
      <c r="A69" s="315" t="s">
        <v>147</v>
      </c>
      <c r="B69" s="69" t="str">
        <f>VLOOKUP(A69,URS確認!$E:$F,2,FALSE)</f>
        <v>顧客基本資料修改-自然人</v>
      </c>
      <c r="C69" s="315">
        <v>6</v>
      </c>
      <c r="D69" s="74" t="s">
        <v>1567</v>
      </c>
      <c r="E69" s="71">
        <v>44399</v>
      </c>
      <c r="F69" s="71">
        <v>44438</v>
      </c>
      <c r="G69" s="71">
        <v>44439</v>
      </c>
      <c r="H69" s="71">
        <v>44474</v>
      </c>
      <c r="I69" s="70" t="s">
        <v>136</v>
      </c>
      <c r="N69" s="315" t="s">
        <v>1494</v>
      </c>
      <c r="P69" s="71" t="s">
        <v>1566</v>
      </c>
    </row>
    <row r="70" spans="1:16" x14ac:dyDescent="0.3">
      <c r="A70" s="315" t="s">
        <v>147</v>
      </c>
      <c r="B70" s="69" t="str">
        <f>VLOOKUP(A70,URS確認!$E:$F,2,FALSE)</f>
        <v>顧客基本資料修改-自然人</v>
      </c>
      <c r="C70" s="315">
        <v>7</v>
      </c>
      <c r="D70" s="74" t="s">
        <v>1568</v>
      </c>
      <c r="E70" s="71">
        <v>44399</v>
      </c>
      <c r="F70" s="71">
        <v>44428</v>
      </c>
      <c r="G70" s="71">
        <v>44439</v>
      </c>
      <c r="H70" s="71">
        <v>44475</v>
      </c>
      <c r="I70" s="70" t="s">
        <v>136</v>
      </c>
      <c r="L70" s="315" t="s">
        <v>1562</v>
      </c>
      <c r="M70" s="315" t="s">
        <v>1510</v>
      </c>
      <c r="P70" s="71" t="s">
        <v>1566</v>
      </c>
    </row>
    <row r="71" spans="1:16" ht="66" customHeight="1" x14ac:dyDescent="0.3">
      <c r="A71" s="315" t="s">
        <v>147</v>
      </c>
      <c r="B71" s="69" t="str">
        <f>VLOOKUP(A71,URS確認!$E:$F,2,FALSE)</f>
        <v>顧客基本資料修改-自然人</v>
      </c>
      <c r="C71" s="315">
        <v>8</v>
      </c>
      <c r="D71" s="74" t="s">
        <v>1553</v>
      </c>
      <c r="E71" s="71">
        <v>44399</v>
      </c>
      <c r="F71" s="71">
        <v>44438</v>
      </c>
      <c r="G71" s="71">
        <v>44439</v>
      </c>
      <c r="H71" s="71">
        <v>44476</v>
      </c>
      <c r="I71" s="70" t="s">
        <v>136</v>
      </c>
      <c r="L71" s="315" t="s">
        <v>1562</v>
      </c>
      <c r="N71" s="315" t="s">
        <v>1494</v>
      </c>
      <c r="P71" s="71" t="s">
        <v>1566</v>
      </c>
    </row>
    <row r="72" spans="1:16" x14ac:dyDescent="0.3">
      <c r="A72" s="315" t="s">
        <v>147</v>
      </c>
      <c r="B72" s="69" t="str">
        <f>VLOOKUP(A72,URS確認!$E:$F,2,FALSE)</f>
        <v>顧客基本資料修改-自然人</v>
      </c>
      <c r="C72" s="315">
        <v>9</v>
      </c>
      <c r="D72" s="74" t="s">
        <v>1555</v>
      </c>
      <c r="E72" s="71">
        <v>44399</v>
      </c>
      <c r="F72" s="71">
        <v>44414</v>
      </c>
      <c r="G72" s="71">
        <v>44409</v>
      </c>
      <c r="H72" s="71">
        <v>44477</v>
      </c>
      <c r="I72" s="70" t="s">
        <v>136</v>
      </c>
      <c r="L72" s="315" t="s">
        <v>1494</v>
      </c>
      <c r="P72" s="71"/>
    </row>
    <row r="73" spans="1:16" ht="33" customHeight="1" x14ac:dyDescent="0.3">
      <c r="A73" s="315" t="s">
        <v>147</v>
      </c>
      <c r="B73" s="69" t="str">
        <f>VLOOKUP(A73,URS確認!$E:$F,2,FALSE)</f>
        <v>顧客基本資料修改-自然人</v>
      </c>
      <c r="C73" s="315">
        <v>10</v>
      </c>
      <c r="D73" s="74" t="s">
        <v>1569</v>
      </c>
      <c r="E73" s="71">
        <v>44399</v>
      </c>
      <c r="F73" s="71">
        <v>44414</v>
      </c>
      <c r="G73" s="71">
        <v>44409</v>
      </c>
      <c r="H73" s="71">
        <v>44478</v>
      </c>
      <c r="I73" s="70" t="s">
        <v>136</v>
      </c>
      <c r="L73" s="315" t="s">
        <v>1494</v>
      </c>
      <c r="P73" s="71"/>
    </row>
    <row r="74" spans="1:16" ht="33" customHeight="1" x14ac:dyDescent="0.3">
      <c r="A74" s="315" t="s">
        <v>164</v>
      </c>
      <c r="B74" s="69" t="str">
        <f>VLOOKUP(A74,URS確認!$E:$F,2,FALSE)</f>
        <v>顧客聯絡電話維護</v>
      </c>
      <c r="C74" s="315">
        <v>1</v>
      </c>
      <c r="D74" s="74" t="s">
        <v>1570</v>
      </c>
      <c r="E74" s="71">
        <v>44399</v>
      </c>
      <c r="F74" s="71">
        <v>44439</v>
      </c>
      <c r="G74" s="71">
        <v>44431</v>
      </c>
      <c r="H74" s="71">
        <v>44431</v>
      </c>
      <c r="I74" s="70" t="str">
        <f>VLOOKUP(A74,URS確認!E:I,5,FALSE)</f>
        <v>張嘉榮</v>
      </c>
      <c r="L74" s="315" t="s">
        <v>1494</v>
      </c>
      <c r="P74" s="71"/>
    </row>
    <row r="75" spans="1:16" x14ac:dyDescent="0.3">
      <c r="A75" s="315" t="s">
        <v>164</v>
      </c>
      <c r="B75" s="69" t="str">
        <f>VLOOKUP(A75,URS確認!$E:$F,2,FALSE)</f>
        <v>顧客聯絡電話維護</v>
      </c>
      <c r="C75" s="315">
        <v>2</v>
      </c>
      <c r="D75" s="74" t="s">
        <v>1571</v>
      </c>
      <c r="E75" s="71">
        <v>44399</v>
      </c>
      <c r="F75" s="71">
        <v>44414</v>
      </c>
      <c r="G75" s="71">
        <v>44409</v>
      </c>
      <c r="H75" s="71">
        <v>44409</v>
      </c>
      <c r="I75" s="70" t="str">
        <f>VLOOKUP(A75,URS確認!E:I,5,FALSE)</f>
        <v>張嘉榮</v>
      </c>
      <c r="L75" s="315" t="s">
        <v>1494</v>
      </c>
      <c r="P75" s="71"/>
    </row>
    <row r="76" spans="1:16" ht="49.5" customHeight="1" x14ac:dyDescent="0.3">
      <c r="A76" s="315" t="s">
        <v>284</v>
      </c>
      <c r="B76" s="69" t="str">
        <f>VLOOKUP(A76,URS確認!$E:$F,2,FALSE)</f>
        <v xml:space="preserve">額度與擔保品關聯查詢 </v>
      </c>
      <c r="C76" s="315">
        <v>1</v>
      </c>
      <c r="D76" s="74" t="s">
        <v>1572</v>
      </c>
      <c r="E76" s="71">
        <v>44399</v>
      </c>
      <c r="F76" s="71">
        <v>44414</v>
      </c>
      <c r="G76" s="71">
        <v>44409</v>
      </c>
      <c r="H76" s="71">
        <v>44409</v>
      </c>
      <c r="I76" s="70" t="s">
        <v>1545</v>
      </c>
      <c r="J76" s="315" t="s">
        <v>1494</v>
      </c>
      <c r="P76" s="71"/>
    </row>
    <row r="77" spans="1:16" x14ac:dyDescent="0.3">
      <c r="A77" s="315" t="s">
        <v>166</v>
      </c>
      <c r="B77" s="69" t="e">
        <f>VLOOKUP(A77,URS確認!$E:$F,2,FALSE)</f>
        <v>#N/A</v>
      </c>
      <c r="C77" s="315">
        <v>1</v>
      </c>
      <c r="D77" s="74" t="s">
        <v>1573</v>
      </c>
      <c r="E77" s="71">
        <v>44400</v>
      </c>
      <c r="F77" s="71">
        <v>44412</v>
      </c>
      <c r="G77" s="71">
        <v>44412</v>
      </c>
      <c r="H77" s="71">
        <v>44412</v>
      </c>
      <c r="I77" s="70" t="e">
        <f>VLOOKUP(A77,URS確認!E:I,5,FALSE)</f>
        <v>#N/A</v>
      </c>
      <c r="L77" s="315" t="s">
        <v>1494</v>
      </c>
      <c r="P77" s="71"/>
    </row>
    <row r="78" spans="1:16" x14ac:dyDescent="0.3">
      <c r="A78" s="315" t="s">
        <v>166</v>
      </c>
      <c r="B78" s="69" t="e">
        <f>VLOOKUP(A78,URS確認!$E:$F,2,FALSE)</f>
        <v>#N/A</v>
      </c>
      <c r="C78" s="315">
        <v>2</v>
      </c>
      <c r="D78" s="74" t="s">
        <v>1574</v>
      </c>
      <c r="E78" s="71">
        <v>44400</v>
      </c>
      <c r="F78" s="71">
        <v>44412</v>
      </c>
      <c r="G78" s="71">
        <v>44412</v>
      </c>
      <c r="H78" s="71">
        <v>44412</v>
      </c>
      <c r="I78" s="70" t="e">
        <f>VLOOKUP(A78,URS確認!E:I,5,FALSE)</f>
        <v>#N/A</v>
      </c>
      <c r="L78" s="315" t="s">
        <v>1494</v>
      </c>
      <c r="P78" s="71"/>
    </row>
    <row r="79" spans="1:16" x14ac:dyDescent="0.3">
      <c r="A79" s="315" t="s">
        <v>170</v>
      </c>
      <c r="B79" s="69" t="str">
        <f>VLOOKUP(A79,URS確認!$E:$F,2,FALSE)</f>
        <v>申請不列印書面通知書查詢</v>
      </c>
      <c r="C79" s="315">
        <v>1</v>
      </c>
      <c r="D79" s="74" t="s">
        <v>1575</v>
      </c>
      <c r="E79" s="71">
        <v>44400</v>
      </c>
      <c r="F79" s="71">
        <v>44439</v>
      </c>
      <c r="G79" s="71">
        <v>44431</v>
      </c>
      <c r="H79" s="71">
        <v>44431</v>
      </c>
      <c r="I79" s="70" t="str">
        <f>VLOOKUP(A79,URS確認!E:I,5,FALSE)</f>
        <v>張嘉榮</v>
      </c>
      <c r="M79" s="315" t="s">
        <v>1517</v>
      </c>
      <c r="P79" s="71"/>
    </row>
    <row r="80" spans="1:16" x14ac:dyDescent="0.3">
      <c r="A80" s="315" t="s">
        <v>170</v>
      </c>
      <c r="B80" s="69" t="str">
        <f>VLOOKUP(A80,URS確認!$E:$F,2,FALSE)</f>
        <v>申請不列印書面通知書查詢</v>
      </c>
      <c r="C80" s="315">
        <v>2</v>
      </c>
      <c r="D80" s="74" t="s">
        <v>1576</v>
      </c>
      <c r="E80" s="71">
        <v>44400</v>
      </c>
      <c r="F80" s="71">
        <v>44439</v>
      </c>
      <c r="G80" s="71">
        <v>44424</v>
      </c>
      <c r="H80" s="71">
        <v>44424</v>
      </c>
      <c r="I80" s="70" t="str">
        <f>VLOOKUP(A80,URS確認!E:I,5,FALSE)</f>
        <v>張嘉榮</v>
      </c>
      <c r="L80" s="315" t="s">
        <v>1494</v>
      </c>
      <c r="P80" s="71"/>
    </row>
    <row r="81" spans="1:16" ht="33" customHeight="1" x14ac:dyDescent="0.3">
      <c r="A81" s="315" t="s">
        <v>175</v>
      </c>
      <c r="B81" s="69" t="str">
        <f>VLOOKUP(A81,URS確認!$E:$F,2,FALSE)</f>
        <v>申請不列印書面通知書維護</v>
      </c>
      <c r="C81" s="315">
        <v>1</v>
      </c>
      <c r="D81" s="74" t="s">
        <v>1577</v>
      </c>
      <c r="E81" s="71">
        <v>44400</v>
      </c>
      <c r="F81" s="71">
        <v>44439</v>
      </c>
      <c r="G81" s="71">
        <v>44424</v>
      </c>
      <c r="H81" s="71">
        <v>44424</v>
      </c>
      <c r="I81" s="70" t="str">
        <f>VLOOKUP(A81,URS確認!E:I,5,FALSE)</f>
        <v>張嘉榮</v>
      </c>
      <c r="J81" s="315" t="s">
        <v>1494</v>
      </c>
      <c r="P81" s="71"/>
    </row>
    <row r="82" spans="1:16" ht="99" customHeight="1" x14ac:dyDescent="0.3">
      <c r="A82" s="315" t="s">
        <v>175</v>
      </c>
      <c r="B82" s="69" t="str">
        <f>VLOOKUP(A82,URS確認!$E:$F,2,FALSE)</f>
        <v>申請不列印書面通知書維護</v>
      </c>
      <c r="C82" s="315">
        <v>2</v>
      </c>
      <c r="D82" s="74" t="s">
        <v>1578</v>
      </c>
      <c r="E82" s="71">
        <v>44400</v>
      </c>
      <c r="F82" s="71">
        <v>44439</v>
      </c>
      <c r="G82" s="71">
        <v>44431</v>
      </c>
      <c r="H82" s="71">
        <v>44431</v>
      </c>
      <c r="I82" s="70" t="str">
        <f>VLOOKUP(A82,URS確認!E:I,5,FALSE)</f>
        <v>張嘉榮</v>
      </c>
      <c r="J82" s="315" t="s">
        <v>1494</v>
      </c>
      <c r="P82" s="71"/>
    </row>
    <row r="83" spans="1:16" ht="132" customHeight="1" x14ac:dyDescent="0.3">
      <c r="A83" s="315" t="s">
        <v>140</v>
      </c>
      <c r="B83" s="69" t="str">
        <f>VLOOKUP(A83,URS確認!$E:$F,2,FALSE)</f>
        <v>顧客基本資料維護-自然人</v>
      </c>
      <c r="C83" s="315">
        <v>1</v>
      </c>
      <c r="D83" s="74" t="s">
        <v>1579</v>
      </c>
      <c r="E83" s="71">
        <v>44403</v>
      </c>
      <c r="F83" s="71">
        <v>44421</v>
      </c>
      <c r="G83" s="71">
        <v>44409</v>
      </c>
      <c r="H83" s="71">
        <v>44456</v>
      </c>
      <c r="I83" s="70" t="s">
        <v>136</v>
      </c>
      <c r="J83" s="315" t="s">
        <v>1494</v>
      </c>
      <c r="P83" s="71"/>
    </row>
    <row r="84" spans="1:16" x14ac:dyDescent="0.3">
      <c r="A84" s="315" t="s">
        <v>140</v>
      </c>
      <c r="B84" s="69" t="str">
        <f>VLOOKUP(A84,URS確認!$E:$F,2,FALSE)</f>
        <v>顧客基本資料維護-自然人</v>
      </c>
      <c r="C84" s="315">
        <v>2</v>
      </c>
      <c r="D84" s="74" t="s">
        <v>1580</v>
      </c>
      <c r="E84" s="71">
        <v>44403</v>
      </c>
      <c r="F84" s="71">
        <v>44421</v>
      </c>
      <c r="G84" s="71">
        <v>44409</v>
      </c>
      <c r="H84" s="71">
        <v>44457</v>
      </c>
      <c r="I84" s="70" t="s">
        <v>136</v>
      </c>
      <c r="J84" s="315" t="s">
        <v>1494</v>
      </c>
      <c r="P84" s="71"/>
    </row>
    <row r="85" spans="1:16" x14ac:dyDescent="0.3">
      <c r="A85" s="315" t="s">
        <v>140</v>
      </c>
      <c r="B85" s="69" t="str">
        <f>VLOOKUP(A85,URS確認!$E:$F,2,FALSE)</f>
        <v>顧客基本資料維護-自然人</v>
      </c>
      <c r="C85" s="315">
        <v>3</v>
      </c>
      <c r="D85" s="74" t="s">
        <v>1581</v>
      </c>
      <c r="E85" s="71">
        <v>44403</v>
      </c>
      <c r="F85" s="71">
        <v>44421</v>
      </c>
      <c r="G85" s="71">
        <v>44409</v>
      </c>
      <c r="H85" s="71">
        <v>44458</v>
      </c>
      <c r="I85" s="70" t="s">
        <v>136</v>
      </c>
      <c r="J85" s="315" t="s">
        <v>1494</v>
      </c>
      <c r="P85" s="71"/>
    </row>
    <row r="86" spans="1:16" ht="66" customHeight="1" x14ac:dyDescent="0.3">
      <c r="A86" s="315" t="s">
        <v>140</v>
      </c>
      <c r="B86" s="69" t="str">
        <f>VLOOKUP(A86,URS確認!$E:$F,2,FALSE)</f>
        <v>顧客基本資料維護-自然人</v>
      </c>
      <c r="C86" s="315">
        <v>4</v>
      </c>
      <c r="D86" s="74" t="s">
        <v>1582</v>
      </c>
      <c r="E86" s="71">
        <v>44403</v>
      </c>
      <c r="F86" s="71">
        <v>44421</v>
      </c>
      <c r="G86" s="71">
        <v>44409</v>
      </c>
      <c r="H86" s="71">
        <v>44459</v>
      </c>
      <c r="I86" s="70" t="s">
        <v>136</v>
      </c>
      <c r="M86" s="315" t="s">
        <v>1510</v>
      </c>
      <c r="P86" s="71"/>
    </row>
    <row r="87" spans="1:16" x14ac:dyDescent="0.3">
      <c r="A87" s="315" t="s">
        <v>144</v>
      </c>
      <c r="B87" s="69" t="str">
        <f>VLOOKUP(A87,URS確認!$E:$F,2,FALSE)</f>
        <v>顧客基本資料維護-法人</v>
      </c>
      <c r="C87" s="315">
        <v>1</v>
      </c>
      <c r="D87" s="74" t="s">
        <v>1580</v>
      </c>
      <c r="E87" s="71">
        <v>44403</v>
      </c>
      <c r="F87" s="71">
        <v>44421</v>
      </c>
      <c r="G87" s="71">
        <v>44452</v>
      </c>
      <c r="H87" s="71">
        <v>44460</v>
      </c>
      <c r="I87" s="70" t="s">
        <v>136</v>
      </c>
      <c r="J87" s="315" t="s">
        <v>1494</v>
      </c>
      <c r="L87" s="315" t="s">
        <v>1494</v>
      </c>
      <c r="P87" s="71"/>
    </row>
    <row r="88" spans="1:16" x14ac:dyDescent="0.3">
      <c r="A88" s="315" t="s">
        <v>144</v>
      </c>
      <c r="B88" s="69" t="str">
        <f>VLOOKUP(A88,URS確認!$E:$F,2,FALSE)</f>
        <v>顧客基本資料維護-法人</v>
      </c>
      <c r="C88" s="315">
        <v>2</v>
      </c>
      <c r="D88" s="74" t="s">
        <v>1581</v>
      </c>
      <c r="E88" s="71">
        <v>44403</v>
      </c>
      <c r="F88" s="71">
        <v>44421</v>
      </c>
      <c r="G88" s="71">
        <v>44453</v>
      </c>
      <c r="H88" s="71">
        <v>44461</v>
      </c>
      <c r="I88" s="70" t="s">
        <v>136</v>
      </c>
      <c r="J88" s="315" t="s">
        <v>1494</v>
      </c>
      <c r="L88" s="315" t="s">
        <v>1494</v>
      </c>
      <c r="P88" s="71"/>
    </row>
    <row r="89" spans="1:16" x14ac:dyDescent="0.3">
      <c r="A89" s="315" t="s">
        <v>144</v>
      </c>
      <c r="B89" s="69" t="str">
        <f>VLOOKUP(A89,URS確認!$E:$F,2,FALSE)</f>
        <v>顧客基本資料維護-法人</v>
      </c>
      <c r="C89" s="315">
        <v>3</v>
      </c>
      <c r="D89" s="74" t="s">
        <v>1583</v>
      </c>
      <c r="E89" s="71">
        <v>44403</v>
      </c>
      <c r="F89" s="71">
        <v>44421</v>
      </c>
      <c r="G89" s="71">
        <v>44454</v>
      </c>
      <c r="H89" s="71">
        <v>44462</v>
      </c>
      <c r="I89" s="70" t="s">
        <v>136</v>
      </c>
      <c r="J89" s="315" t="s">
        <v>1494</v>
      </c>
      <c r="L89" s="315" t="s">
        <v>1494</v>
      </c>
      <c r="P89" s="71"/>
    </row>
    <row r="90" spans="1:16" x14ac:dyDescent="0.3">
      <c r="A90" s="315" t="s">
        <v>144</v>
      </c>
      <c r="B90" s="69" t="str">
        <f>VLOOKUP(A90,URS確認!$E:$F,2,FALSE)</f>
        <v>顧客基本資料維護-法人</v>
      </c>
      <c r="C90" s="315">
        <v>4</v>
      </c>
      <c r="D90" s="74" t="s">
        <v>1584</v>
      </c>
      <c r="E90" s="71">
        <v>44403</v>
      </c>
      <c r="F90" s="71">
        <v>44421</v>
      </c>
      <c r="G90" s="71">
        <v>44455</v>
      </c>
      <c r="H90" s="71">
        <v>44463</v>
      </c>
      <c r="I90" s="70" t="s">
        <v>136</v>
      </c>
      <c r="J90" s="315" t="s">
        <v>1494</v>
      </c>
      <c r="L90" s="315" t="s">
        <v>1494</v>
      </c>
      <c r="P90" s="71"/>
    </row>
    <row r="91" spans="1:16" x14ac:dyDescent="0.3">
      <c r="A91" s="315" t="s">
        <v>144</v>
      </c>
      <c r="B91" s="69" t="str">
        <f>VLOOKUP(A91,URS確認!$E:$F,2,FALSE)</f>
        <v>顧客基本資料維護-法人</v>
      </c>
      <c r="C91" s="315">
        <v>5</v>
      </c>
      <c r="D91" s="74" t="s">
        <v>1585</v>
      </c>
      <c r="E91" s="71">
        <v>44403</v>
      </c>
      <c r="F91" s="71">
        <v>44421</v>
      </c>
      <c r="G91" s="71">
        <v>44456</v>
      </c>
      <c r="H91" s="71">
        <v>44464</v>
      </c>
      <c r="I91" s="70" t="s">
        <v>136</v>
      </c>
      <c r="J91" s="315" t="s">
        <v>1494</v>
      </c>
      <c r="L91" s="315" t="s">
        <v>1494</v>
      </c>
      <c r="P91" s="71"/>
    </row>
    <row r="92" spans="1:16" x14ac:dyDescent="0.3">
      <c r="A92" s="315" t="s">
        <v>144</v>
      </c>
      <c r="B92" s="69" t="str">
        <f>VLOOKUP(A92,URS確認!$E:$F,2,FALSE)</f>
        <v>顧客基本資料維護-法人</v>
      </c>
      <c r="C92" s="315">
        <v>6</v>
      </c>
      <c r="D92" s="74" t="s">
        <v>1586</v>
      </c>
      <c r="E92" s="71">
        <v>44403</v>
      </c>
      <c r="F92" s="71">
        <v>44421</v>
      </c>
      <c r="G92" s="71">
        <v>44457</v>
      </c>
      <c r="H92" s="71">
        <v>44465</v>
      </c>
      <c r="I92" s="70" t="s">
        <v>136</v>
      </c>
      <c r="J92" s="315" t="s">
        <v>1494</v>
      </c>
      <c r="L92" s="315" t="s">
        <v>1494</v>
      </c>
      <c r="P92" s="71"/>
    </row>
    <row r="93" spans="1:16" ht="66" customHeight="1" x14ac:dyDescent="0.3">
      <c r="A93" s="315" t="s">
        <v>144</v>
      </c>
      <c r="B93" s="69" t="str">
        <f>VLOOKUP(A93,URS確認!$E:$F,2,FALSE)</f>
        <v>顧客基本資料維護-法人</v>
      </c>
      <c r="C93" s="315">
        <v>7</v>
      </c>
      <c r="D93" s="74" t="s">
        <v>1552</v>
      </c>
      <c r="E93" s="71">
        <v>44403</v>
      </c>
      <c r="F93" s="71">
        <v>44421</v>
      </c>
      <c r="G93" s="71">
        <v>44458</v>
      </c>
      <c r="H93" s="71">
        <v>44466</v>
      </c>
      <c r="I93" s="70" t="s">
        <v>136</v>
      </c>
      <c r="N93" s="315" t="s">
        <v>1494</v>
      </c>
      <c r="P93" s="71"/>
    </row>
    <row r="94" spans="1:16" ht="82.5" customHeight="1" x14ac:dyDescent="0.3">
      <c r="A94" s="315" t="s">
        <v>144</v>
      </c>
      <c r="B94" s="69" t="str">
        <f>VLOOKUP(A94,URS確認!$E:$F,2,FALSE)</f>
        <v>顧客基本資料維護-法人</v>
      </c>
      <c r="C94" s="315">
        <v>8</v>
      </c>
      <c r="D94" s="74" t="s">
        <v>1587</v>
      </c>
      <c r="E94" s="71">
        <v>44403</v>
      </c>
      <c r="F94" s="71">
        <v>44421</v>
      </c>
      <c r="G94" s="71">
        <v>44459</v>
      </c>
      <c r="H94" s="71">
        <v>44456</v>
      </c>
      <c r="I94" s="70" t="s">
        <v>136</v>
      </c>
      <c r="N94" s="315" t="s">
        <v>1494</v>
      </c>
      <c r="P94" s="71"/>
    </row>
    <row r="95" spans="1:16" ht="33" customHeight="1" x14ac:dyDescent="0.3">
      <c r="A95" s="315" t="s">
        <v>144</v>
      </c>
      <c r="B95" s="69" t="str">
        <f>VLOOKUP(A95,URS確認!$E:$F,2,FALSE)</f>
        <v>顧客基本資料維護-法人</v>
      </c>
      <c r="C95" s="315">
        <v>9</v>
      </c>
      <c r="D95" s="74" t="s">
        <v>1588</v>
      </c>
      <c r="E95" s="71">
        <v>44403</v>
      </c>
      <c r="F95" s="71">
        <v>44421</v>
      </c>
      <c r="G95" s="71">
        <v>44460</v>
      </c>
      <c r="H95" s="71">
        <v>44456</v>
      </c>
      <c r="I95" s="70" t="s">
        <v>136</v>
      </c>
      <c r="M95" s="315" t="s">
        <v>1501</v>
      </c>
      <c r="P95" s="71"/>
    </row>
    <row r="96" spans="1:16" x14ac:dyDescent="0.3">
      <c r="A96" s="315" t="s">
        <v>144</v>
      </c>
      <c r="B96" s="69" t="str">
        <f>VLOOKUP(A96,URS確認!$E:$F,2,FALSE)</f>
        <v>顧客基本資料維護-法人</v>
      </c>
      <c r="C96" s="315">
        <v>10</v>
      </c>
      <c r="D96" s="74" t="s">
        <v>1589</v>
      </c>
      <c r="E96" s="71">
        <v>44403</v>
      </c>
      <c r="F96" s="71">
        <v>44421</v>
      </c>
      <c r="G96" s="71">
        <v>44461</v>
      </c>
      <c r="H96" s="71">
        <v>44456</v>
      </c>
      <c r="I96" s="70" t="s">
        <v>136</v>
      </c>
      <c r="M96" s="315" t="s">
        <v>1510</v>
      </c>
      <c r="P96" s="71"/>
    </row>
    <row r="97" spans="1:16" ht="33" customHeight="1" x14ac:dyDescent="0.3">
      <c r="A97" s="315" t="s">
        <v>144</v>
      </c>
      <c r="B97" s="69" t="str">
        <f>VLOOKUP(A97,URS確認!$E:$F,2,FALSE)</f>
        <v>顧客基本資料維護-法人</v>
      </c>
      <c r="C97" s="315">
        <v>11</v>
      </c>
      <c r="D97" s="74" t="s">
        <v>1590</v>
      </c>
      <c r="E97" s="71">
        <v>44403</v>
      </c>
      <c r="F97" s="71">
        <v>44421</v>
      </c>
      <c r="G97" s="71">
        <v>44462</v>
      </c>
      <c r="H97" s="71">
        <v>44456</v>
      </c>
      <c r="I97" s="70" t="s">
        <v>136</v>
      </c>
      <c r="M97" s="315" t="s">
        <v>1510</v>
      </c>
      <c r="P97" s="71"/>
    </row>
    <row r="98" spans="1:16" x14ac:dyDescent="0.3">
      <c r="A98" s="315" t="s">
        <v>151</v>
      </c>
      <c r="B98" s="69" t="str">
        <f>VLOOKUP(A98,URS確認!$E:$F,2,FALSE)</f>
        <v>顧客基本資料修改-法人</v>
      </c>
      <c r="C98" s="315">
        <v>1</v>
      </c>
      <c r="D98" s="74" t="s">
        <v>1591</v>
      </c>
      <c r="E98" s="71">
        <v>44403</v>
      </c>
      <c r="F98" s="71">
        <v>44421</v>
      </c>
      <c r="G98" s="71">
        <v>44449</v>
      </c>
      <c r="H98" s="71">
        <v>44456</v>
      </c>
      <c r="I98" s="70" t="s">
        <v>136</v>
      </c>
      <c r="N98" s="315" t="s">
        <v>1494</v>
      </c>
      <c r="P98" s="71"/>
    </row>
    <row r="99" spans="1:16" ht="66" customHeight="1" x14ac:dyDescent="0.3">
      <c r="A99" s="315" t="s">
        <v>151</v>
      </c>
      <c r="B99" s="69" t="str">
        <f>VLOOKUP(A99,URS確認!$E:$F,2,FALSE)</f>
        <v>顧客基本資料修改-法人</v>
      </c>
      <c r="C99" s="315">
        <v>2</v>
      </c>
      <c r="D99" s="74" t="s">
        <v>1552</v>
      </c>
      <c r="E99" s="71">
        <v>44403</v>
      </c>
      <c r="F99" s="71">
        <v>44421</v>
      </c>
      <c r="G99" s="71">
        <v>44449</v>
      </c>
      <c r="H99" s="71">
        <v>44456</v>
      </c>
      <c r="I99" s="70" t="s">
        <v>136</v>
      </c>
      <c r="N99" s="315" t="s">
        <v>1494</v>
      </c>
      <c r="P99" s="71"/>
    </row>
    <row r="100" spans="1:16" x14ac:dyDescent="0.3">
      <c r="A100" s="315" t="s">
        <v>151</v>
      </c>
      <c r="B100" s="69" t="str">
        <f>VLOOKUP(A100,URS確認!$E:$F,2,FALSE)</f>
        <v>顧客基本資料修改-法人</v>
      </c>
      <c r="C100" s="315">
        <v>3</v>
      </c>
      <c r="D100" s="74" t="s">
        <v>1592</v>
      </c>
      <c r="E100" s="71">
        <v>44403</v>
      </c>
      <c r="F100" s="71">
        <v>44421</v>
      </c>
      <c r="G100" s="71">
        <v>44449</v>
      </c>
      <c r="H100" s="71">
        <v>44456</v>
      </c>
      <c r="I100" s="70" t="s">
        <v>136</v>
      </c>
      <c r="N100" s="315" t="s">
        <v>1494</v>
      </c>
      <c r="P100" s="71"/>
    </row>
    <row r="101" spans="1:16" x14ac:dyDescent="0.3">
      <c r="A101" s="315" t="s">
        <v>151</v>
      </c>
      <c r="B101" s="69" t="str">
        <f>VLOOKUP(A101,URS確認!$E:$F,2,FALSE)</f>
        <v>顧客基本資料修改-法人</v>
      </c>
      <c r="C101" s="315">
        <v>4</v>
      </c>
      <c r="D101" s="74" t="s">
        <v>1593</v>
      </c>
      <c r="E101" s="71">
        <v>44403</v>
      </c>
      <c r="F101" s="71">
        <v>44421</v>
      </c>
      <c r="G101" s="71">
        <v>44449</v>
      </c>
      <c r="H101" s="71">
        <v>44456</v>
      </c>
      <c r="I101" s="70" t="s">
        <v>136</v>
      </c>
      <c r="M101" s="315" t="s">
        <v>1510</v>
      </c>
      <c r="P101" s="71"/>
    </row>
    <row r="102" spans="1:16" ht="66" customHeight="1" x14ac:dyDescent="0.3">
      <c r="A102" s="315" t="s">
        <v>151</v>
      </c>
      <c r="B102" s="69" t="str">
        <f>VLOOKUP(A102,URS確認!$E:$F,2,FALSE)</f>
        <v>顧客基本資料修改-法人</v>
      </c>
      <c r="C102" s="315">
        <v>5</v>
      </c>
      <c r="D102" s="74" t="s">
        <v>1553</v>
      </c>
      <c r="E102" s="71">
        <v>44403</v>
      </c>
      <c r="F102" s="71">
        <v>44421</v>
      </c>
      <c r="G102" s="71">
        <v>44449</v>
      </c>
      <c r="H102" s="71">
        <v>44456</v>
      </c>
      <c r="I102" s="70" t="s">
        <v>136</v>
      </c>
      <c r="N102" s="315" t="s">
        <v>1494</v>
      </c>
      <c r="P102" s="71"/>
    </row>
    <row r="103" spans="1:16" x14ac:dyDescent="0.3">
      <c r="A103" s="315" t="s">
        <v>151</v>
      </c>
      <c r="B103" s="69" t="str">
        <f>VLOOKUP(A103,URS確認!$E:$F,2,FALSE)</f>
        <v>顧客基本資料修改-法人</v>
      </c>
      <c r="C103" s="315">
        <v>6</v>
      </c>
      <c r="D103" s="74" t="s">
        <v>1555</v>
      </c>
      <c r="E103" s="71">
        <v>44403</v>
      </c>
      <c r="F103" s="71">
        <v>44421</v>
      </c>
      <c r="G103" s="71">
        <v>44409</v>
      </c>
      <c r="H103" s="71">
        <v>44456</v>
      </c>
      <c r="I103" s="70" t="s">
        <v>136</v>
      </c>
      <c r="L103" s="315" t="s">
        <v>1494</v>
      </c>
      <c r="P103" s="71"/>
    </row>
    <row r="104" spans="1:16" ht="33" customHeight="1" x14ac:dyDescent="0.3">
      <c r="A104" s="315" t="s">
        <v>151</v>
      </c>
      <c r="B104" s="69" t="str">
        <f>VLOOKUP(A104,URS確認!$E:$F,2,FALSE)</f>
        <v>顧客基本資料修改-法人</v>
      </c>
      <c r="C104" s="315">
        <v>7</v>
      </c>
      <c r="D104" s="74" t="s">
        <v>1594</v>
      </c>
      <c r="E104" s="71">
        <v>44403</v>
      </c>
      <c r="F104" s="71">
        <v>44421</v>
      </c>
      <c r="G104" s="71">
        <v>44409</v>
      </c>
      <c r="H104" s="71">
        <v>44456</v>
      </c>
      <c r="I104" s="70" t="s">
        <v>136</v>
      </c>
      <c r="L104" s="315" t="s">
        <v>1494</v>
      </c>
      <c r="P104" s="71"/>
    </row>
    <row r="105" spans="1:16" ht="33" customHeight="1" x14ac:dyDescent="0.3">
      <c r="A105" s="315" t="s">
        <v>1419</v>
      </c>
      <c r="B105" s="69" t="e">
        <f>VLOOKUP(A105,URS確認!$E:$F,2,FALSE)</f>
        <v>#N/A</v>
      </c>
      <c r="C105" s="315">
        <v>1</v>
      </c>
      <c r="D105" s="74" t="s">
        <v>1595</v>
      </c>
      <c r="E105" s="71">
        <v>44403</v>
      </c>
      <c r="F105" s="71">
        <v>44439</v>
      </c>
      <c r="G105" s="71">
        <v>44456</v>
      </c>
      <c r="H105" s="71">
        <v>44456</v>
      </c>
      <c r="I105" s="70" t="e">
        <f>VLOOKUP(A105,URS確認!E:I,5,FALSE)</f>
        <v>#N/A</v>
      </c>
      <c r="L105" s="315" t="s">
        <v>1494</v>
      </c>
      <c r="P105" s="71"/>
    </row>
    <row r="106" spans="1:16" ht="33" customHeight="1" x14ac:dyDescent="0.3">
      <c r="A106" s="315" t="s">
        <v>1419</v>
      </c>
      <c r="B106" s="69" t="e">
        <f>VLOOKUP(A106,URS確認!$E:$F,2,FALSE)</f>
        <v>#N/A</v>
      </c>
      <c r="C106" s="315">
        <v>2</v>
      </c>
      <c r="D106" s="74" t="s">
        <v>1596</v>
      </c>
      <c r="E106" s="71">
        <v>44403</v>
      </c>
      <c r="F106" s="71">
        <v>44439</v>
      </c>
      <c r="G106" s="71">
        <v>44456</v>
      </c>
      <c r="H106" s="71">
        <v>44456</v>
      </c>
      <c r="I106" s="70" t="e">
        <f>VLOOKUP(A106,URS確認!E:I,5,FALSE)</f>
        <v>#N/A</v>
      </c>
      <c r="J106" s="315" t="s">
        <v>1494</v>
      </c>
      <c r="P106" s="71"/>
    </row>
    <row r="107" spans="1:16" ht="33" customHeight="1" x14ac:dyDescent="0.3">
      <c r="A107" s="315" t="s">
        <v>1419</v>
      </c>
      <c r="B107" s="69" t="e">
        <f>VLOOKUP(A107,URS確認!$E:$F,2,FALSE)</f>
        <v>#N/A</v>
      </c>
      <c r="C107" s="315">
        <v>3</v>
      </c>
      <c r="D107" s="74" t="s">
        <v>1597</v>
      </c>
      <c r="E107" s="71">
        <v>44403</v>
      </c>
      <c r="F107" s="71">
        <v>44439</v>
      </c>
      <c r="G107" s="71">
        <v>44456</v>
      </c>
      <c r="H107" s="71">
        <v>44456</v>
      </c>
      <c r="I107" s="70" t="e">
        <f>VLOOKUP(A107,URS確認!E:I,5,FALSE)</f>
        <v>#N/A</v>
      </c>
      <c r="L107" s="315" t="s">
        <v>1494</v>
      </c>
      <c r="P107" s="71"/>
    </row>
    <row r="108" spans="1:16" x14ac:dyDescent="0.3">
      <c r="A108" s="315" t="s">
        <v>1598</v>
      </c>
      <c r="B108" s="69" t="s">
        <v>1599</v>
      </c>
      <c r="C108" s="315">
        <v>1</v>
      </c>
      <c r="D108" s="74" t="s">
        <v>1600</v>
      </c>
      <c r="E108" s="71">
        <v>44403</v>
      </c>
      <c r="F108" s="71">
        <v>44439</v>
      </c>
      <c r="G108" s="71">
        <v>44440</v>
      </c>
      <c r="H108" s="71">
        <f t="shared" ref="H108:H112" si="3">G108</f>
        <v>44440</v>
      </c>
      <c r="I108" s="70" t="s">
        <v>1545</v>
      </c>
      <c r="L108" s="315" t="s">
        <v>1494</v>
      </c>
      <c r="P108" s="71"/>
    </row>
    <row r="109" spans="1:16" x14ac:dyDescent="0.3">
      <c r="A109" s="315" t="s">
        <v>1598</v>
      </c>
      <c r="B109" s="69" t="s">
        <v>1599</v>
      </c>
      <c r="C109" s="315">
        <v>2</v>
      </c>
      <c r="D109" s="74" t="s">
        <v>1601</v>
      </c>
      <c r="E109" s="71">
        <v>44403</v>
      </c>
      <c r="F109" s="71">
        <v>44439</v>
      </c>
      <c r="G109" s="71">
        <v>44440</v>
      </c>
      <c r="H109" s="71">
        <f t="shared" si="3"/>
        <v>44440</v>
      </c>
      <c r="I109" s="70" t="s">
        <v>1545</v>
      </c>
      <c r="L109" s="315" t="s">
        <v>1494</v>
      </c>
      <c r="P109" s="71"/>
    </row>
    <row r="110" spans="1:16" x14ac:dyDescent="0.3">
      <c r="A110" s="315" t="s">
        <v>1598</v>
      </c>
      <c r="B110" s="69" t="s">
        <v>1599</v>
      </c>
      <c r="C110" s="315">
        <v>3</v>
      </c>
      <c r="D110" s="74" t="s">
        <v>1602</v>
      </c>
      <c r="E110" s="71">
        <v>44403</v>
      </c>
      <c r="F110" s="71">
        <v>44439</v>
      </c>
      <c r="G110" s="71">
        <v>44440</v>
      </c>
      <c r="H110" s="71">
        <f t="shared" si="3"/>
        <v>44440</v>
      </c>
      <c r="I110" s="70" t="s">
        <v>1545</v>
      </c>
      <c r="L110" s="315" t="s">
        <v>1494</v>
      </c>
      <c r="P110" s="71"/>
    </row>
    <row r="111" spans="1:16" x14ac:dyDescent="0.3">
      <c r="A111" s="315" t="s">
        <v>1598</v>
      </c>
      <c r="B111" s="69" t="s">
        <v>1599</v>
      </c>
      <c r="C111" s="315">
        <v>4</v>
      </c>
      <c r="D111" s="74" t="s">
        <v>1603</v>
      </c>
      <c r="E111" s="71">
        <v>44403</v>
      </c>
      <c r="F111" s="71">
        <v>44439</v>
      </c>
      <c r="G111" s="71">
        <v>44440</v>
      </c>
      <c r="H111" s="71">
        <f t="shared" si="3"/>
        <v>44440</v>
      </c>
      <c r="I111" s="70" t="s">
        <v>1545</v>
      </c>
      <c r="L111" s="315" t="s">
        <v>1494</v>
      </c>
      <c r="P111" s="71"/>
    </row>
    <row r="112" spans="1:16" ht="33" customHeight="1" x14ac:dyDescent="0.3">
      <c r="A112" s="315" t="s">
        <v>1598</v>
      </c>
      <c r="B112" s="69" t="s">
        <v>1599</v>
      </c>
      <c r="C112" s="315">
        <v>5</v>
      </c>
      <c r="D112" s="74" t="s">
        <v>1604</v>
      </c>
      <c r="E112" s="71">
        <v>44403</v>
      </c>
      <c r="F112" s="113" t="s">
        <v>1536</v>
      </c>
      <c r="G112" s="71">
        <v>44440</v>
      </c>
      <c r="H112" s="71">
        <f t="shared" si="3"/>
        <v>44440</v>
      </c>
      <c r="I112" s="70" t="s">
        <v>1545</v>
      </c>
      <c r="P112" s="71"/>
    </row>
    <row r="113" spans="1:16" x14ac:dyDescent="0.3">
      <c r="A113" s="315" t="s">
        <v>846</v>
      </c>
      <c r="B113" s="69" t="str">
        <f>VLOOKUP(A113,URS確認!$E:$F,2,FALSE)</f>
        <v>指標利率種類維護</v>
      </c>
      <c r="C113" s="315">
        <v>1</v>
      </c>
      <c r="D113" s="74" t="s">
        <v>1605</v>
      </c>
      <c r="E113" s="71">
        <v>44403</v>
      </c>
      <c r="F113" s="71">
        <v>44439</v>
      </c>
      <c r="G113" s="71">
        <v>44435</v>
      </c>
      <c r="H113" s="71">
        <v>44435</v>
      </c>
      <c r="I113" s="70" t="str">
        <f>VLOOKUP(A113,URS確認!E:I,5,FALSE)</f>
        <v>楊智誠</v>
      </c>
      <c r="M113" s="315" t="s">
        <v>1510</v>
      </c>
      <c r="P113" s="71" t="s">
        <v>1606</v>
      </c>
    </row>
    <row r="114" spans="1:16" x14ac:dyDescent="0.3">
      <c r="A114" s="315" t="s">
        <v>848</v>
      </c>
      <c r="B114" s="69" t="str">
        <f>VLOOKUP(A114,URS確認!$E:$F,2,FALSE)</f>
        <v>指標利率登錄/維護</v>
      </c>
      <c r="C114" s="315">
        <v>1</v>
      </c>
      <c r="D114" s="74" t="s">
        <v>1607</v>
      </c>
      <c r="E114" s="71">
        <v>44403</v>
      </c>
      <c r="F114" s="71">
        <v>44413</v>
      </c>
      <c r="G114" s="71">
        <v>44413</v>
      </c>
      <c r="H114" s="70">
        <v>44428</v>
      </c>
      <c r="I114" s="70" t="str">
        <f>VLOOKUP(A114,URS確認!E:I,5,FALSE)</f>
        <v>楊智誠</v>
      </c>
      <c r="L114" s="315" t="s">
        <v>1494</v>
      </c>
      <c r="P114" s="71"/>
    </row>
    <row r="115" spans="1:16" x14ac:dyDescent="0.3">
      <c r="A115" s="315" t="s">
        <v>199</v>
      </c>
      <c r="B115" s="69" t="str">
        <f>VLOOKUP(A115,URS確認!$E:$F,2,FALSE)</f>
        <v>商品參數維護</v>
      </c>
      <c r="C115" s="315">
        <v>1</v>
      </c>
      <c r="D115" s="74" t="s">
        <v>1608</v>
      </c>
      <c r="E115" s="71">
        <v>44403</v>
      </c>
      <c r="F115" s="71">
        <v>44412</v>
      </c>
      <c r="G115" s="71">
        <v>44412</v>
      </c>
      <c r="H115" s="71">
        <v>44432</v>
      </c>
      <c r="I115" s="70" t="str">
        <f>VLOOKUP(A115,URS確認!E:I,5,FALSE)</f>
        <v>余家興</v>
      </c>
      <c r="L115" s="315" t="s">
        <v>1494</v>
      </c>
      <c r="P115" s="71"/>
    </row>
    <row r="116" spans="1:16" x14ac:dyDescent="0.3">
      <c r="A116" s="315" t="s">
        <v>199</v>
      </c>
      <c r="B116" s="69" t="str">
        <f>VLOOKUP(A116,URS確認!$E:$F,2,FALSE)</f>
        <v>商品參數維護</v>
      </c>
      <c r="C116" s="315">
        <v>2</v>
      </c>
      <c r="D116" s="74" t="s">
        <v>1609</v>
      </c>
      <c r="E116" s="71">
        <v>44403</v>
      </c>
      <c r="F116" s="71">
        <v>44412</v>
      </c>
      <c r="G116" s="71">
        <v>44412</v>
      </c>
      <c r="H116" s="71">
        <v>44432</v>
      </c>
      <c r="I116" s="70" t="str">
        <f>VLOOKUP(A116,URS確認!E:I,5,FALSE)</f>
        <v>余家興</v>
      </c>
      <c r="L116" s="315" t="s">
        <v>1494</v>
      </c>
      <c r="P116" s="71"/>
    </row>
    <row r="117" spans="1:16" x14ac:dyDescent="0.3">
      <c r="A117" s="315" t="s">
        <v>199</v>
      </c>
      <c r="B117" s="69" t="str">
        <f>VLOOKUP(A117,URS確認!$E:$F,2,FALSE)</f>
        <v>商品參數維護</v>
      </c>
      <c r="C117" s="315">
        <v>3</v>
      </c>
      <c r="D117" s="74" t="s">
        <v>1610</v>
      </c>
      <c r="E117" s="71">
        <v>44403</v>
      </c>
      <c r="F117" s="71">
        <v>44459</v>
      </c>
      <c r="G117" s="71">
        <v>44431</v>
      </c>
      <c r="H117" s="71">
        <v>44432</v>
      </c>
      <c r="I117" s="70" t="str">
        <f>VLOOKUP(A117,URS確認!E:I,5,FALSE)</f>
        <v>余家興</v>
      </c>
      <c r="M117" s="315" t="s">
        <v>1510</v>
      </c>
      <c r="P117" s="71" t="s">
        <v>1502</v>
      </c>
    </row>
    <row r="118" spans="1:16" x14ac:dyDescent="0.3">
      <c r="A118" s="315" t="s">
        <v>199</v>
      </c>
      <c r="B118" s="69" t="str">
        <f>VLOOKUP(A118,URS確認!$E:$F,2,FALSE)</f>
        <v>商品參數維護</v>
      </c>
      <c r="C118" s="315">
        <v>4</v>
      </c>
      <c r="D118" s="74" t="s">
        <v>1611</v>
      </c>
      <c r="E118" s="71">
        <v>44403</v>
      </c>
      <c r="F118" s="71">
        <v>44459</v>
      </c>
      <c r="G118" s="71">
        <v>44467</v>
      </c>
      <c r="H118" s="71">
        <v>44468</v>
      </c>
      <c r="I118" s="70" t="str">
        <f>VLOOKUP(A118,URS確認!E:I,5,FALSE)</f>
        <v>余家興</v>
      </c>
      <c r="M118" s="315" t="s">
        <v>1510</v>
      </c>
      <c r="P118" s="71" t="s">
        <v>1502</v>
      </c>
    </row>
    <row r="119" spans="1:16" x14ac:dyDescent="0.3">
      <c r="A119" s="315" t="s">
        <v>199</v>
      </c>
      <c r="B119" s="69" t="str">
        <f>VLOOKUP(A119,URS確認!$E:$F,2,FALSE)</f>
        <v>商品參數維護</v>
      </c>
      <c r="C119" s="315">
        <v>5</v>
      </c>
      <c r="D119" s="74" t="s">
        <v>1612</v>
      </c>
      <c r="E119" s="71">
        <v>44403</v>
      </c>
      <c r="F119" s="71">
        <v>44459</v>
      </c>
      <c r="G119" s="71">
        <v>44467</v>
      </c>
      <c r="H119" s="71">
        <v>44468</v>
      </c>
      <c r="I119" s="70" t="str">
        <f>VLOOKUP(A119,URS確認!E:I,5,FALSE)</f>
        <v>余家興</v>
      </c>
      <c r="M119" s="315" t="s">
        <v>1510</v>
      </c>
      <c r="P119" s="71" t="s">
        <v>1613</v>
      </c>
    </row>
    <row r="120" spans="1:16" x14ac:dyDescent="0.3">
      <c r="A120" s="315" t="s">
        <v>201</v>
      </c>
      <c r="B120" s="69" t="str">
        <f>VLOOKUP(A120,URS確認!$E:$F,2,FALSE)</f>
        <v xml:space="preserve">申請案件明細資料查詢                    </v>
      </c>
      <c r="C120" s="315">
        <v>1</v>
      </c>
      <c r="D120" s="74" t="s">
        <v>1614</v>
      </c>
      <c r="E120" s="71">
        <v>44403</v>
      </c>
      <c r="F120" s="71">
        <v>44405</v>
      </c>
      <c r="G120" s="71">
        <v>44405</v>
      </c>
      <c r="H120" s="71">
        <v>44431</v>
      </c>
      <c r="I120" s="70" t="str">
        <f>VLOOKUP(A120,URS確認!E:I,5,FALSE)</f>
        <v>陳昱衡</v>
      </c>
      <c r="L120" s="315" t="s">
        <v>1494</v>
      </c>
      <c r="P120" s="71"/>
    </row>
    <row r="121" spans="1:16" ht="33" customHeight="1" x14ac:dyDescent="0.3">
      <c r="A121" s="315" t="s">
        <v>201</v>
      </c>
      <c r="B121" s="69" t="str">
        <f>VLOOKUP(A121,URS確認!$E:$F,2,FALSE)</f>
        <v xml:space="preserve">申請案件明細資料查詢                    </v>
      </c>
      <c r="C121" s="315">
        <v>2</v>
      </c>
      <c r="D121" s="74" t="s">
        <v>1615</v>
      </c>
      <c r="E121" s="71">
        <v>44403</v>
      </c>
      <c r="F121" s="71">
        <v>44405</v>
      </c>
      <c r="G121" s="71">
        <v>44405</v>
      </c>
      <c r="H121" s="71">
        <v>44431</v>
      </c>
      <c r="I121" s="70" t="str">
        <f>VLOOKUP(A121,URS確認!E:I,5,FALSE)</f>
        <v>陳昱衡</v>
      </c>
      <c r="J121" s="315" t="s">
        <v>1494</v>
      </c>
      <c r="P121" s="71"/>
    </row>
    <row r="122" spans="1:16" x14ac:dyDescent="0.3">
      <c r="A122" s="315" t="s">
        <v>205</v>
      </c>
      <c r="B122" s="69" t="str">
        <f>VLOOKUP(A122,URS確認!$E:$F,2,FALSE)</f>
        <v>案件申請登錄</v>
      </c>
      <c r="C122" s="315">
        <v>1</v>
      </c>
      <c r="D122" s="74" t="s">
        <v>1589</v>
      </c>
      <c r="E122" s="71">
        <v>44403</v>
      </c>
      <c r="F122" s="71">
        <v>44439</v>
      </c>
      <c r="G122" s="71">
        <v>44468</v>
      </c>
      <c r="H122" s="71">
        <v>44468</v>
      </c>
      <c r="I122" s="70" t="str">
        <f>VLOOKUP(A122,URS確認!E:I,5,FALSE)</f>
        <v>余家興</v>
      </c>
      <c r="M122" s="315" t="s">
        <v>1510</v>
      </c>
      <c r="P122" s="71"/>
    </row>
    <row r="123" spans="1:16" x14ac:dyDescent="0.3">
      <c r="A123" s="315" t="s">
        <v>205</v>
      </c>
      <c r="B123" s="69" t="str">
        <f>VLOOKUP(A123,URS確認!$E:$F,2,FALSE)</f>
        <v>案件申請登錄</v>
      </c>
      <c r="C123" s="315">
        <v>2</v>
      </c>
      <c r="D123" s="74" t="s">
        <v>1616</v>
      </c>
      <c r="E123" s="71">
        <v>44403</v>
      </c>
      <c r="F123" s="71">
        <v>44405</v>
      </c>
      <c r="G123" s="71">
        <v>44405</v>
      </c>
      <c r="H123" s="71">
        <v>44431</v>
      </c>
      <c r="I123" s="70" t="str">
        <f>VLOOKUP(A123,URS確認!E:I,5,FALSE)</f>
        <v>余家興</v>
      </c>
      <c r="L123" s="315" t="s">
        <v>1494</v>
      </c>
      <c r="P123" s="71"/>
    </row>
    <row r="124" spans="1:16" ht="33" customHeight="1" x14ac:dyDescent="0.3">
      <c r="A124" s="315" t="s">
        <v>207</v>
      </c>
      <c r="B124" s="69" t="str">
        <f>VLOOKUP(A124,URS確認!$E:$F,2,FALSE)</f>
        <v>核准額度登錄</v>
      </c>
      <c r="C124" s="315">
        <v>3</v>
      </c>
      <c r="D124" s="74" t="s">
        <v>1617</v>
      </c>
      <c r="E124" s="71">
        <v>44403</v>
      </c>
      <c r="F124" s="71">
        <v>44459</v>
      </c>
      <c r="G124" s="71">
        <v>44468</v>
      </c>
      <c r="H124" s="71">
        <v>44468</v>
      </c>
      <c r="I124" s="70" t="str">
        <f>VLOOKUP(A124,URS確認!E:I,5,FALSE)</f>
        <v>余家興</v>
      </c>
      <c r="M124" s="315" t="s">
        <v>1510</v>
      </c>
      <c r="P124" s="71" t="s">
        <v>1502</v>
      </c>
    </row>
    <row r="125" spans="1:16" ht="33" customHeight="1" x14ac:dyDescent="0.3">
      <c r="A125" s="315" t="s">
        <v>207</v>
      </c>
      <c r="B125" s="69" t="str">
        <f>VLOOKUP(A125,URS確認!$E:$F,2,FALSE)</f>
        <v>核准額度登錄</v>
      </c>
      <c r="C125" s="315">
        <v>4</v>
      </c>
      <c r="D125" s="74" t="s">
        <v>1618</v>
      </c>
      <c r="E125" s="71">
        <v>44403</v>
      </c>
      <c r="F125" s="71">
        <v>44459</v>
      </c>
      <c r="G125" s="71">
        <v>44467</v>
      </c>
      <c r="H125" s="71">
        <v>44468</v>
      </c>
      <c r="I125" s="70" t="str">
        <f>VLOOKUP(A125,URS確認!E:I,5,FALSE)</f>
        <v>余家興</v>
      </c>
      <c r="M125" s="315" t="s">
        <v>1510</v>
      </c>
      <c r="P125" s="71" t="s">
        <v>1502</v>
      </c>
    </row>
    <row r="126" spans="1:16" x14ac:dyDescent="0.3">
      <c r="A126" s="315" t="s">
        <v>205</v>
      </c>
      <c r="B126" s="69" t="str">
        <f>VLOOKUP(A126,URS確認!$E:$F,2,FALSE)</f>
        <v>案件申請登錄</v>
      </c>
      <c r="C126" s="315">
        <v>5</v>
      </c>
      <c r="D126" s="74" t="s">
        <v>1619</v>
      </c>
      <c r="E126" s="71">
        <v>44403</v>
      </c>
      <c r="F126" s="71">
        <v>44459</v>
      </c>
      <c r="G126" s="71">
        <v>44468</v>
      </c>
      <c r="H126" s="71">
        <v>44468</v>
      </c>
      <c r="I126" s="70" t="str">
        <f>VLOOKUP(A126,URS確認!E:I,5,FALSE)</f>
        <v>余家興</v>
      </c>
      <c r="M126" s="315" t="s">
        <v>1510</v>
      </c>
      <c r="P126" s="71" t="s">
        <v>1502</v>
      </c>
    </row>
    <row r="127" spans="1:16" x14ac:dyDescent="0.3">
      <c r="A127" s="315" t="s">
        <v>205</v>
      </c>
      <c r="B127" s="69" t="str">
        <f>VLOOKUP(A127,URS確認!$E:$F,2,FALSE)</f>
        <v>案件申請登錄</v>
      </c>
      <c r="C127" s="315">
        <v>6</v>
      </c>
      <c r="D127" s="74" t="s">
        <v>1620</v>
      </c>
      <c r="E127" s="71">
        <v>44403</v>
      </c>
      <c r="F127" s="71" t="s">
        <v>1536</v>
      </c>
      <c r="G127" s="71">
        <v>44481</v>
      </c>
      <c r="H127" s="71">
        <v>44481</v>
      </c>
      <c r="I127" s="70" t="str">
        <f>VLOOKUP(A127,URS確認!E:I,5,FALSE)</f>
        <v>余家興</v>
      </c>
      <c r="P127" s="71"/>
    </row>
    <row r="128" spans="1:16" x14ac:dyDescent="0.3">
      <c r="A128" s="315" t="s">
        <v>205</v>
      </c>
      <c r="B128" s="69" t="str">
        <f>VLOOKUP(A128,URS確認!$E:$F,2,FALSE)</f>
        <v>案件申請登錄</v>
      </c>
      <c r="C128" s="315">
        <v>7</v>
      </c>
      <c r="D128" s="74" t="s">
        <v>1621</v>
      </c>
      <c r="E128" s="71">
        <v>44403</v>
      </c>
      <c r="F128" s="71" t="s">
        <v>1536</v>
      </c>
      <c r="G128" s="71">
        <v>44481</v>
      </c>
      <c r="H128" s="71">
        <v>44481</v>
      </c>
      <c r="I128" s="70" t="str">
        <f>VLOOKUP(A128,URS確認!E:I,5,FALSE)</f>
        <v>余家興</v>
      </c>
      <c r="P128" s="71"/>
    </row>
    <row r="129" spans="1:16" x14ac:dyDescent="0.3">
      <c r="A129" s="315" t="s">
        <v>205</v>
      </c>
      <c r="B129" s="69" t="str">
        <f>VLOOKUP(A129,URS確認!$E:$F,2,FALSE)</f>
        <v>案件申請登錄</v>
      </c>
      <c r="C129" s="315">
        <v>8</v>
      </c>
      <c r="D129" s="74" t="s">
        <v>1622</v>
      </c>
      <c r="E129" s="71">
        <v>44403</v>
      </c>
      <c r="F129" s="71" t="s">
        <v>1536</v>
      </c>
      <c r="G129" s="71">
        <v>44481</v>
      </c>
      <c r="H129" s="71">
        <v>44481</v>
      </c>
      <c r="I129" s="70" t="str">
        <f>VLOOKUP(A129,URS確認!E:I,5,FALSE)</f>
        <v>余家興</v>
      </c>
      <c r="P129" s="71" t="s">
        <v>1606</v>
      </c>
    </row>
    <row r="130" spans="1:16" ht="33" customHeight="1" x14ac:dyDescent="0.3">
      <c r="A130" s="77" t="s">
        <v>212</v>
      </c>
      <c r="B130" s="69" t="str">
        <f>VLOOKUP(A130,URS確認!$E:$F,2,FALSE)</f>
        <v xml:space="preserve">團體戶申請登錄                          </v>
      </c>
      <c r="C130" s="315">
        <v>1</v>
      </c>
      <c r="D130" s="74" t="s">
        <v>1623</v>
      </c>
      <c r="E130" s="71">
        <v>44403</v>
      </c>
      <c r="F130" s="71">
        <v>44405</v>
      </c>
      <c r="G130" s="71">
        <v>44405</v>
      </c>
      <c r="H130" s="71">
        <v>44431</v>
      </c>
      <c r="I130" s="70" t="str">
        <f>VLOOKUP(A130,URS確認!E:I,5,FALSE)</f>
        <v>陳昱衡</v>
      </c>
      <c r="L130" s="315" t="s">
        <v>1494</v>
      </c>
      <c r="P130" s="71"/>
    </row>
    <row r="131" spans="1:16" x14ac:dyDescent="0.3">
      <c r="A131" s="77" t="s">
        <v>212</v>
      </c>
      <c r="B131" s="69" t="str">
        <f>VLOOKUP(A131,URS確認!$E:$F,2,FALSE)</f>
        <v xml:space="preserve">團體戶申請登錄                          </v>
      </c>
      <c r="C131" s="315">
        <v>2</v>
      </c>
      <c r="D131" s="74" t="s">
        <v>1624</v>
      </c>
      <c r="E131" s="71">
        <v>44403</v>
      </c>
      <c r="F131" s="71">
        <v>44405</v>
      </c>
      <c r="G131" s="71">
        <v>44405</v>
      </c>
      <c r="H131" s="71">
        <v>44431</v>
      </c>
      <c r="I131" s="70" t="str">
        <f>VLOOKUP(A131,URS確認!E:I,5,FALSE)</f>
        <v>陳昱衡</v>
      </c>
      <c r="L131" s="315" t="s">
        <v>1494</v>
      </c>
      <c r="P131" s="71"/>
    </row>
    <row r="132" spans="1:16" x14ac:dyDescent="0.3">
      <c r="A132" s="77" t="s">
        <v>212</v>
      </c>
      <c r="B132" s="69" t="str">
        <f>VLOOKUP(A132,URS確認!$E:$F,2,FALSE)</f>
        <v xml:space="preserve">團體戶申請登錄                          </v>
      </c>
      <c r="C132" s="315">
        <v>3</v>
      </c>
      <c r="D132" s="74" t="s">
        <v>1625</v>
      </c>
      <c r="E132" s="71">
        <v>44403</v>
      </c>
      <c r="F132" s="71">
        <v>44405</v>
      </c>
      <c r="G132" s="71">
        <v>44405</v>
      </c>
      <c r="H132" s="71">
        <v>44431</v>
      </c>
      <c r="I132" s="70" t="str">
        <f>VLOOKUP(A132,URS確認!E:I,5,FALSE)</f>
        <v>陳昱衡</v>
      </c>
      <c r="L132" s="315" t="s">
        <v>1494</v>
      </c>
      <c r="P132" s="71"/>
    </row>
    <row r="133" spans="1:16" x14ac:dyDescent="0.3">
      <c r="A133" s="315" t="s">
        <v>207</v>
      </c>
      <c r="B133" s="69" t="str">
        <f>VLOOKUP(A133,URS確認!$E:$F,2,FALSE)</f>
        <v>核准額度登錄</v>
      </c>
      <c r="C133" s="315">
        <v>1</v>
      </c>
      <c r="D133" s="74" t="s">
        <v>1626</v>
      </c>
      <c r="E133" s="71">
        <v>44403</v>
      </c>
      <c r="F133" s="71">
        <v>44421</v>
      </c>
      <c r="G133" s="70">
        <v>44413</v>
      </c>
      <c r="H133" s="70">
        <v>44428</v>
      </c>
      <c r="I133" s="70" t="str">
        <f>VLOOKUP(A133,URS確認!E:I,5,FALSE)</f>
        <v>余家興</v>
      </c>
      <c r="L133" s="315" t="s">
        <v>1494</v>
      </c>
      <c r="P133" s="71"/>
    </row>
    <row r="134" spans="1:16" ht="33" customHeight="1" x14ac:dyDescent="0.3">
      <c r="A134" s="315" t="s">
        <v>207</v>
      </c>
      <c r="B134" s="69" t="str">
        <f>VLOOKUP(A134,URS確認!$E:$F,2,FALSE)</f>
        <v>核准額度登錄</v>
      </c>
      <c r="C134" s="315">
        <v>2</v>
      </c>
      <c r="D134" s="74" t="s">
        <v>1627</v>
      </c>
      <c r="E134" s="71">
        <v>44403</v>
      </c>
      <c r="F134" s="70">
        <v>44407</v>
      </c>
      <c r="G134" s="70">
        <v>44407</v>
      </c>
      <c r="H134" s="70">
        <v>44428</v>
      </c>
      <c r="I134" s="70" t="str">
        <f>VLOOKUP(A134,URS確認!E:I,5,FALSE)</f>
        <v>余家興</v>
      </c>
      <c r="L134" s="315" t="s">
        <v>1494</v>
      </c>
      <c r="P134" s="70"/>
    </row>
    <row r="135" spans="1:16" x14ac:dyDescent="0.3">
      <c r="A135" s="315" t="s">
        <v>207</v>
      </c>
      <c r="B135" s="69" t="str">
        <f>VLOOKUP(A135,URS確認!$E:$F,2,FALSE)</f>
        <v>核准額度登錄</v>
      </c>
      <c r="C135" s="315">
        <v>3</v>
      </c>
      <c r="D135" s="74" t="s">
        <v>1628</v>
      </c>
      <c r="E135" s="71">
        <v>44403</v>
      </c>
      <c r="F135" s="71">
        <v>44459</v>
      </c>
      <c r="G135" s="71">
        <v>44468</v>
      </c>
      <c r="H135" s="71">
        <v>44468</v>
      </c>
      <c r="I135" s="70" t="str">
        <f>VLOOKUP(A135,URS確認!E:I,5,FALSE)</f>
        <v>余家興</v>
      </c>
      <c r="M135" s="315" t="s">
        <v>1510</v>
      </c>
      <c r="P135" s="71" t="s">
        <v>1502</v>
      </c>
    </row>
    <row r="136" spans="1:16" ht="34" customHeight="1" x14ac:dyDescent="0.3">
      <c r="A136" s="315" t="s">
        <v>207</v>
      </c>
      <c r="B136" s="69" t="str">
        <f>VLOOKUP(A136,URS確認!$E:$F,2,FALSE)</f>
        <v>核准額度登錄</v>
      </c>
      <c r="C136" s="315">
        <v>4</v>
      </c>
      <c r="D136" s="74" t="s">
        <v>1629</v>
      </c>
      <c r="E136" s="71">
        <v>44403</v>
      </c>
      <c r="F136" s="71">
        <v>44459</v>
      </c>
      <c r="G136" s="70">
        <v>44427</v>
      </c>
      <c r="H136" s="70">
        <v>44428</v>
      </c>
      <c r="I136" s="70" t="str">
        <f>VLOOKUP(A136,URS確認!E:I,5,FALSE)</f>
        <v>余家興</v>
      </c>
      <c r="L136" s="315" t="s">
        <v>1494</v>
      </c>
      <c r="P136" s="71" t="s">
        <v>1613</v>
      </c>
    </row>
    <row r="137" spans="1:16" x14ac:dyDescent="0.3">
      <c r="A137" s="315" t="s">
        <v>207</v>
      </c>
      <c r="B137" s="69" t="str">
        <f>VLOOKUP(A137,URS確認!$E:$F,2,FALSE)</f>
        <v>核准額度登錄</v>
      </c>
      <c r="C137" s="315">
        <v>5</v>
      </c>
      <c r="D137" s="74" t="s">
        <v>1630</v>
      </c>
      <c r="E137" s="71">
        <v>44403</v>
      </c>
      <c r="F137" s="70">
        <v>44407</v>
      </c>
      <c r="G137" s="70">
        <v>44407</v>
      </c>
      <c r="H137" s="70">
        <v>44428</v>
      </c>
      <c r="I137" s="70" t="str">
        <f>VLOOKUP(A137,URS確認!E:I,5,FALSE)</f>
        <v>余家興</v>
      </c>
      <c r="L137" s="315" t="s">
        <v>1494</v>
      </c>
      <c r="P137" s="70"/>
    </row>
    <row r="138" spans="1:16" x14ac:dyDescent="0.3">
      <c r="A138" s="315" t="s">
        <v>207</v>
      </c>
      <c r="B138" s="69" t="str">
        <f>VLOOKUP(A138,URS確認!$E:$F,2,FALSE)</f>
        <v>核准額度登錄</v>
      </c>
      <c r="C138" s="315">
        <v>6</v>
      </c>
      <c r="D138" s="74" t="s">
        <v>1631</v>
      </c>
      <c r="E138" s="71">
        <v>44403</v>
      </c>
      <c r="F138" s="70">
        <v>44407</v>
      </c>
      <c r="G138" s="70">
        <v>44407</v>
      </c>
      <c r="H138" s="70">
        <v>44428</v>
      </c>
      <c r="I138" s="70" t="str">
        <f>VLOOKUP(A138,URS確認!E:I,5,FALSE)</f>
        <v>余家興</v>
      </c>
      <c r="L138" s="315" t="s">
        <v>1494</v>
      </c>
      <c r="P138" s="70"/>
    </row>
    <row r="139" spans="1:16" x14ac:dyDescent="0.3">
      <c r="A139" s="315" t="s">
        <v>207</v>
      </c>
      <c r="B139" s="69" t="str">
        <f>VLOOKUP(A139,URS確認!$E:$F,2,FALSE)</f>
        <v>核准額度登錄</v>
      </c>
      <c r="C139" s="315">
        <v>7</v>
      </c>
      <c r="D139" s="74" t="s">
        <v>1632</v>
      </c>
      <c r="E139" s="71">
        <v>44403</v>
      </c>
      <c r="F139" s="71">
        <v>44414</v>
      </c>
      <c r="G139" s="70">
        <v>44413</v>
      </c>
      <c r="H139" s="70">
        <v>44428</v>
      </c>
      <c r="I139" s="70" t="str">
        <f>VLOOKUP(A139,URS確認!E:I,5,FALSE)</f>
        <v>余家興</v>
      </c>
      <c r="M139" s="315" t="s">
        <v>1510</v>
      </c>
      <c r="P139" s="71"/>
    </row>
    <row r="140" spans="1:16" x14ac:dyDescent="0.3">
      <c r="A140" s="315" t="s">
        <v>207</v>
      </c>
      <c r="B140" s="69" t="str">
        <f>VLOOKUP(A140,URS確認!$E:$F,2,FALSE)</f>
        <v>核准額度登錄</v>
      </c>
      <c r="C140" s="315">
        <v>8</v>
      </c>
      <c r="D140" s="74" t="s">
        <v>1633</v>
      </c>
      <c r="E140" s="71">
        <v>44403</v>
      </c>
      <c r="F140" s="71" t="s">
        <v>1536</v>
      </c>
      <c r="G140" s="71">
        <v>44552</v>
      </c>
      <c r="H140" s="71">
        <v>44552</v>
      </c>
      <c r="I140" s="70" t="str">
        <f>VLOOKUP(A140,URS確認!E:I,5,FALSE)</f>
        <v>余家興</v>
      </c>
      <c r="P140" s="71"/>
    </row>
    <row r="141" spans="1:16" ht="34" customHeight="1" x14ac:dyDescent="0.3">
      <c r="A141" s="315" t="s">
        <v>207</v>
      </c>
      <c r="B141" s="69" t="str">
        <f>VLOOKUP(A141,URS確認!$E:$F,2,FALSE)</f>
        <v>核准額度登錄</v>
      </c>
      <c r="C141" s="315">
        <v>9</v>
      </c>
      <c r="D141" s="74" t="s">
        <v>1634</v>
      </c>
      <c r="E141" s="71">
        <v>44403</v>
      </c>
      <c r="F141" s="71" t="s">
        <v>1536</v>
      </c>
      <c r="G141" s="71">
        <v>44552</v>
      </c>
      <c r="H141" s="71">
        <v>44552</v>
      </c>
      <c r="I141" s="70" t="str">
        <f>VLOOKUP(A141,URS確認!E:I,5,FALSE)</f>
        <v>余家興</v>
      </c>
      <c r="P141" s="71"/>
    </row>
    <row r="142" spans="1:16" x14ac:dyDescent="0.3">
      <c r="A142" s="315" t="s">
        <v>215</v>
      </c>
      <c r="B142" s="69" t="str">
        <f>VLOOKUP(A142,URS確認!$E:$F,2,FALSE)</f>
        <v xml:space="preserve">額度明細資料查詢                        </v>
      </c>
      <c r="C142" s="315">
        <v>1</v>
      </c>
      <c r="D142" s="74" t="s">
        <v>1635</v>
      </c>
      <c r="E142" s="71">
        <v>44404</v>
      </c>
      <c r="F142" s="71">
        <v>44407</v>
      </c>
      <c r="G142" s="71">
        <v>44407</v>
      </c>
      <c r="H142" s="71">
        <v>44431</v>
      </c>
      <c r="I142" s="70" t="str">
        <f>VLOOKUP(A142,URS確認!E:I,5,FALSE)</f>
        <v>陳昱衡</v>
      </c>
      <c r="L142" s="315" t="s">
        <v>1494</v>
      </c>
      <c r="P142" s="71"/>
    </row>
    <row r="143" spans="1:16" ht="66" customHeight="1" x14ac:dyDescent="0.3">
      <c r="A143" s="315" t="s">
        <v>218</v>
      </c>
      <c r="B143" s="69" t="str">
        <f>VLOOKUP(A143,URS確認!$E:$F,2,FALSE)</f>
        <v xml:space="preserve">額度資料維護                            </v>
      </c>
      <c r="C143" s="315">
        <v>1</v>
      </c>
      <c r="D143" s="74" t="s">
        <v>1636</v>
      </c>
      <c r="E143" s="71">
        <v>44404</v>
      </c>
      <c r="F143" s="71">
        <v>44469</v>
      </c>
      <c r="G143" s="71">
        <v>44469</v>
      </c>
      <c r="H143" s="71">
        <v>44469</v>
      </c>
      <c r="I143" s="70" t="str">
        <f>VLOOKUP(A143,URS確認!E:I,5,FALSE)</f>
        <v>余家興</v>
      </c>
      <c r="M143" s="315" t="s">
        <v>1510</v>
      </c>
      <c r="P143" s="71" t="s">
        <v>1606</v>
      </c>
    </row>
    <row r="144" spans="1:16" x14ac:dyDescent="0.3">
      <c r="A144" s="315" t="s">
        <v>218</v>
      </c>
      <c r="B144" s="69" t="str">
        <f>VLOOKUP(A144,URS確認!$E:$F,2,FALSE)</f>
        <v xml:space="preserve">額度資料維護                            </v>
      </c>
      <c r="C144" s="315">
        <v>2</v>
      </c>
      <c r="D144" s="74" t="s">
        <v>1637</v>
      </c>
      <c r="E144" s="71">
        <v>44404</v>
      </c>
      <c r="F144" s="70">
        <v>44407</v>
      </c>
      <c r="G144" s="70">
        <v>44407</v>
      </c>
      <c r="H144" s="70">
        <v>44428</v>
      </c>
      <c r="I144" s="70" t="str">
        <f>VLOOKUP(A144,URS確認!E:I,5,FALSE)</f>
        <v>余家興</v>
      </c>
      <c r="L144" s="315" t="s">
        <v>1494</v>
      </c>
      <c r="P144" s="70"/>
    </row>
    <row r="145" spans="1:16" x14ac:dyDescent="0.3">
      <c r="A145" s="315" t="s">
        <v>218</v>
      </c>
      <c r="B145" s="69" t="str">
        <f>VLOOKUP(A145,URS確認!$E:$F,2,FALSE)</f>
        <v xml:space="preserve">額度資料維護                            </v>
      </c>
      <c r="C145" s="315">
        <v>3</v>
      </c>
      <c r="D145" s="74" t="s">
        <v>1638</v>
      </c>
      <c r="E145" s="71">
        <v>44404</v>
      </c>
      <c r="F145" s="71">
        <v>44419</v>
      </c>
      <c r="G145" s="70">
        <v>44419</v>
      </c>
      <c r="H145" s="70">
        <v>44428</v>
      </c>
      <c r="I145" s="70" t="str">
        <f>VLOOKUP(A145,URS確認!E:I,5,FALSE)</f>
        <v>余家興</v>
      </c>
      <c r="L145" s="315" t="s">
        <v>1494</v>
      </c>
      <c r="P145" s="71"/>
    </row>
    <row r="146" spans="1:16" x14ac:dyDescent="0.3">
      <c r="A146" s="315" t="s">
        <v>218</v>
      </c>
      <c r="B146" s="69" t="str">
        <f>VLOOKUP(A146,URS確認!$E:$F,2,FALSE)</f>
        <v xml:space="preserve">額度資料維護                            </v>
      </c>
      <c r="C146" s="315">
        <v>4</v>
      </c>
      <c r="D146" s="74" t="s">
        <v>1639</v>
      </c>
      <c r="E146" s="71">
        <v>44404</v>
      </c>
      <c r="F146" s="70">
        <v>44407</v>
      </c>
      <c r="G146" s="70">
        <v>44407</v>
      </c>
      <c r="H146" s="70">
        <v>44428</v>
      </c>
      <c r="I146" s="70" t="str">
        <f>VLOOKUP(A146,URS確認!E:I,5,FALSE)</f>
        <v>余家興</v>
      </c>
      <c r="J146" s="315" t="s">
        <v>1494</v>
      </c>
      <c r="P146" s="70"/>
    </row>
    <row r="147" spans="1:16" x14ac:dyDescent="0.3">
      <c r="A147" s="315" t="s">
        <v>218</v>
      </c>
      <c r="B147" s="69" t="str">
        <f>VLOOKUP(A147,URS確認!$E:$F,2,FALSE)</f>
        <v xml:space="preserve">額度資料維護                            </v>
      </c>
      <c r="C147" s="315">
        <v>5</v>
      </c>
      <c r="D147" s="74" t="s">
        <v>1640</v>
      </c>
      <c r="E147" s="71">
        <v>44404</v>
      </c>
      <c r="F147" s="71">
        <v>44418</v>
      </c>
      <c r="G147" s="70">
        <v>44413</v>
      </c>
      <c r="H147" s="70">
        <v>44428</v>
      </c>
      <c r="I147" s="70" t="str">
        <f>VLOOKUP(A147,URS確認!E:I,5,FALSE)</f>
        <v>余家興</v>
      </c>
      <c r="J147" s="315" t="s">
        <v>1494</v>
      </c>
      <c r="P147" s="71"/>
    </row>
    <row r="148" spans="1:16" x14ac:dyDescent="0.3">
      <c r="A148" s="315" t="s">
        <v>218</v>
      </c>
      <c r="B148" s="69" t="str">
        <f>VLOOKUP(A148,URS確認!$E:$F,2,FALSE)</f>
        <v xml:space="preserve">額度資料維護                            </v>
      </c>
      <c r="C148" s="315">
        <v>6</v>
      </c>
      <c r="D148" s="74" t="s">
        <v>1641</v>
      </c>
      <c r="E148" s="71">
        <v>44404</v>
      </c>
      <c r="F148" s="70">
        <v>44407</v>
      </c>
      <c r="G148" s="70">
        <v>44407</v>
      </c>
      <c r="H148" s="70">
        <v>44428</v>
      </c>
      <c r="I148" s="70" t="str">
        <f>VLOOKUP(A148,URS確認!E:I,5,FALSE)</f>
        <v>余家興</v>
      </c>
      <c r="L148" s="315" t="s">
        <v>1494</v>
      </c>
      <c r="P148" s="70"/>
    </row>
    <row r="149" spans="1:16" ht="33" customHeight="1" x14ac:dyDescent="0.3">
      <c r="A149" s="72" t="s">
        <v>218</v>
      </c>
      <c r="B149" s="69" t="str">
        <f>VLOOKUP(A149,URS確認!$E:$F,2,FALSE)</f>
        <v xml:space="preserve">額度資料維護                            </v>
      </c>
      <c r="C149" s="72">
        <v>7</v>
      </c>
      <c r="D149" s="75" t="s">
        <v>1642</v>
      </c>
      <c r="E149" s="71">
        <v>44404</v>
      </c>
      <c r="F149" s="70">
        <v>44469</v>
      </c>
      <c r="G149" s="70">
        <v>44469</v>
      </c>
      <c r="H149" s="70">
        <v>44469</v>
      </c>
      <c r="I149" s="70" t="s">
        <v>193</v>
      </c>
      <c r="M149" s="315" t="s">
        <v>1510</v>
      </c>
      <c r="P149" s="70" t="s">
        <v>1530</v>
      </c>
    </row>
    <row r="150" spans="1:16" x14ac:dyDescent="0.3">
      <c r="A150" s="72" t="s">
        <v>221</v>
      </c>
      <c r="B150" s="69" t="str">
        <f>VLOOKUP(A150,URS確認!$E:$F,2,FALSE)</f>
        <v xml:space="preserve">核准號碼明細資料查詢                    </v>
      </c>
      <c r="C150" s="72">
        <v>1</v>
      </c>
      <c r="D150" s="75" t="s">
        <v>1643</v>
      </c>
      <c r="E150" s="71">
        <v>44404</v>
      </c>
      <c r="F150" s="70">
        <v>44418</v>
      </c>
      <c r="G150" s="70">
        <v>44409</v>
      </c>
      <c r="H150" s="70">
        <v>44431</v>
      </c>
      <c r="I150" s="70" t="str">
        <f>VLOOKUP(A150,URS確認!E:I,5,FALSE)</f>
        <v>余家興</v>
      </c>
      <c r="L150" s="315" t="s">
        <v>1494</v>
      </c>
      <c r="P150" s="70"/>
    </row>
    <row r="151" spans="1:16" ht="99" customHeight="1" x14ac:dyDescent="0.3">
      <c r="A151" s="315" t="s">
        <v>326</v>
      </c>
      <c r="B151" s="69" t="str">
        <f>VLOOKUP(A151,URS確認!$E:$F,2,FALSE)</f>
        <v xml:space="preserve">撥款                     </v>
      </c>
      <c r="C151" s="315">
        <v>1</v>
      </c>
      <c r="D151" s="74" t="s">
        <v>1644</v>
      </c>
      <c r="E151" s="71">
        <v>44404</v>
      </c>
      <c r="F151" s="73" t="s">
        <v>1645</v>
      </c>
      <c r="G151" s="73" t="s">
        <v>1645</v>
      </c>
      <c r="H151" s="73" t="s">
        <v>1645</v>
      </c>
      <c r="I151" s="70" t="s">
        <v>193</v>
      </c>
      <c r="N151" s="315" t="s">
        <v>1494</v>
      </c>
      <c r="P151" s="71" t="s">
        <v>1530</v>
      </c>
    </row>
    <row r="152" spans="1:16" x14ac:dyDescent="0.3">
      <c r="A152" s="315" t="s">
        <v>1408</v>
      </c>
      <c r="B152" s="69" t="s">
        <v>1409</v>
      </c>
      <c r="C152" s="315">
        <v>1</v>
      </c>
      <c r="D152" s="74" t="s">
        <v>1646</v>
      </c>
      <c r="E152" s="71">
        <v>44404</v>
      </c>
      <c r="F152" s="71">
        <v>44439</v>
      </c>
      <c r="G152" s="71">
        <v>44446</v>
      </c>
      <c r="H152" s="71">
        <v>44446</v>
      </c>
      <c r="I152" s="108" t="s">
        <v>203</v>
      </c>
      <c r="L152" s="315" t="s">
        <v>1494</v>
      </c>
      <c r="P152" s="71"/>
    </row>
    <row r="153" spans="1:16" ht="34" customHeight="1" x14ac:dyDescent="0.3">
      <c r="A153" s="315" t="s">
        <v>236</v>
      </c>
      <c r="B153" s="69" t="str">
        <f>VLOOKUP(A153,URS確認!$E:$F,2,FALSE)</f>
        <v>未齊件代碼維護</v>
      </c>
      <c r="C153" s="315">
        <v>1</v>
      </c>
      <c r="D153" s="74" t="s">
        <v>1647</v>
      </c>
      <c r="E153" s="71">
        <v>44404</v>
      </c>
      <c r="F153" s="71">
        <v>44412</v>
      </c>
      <c r="G153" s="71">
        <v>44412</v>
      </c>
      <c r="H153" s="71">
        <v>44428</v>
      </c>
      <c r="I153" s="70" t="str">
        <f>VLOOKUP(A153,URS確認!E:I,5,FALSE)</f>
        <v>陳昱衡</v>
      </c>
      <c r="L153" s="315" t="s">
        <v>1494</v>
      </c>
      <c r="P153" s="71"/>
    </row>
    <row r="154" spans="1:16" x14ac:dyDescent="0.3">
      <c r="A154" s="315" t="s">
        <v>236</v>
      </c>
      <c r="B154" s="69" t="str">
        <f>VLOOKUP(A154,URS確認!$E:$F,2,FALSE)</f>
        <v>未齊件代碼維護</v>
      </c>
      <c r="C154" s="315">
        <v>2</v>
      </c>
      <c r="D154" s="74" t="s">
        <v>1648</v>
      </c>
      <c r="E154" s="71">
        <v>44404</v>
      </c>
      <c r="F154" s="71">
        <v>44404</v>
      </c>
      <c r="G154" s="71">
        <v>44404</v>
      </c>
      <c r="H154" s="71">
        <v>44428</v>
      </c>
      <c r="I154" s="70" t="str">
        <f>VLOOKUP(A154,URS確認!E:I,5,FALSE)</f>
        <v>陳昱衡</v>
      </c>
      <c r="L154" s="315" t="s">
        <v>1494</v>
      </c>
      <c r="P154" s="71"/>
    </row>
    <row r="155" spans="1:16" ht="66" customHeight="1" x14ac:dyDescent="0.3">
      <c r="A155" s="315" t="s">
        <v>236</v>
      </c>
      <c r="B155" s="69" t="str">
        <f>VLOOKUP(A155,URS確認!$E:$F,2,FALSE)</f>
        <v>未齊件代碼維護</v>
      </c>
      <c r="C155" s="315">
        <v>3</v>
      </c>
      <c r="D155" s="74" t="s">
        <v>1649</v>
      </c>
      <c r="E155" s="71">
        <v>44404</v>
      </c>
      <c r="F155" s="71">
        <v>44439</v>
      </c>
      <c r="G155" s="71">
        <v>44439</v>
      </c>
      <c r="H155" s="71">
        <v>44439</v>
      </c>
      <c r="I155" s="70" t="str">
        <f>VLOOKUP(A155,URS確認!E:I,5,FALSE)</f>
        <v>陳昱衡</v>
      </c>
      <c r="M155" s="315" t="s">
        <v>1510</v>
      </c>
      <c r="P155" s="71"/>
    </row>
    <row r="156" spans="1:16" ht="49.5" customHeight="1" x14ac:dyDescent="0.3">
      <c r="A156" s="315" t="s">
        <v>238</v>
      </c>
      <c r="B156" s="69" t="str">
        <f>VLOOKUP(A156,URS確認!$E:$F,2,FALSE)</f>
        <v xml:space="preserve">未齊件資料查詢                          </v>
      </c>
      <c r="C156" s="315">
        <v>1</v>
      </c>
      <c r="D156" s="124" t="s">
        <v>1650</v>
      </c>
      <c r="E156" s="71">
        <v>44405</v>
      </c>
      <c r="F156" s="71">
        <v>44411</v>
      </c>
      <c r="G156" s="71">
        <v>44411</v>
      </c>
      <c r="H156" s="71">
        <v>44428</v>
      </c>
      <c r="I156" s="70" t="str">
        <f>VLOOKUP(A156,URS確認!E:I,5,FALSE)</f>
        <v>陳昱衡</v>
      </c>
      <c r="L156" s="315" t="s">
        <v>1494</v>
      </c>
      <c r="P156" s="71"/>
    </row>
    <row r="157" spans="1:16" ht="82.5" customHeight="1" x14ac:dyDescent="0.3">
      <c r="A157" s="315" t="s">
        <v>238</v>
      </c>
      <c r="B157" s="69" t="str">
        <f>VLOOKUP(A157,URS確認!$E:$F,2,FALSE)</f>
        <v xml:space="preserve">未齊件資料查詢                          </v>
      </c>
      <c r="C157" s="315">
        <v>2</v>
      </c>
      <c r="D157" s="74" t="s">
        <v>1651</v>
      </c>
      <c r="E157" s="71">
        <v>44405</v>
      </c>
      <c r="F157" s="71">
        <v>44411</v>
      </c>
      <c r="G157" s="71">
        <v>44411</v>
      </c>
      <c r="H157" s="71">
        <v>44428</v>
      </c>
      <c r="I157" s="70" t="str">
        <f>VLOOKUP(A157,URS確認!E:I,5,FALSE)</f>
        <v>陳昱衡</v>
      </c>
      <c r="L157" s="315" t="s">
        <v>1494</v>
      </c>
      <c r="P157" s="71"/>
    </row>
    <row r="158" spans="1:16" x14ac:dyDescent="0.3">
      <c r="A158" s="315" t="s">
        <v>241</v>
      </c>
      <c r="B158" s="69" t="str">
        <f>VLOOKUP(A158,URS確認!$E:$F,2,FALSE)</f>
        <v xml:space="preserve">未齊案件管理             </v>
      </c>
      <c r="C158" s="315">
        <v>2</v>
      </c>
      <c r="D158" s="74" t="s">
        <v>1652</v>
      </c>
      <c r="E158" s="71">
        <v>44405</v>
      </c>
      <c r="F158" s="71">
        <v>44407</v>
      </c>
      <c r="G158" s="71">
        <v>44407</v>
      </c>
      <c r="H158" s="71">
        <v>44428</v>
      </c>
      <c r="I158" s="70" t="str">
        <f>VLOOKUP(A158,URS確認!E:I,5,FALSE)</f>
        <v>陳昱衡</v>
      </c>
      <c r="L158" s="315" t="s">
        <v>1494</v>
      </c>
      <c r="P158" s="71"/>
    </row>
    <row r="159" spans="1:16" x14ac:dyDescent="0.3">
      <c r="A159" s="315" t="s">
        <v>241</v>
      </c>
      <c r="B159" s="69" t="str">
        <f>VLOOKUP(A159,URS確認!$E:$F,2,FALSE)</f>
        <v xml:space="preserve">未齊案件管理             </v>
      </c>
      <c r="C159" s="315">
        <v>3</v>
      </c>
      <c r="D159" s="74" t="s">
        <v>1653</v>
      </c>
      <c r="E159" s="71">
        <v>44405</v>
      </c>
      <c r="F159" s="71">
        <v>44407</v>
      </c>
      <c r="G159" s="71">
        <v>44407</v>
      </c>
      <c r="H159" s="71">
        <v>44428</v>
      </c>
      <c r="I159" s="70" t="str">
        <f>VLOOKUP(A159,URS確認!E:I,5,FALSE)</f>
        <v>陳昱衡</v>
      </c>
      <c r="L159" s="315" t="s">
        <v>1494</v>
      </c>
      <c r="P159" s="71"/>
    </row>
    <row r="160" spans="1:16" x14ac:dyDescent="0.3">
      <c r="A160" s="315" t="s">
        <v>241</v>
      </c>
      <c r="B160" s="69" t="str">
        <f>VLOOKUP(A160,URS確認!$E:$F,2,FALSE)</f>
        <v xml:space="preserve">未齊案件管理             </v>
      </c>
      <c r="C160" s="315">
        <v>6</v>
      </c>
      <c r="D160" s="74" t="s">
        <v>1654</v>
      </c>
      <c r="E160" s="71">
        <v>44405</v>
      </c>
      <c r="F160" s="71">
        <v>44407</v>
      </c>
      <c r="G160" s="71">
        <v>44407</v>
      </c>
      <c r="H160" s="71">
        <v>44428</v>
      </c>
      <c r="I160" s="70" t="str">
        <f>VLOOKUP(A160,URS確認!E:I,5,FALSE)</f>
        <v>陳昱衡</v>
      </c>
      <c r="L160" s="315" t="s">
        <v>1494</v>
      </c>
      <c r="P160" s="71"/>
    </row>
    <row r="161" spans="1:16" ht="49.5" customHeight="1" x14ac:dyDescent="0.3">
      <c r="A161" s="315" t="s">
        <v>241</v>
      </c>
      <c r="B161" s="69" t="str">
        <f>VLOOKUP(A161,URS確認!$E:$F,2,FALSE)</f>
        <v xml:space="preserve">未齊案件管理             </v>
      </c>
      <c r="C161" s="315">
        <v>7</v>
      </c>
      <c r="D161" s="74" t="s">
        <v>1655</v>
      </c>
      <c r="E161" s="71">
        <v>44405</v>
      </c>
      <c r="F161" s="71">
        <v>44469</v>
      </c>
      <c r="G161" s="71">
        <v>44469</v>
      </c>
      <c r="H161" s="71">
        <v>44469</v>
      </c>
      <c r="I161" s="70" t="s">
        <v>136</v>
      </c>
      <c r="M161" s="315" t="s">
        <v>1510</v>
      </c>
      <c r="P161" s="71" t="s">
        <v>1606</v>
      </c>
    </row>
    <row r="162" spans="1:16" x14ac:dyDescent="0.3">
      <c r="A162" s="315" t="s">
        <v>224</v>
      </c>
      <c r="B162" s="69" t="str">
        <f>VLOOKUP(A162,URS確認!$E:$F,2,FALSE)</f>
        <v xml:space="preserve">保證人明細資料查詢                      </v>
      </c>
      <c r="C162" s="315">
        <v>1</v>
      </c>
      <c r="D162" s="74" t="s">
        <v>1656</v>
      </c>
      <c r="E162" s="71">
        <v>44405</v>
      </c>
      <c r="F162" s="71">
        <v>44421</v>
      </c>
      <c r="G162" s="71">
        <v>44419</v>
      </c>
      <c r="H162" s="71">
        <v>44428</v>
      </c>
      <c r="I162" s="70" t="str">
        <f>VLOOKUP(A162,URS確認!E:I,5,FALSE)</f>
        <v>陳昱衡</v>
      </c>
      <c r="L162" s="315" t="s">
        <v>1494</v>
      </c>
      <c r="P162" s="71"/>
    </row>
    <row r="163" spans="1:16" x14ac:dyDescent="0.3">
      <c r="A163" s="315" t="s">
        <v>224</v>
      </c>
      <c r="B163" s="69" t="str">
        <f>VLOOKUP(A163,URS確認!$E:$F,2,FALSE)</f>
        <v xml:space="preserve">保證人明細資料查詢                      </v>
      </c>
      <c r="C163" s="315">
        <v>2</v>
      </c>
      <c r="D163" s="74" t="s">
        <v>1657</v>
      </c>
      <c r="E163" s="71">
        <v>44405</v>
      </c>
      <c r="F163" s="71">
        <v>44406</v>
      </c>
      <c r="G163" s="71">
        <v>44406</v>
      </c>
      <c r="H163" s="71">
        <v>44428</v>
      </c>
      <c r="I163" s="70" t="str">
        <f>VLOOKUP(A163,URS確認!E:I,5,FALSE)</f>
        <v>陳昱衡</v>
      </c>
      <c r="L163" s="315" t="s">
        <v>1494</v>
      </c>
      <c r="P163" s="71"/>
    </row>
    <row r="164" spans="1:16" x14ac:dyDescent="0.3">
      <c r="A164" s="315" t="s">
        <v>224</v>
      </c>
      <c r="B164" s="69" t="str">
        <f>VLOOKUP(A164,URS確認!$E:$F,2,FALSE)</f>
        <v xml:space="preserve">保證人明細資料查詢                      </v>
      </c>
      <c r="C164" s="315">
        <v>3</v>
      </c>
      <c r="D164" s="74" t="s">
        <v>1658</v>
      </c>
      <c r="E164" s="71">
        <v>44405</v>
      </c>
      <c r="F164" s="71">
        <v>44426</v>
      </c>
      <c r="G164" s="71">
        <v>44426</v>
      </c>
      <c r="H164" s="71">
        <v>44428</v>
      </c>
      <c r="I164" s="70" t="str">
        <f>VLOOKUP(A164,URS確認!E:I,5,FALSE)</f>
        <v>陳昱衡</v>
      </c>
      <c r="L164" s="315" t="s">
        <v>1494</v>
      </c>
      <c r="P164" s="71" t="s">
        <v>1502</v>
      </c>
    </row>
    <row r="165" spans="1:16" x14ac:dyDescent="0.3">
      <c r="A165" s="315" t="s">
        <v>228</v>
      </c>
      <c r="B165" s="69" t="str">
        <f>VLOOKUP(A165,URS確認!$E:$F,2,FALSE)</f>
        <v>保證人資料登錄</v>
      </c>
      <c r="C165" s="315">
        <v>1</v>
      </c>
      <c r="D165" s="74" t="s">
        <v>1659</v>
      </c>
      <c r="E165" s="71">
        <v>44405</v>
      </c>
      <c r="F165" s="71">
        <v>44411</v>
      </c>
      <c r="G165" s="71">
        <v>44411</v>
      </c>
      <c r="H165" s="71">
        <v>44428</v>
      </c>
      <c r="I165" s="70" t="str">
        <f>VLOOKUP(A165,URS確認!E:I,5,FALSE)</f>
        <v>陳昱衡</v>
      </c>
      <c r="L165" s="315" t="s">
        <v>1494</v>
      </c>
      <c r="P165" s="71"/>
    </row>
    <row r="166" spans="1:16" x14ac:dyDescent="0.3">
      <c r="A166" s="315" t="s">
        <v>228</v>
      </c>
      <c r="B166" s="69" t="str">
        <f>VLOOKUP(A166,URS確認!$E:$F,2,FALSE)</f>
        <v>保證人資料登錄</v>
      </c>
      <c r="C166" s="315">
        <v>2</v>
      </c>
      <c r="D166" s="74" t="s">
        <v>1660</v>
      </c>
      <c r="E166" s="71">
        <v>44405</v>
      </c>
      <c r="F166" s="71">
        <v>44411</v>
      </c>
      <c r="G166" s="71">
        <v>44411</v>
      </c>
      <c r="H166" s="71">
        <v>44428</v>
      </c>
      <c r="I166" s="70" t="str">
        <f>VLOOKUP(A166,URS確認!E:I,5,FALSE)</f>
        <v>陳昱衡</v>
      </c>
      <c r="L166" s="315" t="s">
        <v>1494</v>
      </c>
      <c r="P166" s="71"/>
    </row>
    <row r="167" spans="1:16" ht="33" customHeight="1" x14ac:dyDescent="0.3">
      <c r="A167" s="315" t="s">
        <v>228</v>
      </c>
      <c r="B167" s="69" t="str">
        <f>VLOOKUP(A167,URS確認!$E:$F,2,FALSE)</f>
        <v>保證人資料登錄</v>
      </c>
      <c r="C167" s="315">
        <v>3</v>
      </c>
      <c r="D167" s="74" t="s">
        <v>1661</v>
      </c>
      <c r="E167" s="71">
        <v>44405</v>
      </c>
      <c r="F167" s="71">
        <v>44421</v>
      </c>
      <c r="G167" s="71">
        <v>44414</v>
      </c>
      <c r="H167" s="71">
        <v>44428</v>
      </c>
      <c r="I167" s="70" t="str">
        <f>VLOOKUP(A167,URS確認!E:I,5,FALSE)</f>
        <v>陳昱衡</v>
      </c>
      <c r="J167" s="315" t="s">
        <v>1494</v>
      </c>
      <c r="P167" s="71"/>
    </row>
    <row r="168" spans="1:16" ht="49.5" customHeight="1" x14ac:dyDescent="0.3">
      <c r="A168" s="315" t="s">
        <v>228</v>
      </c>
      <c r="B168" s="69" t="str">
        <f>VLOOKUP(A168,URS確認!$E:$F,2,FALSE)</f>
        <v>保證人資料登錄</v>
      </c>
      <c r="C168" s="315">
        <v>4</v>
      </c>
      <c r="D168" s="74" t="s">
        <v>1662</v>
      </c>
      <c r="E168" s="71">
        <v>44405</v>
      </c>
      <c r="F168" s="71">
        <v>44428</v>
      </c>
      <c r="G168" s="71">
        <v>44442</v>
      </c>
      <c r="H168" s="71">
        <v>44456</v>
      </c>
      <c r="I168" s="70" t="s">
        <v>136</v>
      </c>
      <c r="M168" s="315" t="s">
        <v>1510</v>
      </c>
      <c r="P168" s="71" t="s">
        <v>1613</v>
      </c>
    </row>
    <row r="169" spans="1:16" ht="66" customHeight="1" x14ac:dyDescent="0.3">
      <c r="A169" s="315" t="s">
        <v>228</v>
      </c>
      <c r="B169" s="69" t="str">
        <f>VLOOKUP(A169,URS確認!$E:$F,2,FALSE)</f>
        <v>保證人資料登錄</v>
      </c>
      <c r="C169" s="315">
        <v>5</v>
      </c>
      <c r="D169" s="74" t="s">
        <v>1663</v>
      </c>
      <c r="E169" s="71">
        <v>44405</v>
      </c>
      <c r="F169" s="71">
        <v>44428</v>
      </c>
      <c r="G169" s="71">
        <v>44442</v>
      </c>
      <c r="H169" s="71">
        <v>44457</v>
      </c>
      <c r="I169" s="70" t="s">
        <v>136</v>
      </c>
      <c r="M169" s="315" t="s">
        <v>1510</v>
      </c>
      <c r="P169" s="71" t="s">
        <v>1606</v>
      </c>
    </row>
    <row r="170" spans="1:16" ht="33" customHeight="1" x14ac:dyDescent="0.3">
      <c r="A170" s="315" t="s">
        <v>228</v>
      </c>
      <c r="B170" s="69" t="str">
        <f>VLOOKUP(A170,URS確認!$E:$F,2,FALSE)</f>
        <v>保證人資料登錄</v>
      </c>
      <c r="C170" s="315">
        <v>6</v>
      </c>
      <c r="D170" s="74" t="s">
        <v>1664</v>
      </c>
      <c r="E170" s="71">
        <v>44405</v>
      </c>
      <c r="F170" s="71">
        <v>44439</v>
      </c>
      <c r="G170" s="71">
        <v>44461</v>
      </c>
      <c r="H170" s="71">
        <v>44461</v>
      </c>
      <c r="I170" s="70" t="str">
        <f>VLOOKUP(A170,URS確認!E:I,5,FALSE)</f>
        <v>陳昱衡</v>
      </c>
      <c r="M170" s="315" t="s">
        <v>1510</v>
      </c>
      <c r="P170" s="71" t="s">
        <v>1606</v>
      </c>
    </row>
    <row r="171" spans="1:16" x14ac:dyDescent="0.3">
      <c r="A171" s="315" t="s">
        <v>230</v>
      </c>
      <c r="B171" s="69" t="str">
        <f>VLOOKUP(A171,URS確認!$E:$F,2,FALSE)</f>
        <v xml:space="preserve">保證人保證資料查詢                      </v>
      </c>
      <c r="C171" s="315">
        <v>1</v>
      </c>
      <c r="D171" s="74" t="s">
        <v>1665</v>
      </c>
      <c r="E171" s="71">
        <v>44405</v>
      </c>
      <c r="F171" s="71">
        <v>44405</v>
      </c>
      <c r="G171" s="71">
        <v>44405</v>
      </c>
      <c r="H171" s="71">
        <v>44428</v>
      </c>
      <c r="I171" s="70" t="str">
        <f>VLOOKUP(A171,URS確認!E:I,5,FALSE)</f>
        <v>陳昱衡</v>
      </c>
      <c r="L171" s="315" t="s">
        <v>1494</v>
      </c>
      <c r="P171" s="71"/>
    </row>
    <row r="172" spans="1:16" x14ac:dyDescent="0.3">
      <c r="A172" s="315" t="s">
        <v>230</v>
      </c>
      <c r="B172" s="69" t="str">
        <f>VLOOKUP(A172,URS確認!$E:$F,2,FALSE)</f>
        <v xml:space="preserve">保證人保證資料查詢                      </v>
      </c>
      <c r="C172" s="315">
        <v>2</v>
      </c>
      <c r="D172" s="74" t="s">
        <v>1666</v>
      </c>
      <c r="E172" s="71">
        <v>44405</v>
      </c>
      <c r="F172" s="71">
        <v>44406</v>
      </c>
      <c r="G172" s="71">
        <v>44406</v>
      </c>
      <c r="H172" s="71">
        <v>44428</v>
      </c>
      <c r="I172" s="70" t="str">
        <f>VLOOKUP(A172,URS確認!E:I,5,FALSE)</f>
        <v>陳昱衡</v>
      </c>
      <c r="L172" s="315" t="s">
        <v>1494</v>
      </c>
      <c r="P172" s="71"/>
    </row>
    <row r="173" spans="1:16" ht="115.5" customHeight="1" x14ac:dyDescent="0.3">
      <c r="A173" s="315" t="s">
        <v>205</v>
      </c>
      <c r="B173" s="69" t="str">
        <f>VLOOKUP(A173,URS確認!$E:$F,2,FALSE)</f>
        <v>案件申請登錄</v>
      </c>
      <c r="C173" s="315">
        <v>1</v>
      </c>
      <c r="D173" s="74" t="s">
        <v>1667</v>
      </c>
      <c r="E173" s="71">
        <v>44431</v>
      </c>
      <c r="F173" s="71">
        <v>44469</v>
      </c>
      <c r="G173" s="71">
        <v>44469</v>
      </c>
      <c r="H173" s="71">
        <v>44469</v>
      </c>
      <c r="I173" s="315" t="s">
        <v>194</v>
      </c>
      <c r="M173" s="315" t="s">
        <v>1510</v>
      </c>
      <c r="P173" s="315" t="s">
        <v>1502</v>
      </c>
    </row>
    <row r="174" spans="1:16" ht="99" customHeight="1" x14ac:dyDescent="0.3">
      <c r="A174" s="315" t="s">
        <v>205</v>
      </c>
      <c r="B174" s="74" t="str">
        <f>VLOOKUP(A174,URS確認!$E:$F,2,FALSE)</f>
        <v>案件申請登錄</v>
      </c>
      <c r="C174" s="315">
        <v>2</v>
      </c>
      <c r="D174" s="74" t="s">
        <v>1668</v>
      </c>
      <c r="E174" s="71">
        <v>44431</v>
      </c>
      <c r="F174" s="315"/>
      <c r="G174" s="315"/>
      <c r="I174" s="126" t="s">
        <v>1669</v>
      </c>
      <c r="O174" s="315" t="s">
        <v>1494</v>
      </c>
    </row>
    <row r="175" spans="1:16" ht="49.5" customHeight="1" x14ac:dyDescent="0.3">
      <c r="A175" s="315" t="s">
        <v>205</v>
      </c>
      <c r="B175" s="74" t="str">
        <f>VLOOKUP(A175,URS確認!$E:$F,2,FALSE)</f>
        <v>案件申請登錄</v>
      </c>
      <c r="C175" s="315">
        <v>3</v>
      </c>
      <c r="D175" s="74" t="s">
        <v>1670</v>
      </c>
      <c r="E175" s="71">
        <v>44431</v>
      </c>
      <c r="F175" s="315"/>
      <c r="G175" s="315"/>
      <c r="I175" s="126" t="s">
        <v>1669</v>
      </c>
      <c r="O175" s="315" t="s">
        <v>1494</v>
      </c>
    </row>
    <row r="176" spans="1:16" ht="33" customHeight="1" x14ac:dyDescent="0.3">
      <c r="A176" s="315" t="s">
        <v>258</v>
      </c>
      <c r="B176" s="69" t="str">
        <f>VLOOKUP(A176,URS確認!$E:$F,2,FALSE)</f>
        <v>交易關係人維護</v>
      </c>
      <c r="C176" s="315">
        <v>1</v>
      </c>
      <c r="D176" s="74" t="s">
        <v>1671</v>
      </c>
      <c r="E176" s="71">
        <v>44431</v>
      </c>
      <c r="F176" s="71">
        <v>44469</v>
      </c>
      <c r="G176" s="71">
        <v>44456</v>
      </c>
      <c r="H176" s="71">
        <v>44456</v>
      </c>
      <c r="I176" s="315" t="s">
        <v>136</v>
      </c>
      <c r="M176" s="315" t="s">
        <v>1510</v>
      </c>
    </row>
    <row r="177" spans="1:13" ht="49.5" customHeight="1" x14ac:dyDescent="0.3">
      <c r="B177" s="74" t="s">
        <v>1672</v>
      </c>
      <c r="C177" s="315">
        <v>1</v>
      </c>
      <c r="D177" s="74" t="s">
        <v>1673</v>
      </c>
      <c r="E177" s="71">
        <v>44432</v>
      </c>
      <c r="F177" s="71">
        <v>44620</v>
      </c>
      <c r="G177" s="315"/>
      <c r="I177" s="315" t="s">
        <v>136</v>
      </c>
      <c r="M177" s="315" t="s">
        <v>1510</v>
      </c>
    </row>
    <row r="178" spans="1:13" ht="49.5" customHeight="1" x14ac:dyDescent="0.3">
      <c r="B178" s="74" t="s">
        <v>1672</v>
      </c>
      <c r="C178" s="315">
        <v>2</v>
      </c>
      <c r="D178" s="74" t="s">
        <v>1674</v>
      </c>
      <c r="E178" s="71">
        <v>44432</v>
      </c>
      <c r="F178" s="71">
        <v>44620</v>
      </c>
      <c r="G178" s="315"/>
      <c r="I178" s="315" t="s">
        <v>136</v>
      </c>
      <c r="M178" s="315" t="s">
        <v>1510</v>
      </c>
    </row>
    <row r="179" spans="1:13" ht="49.5" customHeight="1" x14ac:dyDescent="0.3">
      <c r="B179" s="74" t="s">
        <v>1672</v>
      </c>
      <c r="C179" s="315">
        <v>3</v>
      </c>
      <c r="D179" s="74" t="s">
        <v>1675</v>
      </c>
      <c r="E179" s="71">
        <v>44432</v>
      </c>
      <c r="F179" s="71">
        <v>44435</v>
      </c>
      <c r="G179" s="71">
        <v>44435</v>
      </c>
      <c r="H179" s="71">
        <v>44445</v>
      </c>
      <c r="I179" s="315" t="s">
        <v>136</v>
      </c>
      <c r="L179" s="315" t="s">
        <v>1494</v>
      </c>
    </row>
    <row r="180" spans="1:13" ht="49.5" customHeight="1" x14ac:dyDescent="0.3">
      <c r="B180" s="74" t="s">
        <v>1672</v>
      </c>
      <c r="C180" s="315">
        <v>4</v>
      </c>
      <c r="D180" s="74" t="s">
        <v>1676</v>
      </c>
      <c r="E180" s="71">
        <v>44432</v>
      </c>
      <c r="F180" s="71">
        <v>44469</v>
      </c>
      <c r="G180" s="71">
        <v>44445</v>
      </c>
      <c r="H180" s="71">
        <v>44445</v>
      </c>
      <c r="I180" s="315" t="s">
        <v>136</v>
      </c>
      <c r="L180" s="315" t="s">
        <v>1494</v>
      </c>
    </row>
    <row r="181" spans="1:13" ht="49.5" customHeight="1" x14ac:dyDescent="0.3">
      <c r="B181" s="74" t="s">
        <v>1672</v>
      </c>
      <c r="C181" s="315">
        <v>5</v>
      </c>
      <c r="D181" s="74" t="s">
        <v>1677</v>
      </c>
      <c r="E181" s="71">
        <v>44432</v>
      </c>
      <c r="F181" s="71">
        <v>44469</v>
      </c>
      <c r="G181" s="71">
        <v>44441</v>
      </c>
      <c r="H181" s="71">
        <v>44445</v>
      </c>
      <c r="I181" s="315" t="s">
        <v>203</v>
      </c>
      <c r="L181" s="315" t="s">
        <v>1494</v>
      </c>
    </row>
    <row r="182" spans="1:13" x14ac:dyDescent="0.3">
      <c r="A182" s="315" t="s">
        <v>261</v>
      </c>
      <c r="B182" s="69" t="str">
        <f>VLOOKUP(A182,URS確認!$E:$F,2,FALSE)</f>
        <v xml:space="preserve">擔保品明細資料查詢                      </v>
      </c>
      <c r="C182" s="315">
        <v>1</v>
      </c>
      <c r="D182" s="69" t="s">
        <v>1678</v>
      </c>
      <c r="E182" s="71">
        <v>44432</v>
      </c>
      <c r="F182" s="71">
        <v>44435</v>
      </c>
      <c r="G182" s="71">
        <v>44434</v>
      </c>
      <c r="H182" s="71">
        <v>44434</v>
      </c>
      <c r="I182" s="315" t="s">
        <v>203</v>
      </c>
      <c r="L182" s="315" t="s">
        <v>1494</v>
      </c>
    </row>
    <row r="183" spans="1:13" ht="74" customHeight="1" x14ac:dyDescent="0.3">
      <c r="A183" s="315" t="s">
        <v>263</v>
      </c>
      <c r="B183" s="69" t="str">
        <f>VLOOKUP(A183,URS確認!$E:$F,2,FALSE)</f>
        <v>不動產擔保品資料登錄</v>
      </c>
      <c r="C183" s="315">
        <v>1</v>
      </c>
      <c r="D183" s="74" t="s">
        <v>1679</v>
      </c>
      <c r="E183" s="71">
        <v>44432</v>
      </c>
      <c r="F183" s="71">
        <v>44469</v>
      </c>
      <c r="G183" s="71">
        <v>44446</v>
      </c>
      <c r="H183" s="71">
        <v>44447</v>
      </c>
      <c r="I183" s="132" t="s">
        <v>203</v>
      </c>
      <c r="M183" s="315" t="s">
        <v>1510</v>
      </c>
    </row>
    <row r="184" spans="1:13" x14ac:dyDescent="0.3">
      <c r="A184" s="315" t="s">
        <v>263</v>
      </c>
      <c r="B184" s="69" t="str">
        <f>VLOOKUP(A184,URS確認!$E:$F,2,FALSE)</f>
        <v>不動產擔保品資料登錄</v>
      </c>
      <c r="C184" s="315">
        <v>3</v>
      </c>
      <c r="D184" s="74" t="s">
        <v>1680</v>
      </c>
      <c r="E184" s="71">
        <v>44432</v>
      </c>
      <c r="F184" s="71">
        <v>44435</v>
      </c>
      <c r="G184" s="71">
        <v>44434</v>
      </c>
      <c r="H184" s="71">
        <v>44445</v>
      </c>
      <c r="I184" s="315" t="s">
        <v>136</v>
      </c>
      <c r="L184" s="315" t="s">
        <v>1494</v>
      </c>
    </row>
    <row r="185" spans="1:13" ht="33" customHeight="1" x14ac:dyDescent="0.3">
      <c r="A185" s="315" t="s">
        <v>263</v>
      </c>
      <c r="B185" s="69" t="str">
        <f>VLOOKUP(A185,URS確認!$E:$F,2,FALSE)</f>
        <v>不動產擔保品資料登錄</v>
      </c>
      <c r="C185" s="315">
        <v>4</v>
      </c>
      <c r="D185" s="74" t="s">
        <v>1681</v>
      </c>
      <c r="E185" s="71">
        <v>44432</v>
      </c>
      <c r="F185" s="71">
        <v>44435</v>
      </c>
      <c r="G185" s="71">
        <v>44434</v>
      </c>
      <c r="H185" s="71">
        <v>44445</v>
      </c>
      <c r="I185" s="315" t="s">
        <v>136</v>
      </c>
      <c r="L185" s="315" t="s">
        <v>1494</v>
      </c>
    </row>
    <row r="186" spans="1:13" x14ac:dyDescent="0.3">
      <c r="A186" s="315" t="s">
        <v>271</v>
      </c>
      <c r="B186" s="69" t="str">
        <f>VLOOKUP(A186,URS確認!$E:$F,2,FALSE)</f>
        <v>不動產建物擔保品資料登錄</v>
      </c>
      <c r="C186" s="315">
        <v>1</v>
      </c>
      <c r="D186" s="74" t="s">
        <v>1682</v>
      </c>
      <c r="E186" s="71">
        <v>44432</v>
      </c>
      <c r="F186" s="71">
        <v>44442</v>
      </c>
      <c r="G186" s="71">
        <v>44441</v>
      </c>
      <c r="H186" s="71">
        <v>44445</v>
      </c>
      <c r="I186" s="315" t="s">
        <v>136</v>
      </c>
      <c r="L186" s="315" t="s">
        <v>1494</v>
      </c>
    </row>
    <row r="187" spans="1:13" x14ac:dyDescent="0.3">
      <c r="A187" s="315" t="s">
        <v>271</v>
      </c>
      <c r="B187" s="69" t="str">
        <f>VLOOKUP(A187,URS確認!$E:$F,2,FALSE)</f>
        <v>不動產建物擔保品資料登錄</v>
      </c>
      <c r="C187" s="315">
        <v>2</v>
      </c>
      <c r="D187" s="74" t="s">
        <v>1683</v>
      </c>
      <c r="E187" s="71">
        <v>44432</v>
      </c>
      <c r="F187" s="71">
        <v>44442</v>
      </c>
      <c r="G187" s="71">
        <v>44441</v>
      </c>
      <c r="H187" s="71">
        <v>44445</v>
      </c>
      <c r="I187" s="315" t="s">
        <v>136</v>
      </c>
      <c r="L187" s="315" t="s">
        <v>1494</v>
      </c>
    </row>
    <row r="188" spans="1:13" ht="33" customHeight="1" x14ac:dyDescent="0.3">
      <c r="A188" s="315" t="s">
        <v>268</v>
      </c>
      <c r="B188" s="69" t="str">
        <f>VLOOKUP(A188,URS確認!$E:$F,2,FALSE)</f>
        <v xml:space="preserve">不動產擔保品資料查詢                    </v>
      </c>
      <c r="C188" s="315">
        <v>1</v>
      </c>
      <c r="D188" s="74" t="s">
        <v>1684</v>
      </c>
      <c r="E188" s="71">
        <v>44432</v>
      </c>
      <c r="F188" s="71">
        <v>44435</v>
      </c>
      <c r="G188" s="71">
        <v>44434</v>
      </c>
      <c r="H188" s="71">
        <v>44445</v>
      </c>
      <c r="I188" s="315" t="s">
        <v>136</v>
      </c>
      <c r="L188" s="315" t="s">
        <v>1494</v>
      </c>
    </row>
    <row r="189" spans="1:13" x14ac:dyDescent="0.3">
      <c r="A189" s="315" t="s">
        <v>1430</v>
      </c>
      <c r="B189" s="69" t="e">
        <f>VLOOKUP(A189,URS確認!$E:$F,2,FALSE)</f>
        <v>#N/A</v>
      </c>
      <c r="C189" s="315">
        <v>1</v>
      </c>
      <c r="D189" s="74" t="s">
        <v>1685</v>
      </c>
      <c r="E189" s="71">
        <v>44432</v>
      </c>
      <c r="F189" s="71">
        <v>44435</v>
      </c>
      <c r="G189" s="71">
        <v>44434</v>
      </c>
      <c r="H189" s="71">
        <v>44445</v>
      </c>
      <c r="I189" s="315" t="s">
        <v>136</v>
      </c>
      <c r="L189" s="315" t="s">
        <v>1494</v>
      </c>
    </row>
    <row r="190" spans="1:13" x14ac:dyDescent="0.3">
      <c r="A190" s="315" t="s">
        <v>1433</v>
      </c>
      <c r="B190" s="69" t="e">
        <f>VLOOKUP(A190,URS確認!$E:$F,2,FALSE)</f>
        <v>#N/A</v>
      </c>
      <c r="C190" s="315">
        <v>1</v>
      </c>
      <c r="D190" s="74" t="s">
        <v>1686</v>
      </c>
      <c r="E190" s="71">
        <v>44432</v>
      </c>
      <c r="F190" s="71">
        <v>44435</v>
      </c>
      <c r="G190" s="71">
        <v>44434</v>
      </c>
      <c r="H190" s="71">
        <v>44445</v>
      </c>
      <c r="I190" s="315" t="s">
        <v>136</v>
      </c>
      <c r="L190" s="315" t="s">
        <v>1494</v>
      </c>
    </row>
    <row r="191" spans="1:13" ht="33" customHeight="1" x14ac:dyDescent="0.3">
      <c r="A191" s="315" t="s">
        <v>258</v>
      </c>
      <c r="B191" s="69" t="str">
        <f>VLOOKUP(A191,URS確認!$E:$F,2,FALSE)</f>
        <v>交易關係人維護</v>
      </c>
      <c r="C191" s="315">
        <v>1</v>
      </c>
      <c r="D191" s="74" t="s">
        <v>1687</v>
      </c>
      <c r="E191" s="71">
        <v>44432</v>
      </c>
      <c r="F191" s="71">
        <v>44442</v>
      </c>
      <c r="G191" s="71">
        <v>44440</v>
      </c>
      <c r="H191" s="71">
        <v>44461</v>
      </c>
      <c r="I191" s="315" t="s">
        <v>136</v>
      </c>
      <c r="M191" s="315" t="s">
        <v>1510</v>
      </c>
    </row>
    <row r="192" spans="1:13" ht="15.65" customHeight="1" x14ac:dyDescent="0.3">
      <c r="A192" s="315" t="s">
        <v>288</v>
      </c>
      <c r="B192" s="69" t="str">
        <f>VLOOKUP(A192,URS確認!$E:$F,2,FALSE)</f>
        <v>動產擔保品資料登錄</v>
      </c>
      <c r="C192" s="315">
        <v>1</v>
      </c>
      <c r="D192" s="74" t="s">
        <v>1688</v>
      </c>
      <c r="E192" s="71">
        <v>44433</v>
      </c>
      <c r="F192" s="71">
        <v>44435</v>
      </c>
      <c r="G192" s="71">
        <v>44435</v>
      </c>
      <c r="H192" s="71">
        <v>44445</v>
      </c>
      <c r="I192" s="315" t="s">
        <v>136</v>
      </c>
      <c r="L192" s="315" t="s">
        <v>1494</v>
      </c>
    </row>
    <row r="193" spans="1:13" x14ac:dyDescent="0.3">
      <c r="A193" s="315" t="s">
        <v>288</v>
      </c>
      <c r="B193" s="69" t="str">
        <f>VLOOKUP(A193,URS確認!$E:$F,2,FALSE)</f>
        <v>動產擔保品資料登錄</v>
      </c>
      <c r="C193" s="315">
        <v>2</v>
      </c>
      <c r="D193" s="74" t="s">
        <v>1689</v>
      </c>
      <c r="E193" s="71">
        <v>44433</v>
      </c>
      <c r="F193" s="71">
        <v>44469</v>
      </c>
      <c r="G193" s="71">
        <v>44445</v>
      </c>
      <c r="H193" s="71">
        <v>44445</v>
      </c>
      <c r="I193" s="315" t="s">
        <v>136</v>
      </c>
      <c r="L193" s="315" t="s">
        <v>1494</v>
      </c>
    </row>
    <row r="194" spans="1:13" ht="33" customHeight="1" x14ac:dyDescent="0.3">
      <c r="A194" s="315" t="s">
        <v>288</v>
      </c>
      <c r="B194" s="69" t="str">
        <f>VLOOKUP(A194,URS確認!$E:$F,2,FALSE)</f>
        <v>動產擔保品資料登錄</v>
      </c>
      <c r="C194" s="315">
        <v>3</v>
      </c>
      <c r="D194" s="74" t="s">
        <v>1690</v>
      </c>
      <c r="E194" s="71">
        <v>44433</v>
      </c>
      <c r="F194" s="71">
        <v>44469</v>
      </c>
      <c r="G194" s="71">
        <v>44441</v>
      </c>
      <c r="H194" s="71">
        <v>44445</v>
      </c>
      <c r="I194" s="315" t="s">
        <v>136</v>
      </c>
      <c r="L194" s="315" t="s">
        <v>1494</v>
      </c>
    </row>
    <row r="195" spans="1:13" ht="66" customHeight="1" x14ac:dyDescent="0.3">
      <c r="A195" s="315" t="s">
        <v>1438</v>
      </c>
      <c r="B195" s="69" t="e">
        <f>VLOOKUP(A195,URS確認!$E:$F,2,FALSE)</f>
        <v>#N/A</v>
      </c>
      <c r="C195" s="315">
        <v>1</v>
      </c>
      <c r="D195" s="74" t="s">
        <v>1691</v>
      </c>
      <c r="E195" s="71">
        <v>44433</v>
      </c>
      <c r="F195" s="71">
        <v>44469</v>
      </c>
      <c r="G195" s="71">
        <v>44448</v>
      </c>
      <c r="H195" s="71">
        <v>44448</v>
      </c>
      <c r="I195" s="132" t="s">
        <v>203</v>
      </c>
      <c r="L195" s="315" t="s">
        <v>1562</v>
      </c>
      <c r="M195" s="315" t="s">
        <v>1510</v>
      </c>
    </row>
    <row r="196" spans="1:13" ht="66" customHeight="1" x14ac:dyDescent="0.3">
      <c r="A196" s="315" t="s">
        <v>1441</v>
      </c>
      <c r="B196" s="69" t="e">
        <f>VLOOKUP(A196,URS確認!$E:$F,2,FALSE)</f>
        <v>#N/A</v>
      </c>
      <c r="C196" s="315">
        <v>1</v>
      </c>
      <c r="D196" s="74" t="s">
        <v>1692</v>
      </c>
      <c r="E196" s="71">
        <v>44433</v>
      </c>
      <c r="F196" s="71">
        <v>44469</v>
      </c>
      <c r="G196" s="71">
        <v>44448</v>
      </c>
      <c r="H196" s="71">
        <v>44448</v>
      </c>
      <c r="I196" s="132" t="s">
        <v>203</v>
      </c>
      <c r="M196" s="315" t="s">
        <v>1510</v>
      </c>
    </row>
    <row r="197" spans="1:13" ht="66" customHeight="1" x14ac:dyDescent="0.3">
      <c r="A197" s="315" t="s">
        <v>1443</v>
      </c>
      <c r="B197" s="69" t="e">
        <f>VLOOKUP(A197,URS確認!$E:$F,2,FALSE)</f>
        <v>#N/A</v>
      </c>
      <c r="C197" s="315">
        <v>1</v>
      </c>
      <c r="D197" s="74" t="s">
        <v>1692</v>
      </c>
      <c r="E197" s="71">
        <v>44433</v>
      </c>
      <c r="F197" s="71">
        <v>44469</v>
      </c>
      <c r="G197" s="71">
        <v>44448</v>
      </c>
      <c r="H197" s="71">
        <v>44448</v>
      </c>
      <c r="I197" s="132" t="s">
        <v>203</v>
      </c>
      <c r="M197" s="315" t="s">
        <v>1510</v>
      </c>
    </row>
    <row r="198" spans="1:13" ht="66" customHeight="1" x14ac:dyDescent="0.3">
      <c r="A198" s="315" t="s">
        <v>1435</v>
      </c>
      <c r="B198" s="69" t="e">
        <f>VLOOKUP(A198,URS確認!$E:$F,2,FALSE)</f>
        <v>#N/A</v>
      </c>
      <c r="C198" s="315">
        <v>1</v>
      </c>
      <c r="D198" s="74" t="s">
        <v>1693</v>
      </c>
      <c r="E198" s="71">
        <v>44433</v>
      </c>
      <c r="F198" s="71">
        <v>44469</v>
      </c>
      <c r="G198" s="71">
        <v>44448</v>
      </c>
      <c r="H198" s="71">
        <v>44448</v>
      </c>
      <c r="I198" s="132" t="s">
        <v>203</v>
      </c>
      <c r="M198" s="315" t="s">
        <v>1510</v>
      </c>
    </row>
    <row r="199" spans="1:13" x14ac:dyDescent="0.3">
      <c r="A199" s="315" t="s">
        <v>261</v>
      </c>
      <c r="B199" s="69" t="str">
        <f>VLOOKUP(A199,URS確認!$E:$F,2,FALSE)</f>
        <v xml:space="preserve">擔保品明細資料查詢                      </v>
      </c>
      <c r="C199" s="315">
        <v>1</v>
      </c>
      <c r="D199" s="74" t="s">
        <v>1694</v>
      </c>
      <c r="E199" s="71">
        <v>44433</v>
      </c>
      <c r="F199" s="71">
        <v>44435</v>
      </c>
      <c r="G199" s="71">
        <v>44435</v>
      </c>
      <c r="H199" s="71">
        <v>44435</v>
      </c>
      <c r="I199" s="315" t="s">
        <v>203</v>
      </c>
      <c r="L199" s="315" t="s">
        <v>1494</v>
      </c>
    </row>
    <row r="200" spans="1:13" x14ac:dyDescent="0.3">
      <c r="A200" s="315" t="s">
        <v>261</v>
      </c>
      <c r="B200" s="69" t="str">
        <f>VLOOKUP(A200,URS確認!$E:$F,2,FALSE)</f>
        <v xml:space="preserve">擔保品明細資料查詢                      </v>
      </c>
      <c r="C200" s="315">
        <v>2</v>
      </c>
      <c r="D200" s="74" t="s">
        <v>1695</v>
      </c>
      <c r="E200" s="71">
        <v>44433</v>
      </c>
      <c r="F200" s="71">
        <v>44435</v>
      </c>
      <c r="G200" s="71">
        <v>44435</v>
      </c>
      <c r="H200" s="71">
        <v>44442</v>
      </c>
      <c r="I200" s="315" t="s">
        <v>203</v>
      </c>
      <c r="L200" s="315" t="s">
        <v>1494</v>
      </c>
    </row>
    <row r="201" spans="1:13" x14ac:dyDescent="0.3">
      <c r="A201" s="315" t="s">
        <v>261</v>
      </c>
      <c r="B201" s="69" t="str">
        <f>VLOOKUP(A201,URS確認!$E:$F,2,FALSE)</f>
        <v xml:space="preserve">擔保品明細資料查詢                      </v>
      </c>
      <c r="C201" s="315">
        <v>3</v>
      </c>
      <c r="D201" s="74" t="s">
        <v>1696</v>
      </c>
      <c r="E201" s="71">
        <v>44433</v>
      </c>
      <c r="F201" s="71">
        <v>44435</v>
      </c>
      <c r="G201" s="71">
        <v>44435</v>
      </c>
      <c r="H201" s="71">
        <v>44435</v>
      </c>
      <c r="I201" s="315" t="s">
        <v>203</v>
      </c>
      <c r="L201" s="315" t="s">
        <v>1494</v>
      </c>
    </row>
    <row r="202" spans="1:13" x14ac:dyDescent="0.3">
      <c r="A202" s="315" t="s">
        <v>261</v>
      </c>
      <c r="B202" s="69" t="str">
        <f>VLOOKUP(A202,URS確認!$E:$F,2,FALSE)</f>
        <v xml:space="preserve">擔保品明細資料查詢                      </v>
      </c>
      <c r="C202" s="315">
        <v>4</v>
      </c>
      <c r="D202" s="74" t="s">
        <v>1697</v>
      </c>
      <c r="E202" s="71">
        <v>44433</v>
      </c>
      <c r="F202" s="71">
        <v>44435</v>
      </c>
      <c r="G202" s="71">
        <v>44435</v>
      </c>
      <c r="H202" s="71">
        <v>44442</v>
      </c>
      <c r="I202" s="315" t="s">
        <v>203</v>
      </c>
      <c r="L202" s="315" t="s">
        <v>1494</v>
      </c>
    </row>
    <row r="203" spans="1:13" ht="79.25" customHeight="1" x14ac:dyDescent="0.3">
      <c r="A203" s="315" t="s">
        <v>261</v>
      </c>
      <c r="B203" s="69" t="str">
        <f>VLOOKUP(A203,URS確認!$E:$F,2,FALSE)</f>
        <v xml:space="preserve">擔保品明細資料查詢                      </v>
      </c>
      <c r="C203" s="315">
        <v>5</v>
      </c>
      <c r="D203" s="74" t="s">
        <v>1698</v>
      </c>
      <c r="E203" s="71">
        <v>44433</v>
      </c>
      <c r="F203" s="71">
        <v>44435</v>
      </c>
      <c r="G203" s="71">
        <v>44435</v>
      </c>
      <c r="H203" s="71">
        <v>44442</v>
      </c>
      <c r="I203" s="315" t="s">
        <v>203</v>
      </c>
      <c r="L203" s="315" t="s">
        <v>1494</v>
      </c>
    </row>
    <row r="204" spans="1:13" ht="37.25" customHeight="1" x14ac:dyDescent="0.3">
      <c r="B204" s="74" t="s">
        <v>1699</v>
      </c>
      <c r="C204" s="315">
        <v>1</v>
      </c>
      <c r="D204" s="74" t="s">
        <v>1700</v>
      </c>
      <c r="E204" s="71">
        <v>44433</v>
      </c>
      <c r="F204" s="71">
        <v>44435</v>
      </c>
      <c r="G204" s="71">
        <v>44435</v>
      </c>
      <c r="H204" s="71">
        <v>44435</v>
      </c>
      <c r="I204" s="315" t="s">
        <v>136</v>
      </c>
      <c r="L204" s="315" t="s">
        <v>1494</v>
      </c>
    </row>
    <row r="205" spans="1:13" x14ac:dyDescent="0.3">
      <c r="A205" s="315" t="s">
        <v>271</v>
      </c>
      <c r="B205" s="69" t="str">
        <f>VLOOKUP(A205,URS確認!$E:$F,2,FALSE)</f>
        <v>不動產建物擔保品資料登錄</v>
      </c>
      <c r="C205" s="315">
        <v>1</v>
      </c>
      <c r="D205" s="74" t="s">
        <v>1701</v>
      </c>
      <c r="E205" s="71">
        <v>44433</v>
      </c>
      <c r="F205" s="71">
        <v>44461</v>
      </c>
      <c r="G205" s="71">
        <v>44462</v>
      </c>
      <c r="H205" s="71">
        <v>44462</v>
      </c>
      <c r="I205" s="315" t="s">
        <v>136</v>
      </c>
      <c r="M205" s="315" t="s">
        <v>1510</v>
      </c>
    </row>
    <row r="206" spans="1:13" x14ac:dyDescent="0.3">
      <c r="A206" s="315" t="s">
        <v>292</v>
      </c>
      <c r="B206" s="69" t="str">
        <f>VLOOKUP(A206,URS確認!$E:$F,2,FALSE)</f>
        <v>股票擔保品資料登錄</v>
      </c>
      <c r="C206" s="315">
        <v>1</v>
      </c>
      <c r="D206" s="74" t="s">
        <v>1702</v>
      </c>
      <c r="E206" s="71">
        <v>44434</v>
      </c>
      <c r="F206" s="71">
        <v>44435</v>
      </c>
      <c r="G206" s="71">
        <v>44435</v>
      </c>
      <c r="H206" s="71">
        <v>44435</v>
      </c>
      <c r="I206" s="315" t="s">
        <v>136</v>
      </c>
      <c r="L206" s="315" t="s">
        <v>1494</v>
      </c>
    </row>
    <row r="207" spans="1:13" x14ac:dyDescent="0.3">
      <c r="A207" s="315" t="s">
        <v>292</v>
      </c>
      <c r="B207" s="69" t="str">
        <f>VLOOKUP(A207,URS確認!$E:$F,2,FALSE)</f>
        <v>股票擔保品資料登錄</v>
      </c>
      <c r="C207" s="315">
        <v>2</v>
      </c>
      <c r="D207" s="74" t="s">
        <v>1703</v>
      </c>
      <c r="E207" s="71">
        <v>44434</v>
      </c>
      <c r="F207" s="71">
        <v>44435</v>
      </c>
      <c r="G207" s="71">
        <v>44435</v>
      </c>
      <c r="H207" s="71">
        <v>44445</v>
      </c>
      <c r="I207" s="315" t="s">
        <v>136</v>
      </c>
      <c r="L207" s="315" t="s">
        <v>1494</v>
      </c>
    </row>
    <row r="208" spans="1:13" ht="49.5" customHeight="1" x14ac:dyDescent="0.3">
      <c r="A208" s="315" t="s">
        <v>292</v>
      </c>
      <c r="B208" s="69" t="str">
        <f>VLOOKUP(A208,URS確認!$E:$F,2,FALSE)</f>
        <v>股票擔保品資料登錄</v>
      </c>
      <c r="C208" s="315">
        <v>3</v>
      </c>
      <c r="D208" s="74" t="s">
        <v>1704</v>
      </c>
      <c r="E208" s="71">
        <v>44434</v>
      </c>
      <c r="F208" s="71">
        <v>44435</v>
      </c>
      <c r="G208" s="71">
        <v>44435</v>
      </c>
      <c r="H208" s="71">
        <v>44435</v>
      </c>
      <c r="I208" s="315" t="s">
        <v>136</v>
      </c>
      <c r="J208" s="315" t="s">
        <v>1494</v>
      </c>
    </row>
    <row r="209" spans="1:13" ht="66" customHeight="1" x14ac:dyDescent="0.3">
      <c r="A209" s="315" t="s">
        <v>292</v>
      </c>
      <c r="B209" s="69" t="str">
        <f>VLOOKUP(A209,URS確認!$E:$F,2,FALSE)</f>
        <v>股票擔保品資料登錄</v>
      </c>
      <c r="C209" s="315">
        <v>4</v>
      </c>
      <c r="D209" s="74" t="s">
        <v>1705</v>
      </c>
      <c r="E209" s="71">
        <v>44434</v>
      </c>
      <c r="F209" s="71">
        <v>44469</v>
      </c>
      <c r="G209" s="71">
        <v>44469</v>
      </c>
      <c r="H209" s="71">
        <v>44511</v>
      </c>
      <c r="I209" s="315" t="s">
        <v>136</v>
      </c>
      <c r="M209" s="315" t="s">
        <v>1510</v>
      </c>
    </row>
    <row r="210" spans="1:13" ht="33" customHeight="1" x14ac:dyDescent="0.3">
      <c r="A210" s="315" t="s">
        <v>292</v>
      </c>
      <c r="B210" s="69" t="str">
        <f>VLOOKUP(A210,URS確認!$E:$F,2,FALSE)</f>
        <v>股票擔保品資料登錄</v>
      </c>
      <c r="C210" s="315">
        <v>5</v>
      </c>
      <c r="D210" s="74" t="s">
        <v>1706</v>
      </c>
      <c r="E210" s="71">
        <v>44434</v>
      </c>
      <c r="F210" s="71">
        <v>44438</v>
      </c>
      <c r="G210" s="71">
        <v>44438</v>
      </c>
      <c r="H210" s="71">
        <v>44438</v>
      </c>
      <c r="I210" s="315" t="s">
        <v>136</v>
      </c>
      <c r="L210" s="315" t="s">
        <v>1494</v>
      </c>
    </row>
    <row r="211" spans="1:13" ht="33" customHeight="1" x14ac:dyDescent="0.3">
      <c r="A211" s="315" t="s">
        <v>295</v>
      </c>
      <c r="B211" s="69" t="str">
        <f>VLOOKUP(A211,URS確認!$E:$F,2,FALSE)</f>
        <v xml:space="preserve">股票擔保品資料查詢                      </v>
      </c>
      <c r="C211" s="315">
        <v>1</v>
      </c>
      <c r="D211" s="74" t="s">
        <v>1707</v>
      </c>
      <c r="E211" s="71">
        <v>44434</v>
      </c>
      <c r="F211" s="71">
        <v>44442</v>
      </c>
      <c r="G211" s="71">
        <v>44441</v>
      </c>
      <c r="H211" s="71">
        <v>44441</v>
      </c>
      <c r="I211" s="315" t="s">
        <v>203</v>
      </c>
      <c r="L211" s="315" t="s">
        <v>1494</v>
      </c>
    </row>
    <row r="212" spans="1:13" x14ac:dyDescent="0.3">
      <c r="A212" s="315" t="s">
        <v>297</v>
      </c>
      <c r="B212" s="69" t="str">
        <f>VLOOKUP(A212,URS確認!$E:$F,2,FALSE)</f>
        <v>其他擔保品資料登錄</v>
      </c>
      <c r="C212" s="315">
        <v>1</v>
      </c>
      <c r="D212" s="74" t="s">
        <v>1708</v>
      </c>
      <c r="E212" s="71">
        <v>44434</v>
      </c>
      <c r="F212" s="71">
        <v>44434</v>
      </c>
      <c r="G212" s="71">
        <v>44434</v>
      </c>
      <c r="H212" s="71">
        <v>44445</v>
      </c>
      <c r="I212" s="315" t="s">
        <v>136</v>
      </c>
      <c r="L212" s="315" t="s">
        <v>1494</v>
      </c>
    </row>
    <row r="213" spans="1:13" ht="33" customHeight="1" x14ac:dyDescent="0.3">
      <c r="A213" s="315" t="s">
        <v>301</v>
      </c>
      <c r="B213" s="69" t="str">
        <f>VLOOKUP(A213,URS確認!$E:$F,2,FALSE)</f>
        <v xml:space="preserve">顧客控管警訊資料維護                    </v>
      </c>
      <c r="C213" s="315">
        <v>1</v>
      </c>
      <c r="D213" s="74" t="s">
        <v>1709</v>
      </c>
      <c r="E213" s="71">
        <v>44434</v>
      </c>
      <c r="F213" s="71">
        <v>44469</v>
      </c>
      <c r="G213" s="71">
        <v>44499</v>
      </c>
      <c r="H213" s="71">
        <v>44499</v>
      </c>
      <c r="I213" s="315" t="s">
        <v>136</v>
      </c>
      <c r="M213" s="315" t="s">
        <v>1510</v>
      </c>
    </row>
    <row r="214" spans="1:13" ht="33" customHeight="1" x14ac:dyDescent="0.3">
      <c r="A214" s="315" t="s">
        <v>301</v>
      </c>
      <c r="B214" s="69" t="str">
        <f>VLOOKUP(A214,URS確認!$E:$F,2,FALSE)</f>
        <v xml:space="preserve">顧客控管警訊資料維護                    </v>
      </c>
      <c r="C214" s="315">
        <v>2</v>
      </c>
      <c r="D214" s="74" t="s">
        <v>1710</v>
      </c>
      <c r="E214" s="71">
        <v>44434</v>
      </c>
      <c r="F214" s="71">
        <v>44469</v>
      </c>
      <c r="G214" s="71">
        <v>44441</v>
      </c>
      <c r="H214" s="71">
        <v>44448</v>
      </c>
      <c r="I214" s="315" t="s">
        <v>203</v>
      </c>
      <c r="M214" s="315" t="s">
        <v>1510</v>
      </c>
    </row>
    <row r="215" spans="1:13" ht="33" customHeight="1" x14ac:dyDescent="0.3">
      <c r="A215" s="315" t="s">
        <v>301</v>
      </c>
      <c r="B215" s="69" t="str">
        <f>VLOOKUP(A215,URS確認!$E:$F,2,FALSE)</f>
        <v xml:space="preserve">顧客控管警訊資料維護                    </v>
      </c>
      <c r="C215" s="315">
        <v>3</v>
      </c>
      <c r="D215" s="74" t="s">
        <v>1711</v>
      </c>
      <c r="E215" s="71">
        <v>44434</v>
      </c>
      <c r="F215" s="71">
        <v>44469</v>
      </c>
      <c r="G215" s="71">
        <v>44482</v>
      </c>
      <c r="H215" s="71">
        <v>44482</v>
      </c>
      <c r="I215" s="315" t="s">
        <v>314</v>
      </c>
      <c r="M215" s="315" t="s">
        <v>1510</v>
      </c>
    </row>
    <row r="216" spans="1:13" x14ac:dyDescent="0.3">
      <c r="A216" s="315" t="s">
        <v>301</v>
      </c>
      <c r="B216" s="69" t="str">
        <f>VLOOKUP(A216,URS確認!$E:$F,2,FALSE)</f>
        <v xml:space="preserve">顧客控管警訊資料維護                    </v>
      </c>
      <c r="C216" s="315">
        <v>4</v>
      </c>
      <c r="D216" s="74" t="s">
        <v>1712</v>
      </c>
      <c r="E216" s="71">
        <v>44434</v>
      </c>
      <c r="F216" s="71">
        <v>44442</v>
      </c>
      <c r="G216" s="71">
        <v>44441</v>
      </c>
      <c r="H216" s="71">
        <v>44448</v>
      </c>
      <c r="I216" s="315" t="s">
        <v>203</v>
      </c>
      <c r="M216" s="315" t="s">
        <v>1510</v>
      </c>
    </row>
    <row r="217" spans="1:13" x14ac:dyDescent="0.3">
      <c r="A217" s="315" t="s">
        <v>305</v>
      </c>
      <c r="B217" s="69" t="str">
        <f>VLOOKUP(A217,URS確認!$E:$F,2,FALSE)</f>
        <v xml:space="preserve">顧客控管警訊明細資料查詢                </v>
      </c>
      <c r="C217" s="315">
        <v>1</v>
      </c>
      <c r="D217" s="74" t="s">
        <v>1713</v>
      </c>
      <c r="E217" s="71">
        <v>44434</v>
      </c>
      <c r="F217" s="71">
        <v>44434</v>
      </c>
      <c r="G217" s="71">
        <v>44434</v>
      </c>
      <c r="H217" s="71">
        <v>44441</v>
      </c>
      <c r="I217" s="315" t="s">
        <v>136</v>
      </c>
      <c r="L217" s="315" t="s">
        <v>1494</v>
      </c>
    </row>
    <row r="218" spans="1:13" ht="82.5" customHeight="1" x14ac:dyDescent="0.3">
      <c r="A218" s="315" t="s">
        <v>305</v>
      </c>
      <c r="B218" s="69" t="str">
        <f>VLOOKUP(A218,URS確認!$E:$F,2,FALSE)</f>
        <v xml:space="preserve">顧客控管警訊明細資料查詢                </v>
      </c>
      <c r="C218" s="315">
        <v>2</v>
      </c>
      <c r="D218" s="74" t="s">
        <v>1714</v>
      </c>
      <c r="E218" s="71">
        <v>44434</v>
      </c>
      <c r="F218" s="71">
        <v>44434</v>
      </c>
      <c r="G218" s="71">
        <v>44434</v>
      </c>
      <c r="H218" s="71">
        <v>44441</v>
      </c>
      <c r="I218" s="315" t="s">
        <v>136</v>
      </c>
      <c r="L218" s="315" t="s">
        <v>1494</v>
      </c>
    </row>
    <row r="219" spans="1:13" x14ac:dyDescent="0.3">
      <c r="A219" s="315" t="s">
        <v>312</v>
      </c>
      <c r="B219" s="69" t="str">
        <f>VLOOKUP(A219,URS確認!$E:$F,2,FALSE)</f>
        <v>首次撥款審核資料表</v>
      </c>
      <c r="C219" s="315">
        <v>1</v>
      </c>
      <c r="D219" s="74" t="s">
        <v>1715</v>
      </c>
      <c r="E219" s="71">
        <v>44435</v>
      </c>
      <c r="F219" s="71">
        <v>44440</v>
      </c>
      <c r="G219" s="71">
        <v>44440</v>
      </c>
      <c r="H219" s="71">
        <f t="shared" ref="H219:H238" si="4">G219</f>
        <v>44440</v>
      </c>
      <c r="I219" s="315" t="s">
        <v>1545</v>
      </c>
      <c r="L219" s="315" t="s">
        <v>1494</v>
      </c>
    </row>
    <row r="220" spans="1:13" x14ac:dyDescent="0.3">
      <c r="A220" s="315" t="s">
        <v>312</v>
      </c>
      <c r="B220" s="69" t="str">
        <f>VLOOKUP(A220,URS確認!$E:$F,2,FALSE)</f>
        <v>首次撥款審核資料表</v>
      </c>
      <c r="C220" s="315">
        <v>2</v>
      </c>
      <c r="D220" s="74" t="s">
        <v>1716</v>
      </c>
      <c r="E220" s="71">
        <v>44435</v>
      </c>
      <c r="F220" s="71">
        <v>44440</v>
      </c>
      <c r="G220" s="71">
        <v>44440</v>
      </c>
      <c r="H220" s="71">
        <f t="shared" si="4"/>
        <v>44440</v>
      </c>
      <c r="I220" s="315" t="s">
        <v>1545</v>
      </c>
      <c r="L220" s="315" t="s">
        <v>1494</v>
      </c>
    </row>
    <row r="221" spans="1:13" x14ac:dyDescent="0.3">
      <c r="A221" s="315" t="s">
        <v>312</v>
      </c>
      <c r="B221" s="69" t="str">
        <f>VLOOKUP(A221,URS確認!$E:$F,2,FALSE)</f>
        <v>首次撥款審核資料表</v>
      </c>
      <c r="C221" s="315">
        <v>3</v>
      </c>
      <c r="D221" s="74" t="s">
        <v>1717</v>
      </c>
      <c r="E221" s="71">
        <v>44435</v>
      </c>
      <c r="F221" s="71">
        <v>44440</v>
      </c>
      <c r="G221" s="71">
        <v>44440</v>
      </c>
      <c r="H221" s="71">
        <f t="shared" si="4"/>
        <v>44440</v>
      </c>
      <c r="I221" s="315" t="s">
        <v>1545</v>
      </c>
      <c r="L221" s="315" t="s">
        <v>1494</v>
      </c>
    </row>
    <row r="222" spans="1:13" x14ac:dyDescent="0.3">
      <c r="A222" s="315" t="s">
        <v>312</v>
      </c>
      <c r="B222" s="69" t="str">
        <f>VLOOKUP(A222,URS確認!$E:$F,2,FALSE)</f>
        <v>首次撥款審核資料表</v>
      </c>
      <c r="C222" s="315">
        <v>4</v>
      </c>
      <c r="D222" s="74" t="s">
        <v>1718</v>
      </c>
      <c r="E222" s="71">
        <v>44435</v>
      </c>
      <c r="F222" s="71">
        <v>44440</v>
      </c>
      <c r="G222" s="71">
        <v>44440</v>
      </c>
      <c r="H222" s="71">
        <f t="shared" si="4"/>
        <v>44440</v>
      </c>
      <c r="I222" s="315" t="s">
        <v>1545</v>
      </c>
      <c r="L222" s="315" t="s">
        <v>1494</v>
      </c>
    </row>
    <row r="223" spans="1:13" x14ac:dyDescent="0.3">
      <c r="A223" s="315" t="s">
        <v>312</v>
      </c>
      <c r="B223" s="69" t="str">
        <f>VLOOKUP(A223,URS確認!$E:$F,2,FALSE)</f>
        <v>首次撥款審核資料表</v>
      </c>
      <c r="C223" s="315">
        <v>5</v>
      </c>
      <c r="D223" s="74" t="s">
        <v>1719</v>
      </c>
      <c r="E223" s="71">
        <v>44435</v>
      </c>
      <c r="F223" s="71">
        <v>44440</v>
      </c>
      <c r="G223" s="71">
        <v>44440</v>
      </c>
      <c r="H223" s="71">
        <f t="shared" si="4"/>
        <v>44440</v>
      </c>
      <c r="I223" s="315" t="s">
        <v>1545</v>
      </c>
      <c r="L223" s="315" t="s">
        <v>1494</v>
      </c>
    </row>
    <row r="224" spans="1:13" x14ac:dyDescent="0.3">
      <c r="A224" s="315" t="s">
        <v>312</v>
      </c>
      <c r="B224" s="69" t="str">
        <f>VLOOKUP(A224,URS確認!$E:$F,2,FALSE)</f>
        <v>首次撥款審核資料表</v>
      </c>
      <c r="C224" s="315">
        <v>6</v>
      </c>
      <c r="D224" s="74" t="s">
        <v>1720</v>
      </c>
      <c r="E224" s="71">
        <v>44435</v>
      </c>
      <c r="F224" s="71">
        <v>44440</v>
      </c>
      <c r="G224" s="71">
        <v>44440</v>
      </c>
      <c r="H224" s="71">
        <f t="shared" si="4"/>
        <v>44440</v>
      </c>
      <c r="I224" s="315" t="s">
        <v>1545</v>
      </c>
      <c r="L224" s="315" t="s">
        <v>1494</v>
      </c>
    </row>
    <row r="225" spans="1:12" x14ac:dyDescent="0.3">
      <c r="A225" s="315" t="s">
        <v>312</v>
      </c>
      <c r="B225" s="69" t="str">
        <f>VLOOKUP(A225,URS確認!$E:$F,2,FALSE)</f>
        <v>首次撥款審核資料表</v>
      </c>
      <c r="C225" s="315">
        <v>7</v>
      </c>
      <c r="D225" s="74" t="s">
        <v>1721</v>
      </c>
      <c r="E225" s="71">
        <v>44435</v>
      </c>
      <c r="F225" s="71">
        <v>44440</v>
      </c>
      <c r="G225" s="71">
        <v>44440</v>
      </c>
      <c r="H225" s="71">
        <f t="shared" si="4"/>
        <v>44440</v>
      </c>
      <c r="I225" s="315" t="s">
        <v>1545</v>
      </c>
      <c r="L225" s="315" t="s">
        <v>1494</v>
      </c>
    </row>
    <row r="226" spans="1:12" x14ac:dyDescent="0.3">
      <c r="A226" s="315" t="s">
        <v>312</v>
      </c>
      <c r="B226" s="69" t="str">
        <f>VLOOKUP(A226,URS確認!$E:$F,2,FALSE)</f>
        <v>首次撥款審核資料表</v>
      </c>
      <c r="C226" s="315">
        <v>8</v>
      </c>
      <c r="D226" s="74" t="s">
        <v>1722</v>
      </c>
      <c r="E226" s="71">
        <v>44435</v>
      </c>
      <c r="F226" s="71">
        <v>44440</v>
      </c>
      <c r="G226" s="71">
        <v>44440</v>
      </c>
      <c r="H226" s="71">
        <f t="shared" si="4"/>
        <v>44440</v>
      </c>
      <c r="I226" s="315" t="s">
        <v>1545</v>
      </c>
      <c r="L226" s="315" t="s">
        <v>1494</v>
      </c>
    </row>
    <row r="227" spans="1:12" x14ac:dyDescent="0.3">
      <c r="A227" s="315" t="s">
        <v>312</v>
      </c>
      <c r="B227" s="69" t="str">
        <f>VLOOKUP(A227,URS確認!$E:$F,2,FALSE)</f>
        <v>首次撥款審核資料表</v>
      </c>
      <c r="C227" s="315">
        <v>9</v>
      </c>
      <c r="D227" s="74" t="s">
        <v>1723</v>
      </c>
      <c r="E227" s="71">
        <v>44435</v>
      </c>
      <c r="F227" s="71">
        <v>44440</v>
      </c>
      <c r="G227" s="71">
        <v>44440</v>
      </c>
      <c r="H227" s="71">
        <f t="shared" si="4"/>
        <v>44440</v>
      </c>
      <c r="I227" s="315" t="s">
        <v>1545</v>
      </c>
      <c r="L227" s="315" t="s">
        <v>1494</v>
      </c>
    </row>
    <row r="228" spans="1:12" x14ac:dyDescent="0.3">
      <c r="A228" s="315" t="s">
        <v>312</v>
      </c>
      <c r="B228" s="69" t="str">
        <f>VLOOKUP(A228,URS確認!$E:$F,2,FALSE)</f>
        <v>首次撥款審核資料表</v>
      </c>
      <c r="C228" s="315">
        <v>10</v>
      </c>
      <c r="D228" s="74" t="s">
        <v>3151</v>
      </c>
      <c r="E228" s="71">
        <v>44435</v>
      </c>
      <c r="F228" s="71">
        <v>44440</v>
      </c>
      <c r="G228" s="71">
        <v>44440</v>
      </c>
      <c r="H228" s="71">
        <f t="shared" si="4"/>
        <v>44440</v>
      </c>
      <c r="I228" s="315" t="s">
        <v>1545</v>
      </c>
      <c r="L228" s="315" t="s">
        <v>1494</v>
      </c>
    </row>
    <row r="229" spans="1:12" x14ac:dyDescent="0.3">
      <c r="A229" s="315" t="s">
        <v>312</v>
      </c>
      <c r="B229" s="69" t="str">
        <f>VLOOKUP(A229,URS確認!$E:$F,2,FALSE)</f>
        <v>首次撥款審核資料表</v>
      </c>
      <c r="C229" s="315">
        <v>11</v>
      </c>
      <c r="D229" s="74" t="s">
        <v>1724</v>
      </c>
      <c r="E229" s="71">
        <v>44435</v>
      </c>
      <c r="F229" s="71">
        <v>44440</v>
      </c>
      <c r="G229" s="71">
        <v>44440</v>
      </c>
      <c r="H229" s="71">
        <f t="shared" si="4"/>
        <v>44440</v>
      </c>
      <c r="I229" s="315" t="s">
        <v>1545</v>
      </c>
      <c r="L229" s="315" t="s">
        <v>1494</v>
      </c>
    </row>
    <row r="230" spans="1:12" x14ac:dyDescent="0.3">
      <c r="A230" s="315" t="s">
        <v>312</v>
      </c>
      <c r="B230" s="69" t="str">
        <f>VLOOKUP(A230,URS確認!$E:$F,2,FALSE)</f>
        <v>首次撥款審核資料表</v>
      </c>
      <c r="C230" s="315">
        <v>12</v>
      </c>
      <c r="D230" s="74" t="s">
        <v>1725</v>
      </c>
      <c r="E230" s="71">
        <v>44435</v>
      </c>
      <c r="F230" s="71">
        <v>44440</v>
      </c>
      <c r="G230" s="71">
        <v>44440</v>
      </c>
      <c r="H230" s="71">
        <f t="shared" si="4"/>
        <v>44440</v>
      </c>
      <c r="I230" s="315" t="s">
        <v>1545</v>
      </c>
      <c r="L230" s="315" t="s">
        <v>1494</v>
      </c>
    </row>
    <row r="231" spans="1:12" x14ac:dyDescent="0.3">
      <c r="A231" s="315" t="s">
        <v>312</v>
      </c>
      <c r="B231" s="69" t="str">
        <f>VLOOKUP(A231,URS確認!$E:$F,2,FALSE)</f>
        <v>首次撥款審核資料表</v>
      </c>
      <c r="C231" s="315">
        <v>13</v>
      </c>
      <c r="D231" s="74" t="s">
        <v>1726</v>
      </c>
      <c r="E231" s="71">
        <v>44435</v>
      </c>
      <c r="F231" s="71">
        <v>44440</v>
      </c>
      <c r="G231" s="71">
        <v>44440</v>
      </c>
      <c r="H231" s="71">
        <f t="shared" si="4"/>
        <v>44440</v>
      </c>
      <c r="I231" s="315" t="s">
        <v>1545</v>
      </c>
      <c r="L231" s="315" t="s">
        <v>1494</v>
      </c>
    </row>
    <row r="232" spans="1:12" x14ac:dyDescent="0.3">
      <c r="A232" s="315" t="s">
        <v>312</v>
      </c>
      <c r="B232" s="69" t="str">
        <f>VLOOKUP(A232,URS確認!$E:$F,2,FALSE)</f>
        <v>首次撥款審核資料表</v>
      </c>
      <c r="C232" s="315">
        <v>14</v>
      </c>
      <c r="D232" s="74" t="s">
        <v>1727</v>
      </c>
      <c r="E232" s="71">
        <v>44435</v>
      </c>
      <c r="F232" s="71">
        <v>44440</v>
      </c>
      <c r="G232" s="71">
        <v>44440</v>
      </c>
      <c r="H232" s="71">
        <f t="shared" si="4"/>
        <v>44440</v>
      </c>
      <c r="I232" s="315" t="s">
        <v>1545</v>
      </c>
      <c r="L232" s="315" t="s">
        <v>1494</v>
      </c>
    </row>
    <row r="233" spans="1:12" x14ac:dyDescent="0.3">
      <c r="A233" s="315" t="s">
        <v>312</v>
      </c>
      <c r="B233" s="69" t="str">
        <f>VLOOKUP(A233,URS確認!$E:$F,2,FALSE)</f>
        <v>首次撥款審核資料表</v>
      </c>
      <c r="C233" s="315">
        <v>15</v>
      </c>
      <c r="D233" s="74" t="s">
        <v>1728</v>
      </c>
      <c r="E233" s="71">
        <v>44435</v>
      </c>
      <c r="F233" s="71">
        <v>44440</v>
      </c>
      <c r="G233" s="71">
        <v>44440</v>
      </c>
      <c r="H233" s="71">
        <f t="shared" si="4"/>
        <v>44440</v>
      </c>
      <c r="I233" s="315" t="s">
        <v>1545</v>
      </c>
      <c r="L233" s="315" t="s">
        <v>1494</v>
      </c>
    </row>
    <row r="234" spans="1:12" ht="33" customHeight="1" x14ac:dyDescent="0.3">
      <c r="A234" s="315" t="s">
        <v>312</v>
      </c>
      <c r="B234" s="69" t="str">
        <f>VLOOKUP(A234,URS確認!$E:$F,2,FALSE)</f>
        <v>首次撥款審核資料表</v>
      </c>
      <c r="C234" s="315">
        <v>16</v>
      </c>
      <c r="D234" s="74" t="s">
        <v>1729</v>
      </c>
      <c r="E234" s="71">
        <v>44435</v>
      </c>
      <c r="F234" s="71">
        <v>44440</v>
      </c>
      <c r="G234" s="71">
        <v>44440</v>
      </c>
      <c r="H234" s="71">
        <f t="shared" si="4"/>
        <v>44440</v>
      </c>
      <c r="I234" s="315" t="s">
        <v>1545</v>
      </c>
      <c r="L234" s="315" t="s">
        <v>1494</v>
      </c>
    </row>
    <row r="235" spans="1:12" x14ac:dyDescent="0.3">
      <c r="A235" s="315" t="s">
        <v>312</v>
      </c>
      <c r="B235" s="69" t="str">
        <f>VLOOKUP(A235,URS確認!$E:$F,2,FALSE)</f>
        <v>首次撥款審核資料表</v>
      </c>
      <c r="C235" s="315">
        <v>17</v>
      </c>
      <c r="D235" s="74" t="s">
        <v>1730</v>
      </c>
      <c r="E235" s="71">
        <v>44435</v>
      </c>
      <c r="F235" s="71">
        <v>44440</v>
      </c>
      <c r="G235" s="71">
        <v>44440</v>
      </c>
      <c r="H235" s="71">
        <f t="shared" si="4"/>
        <v>44440</v>
      </c>
      <c r="I235" s="315" t="s">
        <v>1545</v>
      </c>
      <c r="L235" s="315" t="s">
        <v>1494</v>
      </c>
    </row>
    <row r="236" spans="1:12" x14ac:dyDescent="0.3">
      <c r="A236" s="315" t="s">
        <v>312</v>
      </c>
      <c r="B236" s="69" t="str">
        <f>VLOOKUP(A236,URS確認!$E:$F,2,FALSE)</f>
        <v>首次撥款審核資料表</v>
      </c>
      <c r="C236" s="315">
        <v>18</v>
      </c>
      <c r="D236" s="74" t="s">
        <v>1731</v>
      </c>
      <c r="E236" s="71">
        <v>44435</v>
      </c>
      <c r="F236" s="71">
        <v>44440</v>
      </c>
      <c r="G236" s="71">
        <v>44440</v>
      </c>
      <c r="H236" s="71">
        <f t="shared" si="4"/>
        <v>44440</v>
      </c>
      <c r="I236" s="315" t="s">
        <v>1545</v>
      </c>
      <c r="L236" s="315" t="s">
        <v>1494</v>
      </c>
    </row>
    <row r="237" spans="1:12" x14ac:dyDescent="0.3">
      <c r="A237" s="315" t="s">
        <v>312</v>
      </c>
      <c r="B237" s="69" t="str">
        <f>VLOOKUP(A237,URS確認!$E:$F,2,FALSE)</f>
        <v>首次撥款審核資料表</v>
      </c>
      <c r="C237" s="315">
        <v>19</v>
      </c>
      <c r="D237" s="74" t="s">
        <v>1732</v>
      </c>
      <c r="E237" s="71">
        <v>44435</v>
      </c>
      <c r="F237" s="71">
        <v>44440</v>
      </c>
      <c r="G237" s="71">
        <v>44440</v>
      </c>
      <c r="H237" s="71">
        <f t="shared" si="4"/>
        <v>44440</v>
      </c>
      <c r="I237" s="315" t="s">
        <v>1545</v>
      </c>
      <c r="L237" s="315" t="s">
        <v>1494</v>
      </c>
    </row>
    <row r="238" spans="1:12" x14ac:dyDescent="0.3">
      <c r="A238" s="315" t="s">
        <v>312</v>
      </c>
      <c r="B238" s="69" t="str">
        <f>VLOOKUP(A238,URS確認!$E:$F,2,FALSE)</f>
        <v>首次撥款審核資料表</v>
      </c>
      <c r="C238" s="315">
        <v>20</v>
      </c>
      <c r="D238" s="74" t="s">
        <v>1733</v>
      </c>
      <c r="E238" s="71">
        <v>44435</v>
      </c>
      <c r="F238" s="71">
        <v>44440</v>
      </c>
      <c r="G238" s="71">
        <v>44440</v>
      </c>
      <c r="H238" s="71">
        <f t="shared" si="4"/>
        <v>44440</v>
      </c>
      <c r="I238" s="315" t="s">
        <v>1545</v>
      </c>
      <c r="J238" s="315" t="s">
        <v>1494</v>
      </c>
      <c r="L238" s="315" t="s">
        <v>1494</v>
      </c>
    </row>
    <row r="239" spans="1:12" ht="33" customHeight="1" x14ac:dyDescent="0.3">
      <c r="A239" s="315" t="s">
        <v>326</v>
      </c>
      <c r="B239" s="69" t="str">
        <f>VLOOKUP(A239,URS確認!$E:$F,2,FALSE)</f>
        <v xml:space="preserve">撥款                     </v>
      </c>
      <c r="C239" s="315">
        <v>1</v>
      </c>
      <c r="D239" s="74" t="s">
        <v>1734</v>
      </c>
      <c r="E239" s="71">
        <v>44438</v>
      </c>
      <c r="F239" s="71">
        <v>44442</v>
      </c>
      <c r="G239" s="71">
        <v>44442</v>
      </c>
      <c r="H239" s="71">
        <v>44487</v>
      </c>
      <c r="I239" s="315" t="s">
        <v>194</v>
      </c>
      <c r="L239" s="315" t="s">
        <v>1494</v>
      </c>
    </row>
    <row r="240" spans="1:12" x14ac:dyDescent="0.3">
      <c r="A240" s="315" t="s">
        <v>326</v>
      </c>
      <c r="B240" s="69" t="str">
        <f>VLOOKUP(A240,URS確認!$E:$F,2,FALSE)</f>
        <v xml:space="preserve">撥款                     </v>
      </c>
      <c r="C240" s="315">
        <v>2</v>
      </c>
      <c r="D240" s="74" t="s">
        <v>1735</v>
      </c>
      <c r="E240" s="71">
        <v>44438</v>
      </c>
      <c r="F240" s="71">
        <v>44442</v>
      </c>
      <c r="G240" s="71">
        <v>44442</v>
      </c>
      <c r="H240" s="71">
        <v>44487</v>
      </c>
      <c r="I240" s="315" t="s">
        <v>194</v>
      </c>
      <c r="L240" s="315" t="s">
        <v>1494</v>
      </c>
    </row>
    <row r="241" spans="1:13" x14ac:dyDescent="0.3">
      <c r="A241" s="315" t="s">
        <v>326</v>
      </c>
      <c r="B241" s="69" t="str">
        <f>VLOOKUP(A241,URS確認!$E:$F,2,FALSE)</f>
        <v xml:space="preserve">撥款                     </v>
      </c>
      <c r="C241" s="315">
        <v>3</v>
      </c>
      <c r="D241" s="74" t="s">
        <v>1736</v>
      </c>
      <c r="E241" s="71">
        <v>44438</v>
      </c>
      <c r="F241" s="71">
        <v>44442</v>
      </c>
      <c r="G241" s="71">
        <v>44442</v>
      </c>
      <c r="H241" s="71">
        <v>44487</v>
      </c>
      <c r="I241" s="315" t="s">
        <v>194</v>
      </c>
      <c r="J241" s="315" t="s">
        <v>1494</v>
      </c>
    </row>
    <row r="242" spans="1:13" x14ac:dyDescent="0.3">
      <c r="A242" s="315" t="s">
        <v>326</v>
      </c>
      <c r="B242" s="69" t="str">
        <f>VLOOKUP(A242,URS確認!$E:$F,2,FALSE)</f>
        <v xml:space="preserve">撥款                     </v>
      </c>
      <c r="C242" s="315">
        <v>4</v>
      </c>
      <c r="D242" s="74" t="s">
        <v>1737</v>
      </c>
      <c r="E242" s="71">
        <v>44438</v>
      </c>
      <c r="F242" s="71">
        <v>44442</v>
      </c>
      <c r="G242" s="71">
        <v>44442</v>
      </c>
      <c r="H242" s="71">
        <v>44487</v>
      </c>
      <c r="I242" s="315" t="s">
        <v>194</v>
      </c>
      <c r="L242" s="315" t="s">
        <v>1494</v>
      </c>
    </row>
    <row r="243" spans="1:13" x14ac:dyDescent="0.3">
      <c r="A243" s="315" t="s">
        <v>330</v>
      </c>
      <c r="B243" s="69" t="str">
        <f>VLOOKUP(A243,URS確認!$E:$F,2,FALSE)</f>
        <v xml:space="preserve">撥款明細資料查詢         </v>
      </c>
      <c r="C243" s="315">
        <v>1</v>
      </c>
      <c r="D243" s="74" t="s">
        <v>1738</v>
      </c>
      <c r="E243" s="71">
        <v>44438</v>
      </c>
      <c r="F243" s="71">
        <v>44442</v>
      </c>
      <c r="G243" s="71">
        <v>44442</v>
      </c>
      <c r="H243" s="71">
        <v>44487</v>
      </c>
      <c r="I243" s="315" t="s">
        <v>194</v>
      </c>
      <c r="L243" s="315" t="s">
        <v>1494</v>
      </c>
    </row>
    <row r="244" spans="1:13" x14ac:dyDescent="0.3">
      <c r="A244" s="315" t="s">
        <v>330</v>
      </c>
      <c r="B244" s="69" t="str">
        <f>VLOOKUP(A244,URS確認!$E:$F,2,FALSE)</f>
        <v xml:space="preserve">撥款明細資料查詢         </v>
      </c>
      <c r="C244" s="315">
        <v>2</v>
      </c>
      <c r="D244" s="74" t="s">
        <v>1739</v>
      </c>
      <c r="E244" s="71">
        <v>44438</v>
      </c>
      <c r="F244" s="71">
        <v>44442</v>
      </c>
      <c r="G244" s="71">
        <v>44442</v>
      </c>
      <c r="H244" s="71">
        <v>44487</v>
      </c>
      <c r="I244" s="315" t="s">
        <v>194</v>
      </c>
      <c r="L244" s="315" t="s">
        <v>1494</v>
      </c>
    </row>
    <row r="245" spans="1:13" x14ac:dyDescent="0.3">
      <c r="A245" s="315" t="s">
        <v>333</v>
      </c>
      <c r="B245" s="69" t="str">
        <f>VLOOKUP(A245,URS確認!$E:$F,2,FALSE)</f>
        <v xml:space="preserve">撥款內容查詢             </v>
      </c>
      <c r="C245" s="315">
        <v>1</v>
      </c>
      <c r="D245" s="74" t="s">
        <v>1740</v>
      </c>
      <c r="E245" s="71">
        <v>44438</v>
      </c>
      <c r="F245" s="71">
        <v>44442</v>
      </c>
      <c r="G245" s="71">
        <v>44442</v>
      </c>
      <c r="H245" s="71">
        <v>44487</v>
      </c>
      <c r="I245" s="315" t="s">
        <v>194</v>
      </c>
      <c r="J245" s="315" t="s">
        <v>1494</v>
      </c>
    </row>
    <row r="246" spans="1:13" x14ac:dyDescent="0.3">
      <c r="A246" s="315" t="s">
        <v>333</v>
      </c>
      <c r="B246" s="69" t="str">
        <f>VLOOKUP(A246,URS確認!$E:$F,2,FALSE)</f>
        <v xml:space="preserve">撥款內容查詢             </v>
      </c>
      <c r="C246" s="315">
        <v>2</v>
      </c>
      <c r="D246" s="74" t="s">
        <v>1741</v>
      </c>
      <c r="E246" s="71">
        <v>44438</v>
      </c>
      <c r="F246" s="71">
        <v>44442</v>
      </c>
      <c r="G246" s="71">
        <v>44442</v>
      </c>
      <c r="H246" s="71">
        <v>44487</v>
      </c>
      <c r="I246" s="315" t="s">
        <v>194</v>
      </c>
      <c r="J246" s="315" t="s">
        <v>1494</v>
      </c>
    </row>
    <row r="247" spans="1:13" x14ac:dyDescent="0.3">
      <c r="A247" s="315" t="s">
        <v>369</v>
      </c>
      <c r="B247" s="69" t="str">
        <f>VLOOKUP(A247,URS確認!$E:$F,2,FALSE)</f>
        <v>撥款退款作業</v>
      </c>
      <c r="C247" s="315">
        <v>1</v>
      </c>
      <c r="D247" s="74" t="s">
        <v>1742</v>
      </c>
      <c r="E247" s="71">
        <v>44438</v>
      </c>
      <c r="F247" s="71">
        <v>44476</v>
      </c>
      <c r="G247" s="71">
        <v>44476</v>
      </c>
      <c r="H247" s="71">
        <v>44552</v>
      </c>
      <c r="I247" s="315" t="s">
        <v>194</v>
      </c>
      <c r="M247" s="315" t="s">
        <v>1510</v>
      </c>
    </row>
    <row r="248" spans="1:13" x14ac:dyDescent="0.3">
      <c r="A248" s="315" t="s">
        <v>919</v>
      </c>
      <c r="B248" s="69" t="str">
        <f>VLOOKUP(A248,URS確認!$E:$F,2,FALSE)</f>
        <v>AML姓名檢核查詢</v>
      </c>
      <c r="C248" s="315">
        <v>1</v>
      </c>
      <c r="D248" s="74" t="s">
        <v>1743</v>
      </c>
      <c r="E248" s="71">
        <v>44438</v>
      </c>
      <c r="F248" s="71">
        <v>44447</v>
      </c>
      <c r="G248" s="71">
        <v>44462</v>
      </c>
      <c r="H248" s="71">
        <v>44552</v>
      </c>
      <c r="I248" s="315" t="s">
        <v>194</v>
      </c>
      <c r="L248" s="315" t="s">
        <v>1494</v>
      </c>
    </row>
    <row r="249" spans="1:13" ht="33" customHeight="1" x14ac:dyDescent="0.3">
      <c r="A249" s="315" t="s">
        <v>320</v>
      </c>
      <c r="B249" s="69" t="str">
        <f>VLOOKUP(A249,URS確認!$E:$F,2,FALSE)</f>
        <v xml:space="preserve">預約撥款                 </v>
      </c>
      <c r="C249" s="315">
        <v>1</v>
      </c>
      <c r="D249" s="124" t="s">
        <v>1744</v>
      </c>
      <c r="E249" s="71">
        <v>44439</v>
      </c>
      <c r="F249" s="71">
        <v>44446</v>
      </c>
      <c r="G249" s="71">
        <v>44446</v>
      </c>
      <c r="H249" s="71">
        <v>44490</v>
      </c>
      <c r="I249" s="315" t="str">
        <f>VLOOKUP(A249,URS確認!E:I,5,FALSE)</f>
        <v>余家興</v>
      </c>
      <c r="L249" s="315" t="s">
        <v>1494</v>
      </c>
    </row>
    <row r="250" spans="1:13" x14ac:dyDescent="0.3">
      <c r="A250" s="315" t="s">
        <v>320</v>
      </c>
      <c r="B250" s="69" t="str">
        <f>VLOOKUP(A250,URS確認!$E:$F,2,FALSE)</f>
        <v xml:space="preserve">預約撥款                 </v>
      </c>
      <c r="C250" s="315">
        <v>2</v>
      </c>
      <c r="D250" s="74" t="s">
        <v>1735</v>
      </c>
      <c r="E250" s="71">
        <v>44439</v>
      </c>
      <c r="F250" s="71">
        <v>44446</v>
      </c>
      <c r="G250" s="71">
        <v>44446</v>
      </c>
      <c r="H250" s="71">
        <v>44490</v>
      </c>
      <c r="I250" s="315" t="str">
        <f>VLOOKUP(A250,URS確認!E:I,5,FALSE)</f>
        <v>余家興</v>
      </c>
      <c r="L250" s="315" t="s">
        <v>1494</v>
      </c>
    </row>
    <row r="251" spans="1:13" x14ac:dyDescent="0.3">
      <c r="A251" s="315" t="s">
        <v>324</v>
      </c>
      <c r="B251" s="69" t="str">
        <f>VLOOKUP(A251,URS確認!$E:$F,2,FALSE)</f>
        <v>預約撥款到期作業</v>
      </c>
      <c r="C251" s="315">
        <v>1</v>
      </c>
      <c r="D251" s="74" t="s">
        <v>1745</v>
      </c>
      <c r="E251" s="71">
        <v>44439</v>
      </c>
      <c r="F251" s="71">
        <v>44446</v>
      </c>
      <c r="G251" s="71">
        <v>44462</v>
      </c>
      <c r="H251" s="71">
        <f>G251</f>
        <v>44462</v>
      </c>
      <c r="I251" s="315" t="str">
        <f>VLOOKUP(A251,URS確認!E:I,5,FALSE)</f>
        <v>余家興</v>
      </c>
      <c r="L251" s="315" t="s">
        <v>1494</v>
      </c>
    </row>
    <row r="252" spans="1:13" x14ac:dyDescent="0.3">
      <c r="A252" s="315" t="s">
        <v>354</v>
      </c>
      <c r="B252" s="69" t="str">
        <f>VLOOKUP(A252,URS確認!$E:$F,2,FALSE)</f>
        <v xml:space="preserve">交易內容查詢             </v>
      </c>
      <c r="C252" s="315">
        <v>1</v>
      </c>
      <c r="D252" s="74" t="s">
        <v>1746</v>
      </c>
      <c r="E252" s="71">
        <v>44439</v>
      </c>
      <c r="F252" s="71">
        <v>44446</v>
      </c>
      <c r="G252" s="71">
        <v>44446</v>
      </c>
      <c r="H252" s="71">
        <v>44487</v>
      </c>
      <c r="I252" s="315" t="str">
        <f>VLOOKUP(A252,URS確認!E:I,5,FALSE)</f>
        <v>余家興</v>
      </c>
      <c r="L252" s="315" t="s">
        <v>1494</v>
      </c>
    </row>
    <row r="253" spans="1:13" x14ac:dyDescent="0.3">
      <c r="A253" s="315" t="s">
        <v>357</v>
      </c>
      <c r="B253" s="69" t="str">
        <f>VLOOKUP(A253,URS確認!$E:$F,2,FALSE)</f>
        <v xml:space="preserve">交易明細資料查詢         </v>
      </c>
      <c r="C253" s="315">
        <v>1</v>
      </c>
      <c r="D253" s="74" t="s">
        <v>1747</v>
      </c>
      <c r="E253" s="71">
        <v>44439</v>
      </c>
      <c r="F253" s="71">
        <v>44446</v>
      </c>
      <c r="G253" s="71">
        <v>44446</v>
      </c>
      <c r="H253" s="71">
        <v>44487</v>
      </c>
      <c r="I253" s="315" t="str">
        <f>VLOOKUP(A253,URS確認!E:I,5,FALSE)</f>
        <v>余家興</v>
      </c>
      <c r="L253" s="315" t="s">
        <v>1494</v>
      </c>
    </row>
    <row r="254" spans="1:13" x14ac:dyDescent="0.3">
      <c r="A254" s="315" t="s">
        <v>362</v>
      </c>
      <c r="B254" s="69" t="str">
        <f>VLOOKUP(A254,URS確認!$E:$F,2,FALSE)</f>
        <v xml:space="preserve">借戶利率變更             </v>
      </c>
      <c r="C254" s="315">
        <v>1</v>
      </c>
      <c r="D254" s="74" t="s">
        <v>1748</v>
      </c>
      <c r="E254" s="71">
        <v>44439</v>
      </c>
      <c r="F254" s="71">
        <v>44446</v>
      </c>
      <c r="G254" s="71">
        <v>44446</v>
      </c>
      <c r="H254" s="71">
        <v>44487</v>
      </c>
      <c r="I254" s="315" t="str">
        <f>VLOOKUP(A254,URS確認!E:I,5,FALSE)</f>
        <v>余家興</v>
      </c>
      <c r="L254" s="315" t="s">
        <v>1494</v>
      </c>
    </row>
    <row r="255" spans="1:13" x14ac:dyDescent="0.3">
      <c r="A255" s="315" t="s">
        <v>337</v>
      </c>
      <c r="B255" s="69" t="s">
        <v>1749</v>
      </c>
      <c r="C255" s="315">
        <v>1</v>
      </c>
      <c r="D255" s="74" t="s">
        <v>1750</v>
      </c>
      <c r="E255" s="71">
        <v>44439</v>
      </c>
      <c r="F255" s="71">
        <v>44446</v>
      </c>
      <c r="G255" s="71">
        <v>44446</v>
      </c>
      <c r="H255" s="71">
        <v>44469</v>
      </c>
      <c r="I255" s="315" t="str">
        <f>VLOOKUP(A255,URS確認!E:I,5,FALSE)</f>
        <v>余家興</v>
      </c>
      <c r="L255" s="315" t="s">
        <v>1494</v>
      </c>
    </row>
    <row r="256" spans="1:13" x14ac:dyDescent="0.3">
      <c r="A256" s="315" t="s">
        <v>340</v>
      </c>
      <c r="B256" s="69" t="s">
        <v>1751</v>
      </c>
      <c r="C256" s="315">
        <v>1</v>
      </c>
      <c r="D256" s="74" t="s">
        <v>1752</v>
      </c>
      <c r="E256" s="71">
        <v>44439</v>
      </c>
      <c r="F256" s="71">
        <v>44446</v>
      </c>
      <c r="G256" s="71">
        <v>44446</v>
      </c>
      <c r="H256" s="71">
        <v>44469</v>
      </c>
      <c r="I256" s="315" t="str">
        <f>VLOOKUP(A256,URS確認!E:I,5,FALSE)</f>
        <v>余家興</v>
      </c>
      <c r="L256" s="315" t="s">
        <v>1494</v>
      </c>
    </row>
    <row r="257" spans="1:12" x14ac:dyDescent="0.3">
      <c r="A257" s="315" t="s">
        <v>340</v>
      </c>
      <c r="B257" s="69" t="s">
        <v>1751</v>
      </c>
      <c r="C257" s="315">
        <v>2</v>
      </c>
      <c r="D257" s="74" t="s">
        <v>1753</v>
      </c>
      <c r="E257" s="71">
        <v>44439</v>
      </c>
      <c r="F257" s="71">
        <v>44446</v>
      </c>
      <c r="G257" s="71">
        <v>44446</v>
      </c>
      <c r="H257" s="71">
        <v>44469</v>
      </c>
      <c r="I257" s="315" t="str">
        <f>VLOOKUP(A257,URS確認!E:I,5,FALSE)</f>
        <v>余家興</v>
      </c>
      <c r="L257" s="315" t="s">
        <v>1494</v>
      </c>
    </row>
    <row r="258" spans="1:12" x14ac:dyDescent="0.3">
      <c r="A258" s="315" t="s">
        <v>340</v>
      </c>
      <c r="B258" s="69" t="s">
        <v>1751</v>
      </c>
      <c r="C258" s="315">
        <v>3</v>
      </c>
      <c r="D258" s="74" t="s">
        <v>1754</v>
      </c>
      <c r="E258" s="71">
        <v>44439</v>
      </c>
      <c r="F258" s="71">
        <v>44446</v>
      </c>
      <c r="G258" s="71">
        <v>44446</v>
      </c>
      <c r="H258" s="71">
        <v>44469</v>
      </c>
      <c r="I258" s="315" t="str">
        <f>VLOOKUP(A258,URS確認!E:I,5,FALSE)</f>
        <v>余家興</v>
      </c>
      <c r="L258" s="315" t="s">
        <v>1494</v>
      </c>
    </row>
    <row r="259" spans="1:12" ht="49.5" customHeight="1" x14ac:dyDescent="0.3">
      <c r="A259" s="315" t="s">
        <v>340</v>
      </c>
      <c r="B259" s="69" t="s">
        <v>1751</v>
      </c>
      <c r="C259" s="315">
        <v>4</v>
      </c>
      <c r="D259" s="74" t="s">
        <v>1755</v>
      </c>
      <c r="E259" s="71">
        <v>44439</v>
      </c>
      <c r="F259" s="71">
        <v>44446</v>
      </c>
      <c r="G259" s="71">
        <v>44446</v>
      </c>
      <c r="H259" s="71">
        <v>44469</v>
      </c>
      <c r="I259" s="315" t="str">
        <f>VLOOKUP(A259,URS確認!E:I,5,FALSE)</f>
        <v>余家興</v>
      </c>
      <c r="L259" s="315" t="s">
        <v>1494</v>
      </c>
    </row>
    <row r="260" spans="1:12" x14ac:dyDescent="0.3">
      <c r="A260" s="315" t="s">
        <v>379</v>
      </c>
      <c r="B260" s="69" t="str">
        <f>VLOOKUP(A260,URS確認!$E:$F,2,FALSE)</f>
        <v xml:space="preserve">ACH授權資料查詢                      </v>
      </c>
      <c r="C260" s="315">
        <v>1</v>
      </c>
      <c r="D260" s="74" t="s">
        <v>1756</v>
      </c>
      <c r="E260" s="71">
        <v>44447</v>
      </c>
      <c r="F260" s="71">
        <v>44461</v>
      </c>
      <c r="G260" s="71">
        <v>44461</v>
      </c>
      <c r="H260" s="71">
        <f t="shared" ref="H260:H268" si="5">G260</f>
        <v>44461</v>
      </c>
      <c r="I260" s="315" t="str">
        <f>VLOOKUP(A260,URS確認!E:I,5,FALSE)</f>
        <v>余家興</v>
      </c>
      <c r="L260" s="315" t="s">
        <v>1494</v>
      </c>
    </row>
    <row r="261" spans="1:12" ht="33" customHeight="1" x14ac:dyDescent="0.3">
      <c r="A261" s="315" t="s">
        <v>379</v>
      </c>
      <c r="B261" s="69" t="str">
        <f>VLOOKUP(A261,URS確認!$E:$F,2,FALSE)</f>
        <v xml:space="preserve">ACH授權資料查詢                      </v>
      </c>
      <c r="C261" s="315">
        <v>2</v>
      </c>
      <c r="D261" s="74" t="s">
        <v>1757</v>
      </c>
      <c r="E261" s="71">
        <v>44448</v>
      </c>
      <c r="F261" s="71">
        <v>44461</v>
      </c>
      <c r="G261" s="71">
        <v>44461</v>
      </c>
      <c r="H261" s="71">
        <f t="shared" si="5"/>
        <v>44461</v>
      </c>
      <c r="I261" s="315" t="str">
        <f>VLOOKUP(A261,URS確認!E:I,5,FALSE)</f>
        <v>余家興</v>
      </c>
      <c r="L261" s="315" t="s">
        <v>1494</v>
      </c>
    </row>
    <row r="262" spans="1:12" x14ac:dyDescent="0.3">
      <c r="A262" s="315" t="s">
        <v>381</v>
      </c>
      <c r="B262" s="69" t="str">
        <f>VLOOKUP(A262,URS確認!$E:$F,2,FALSE)</f>
        <v xml:space="preserve">ACH授權資料建檔                      </v>
      </c>
      <c r="C262" s="315">
        <v>1</v>
      </c>
      <c r="D262" s="74" t="s">
        <v>1758</v>
      </c>
      <c r="E262" s="71">
        <v>44447</v>
      </c>
      <c r="F262" s="71">
        <v>44461</v>
      </c>
      <c r="G262" s="71">
        <v>44461</v>
      </c>
      <c r="H262" s="71">
        <f t="shared" si="5"/>
        <v>44461</v>
      </c>
      <c r="I262" s="315" t="str">
        <f>VLOOKUP(A262,URS確認!E:I,5,FALSE)</f>
        <v>余家興</v>
      </c>
      <c r="L262" s="315" t="s">
        <v>1494</v>
      </c>
    </row>
    <row r="263" spans="1:12" ht="33" customHeight="1" x14ac:dyDescent="0.3">
      <c r="A263" s="315" t="s">
        <v>381</v>
      </c>
      <c r="B263" s="69" t="str">
        <f>VLOOKUP(A263,URS確認!$E:$F,2,FALSE)</f>
        <v xml:space="preserve">ACH授權資料建檔                      </v>
      </c>
      <c r="C263" s="315">
        <v>2</v>
      </c>
      <c r="D263" s="154" t="s">
        <v>1759</v>
      </c>
      <c r="E263" s="71">
        <v>44447</v>
      </c>
      <c r="F263" s="71">
        <v>44467</v>
      </c>
      <c r="G263" s="71">
        <v>44467</v>
      </c>
      <c r="H263" s="71">
        <f t="shared" si="5"/>
        <v>44467</v>
      </c>
      <c r="I263" s="315" t="str">
        <f>VLOOKUP(A263,URS確認!E:I,5,FALSE)</f>
        <v>余家興</v>
      </c>
      <c r="L263" s="315" t="s">
        <v>1494</v>
      </c>
    </row>
    <row r="264" spans="1:12" x14ac:dyDescent="0.3">
      <c r="A264" s="315" t="s">
        <v>387</v>
      </c>
      <c r="B264" s="69" t="str">
        <f>VLOOKUP(A264,URS確認!$E:$F,2,FALSE)</f>
        <v>帳號授權檔查詢</v>
      </c>
      <c r="C264" s="315">
        <v>1</v>
      </c>
      <c r="D264" s="74" t="s">
        <v>1760</v>
      </c>
      <c r="E264" s="71">
        <v>44447</v>
      </c>
      <c r="F264" s="71">
        <v>44461</v>
      </c>
      <c r="G264" s="71">
        <v>44461</v>
      </c>
      <c r="H264" s="71">
        <f t="shared" si="5"/>
        <v>44461</v>
      </c>
      <c r="I264" s="315" t="str">
        <f>VLOOKUP(A264,URS確認!E:I,5,FALSE)</f>
        <v>余家興</v>
      </c>
      <c r="L264" s="315" t="s">
        <v>1494</v>
      </c>
    </row>
    <row r="265" spans="1:12" x14ac:dyDescent="0.3">
      <c r="A265" s="315" t="s">
        <v>389</v>
      </c>
      <c r="B265" s="69" t="str">
        <f>VLOOKUP(A265,URS確認!$E:$F,2,FALSE)</f>
        <v>ACH授權資料歷史紀錄查詢</v>
      </c>
      <c r="C265" s="315">
        <v>1</v>
      </c>
      <c r="D265" s="74" t="s">
        <v>1761</v>
      </c>
      <c r="E265" s="71">
        <v>44447</v>
      </c>
      <c r="F265" s="71">
        <v>44461</v>
      </c>
      <c r="G265" s="71">
        <v>44461</v>
      </c>
      <c r="H265" s="71">
        <f t="shared" si="5"/>
        <v>44461</v>
      </c>
      <c r="I265" s="315" t="str">
        <f>VLOOKUP(A265,URS確認!E:I,5,FALSE)</f>
        <v>余家興</v>
      </c>
      <c r="L265" s="315" t="s">
        <v>1494</v>
      </c>
    </row>
    <row r="266" spans="1:12" x14ac:dyDescent="0.3">
      <c r="A266" s="315" t="s">
        <v>389</v>
      </c>
      <c r="B266" s="69" t="str">
        <f>VLOOKUP(A266,URS確認!$E:$F,2,FALSE)</f>
        <v>ACH授權資料歷史紀錄查詢</v>
      </c>
      <c r="C266" s="315">
        <v>2</v>
      </c>
      <c r="D266" s="74" t="s">
        <v>1762</v>
      </c>
      <c r="E266" s="71">
        <v>44447</v>
      </c>
      <c r="F266" s="71">
        <v>44473</v>
      </c>
      <c r="G266" s="71">
        <v>44473</v>
      </c>
      <c r="H266" s="71">
        <f t="shared" si="5"/>
        <v>44473</v>
      </c>
      <c r="I266" s="315" t="str">
        <f>VLOOKUP(A266,URS確認!E:I,5,FALSE)</f>
        <v>余家興</v>
      </c>
      <c r="L266" s="315" t="s">
        <v>1494</v>
      </c>
    </row>
    <row r="267" spans="1:12" x14ac:dyDescent="0.3">
      <c r="A267" s="315" t="s">
        <v>389</v>
      </c>
      <c r="B267" s="69" t="str">
        <f>VLOOKUP(A267,URS確認!$E:$F,2,FALSE)</f>
        <v>ACH授權資料歷史紀錄查詢</v>
      </c>
      <c r="C267" s="315">
        <v>3</v>
      </c>
      <c r="D267" s="74" t="s">
        <v>1763</v>
      </c>
      <c r="E267" s="71">
        <v>44447</v>
      </c>
      <c r="F267" s="71">
        <v>44461</v>
      </c>
      <c r="G267" s="71">
        <v>44461</v>
      </c>
      <c r="H267" s="71">
        <f t="shared" si="5"/>
        <v>44461</v>
      </c>
      <c r="I267" s="315" t="str">
        <f>VLOOKUP(A267,URS確認!E:I,5,FALSE)</f>
        <v>余家興</v>
      </c>
      <c r="L267" s="315" t="s">
        <v>1494</v>
      </c>
    </row>
    <row r="268" spans="1:12" x14ac:dyDescent="0.3">
      <c r="B268" s="69" t="s">
        <v>1764</v>
      </c>
      <c r="C268" s="315">
        <v>1</v>
      </c>
      <c r="D268" s="69" t="s">
        <v>1765</v>
      </c>
      <c r="E268" s="71">
        <v>44447</v>
      </c>
      <c r="F268" s="71">
        <v>44461</v>
      </c>
      <c r="G268" s="71">
        <v>44461</v>
      </c>
      <c r="H268" s="71">
        <f t="shared" si="5"/>
        <v>44461</v>
      </c>
      <c r="I268" s="315" t="s">
        <v>194</v>
      </c>
      <c r="L268" s="315" t="s">
        <v>1494</v>
      </c>
    </row>
    <row r="269" spans="1:12" ht="33" customHeight="1" x14ac:dyDescent="0.3">
      <c r="A269" s="315" t="s">
        <v>218</v>
      </c>
      <c r="B269" s="69" t="str">
        <f>VLOOKUP(A269,URS確認!$E:$F,2,FALSE)</f>
        <v xml:space="preserve">額度資料維護                            </v>
      </c>
      <c r="C269" s="315">
        <v>1</v>
      </c>
      <c r="D269" s="74" t="s">
        <v>1766</v>
      </c>
      <c r="E269" s="71">
        <v>44448</v>
      </c>
      <c r="F269" s="71">
        <v>44467</v>
      </c>
      <c r="G269" s="71">
        <v>44467</v>
      </c>
      <c r="H269" s="71">
        <v>44468</v>
      </c>
      <c r="I269" s="315" t="str">
        <f>VLOOKUP(A269,URS確認!E:I,5,FALSE)</f>
        <v>余家興</v>
      </c>
      <c r="L269" s="315" t="s">
        <v>1494</v>
      </c>
    </row>
    <row r="270" spans="1:12" x14ac:dyDescent="0.3">
      <c r="A270" s="315" t="s">
        <v>218</v>
      </c>
      <c r="B270" s="69" t="str">
        <f>VLOOKUP(A270,URS確認!$E:$F,2,FALSE)</f>
        <v xml:space="preserve">額度資料維護                            </v>
      </c>
      <c r="C270" s="315">
        <v>2</v>
      </c>
      <c r="D270" s="74" t="s">
        <v>1767</v>
      </c>
      <c r="E270" s="71">
        <v>44448</v>
      </c>
      <c r="F270" s="71">
        <v>44461</v>
      </c>
      <c r="G270" s="71">
        <v>44461</v>
      </c>
      <c r="H270" s="71">
        <v>44468</v>
      </c>
      <c r="I270" s="315" t="str">
        <f>VLOOKUP(A270,URS確認!E:I,5,FALSE)</f>
        <v>余家興</v>
      </c>
      <c r="L270" s="315" t="s">
        <v>1494</v>
      </c>
    </row>
    <row r="271" spans="1:12" x14ac:dyDescent="0.3">
      <c r="A271" s="315" t="s">
        <v>391</v>
      </c>
      <c r="B271" s="69" t="str">
        <f>VLOOKUP(A271,URS確認!$E:$F,2,FALSE)</f>
        <v xml:space="preserve">郵局授權資料查詢                     </v>
      </c>
      <c r="C271" s="315">
        <v>1</v>
      </c>
      <c r="D271" s="154" t="s">
        <v>1768</v>
      </c>
      <c r="E271" s="71">
        <v>44452</v>
      </c>
      <c r="F271" s="71">
        <v>44467</v>
      </c>
      <c r="G271" s="71">
        <v>44467</v>
      </c>
      <c r="H271" s="71">
        <f t="shared" ref="H271:H273" si="6">G271</f>
        <v>44467</v>
      </c>
      <c r="I271" s="315" t="str">
        <f>VLOOKUP(A271,URS確認!E:I,5,FALSE)</f>
        <v>余家興</v>
      </c>
      <c r="L271" s="315" t="s">
        <v>1494</v>
      </c>
    </row>
    <row r="272" spans="1:12" x14ac:dyDescent="0.3">
      <c r="A272" s="315" t="s">
        <v>393</v>
      </c>
      <c r="B272" s="69" t="str">
        <f>VLOOKUP(A272,URS確認!$E:$F,2,FALSE)</f>
        <v xml:space="preserve">郵局授權資料建檔                     </v>
      </c>
      <c r="C272" s="315">
        <v>1</v>
      </c>
      <c r="D272" s="74" t="s">
        <v>1769</v>
      </c>
      <c r="E272" s="71">
        <v>44452</v>
      </c>
      <c r="F272" s="71">
        <v>44461</v>
      </c>
      <c r="G272" s="71">
        <v>44461</v>
      </c>
      <c r="H272" s="71">
        <f t="shared" si="6"/>
        <v>44461</v>
      </c>
      <c r="I272" s="315" t="str">
        <f>VLOOKUP(A272,URS確認!E:I,5,FALSE)</f>
        <v>余家興</v>
      </c>
      <c r="L272" s="315" t="s">
        <v>1494</v>
      </c>
    </row>
    <row r="273" spans="1:13" ht="33" customHeight="1" x14ac:dyDescent="0.3">
      <c r="A273" s="315" t="s">
        <v>387</v>
      </c>
      <c r="B273" s="69" t="str">
        <f>VLOOKUP(A273,URS確認!$E:$F,2,FALSE)</f>
        <v>帳號授權檔查詢</v>
      </c>
      <c r="C273" s="315">
        <v>1</v>
      </c>
      <c r="D273" s="74" t="s">
        <v>1770</v>
      </c>
      <c r="E273" s="71">
        <v>44452</v>
      </c>
      <c r="F273" s="71">
        <v>44461</v>
      </c>
      <c r="G273" s="71">
        <v>44461</v>
      </c>
      <c r="H273" s="71">
        <f t="shared" si="6"/>
        <v>44461</v>
      </c>
      <c r="I273" s="315" t="str">
        <f>VLOOKUP(A273,URS確認!E:I,5,FALSE)</f>
        <v>余家興</v>
      </c>
      <c r="L273" s="315" t="s">
        <v>1494</v>
      </c>
    </row>
    <row r="274" spans="1:13" x14ac:dyDescent="0.3">
      <c r="A274" s="315" t="s">
        <v>402</v>
      </c>
      <c r="B274" s="69" t="str">
        <f>VLOOKUP(A274,URS確認!$E:$F,2,FALSE)</f>
        <v xml:space="preserve">暫收款退還               </v>
      </c>
      <c r="C274" s="315">
        <v>1</v>
      </c>
      <c r="D274" s="154" t="s">
        <v>1771</v>
      </c>
      <c r="E274" s="71">
        <v>44452</v>
      </c>
      <c r="F274" s="71">
        <v>44467</v>
      </c>
      <c r="G274" s="71">
        <v>44467</v>
      </c>
      <c r="H274" s="71">
        <v>44487</v>
      </c>
      <c r="I274" s="315" t="str">
        <f>VLOOKUP(A274,URS確認!E:I,5,FALSE)</f>
        <v>余家興</v>
      </c>
      <c r="L274" s="315" t="s">
        <v>1494</v>
      </c>
    </row>
    <row r="275" spans="1:13" x14ac:dyDescent="0.3">
      <c r="A275" s="315" t="s">
        <v>402</v>
      </c>
      <c r="B275" s="69" t="str">
        <f>VLOOKUP(A275,URS確認!$E:$F,2,FALSE)</f>
        <v xml:space="preserve">暫收款退還               </v>
      </c>
      <c r="C275" s="315">
        <v>2</v>
      </c>
      <c r="D275" s="74" t="s">
        <v>1772</v>
      </c>
      <c r="E275" s="71">
        <v>44452</v>
      </c>
      <c r="F275" s="71">
        <v>44461</v>
      </c>
      <c r="G275" s="71">
        <v>44461</v>
      </c>
      <c r="H275" s="71">
        <v>44487</v>
      </c>
      <c r="I275" s="315" t="str">
        <f>VLOOKUP(A275,URS確認!E:I,5,FALSE)</f>
        <v>余家興</v>
      </c>
      <c r="L275" s="315" t="s">
        <v>1494</v>
      </c>
    </row>
    <row r="276" spans="1:13" ht="33" customHeight="1" x14ac:dyDescent="0.3">
      <c r="A276" s="315" t="s">
        <v>415</v>
      </c>
      <c r="B276" s="69" t="str">
        <f>VLOOKUP(A276,URS確認!$E:$F,2,FALSE)</f>
        <v>業務關帳作業</v>
      </c>
      <c r="C276" s="315">
        <v>1</v>
      </c>
      <c r="D276" s="155" t="s">
        <v>1773</v>
      </c>
      <c r="E276" s="71">
        <v>44452</v>
      </c>
      <c r="F276" s="71">
        <v>44466</v>
      </c>
      <c r="G276" s="71">
        <v>44466</v>
      </c>
      <c r="H276" s="71">
        <v>44466</v>
      </c>
      <c r="I276" s="315" t="str">
        <f>VLOOKUP(A276,URS確認!E:I,5,FALSE)</f>
        <v>楊智誠</v>
      </c>
      <c r="L276" s="315" t="s">
        <v>1494</v>
      </c>
    </row>
    <row r="277" spans="1:13" x14ac:dyDescent="0.3">
      <c r="A277" s="315" t="s">
        <v>415</v>
      </c>
      <c r="B277" s="69" t="str">
        <f>VLOOKUP(A277,URS確認!$E:$F,2,FALSE)</f>
        <v>業務關帳作業</v>
      </c>
      <c r="C277" s="315">
        <v>2</v>
      </c>
      <c r="D277" s="154" t="s">
        <v>1774</v>
      </c>
      <c r="E277" s="71">
        <v>44452</v>
      </c>
      <c r="F277" s="71">
        <v>44466</v>
      </c>
      <c r="G277" s="71">
        <v>44466</v>
      </c>
      <c r="H277" s="71">
        <v>44466</v>
      </c>
      <c r="I277" s="315" t="str">
        <f>VLOOKUP(A277,URS確認!E:I,5,FALSE)</f>
        <v>楊智誠</v>
      </c>
      <c r="L277" s="315" t="s">
        <v>1494</v>
      </c>
    </row>
    <row r="278" spans="1:13" x14ac:dyDescent="0.3">
      <c r="A278" s="315" t="s">
        <v>422</v>
      </c>
      <c r="B278" s="69" t="str">
        <f>VLOOKUP(A278,URS確認!$E:$F,2,FALSE)</f>
        <v xml:space="preserve">暫收支票明細資料查詢     </v>
      </c>
      <c r="C278" s="315">
        <v>1</v>
      </c>
      <c r="D278" s="74" t="s">
        <v>1775</v>
      </c>
      <c r="E278" s="71">
        <v>44452</v>
      </c>
      <c r="F278" s="71">
        <v>44470</v>
      </c>
      <c r="G278" s="71">
        <v>44470</v>
      </c>
      <c r="H278" s="71">
        <v>44487</v>
      </c>
      <c r="I278" s="315" t="str">
        <f>VLOOKUP(A278,URS確認!E:I,5,FALSE)</f>
        <v>余家興</v>
      </c>
      <c r="L278" s="315" t="s">
        <v>1494</v>
      </c>
    </row>
    <row r="279" spans="1:13" ht="33" customHeight="1" x14ac:dyDescent="0.3">
      <c r="A279" s="315" t="s">
        <v>422</v>
      </c>
      <c r="B279" s="69" t="str">
        <f>VLOOKUP(A279,URS確認!$E:$F,2,FALSE)</f>
        <v xml:space="preserve">暫收支票明細資料查詢     </v>
      </c>
      <c r="C279" s="315">
        <v>2</v>
      </c>
      <c r="D279" s="74" t="s">
        <v>1776</v>
      </c>
      <c r="E279" s="71">
        <v>44452</v>
      </c>
      <c r="F279" s="71">
        <v>44470</v>
      </c>
      <c r="G279" s="71">
        <v>44470</v>
      </c>
      <c r="H279" s="71">
        <v>44487</v>
      </c>
      <c r="I279" s="315" t="str">
        <f>VLOOKUP(A279,URS確認!E:I,5,FALSE)</f>
        <v>余家興</v>
      </c>
      <c r="M279" s="315" t="s">
        <v>1510</v>
      </c>
    </row>
    <row r="280" spans="1:13" x14ac:dyDescent="0.3">
      <c r="A280" s="315" t="s">
        <v>1426</v>
      </c>
      <c r="B280" s="69" t="e">
        <f>VLOOKUP(A280,URS確認!$E:$F,2,FALSE)</f>
        <v>#N/A</v>
      </c>
      <c r="C280" s="315">
        <v>1</v>
      </c>
      <c r="D280" s="74" t="s">
        <v>1777</v>
      </c>
      <c r="E280" s="71">
        <v>44452</v>
      </c>
      <c r="F280" s="71">
        <v>44470</v>
      </c>
      <c r="G280" s="71">
        <v>44470</v>
      </c>
      <c r="H280" s="71">
        <v>44487</v>
      </c>
      <c r="I280" s="315" t="e">
        <f>VLOOKUP(A280,URS確認!E:I,5,FALSE)</f>
        <v>#N/A</v>
      </c>
      <c r="L280" s="315" t="s">
        <v>1494</v>
      </c>
    </row>
    <row r="281" spans="1:13" ht="33" customHeight="1" x14ac:dyDescent="0.3">
      <c r="A281" s="315" t="s">
        <v>425</v>
      </c>
      <c r="B281" s="69" t="str">
        <f>VLOOKUP(A281,URS確認!$E:$F,2,FALSE)</f>
        <v>支票明細資料查詢-全部</v>
      </c>
      <c r="C281" s="315">
        <v>1</v>
      </c>
      <c r="D281" s="74" t="s">
        <v>1776</v>
      </c>
      <c r="E281" s="71">
        <v>44452</v>
      </c>
      <c r="F281" s="71">
        <v>44470</v>
      </c>
      <c r="G281" s="71">
        <v>44470</v>
      </c>
      <c r="H281" s="71">
        <v>44487</v>
      </c>
      <c r="I281" s="315" t="str">
        <f>VLOOKUP(A281,URS確認!E:I,5,FALSE)</f>
        <v>余家興</v>
      </c>
      <c r="M281" s="315" t="s">
        <v>1510</v>
      </c>
    </row>
    <row r="282" spans="1:13" x14ac:dyDescent="0.3">
      <c r="A282" s="315" t="s">
        <v>427</v>
      </c>
      <c r="B282" s="69" t="str">
        <f>VLOOKUP(A282,URS確認!$E:$F,2,FALSE)</f>
        <v xml:space="preserve">支票內容查詢             </v>
      </c>
      <c r="C282" s="315">
        <v>1</v>
      </c>
      <c r="D282" s="74" t="s">
        <v>1778</v>
      </c>
      <c r="E282" s="71">
        <v>44452</v>
      </c>
      <c r="F282" s="71">
        <v>44470</v>
      </c>
      <c r="G282" s="71">
        <v>44470</v>
      </c>
      <c r="H282" s="71">
        <v>44487</v>
      </c>
      <c r="I282" s="315" t="str">
        <f>VLOOKUP(A282,URS確認!E:I,5,FALSE)</f>
        <v>余家興</v>
      </c>
      <c r="M282" s="315" t="s">
        <v>1510</v>
      </c>
    </row>
    <row r="283" spans="1:13" ht="33" customHeight="1" x14ac:dyDescent="0.3">
      <c r="A283" s="315" t="s">
        <v>713</v>
      </c>
      <c r="B283" s="69" t="str">
        <f>VLOOKUP(A283,URS確認!$E:$F,2,FALSE)</f>
        <v>暫收款銷帳</v>
      </c>
      <c r="C283" s="315">
        <v>1</v>
      </c>
      <c r="D283" s="74" t="s">
        <v>1779</v>
      </c>
      <c r="E283" s="71">
        <v>44453</v>
      </c>
      <c r="F283" s="71">
        <v>44455</v>
      </c>
      <c r="G283" s="71">
        <v>44455</v>
      </c>
      <c r="H283" s="71">
        <v>44487</v>
      </c>
      <c r="I283" s="315" t="str">
        <f>VLOOKUP(A283,URS確認!E:I,5,FALSE)</f>
        <v>余家興</v>
      </c>
      <c r="M283" s="315" t="s">
        <v>1510</v>
      </c>
    </row>
    <row r="284" spans="1:13" ht="82.5" customHeight="1" x14ac:dyDescent="0.3">
      <c r="A284" s="315" t="s">
        <v>429</v>
      </c>
      <c r="B284" s="69" t="str">
        <f>VLOOKUP(A284,URS確認!$E:$F,2,FALSE)</f>
        <v>貸後契變手續費明細資料查詢(未入帳)</v>
      </c>
      <c r="C284" s="315">
        <v>1</v>
      </c>
      <c r="D284" s="74" t="s">
        <v>1780</v>
      </c>
      <c r="E284" s="71">
        <v>44453</v>
      </c>
      <c r="F284" s="71">
        <v>44455</v>
      </c>
      <c r="G284" s="71">
        <v>44455</v>
      </c>
      <c r="H284" s="71">
        <v>44461</v>
      </c>
      <c r="I284" s="315" t="str">
        <f>VLOOKUP(A284,URS確認!E:I,5,FALSE)</f>
        <v>陳昱衡</v>
      </c>
      <c r="L284" s="315" t="s">
        <v>1494</v>
      </c>
    </row>
    <row r="285" spans="1:13" x14ac:dyDescent="0.3">
      <c r="A285" s="315" t="s">
        <v>433</v>
      </c>
      <c r="B285" s="69" t="str">
        <f>VLOOKUP(A285,URS確認!$E:$F,2,FALSE)</f>
        <v xml:space="preserve">貸後契變手續費維護                      </v>
      </c>
      <c r="C285" s="315">
        <v>1</v>
      </c>
      <c r="D285" s="74" t="s">
        <v>1781</v>
      </c>
      <c r="E285" s="71">
        <v>44453</v>
      </c>
      <c r="F285" s="71">
        <v>44455</v>
      </c>
      <c r="G285" s="71">
        <v>44455</v>
      </c>
      <c r="H285" s="71">
        <v>44461</v>
      </c>
      <c r="I285" s="315" t="str">
        <f>VLOOKUP(A285,URS確認!E:I,5,FALSE)</f>
        <v>陳昱衡</v>
      </c>
      <c r="L285" s="315" t="s">
        <v>1494</v>
      </c>
    </row>
    <row r="286" spans="1:13" x14ac:dyDescent="0.3">
      <c r="A286" s="315" t="s">
        <v>433</v>
      </c>
      <c r="B286" s="69" t="str">
        <f>VLOOKUP(A286,URS確認!$E:$F,2,FALSE)</f>
        <v xml:space="preserve">貸後契變手續費維護                      </v>
      </c>
      <c r="C286" s="315">
        <v>2</v>
      </c>
      <c r="D286" s="74" t="s">
        <v>1782</v>
      </c>
      <c r="E286" s="71">
        <v>44453</v>
      </c>
      <c r="F286" s="71">
        <v>44455</v>
      </c>
      <c r="G286" s="71">
        <v>44455</v>
      </c>
      <c r="H286" s="71">
        <v>44461</v>
      </c>
      <c r="I286" s="315" t="str">
        <f>VLOOKUP(A286,URS確認!E:I,5,FALSE)</f>
        <v>陳昱衡</v>
      </c>
      <c r="L286" s="315" t="s">
        <v>1494</v>
      </c>
    </row>
    <row r="287" spans="1:13" x14ac:dyDescent="0.3">
      <c r="A287" s="315" t="s">
        <v>433</v>
      </c>
      <c r="B287" s="69" t="str">
        <f>VLOOKUP(A287,URS確認!$E:$F,2,FALSE)</f>
        <v xml:space="preserve">貸後契變手續費維護                      </v>
      </c>
      <c r="C287" s="315">
        <v>3</v>
      </c>
      <c r="D287" s="74" t="s">
        <v>1783</v>
      </c>
      <c r="E287" s="71">
        <v>44453</v>
      </c>
      <c r="F287" s="71">
        <v>44455</v>
      </c>
      <c r="G287" s="71">
        <v>44455</v>
      </c>
      <c r="H287" s="71">
        <v>44461</v>
      </c>
      <c r="I287" s="315" t="str">
        <f>VLOOKUP(A287,URS確認!E:I,5,FALSE)</f>
        <v>陳昱衡</v>
      </c>
      <c r="L287" s="315" t="s">
        <v>1494</v>
      </c>
    </row>
    <row r="288" spans="1:13" x14ac:dyDescent="0.3">
      <c r="A288" s="315" t="s">
        <v>433</v>
      </c>
      <c r="B288" s="69" t="str">
        <f>VLOOKUP(A288,URS確認!$E:$F,2,FALSE)</f>
        <v xml:space="preserve">貸後契變手續費維護                      </v>
      </c>
      <c r="C288" s="315">
        <v>4</v>
      </c>
      <c r="D288" s="74" t="s">
        <v>1784</v>
      </c>
      <c r="E288" s="71">
        <v>44453</v>
      </c>
      <c r="F288" s="71">
        <v>44463</v>
      </c>
      <c r="G288" s="71">
        <v>44463</v>
      </c>
      <c r="H288" s="71">
        <v>44463</v>
      </c>
      <c r="I288" s="315" t="str">
        <f>VLOOKUP(A288,URS確認!E:I,5,FALSE)</f>
        <v>陳昱衡</v>
      </c>
      <c r="L288" s="315" t="s">
        <v>1494</v>
      </c>
    </row>
    <row r="289" spans="1:13" x14ac:dyDescent="0.3">
      <c r="A289" s="315" t="s">
        <v>436</v>
      </c>
      <c r="B289" s="69" t="str">
        <f>VLOOKUP(A289,URS確認!$E:$F,2,FALSE)</f>
        <v>貸後契變手續費明細資料查詢</v>
      </c>
      <c r="C289" s="315">
        <v>1</v>
      </c>
      <c r="D289" s="74" t="s">
        <v>1785</v>
      </c>
      <c r="E289" s="71">
        <v>44453</v>
      </c>
      <c r="F289" s="71">
        <v>44455</v>
      </c>
      <c r="G289" s="71">
        <v>44455</v>
      </c>
      <c r="H289" s="71">
        <v>44461</v>
      </c>
      <c r="I289" s="315" t="str">
        <f>VLOOKUP(A289,URS確認!E:I,5,FALSE)</f>
        <v>陳昱衡</v>
      </c>
      <c r="L289" s="315" t="s">
        <v>1494</v>
      </c>
    </row>
    <row r="290" spans="1:13" x14ac:dyDescent="0.3">
      <c r="A290" s="315" t="s">
        <v>799</v>
      </c>
      <c r="B290" s="69" t="str">
        <f>VLOOKUP(A290,URS確認!$E:$F,2,FALSE)</f>
        <v>銷帳歷史明細查詢</v>
      </c>
      <c r="C290" s="315">
        <v>1</v>
      </c>
      <c r="D290" s="74" t="s">
        <v>1786</v>
      </c>
      <c r="E290" s="71">
        <v>44453</v>
      </c>
      <c r="F290" s="71">
        <v>44466</v>
      </c>
      <c r="G290" s="71">
        <v>44466</v>
      </c>
      <c r="H290" s="71">
        <v>44466</v>
      </c>
      <c r="I290" s="315" t="str">
        <f>VLOOKUP(A290,URS確認!E:I,5,FALSE)</f>
        <v>楊智誠</v>
      </c>
      <c r="L290" s="315" t="s">
        <v>1494</v>
      </c>
    </row>
    <row r="291" spans="1:13" ht="33" customHeight="1" x14ac:dyDescent="0.3">
      <c r="A291" s="315" t="s">
        <v>444</v>
      </c>
      <c r="B291" s="69" t="str">
        <f>VLOOKUP(A291,URS確認!$E:$F,2,FALSE)</f>
        <v xml:space="preserve">火險到期檔產生作業         </v>
      </c>
      <c r="C291" s="315">
        <v>1</v>
      </c>
      <c r="D291" s="74" t="s">
        <v>1787</v>
      </c>
      <c r="E291" s="71">
        <v>44455</v>
      </c>
      <c r="F291" s="71">
        <v>44504</v>
      </c>
      <c r="G291" s="71">
        <v>44504</v>
      </c>
      <c r="H291" s="71">
        <v>44504</v>
      </c>
      <c r="I291" s="315" t="s">
        <v>193</v>
      </c>
      <c r="L291" s="315" t="s">
        <v>1494</v>
      </c>
    </row>
    <row r="292" spans="1:13" x14ac:dyDescent="0.3">
      <c r="A292" s="315" t="s">
        <v>444</v>
      </c>
      <c r="B292" s="69" t="str">
        <f>VLOOKUP(A292,URS確認!$E:$F,2,FALSE)</f>
        <v xml:space="preserve">火險到期檔產生作業         </v>
      </c>
      <c r="C292" s="315">
        <v>2</v>
      </c>
      <c r="D292" s="69" t="s">
        <v>1788</v>
      </c>
      <c r="E292" s="71">
        <v>44455</v>
      </c>
      <c r="F292" s="71">
        <v>44504</v>
      </c>
      <c r="G292" s="71">
        <v>44504</v>
      </c>
      <c r="H292" s="71">
        <v>44504</v>
      </c>
      <c r="I292" s="315" t="s">
        <v>193</v>
      </c>
      <c r="L292" s="315" t="s">
        <v>1494</v>
      </c>
    </row>
    <row r="293" spans="1:13" ht="33" customHeight="1" x14ac:dyDescent="0.3">
      <c r="A293" s="315" t="s">
        <v>448</v>
      </c>
      <c r="B293" s="69" t="str">
        <f>VLOOKUP(A293,URS確認!$E:$F,2,FALSE)</f>
        <v xml:space="preserve">續約保單資料維護           </v>
      </c>
      <c r="C293" s="315">
        <v>1</v>
      </c>
      <c r="D293" s="74" t="s">
        <v>1789</v>
      </c>
      <c r="E293" s="71">
        <v>44455</v>
      </c>
      <c r="F293" s="71">
        <v>44504</v>
      </c>
      <c r="G293" s="71">
        <v>44504</v>
      </c>
      <c r="H293" s="71">
        <v>44504</v>
      </c>
      <c r="I293" s="315" t="s">
        <v>193</v>
      </c>
      <c r="L293" s="315" t="s">
        <v>1494</v>
      </c>
    </row>
    <row r="294" spans="1:13" ht="66" customHeight="1" x14ac:dyDescent="0.3">
      <c r="A294" s="315" t="s">
        <v>448</v>
      </c>
      <c r="B294" s="69" t="str">
        <f>VLOOKUP(A294,URS確認!$E:$F,2,FALSE)</f>
        <v xml:space="preserve">續約保單資料維護           </v>
      </c>
      <c r="C294" s="315">
        <v>2</v>
      </c>
      <c r="D294" s="74" t="s">
        <v>1790</v>
      </c>
      <c r="E294" s="71">
        <v>44455</v>
      </c>
      <c r="F294" s="71">
        <v>44504</v>
      </c>
      <c r="G294" s="71">
        <v>44504</v>
      </c>
      <c r="H294" s="71">
        <v>44504</v>
      </c>
      <c r="I294" s="315" t="s">
        <v>193</v>
      </c>
      <c r="L294" s="315" t="s">
        <v>1494</v>
      </c>
    </row>
    <row r="295" spans="1:13" x14ac:dyDescent="0.3">
      <c r="A295" s="315" t="s">
        <v>448</v>
      </c>
      <c r="B295" s="69" t="str">
        <f>VLOOKUP(A295,URS確認!$E:$F,2,FALSE)</f>
        <v xml:space="preserve">續約保單資料維護           </v>
      </c>
      <c r="C295" s="315">
        <v>3</v>
      </c>
      <c r="D295" s="69" t="s">
        <v>1791</v>
      </c>
      <c r="E295" s="71">
        <v>44455</v>
      </c>
      <c r="F295" s="71">
        <v>44504</v>
      </c>
      <c r="G295" s="71">
        <v>44504</v>
      </c>
      <c r="H295" s="71">
        <v>44504</v>
      </c>
      <c r="I295" s="315" t="s">
        <v>193</v>
      </c>
      <c r="L295" s="315" t="s">
        <v>1494</v>
      </c>
    </row>
    <row r="296" spans="1:13" ht="49.5" customHeight="1" x14ac:dyDescent="0.3">
      <c r="A296" s="315" t="s">
        <v>446</v>
      </c>
      <c r="B296" s="69" t="str">
        <f>VLOOKUP(A296,URS確認!$E:$F,2,FALSE)</f>
        <v xml:space="preserve">火險詢價作業               </v>
      </c>
      <c r="C296" s="315">
        <v>1</v>
      </c>
      <c r="D296" s="74" t="s">
        <v>1792</v>
      </c>
      <c r="E296" s="71">
        <v>44455</v>
      </c>
      <c r="F296" s="71">
        <v>44469</v>
      </c>
      <c r="G296" s="71">
        <v>44469</v>
      </c>
      <c r="H296" s="71">
        <v>44469</v>
      </c>
      <c r="I296" s="315" t="s">
        <v>193</v>
      </c>
      <c r="M296" s="315" t="s">
        <v>1510</v>
      </c>
    </row>
    <row r="297" spans="1:13" ht="49.5" customHeight="1" x14ac:dyDescent="0.3">
      <c r="A297" s="315" t="s">
        <v>452</v>
      </c>
      <c r="B297" s="69" t="str">
        <f>VLOOKUP(A297,URS確認!$E:$F,2,FALSE)</f>
        <v xml:space="preserve">火險通知作業               </v>
      </c>
      <c r="C297" s="315">
        <v>1</v>
      </c>
      <c r="D297" s="74" t="s">
        <v>1793</v>
      </c>
      <c r="E297" s="71">
        <v>44455</v>
      </c>
      <c r="F297" s="71">
        <v>44469</v>
      </c>
      <c r="G297" s="71">
        <v>44469</v>
      </c>
      <c r="H297" s="71">
        <v>44469</v>
      </c>
      <c r="I297" s="315" t="s">
        <v>193</v>
      </c>
      <c r="M297" s="315" t="s">
        <v>1510</v>
      </c>
    </row>
    <row r="298" spans="1:13" x14ac:dyDescent="0.3">
      <c r="A298" s="315" t="s">
        <v>452</v>
      </c>
      <c r="B298" s="69" t="str">
        <f>VLOOKUP(A298,URS確認!$E:$F,2,FALSE)</f>
        <v xml:space="preserve">火險通知作業               </v>
      </c>
      <c r="C298" s="315">
        <v>2</v>
      </c>
      <c r="D298" s="69" t="s">
        <v>1794</v>
      </c>
      <c r="E298" s="71">
        <v>44455</v>
      </c>
      <c r="F298" s="71">
        <v>44504</v>
      </c>
      <c r="G298" s="71">
        <v>44504</v>
      </c>
      <c r="H298" s="71">
        <v>44504</v>
      </c>
      <c r="I298" s="315" t="s">
        <v>193</v>
      </c>
      <c r="L298" s="315" t="s">
        <v>1494</v>
      </c>
    </row>
    <row r="299" spans="1:13" x14ac:dyDescent="0.3">
      <c r="B299" s="69" t="s">
        <v>1795</v>
      </c>
      <c r="C299" s="315">
        <v>1</v>
      </c>
      <c r="D299" s="74" t="s">
        <v>1796</v>
      </c>
      <c r="E299" s="71">
        <v>44455</v>
      </c>
      <c r="F299" s="71">
        <v>44512</v>
      </c>
      <c r="G299" s="71">
        <v>44512</v>
      </c>
      <c r="H299" s="71">
        <v>44512</v>
      </c>
      <c r="I299" s="315" t="s">
        <v>193</v>
      </c>
      <c r="M299" s="315" t="s">
        <v>1510</v>
      </c>
    </row>
    <row r="300" spans="1:13" ht="33" customHeight="1" x14ac:dyDescent="0.3">
      <c r="B300" s="69" t="s">
        <v>1797</v>
      </c>
      <c r="C300" s="315">
        <v>1</v>
      </c>
      <c r="D300" s="74" t="s">
        <v>1798</v>
      </c>
      <c r="E300" s="71">
        <v>44455</v>
      </c>
      <c r="F300" s="71">
        <v>44469</v>
      </c>
      <c r="G300" s="71">
        <v>44469</v>
      </c>
      <c r="H300" s="71">
        <v>44469</v>
      </c>
      <c r="I300" s="315" t="s">
        <v>193</v>
      </c>
      <c r="M300" s="315" t="s">
        <v>1510</v>
      </c>
    </row>
    <row r="301" spans="1:13" ht="33" customHeight="1" x14ac:dyDescent="0.3">
      <c r="A301" s="315" t="s">
        <v>466</v>
      </c>
      <c r="B301" s="69" t="str">
        <f>VLOOKUP(A301,URS確認!$E:$F,2,FALSE)</f>
        <v xml:space="preserve">產出銀行扣帳檔                       </v>
      </c>
      <c r="C301" s="315">
        <v>1</v>
      </c>
      <c r="D301" s="154" t="s">
        <v>1799</v>
      </c>
      <c r="E301" s="71">
        <v>44456</v>
      </c>
      <c r="F301" s="71">
        <v>44466</v>
      </c>
      <c r="G301" s="71">
        <v>44466</v>
      </c>
      <c r="H301" s="71">
        <v>44466</v>
      </c>
      <c r="I301" s="315" t="s">
        <v>193</v>
      </c>
      <c r="L301" s="315" t="s">
        <v>1494</v>
      </c>
    </row>
    <row r="302" spans="1:13" ht="66" customHeight="1" x14ac:dyDescent="0.3">
      <c r="A302" s="315" t="s">
        <v>466</v>
      </c>
      <c r="B302" s="69" t="str">
        <f>VLOOKUP(A302,URS確認!$E:$F,2,FALSE)</f>
        <v xml:space="preserve">產出銀行扣帳檔                       </v>
      </c>
      <c r="C302" s="315">
        <v>2</v>
      </c>
      <c r="D302" s="74" t="s">
        <v>1800</v>
      </c>
      <c r="E302" s="71">
        <v>44456</v>
      </c>
      <c r="F302" s="71">
        <v>44469</v>
      </c>
      <c r="G302" s="71">
        <v>44469</v>
      </c>
      <c r="H302" s="71">
        <v>44469</v>
      </c>
      <c r="I302" s="315" t="s">
        <v>193</v>
      </c>
      <c r="L302" s="315" t="s">
        <v>1494</v>
      </c>
    </row>
    <row r="303" spans="1:13" x14ac:dyDescent="0.3">
      <c r="A303" s="315" t="s">
        <v>466</v>
      </c>
      <c r="B303" s="69" t="str">
        <f>VLOOKUP(A303,URS確認!$E:$F,2,FALSE)</f>
        <v xml:space="preserve">產出銀行扣帳檔                       </v>
      </c>
      <c r="C303" s="315">
        <v>3</v>
      </c>
      <c r="D303" s="69" t="s">
        <v>1801</v>
      </c>
      <c r="E303" s="71">
        <v>44456</v>
      </c>
      <c r="F303" s="71">
        <v>44469</v>
      </c>
      <c r="G303" s="71">
        <v>44469</v>
      </c>
      <c r="H303" s="71">
        <v>44469</v>
      </c>
      <c r="I303" s="315" t="s">
        <v>193</v>
      </c>
      <c r="M303" s="315" t="s">
        <v>1510</v>
      </c>
    </row>
    <row r="304" spans="1:13" x14ac:dyDescent="0.3">
      <c r="A304" s="315" t="s">
        <v>472</v>
      </c>
      <c r="B304" s="69" t="str">
        <f>VLOOKUP(A304,URS確認!$E:$F,2,FALSE)</f>
        <v xml:space="preserve">銀行扣款檔資料維護                   </v>
      </c>
      <c r="C304" s="315">
        <v>1</v>
      </c>
      <c r="D304" s="74" t="s">
        <v>1801</v>
      </c>
      <c r="E304" s="71">
        <v>44456</v>
      </c>
      <c r="F304" s="71">
        <v>44469</v>
      </c>
      <c r="G304" s="71">
        <v>44469</v>
      </c>
      <c r="H304" s="71">
        <v>44469</v>
      </c>
      <c r="I304" s="315" t="s">
        <v>193</v>
      </c>
      <c r="M304" s="315" t="s">
        <v>1510</v>
      </c>
    </row>
    <row r="305" spans="1:16" ht="33" customHeight="1" x14ac:dyDescent="0.3">
      <c r="A305" s="315" t="s">
        <v>472</v>
      </c>
      <c r="B305" s="69" t="str">
        <f>VLOOKUP(A305,URS確認!$E:$F,2,FALSE)</f>
        <v xml:space="preserve">銀行扣款檔資料維護                   </v>
      </c>
      <c r="C305" s="315">
        <v>2</v>
      </c>
      <c r="D305" s="74" t="s">
        <v>1802</v>
      </c>
      <c r="E305" s="71">
        <v>44456</v>
      </c>
      <c r="F305" s="71">
        <v>44469</v>
      </c>
      <c r="G305" s="71">
        <v>44469</v>
      </c>
      <c r="H305" s="71">
        <v>44469</v>
      </c>
      <c r="I305" s="315" t="s">
        <v>193</v>
      </c>
      <c r="M305" s="315" t="s">
        <v>1510</v>
      </c>
    </row>
    <row r="306" spans="1:16" ht="33" customHeight="1" x14ac:dyDescent="0.3">
      <c r="A306" s="315" t="s">
        <v>474</v>
      </c>
      <c r="B306" s="69" t="str">
        <f>VLOOKUP(A306,URS確認!$E:$F,2,FALSE)</f>
        <v xml:space="preserve">銀行扣款(媒體製作)                   </v>
      </c>
      <c r="C306" s="315">
        <v>1</v>
      </c>
      <c r="D306" s="74" t="s">
        <v>1799</v>
      </c>
      <c r="E306" s="71">
        <v>44456</v>
      </c>
      <c r="F306" s="71">
        <v>44466</v>
      </c>
      <c r="G306" s="71">
        <v>44466</v>
      </c>
      <c r="H306" s="71">
        <v>44466</v>
      </c>
      <c r="I306" s="315" t="s">
        <v>193</v>
      </c>
      <c r="L306" s="315" t="s">
        <v>1494</v>
      </c>
    </row>
    <row r="307" spans="1:16" s="157" customFormat="1" ht="66" customHeight="1" x14ac:dyDescent="0.3">
      <c r="A307" s="156" t="s">
        <v>474</v>
      </c>
      <c r="B307" s="157" t="str">
        <f>VLOOKUP(A307,URS確認!$E:$F,2,FALSE)</f>
        <v xml:space="preserve">銀行扣款(媒體製作)                   </v>
      </c>
      <c r="C307" s="156">
        <v>2</v>
      </c>
      <c r="D307" s="154" t="s">
        <v>1803</v>
      </c>
      <c r="E307" s="158">
        <v>44456</v>
      </c>
      <c r="F307" s="71">
        <v>44469</v>
      </c>
      <c r="G307" s="71">
        <v>44469</v>
      </c>
      <c r="H307" s="71">
        <v>44469</v>
      </c>
      <c r="I307" s="315" t="s">
        <v>193</v>
      </c>
      <c r="J307" s="156"/>
      <c r="K307" s="156"/>
      <c r="L307" s="156"/>
      <c r="M307" s="315" t="s">
        <v>1510</v>
      </c>
      <c r="N307" s="156"/>
      <c r="O307" s="156"/>
      <c r="P307" s="156"/>
    </row>
    <row r="308" spans="1:16" ht="33" customHeight="1" x14ac:dyDescent="0.3">
      <c r="A308" s="315" t="s">
        <v>474</v>
      </c>
      <c r="B308" s="69" t="str">
        <f>VLOOKUP(A308,URS確認!$E:$F,2,FALSE)</f>
        <v xml:space="preserve">銀行扣款(媒體製作)                   </v>
      </c>
      <c r="C308" s="315">
        <v>3</v>
      </c>
      <c r="D308" s="74" t="s">
        <v>1804</v>
      </c>
      <c r="E308" s="71">
        <v>44456</v>
      </c>
      <c r="F308" s="71">
        <v>44512</v>
      </c>
      <c r="G308" s="71">
        <v>44509</v>
      </c>
      <c r="H308" s="71">
        <v>44509</v>
      </c>
      <c r="I308" s="315" t="s">
        <v>193</v>
      </c>
      <c r="L308" s="315" t="s">
        <v>1494</v>
      </c>
    </row>
    <row r="309" spans="1:16" x14ac:dyDescent="0.3">
      <c r="A309" s="315" t="s">
        <v>476</v>
      </c>
      <c r="B309" s="69" t="str">
        <f>VLOOKUP(A309,URS確認!$E:$F,2,FALSE)</f>
        <v>銀扣扣款前通知</v>
      </c>
      <c r="C309" s="315">
        <v>1</v>
      </c>
      <c r="D309" s="74" t="s">
        <v>1805</v>
      </c>
      <c r="E309" s="71">
        <v>44456</v>
      </c>
      <c r="F309" s="71">
        <v>44466</v>
      </c>
      <c r="G309" s="71">
        <v>44466</v>
      </c>
      <c r="H309" s="71">
        <v>44466</v>
      </c>
      <c r="I309" s="315" t="s">
        <v>193</v>
      </c>
      <c r="L309" s="315" t="s">
        <v>1494</v>
      </c>
    </row>
    <row r="310" spans="1:16" ht="33" customHeight="1" x14ac:dyDescent="0.3">
      <c r="A310" s="315" t="s">
        <v>469</v>
      </c>
      <c r="B310" s="69" t="str">
        <f>VLOOKUP(A310,URS確認!$E:$F,2,FALSE)</f>
        <v xml:space="preserve">銀行扣款檔資料查詢                   </v>
      </c>
      <c r="C310" s="315">
        <v>1</v>
      </c>
      <c r="D310" s="74" t="s">
        <v>1806</v>
      </c>
      <c r="E310" s="71">
        <v>44456</v>
      </c>
      <c r="F310" s="71">
        <v>44466</v>
      </c>
      <c r="G310" s="71">
        <v>44466</v>
      </c>
      <c r="H310" s="71">
        <v>44466</v>
      </c>
      <c r="I310" s="315" t="s">
        <v>193</v>
      </c>
      <c r="L310" s="315" t="s">
        <v>1494</v>
      </c>
    </row>
    <row r="311" spans="1:16" x14ac:dyDescent="0.3">
      <c r="A311" s="315" t="s">
        <v>469</v>
      </c>
      <c r="B311" s="69" t="str">
        <f>VLOOKUP(A311,URS確認!$E:$F,2,FALSE)</f>
        <v xml:space="preserve">銀行扣款檔資料查詢                   </v>
      </c>
      <c r="C311" s="315">
        <v>2</v>
      </c>
      <c r="D311" s="74" t="s">
        <v>1807</v>
      </c>
      <c r="E311" s="71">
        <v>44456</v>
      </c>
      <c r="F311" s="71">
        <v>44466</v>
      </c>
      <c r="G311" s="71">
        <v>44466</v>
      </c>
      <c r="H311" s="71">
        <v>44466</v>
      </c>
      <c r="I311" s="315" t="s">
        <v>193</v>
      </c>
      <c r="L311" s="315" t="s">
        <v>1494</v>
      </c>
    </row>
    <row r="312" spans="1:16" x14ac:dyDescent="0.3">
      <c r="A312" s="315" t="s">
        <v>469</v>
      </c>
      <c r="B312" s="69" t="str">
        <f>VLOOKUP(A312,URS確認!$E:$F,2,FALSE)</f>
        <v xml:space="preserve">銀行扣款檔資料查詢                   </v>
      </c>
      <c r="C312" s="315">
        <v>3</v>
      </c>
      <c r="D312" s="74" t="s">
        <v>1808</v>
      </c>
      <c r="E312" s="71">
        <v>44456</v>
      </c>
      <c r="F312" s="71">
        <v>44466</v>
      </c>
      <c r="G312" s="71">
        <v>44466</v>
      </c>
      <c r="H312" s="71">
        <v>44466</v>
      </c>
      <c r="I312" s="315" t="s">
        <v>193</v>
      </c>
      <c r="L312" s="315" t="s">
        <v>1494</v>
      </c>
    </row>
    <row r="313" spans="1:16" ht="33" customHeight="1" x14ac:dyDescent="0.3">
      <c r="A313" s="315" t="s">
        <v>469</v>
      </c>
      <c r="B313" s="69" t="str">
        <f>VLOOKUP(A313,URS確認!$E:$F,2,FALSE)</f>
        <v xml:space="preserve">銀行扣款檔資料查詢                   </v>
      </c>
      <c r="C313" s="315">
        <v>4</v>
      </c>
      <c r="D313" s="74" t="s">
        <v>1809</v>
      </c>
      <c r="E313" s="71">
        <v>44456</v>
      </c>
      <c r="F313" s="71">
        <v>44512</v>
      </c>
      <c r="G313" s="71">
        <v>44512</v>
      </c>
      <c r="H313" s="71">
        <v>44512</v>
      </c>
      <c r="I313" s="315" t="s">
        <v>193</v>
      </c>
      <c r="M313" s="315" t="s">
        <v>1517</v>
      </c>
    </row>
    <row r="314" spans="1:16" ht="99" customHeight="1" x14ac:dyDescent="0.3">
      <c r="A314" s="315" t="s">
        <v>469</v>
      </c>
      <c r="B314" s="69" t="str">
        <f>VLOOKUP(A314,URS確認!$E:$F,2,FALSE)</f>
        <v xml:space="preserve">銀行扣款檔資料查詢                   </v>
      </c>
      <c r="C314" s="315">
        <v>5</v>
      </c>
      <c r="D314" s="74" t="s">
        <v>1810</v>
      </c>
      <c r="E314" s="71">
        <v>44456</v>
      </c>
      <c r="F314" s="71">
        <v>44466</v>
      </c>
      <c r="G314" s="71">
        <v>44466</v>
      </c>
      <c r="H314" s="71">
        <v>44466</v>
      </c>
      <c r="I314" s="315" t="s">
        <v>193</v>
      </c>
      <c r="L314" s="315" t="s">
        <v>1494</v>
      </c>
    </row>
    <row r="315" spans="1:16" x14ac:dyDescent="0.3">
      <c r="B315" s="69" t="s">
        <v>1811</v>
      </c>
      <c r="C315" s="315">
        <v>1</v>
      </c>
      <c r="D315" s="74" t="s">
        <v>1812</v>
      </c>
      <c r="E315" s="71">
        <v>44456</v>
      </c>
      <c r="F315" s="71">
        <v>44469</v>
      </c>
      <c r="G315" s="71">
        <v>44469</v>
      </c>
      <c r="H315" s="71">
        <v>44469</v>
      </c>
      <c r="I315" s="315" t="s">
        <v>193</v>
      </c>
      <c r="M315" s="315" t="s">
        <v>1517</v>
      </c>
    </row>
    <row r="316" spans="1:16" ht="33" customHeight="1" x14ac:dyDescent="0.3">
      <c r="B316" s="69" t="s">
        <v>1811</v>
      </c>
      <c r="C316" s="315">
        <v>2</v>
      </c>
      <c r="D316" s="74" t="s">
        <v>1813</v>
      </c>
      <c r="E316" s="71">
        <v>44456</v>
      </c>
      <c r="F316" s="71">
        <v>44469</v>
      </c>
      <c r="G316" s="71">
        <v>44469</v>
      </c>
      <c r="H316" s="71">
        <v>44469</v>
      </c>
      <c r="I316" s="315" t="s">
        <v>193</v>
      </c>
      <c r="M316" s="315" t="s">
        <v>1517</v>
      </c>
    </row>
    <row r="317" spans="1:16" x14ac:dyDescent="0.3">
      <c r="A317" s="315" t="s">
        <v>1814</v>
      </c>
      <c r="B317" s="69" t="s">
        <v>1797</v>
      </c>
      <c r="C317" s="315">
        <v>1</v>
      </c>
      <c r="D317" s="74" t="s">
        <v>1815</v>
      </c>
      <c r="E317" s="71">
        <v>44456</v>
      </c>
      <c r="F317" s="71">
        <v>44466</v>
      </c>
      <c r="G317" s="71">
        <v>44466</v>
      </c>
      <c r="H317" s="71">
        <v>44466</v>
      </c>
      <c r="I317" s="315" t="s">
        <v>193</v>
      </c>
      <c r="L317" s="315" t="s">
        <v>1494</v>
      </c>
    </row>
    <row r="318" spans="1:16" x14ac:dyDescent="0.3">
      <c r="A318" s="315" t="s">
        <v>1814</v>
      </c>
      <c r="B318" s="69" t="s">
        <v>1797</v>
      </c>
      <c r="C318" s="315">
        <v>2</v>
      </c>
      <c r="D318" s="74" t="s">
        <v>1816</v>
      </c>
      <c r="E318" s="71">
        <v>44456</v>
      </c>
      <c r="F318" s="71">
        <v>44512</v>
      </c>
      <c r="G318" s="71">
        <v>44512</v>
      </c>
      <c r="H318" s="71">
        <v>44512</v>
      </c>
      <c r="I318" s="315" t="s">
        <v>193</v>
      </c>
      <c r="M318" s="315" t="s">
        <v>1517</v>
      </c>
    </row>
    <row r="319" spans="1:16" x14ac:dyDescent="0.3">
      <c r="A319" s="315" t="s">
        <v>486</v>
      </c>
      <c r="B319" s="69" t="str">
        <f>VLOOKUP(A319,URS確認!$E:$F,2,FALSE)</f>
        <v>債權維護</v>
      </c>
      <c r="C319" s="315">
        <v>1</v>
      </c>
      <c r="D319" s="74" t="s">
        <v>1817</v>
      </c>
      <c r="E319" s="71">
        <v>44462</v>
      </c>
      <c r="F319" s="71">
        <v>44467</v>
      </c>
      <c r="G319" s="71">
        <v>44467</v>
      </c>
      <c r="H319" s="71">
        <v>44473</v>
      </c>
      <c r="I319" s="315" t="str">
        <f>VLOOKUP(A319,URS確認!E:I,5,FALSE)</f>
        <v>蘇曉玲</v>
      </c>
      <c r="L319" s="315" t="s">
        <v>1494</v>
      </c>
    </row>
    <row r="320" spans="1:16" ht="34" customHeight="1" x14ac:dyDescent="0.3">
      <c r="A320" s="315" t="s">
        <v>486</v>
      </c>
      <c r="B320" s="69" t="str">
        <f>VLOOKUP(A320,URS確認!$E:$F,2,FALSE)</f>
        <v>債權維護</v>
      </c>
      <c r="C320" s="315">
        <v>2</v>
      </c>
      <c r="D320" s="74" t="s">
        <v>1818</v>
      </c>
      <c r="E320" s="71">
        <v>44462</v>
      </c>
      <c r="F320" s="71">
        <v>44468</v>
      </c>
      <c r="G320" s="71">
        <v>44468</v>
      </c>
      <c r="H320" s="71">
        <v>44473</v>
      </c>
      <c r="I320" s="315" t="str">
        <f>VLOOKUP(A320,URS確認!E:I,5,FALSE)</f>
        <v>蘇曉玲</v>
      </c>
      <c r="L320" s="315" t="s">
        <v>1494</v>
      </c>
    </row>
    <row r="321" spans="1:13" x14ac:dyDescent="0.3">
      <c r="A321" s="315" t="s">
        <v>486</v>
      </c>
      <c r="B321" s="69" t="str">
        <f>VLOOKUP(A321,URS確認!$E:$F,2,FALSE)</f>
        <v>債權維護</v>
      </c>
      <c r="C321" s="315">
        <v>3</v>
      </c>
      <c r="D321" s="74" t="s">
        <v>1819</v>
      </c>
      <c r="E321" s="71">
        <v>44462</v>
      </c>
      <c r="F321" s="71">
        <v>44468</v>
      </c>
      <c r="G321" s="71">
        <v>44468</v>
      </c>
      <c r="H321" s="71">
        <v>44473</v>
      </c>
      <c r="I321" s="315" t="str">
        <f>VLOOKUP(A321,URS確認!E:I,5,FALSE)</f>
        <v>蘇曉玲</v>
      </c>
      <c r="L321" s="315" t="s">
        <v>1494</v>
      </c>
    </row>
    <row r="322" spans="1:13" x14ac:dyDescent="0.3">
      <c r="A322" s="315" t="s">
        <v>486</v>
      </c>
      <c r="B322" s="69" t="str">
        <f>VLOOKUP(A322,URS確認!$E:$F,2,FALSE)</f>
        <v>債權維護</v>
      </c>
      <c r="C322" s="315">
        <v>4</v>
      </c>
      <c r="D322" s="74" t="s">
        <v>1820</v>
      </c>
      <c r="E322" s="71">
        <v>44462</v>
      </c>
      <c r="F322" s="71">
        <v>44467</v>
      </c>
      <c r="G322" s="71">
        <v>44467</v>
      </c>
      <c r="H322" s="71">
        <v>44473</v>
      </c>
      <c r="I322" s="315" t="str">
        <f>VLOOKUP(A322,URS確認!E:I,5,FALSE)</f>
        <v>蘇曉玲</v>
      </c>
      <c r="L322" s="315" t="s">
        <v>1494</v>
      </c>
    </row>
    <row r="323" spans="1:13" x14ac:dyDescent="0.3">
      <c r="A323" s="315" t="s">
        <v>486</v>
      </c>
      <c r="B323" s="69" t="str">
        <f>VLOOKUP(A323,URS確認!$E:$F,2,FALSE)</f>
        <v>債權維護</v>
      </c>
      <c r="C323" s="315">
        <v>5</v>
      </c>
      <c r="D323" s="74" t="s">
        <v>1821</v>
      </c>
      <c r="E323" s="71">
        <v>44462</v>
      </c>
      <c r="F323" s="71">
        <v>44475</v>
      </c>
      <c r="G323" s="71">
        <v>44469</v>
      </c>
      <c r="H323" s="71">
        <v>44473</v>
      </c>
      <c r="I323" s="315" t="str">
        <f>VLOOKUP(A323,URS確認!E:I,5,FALSE)</f>
        <v>蘇曉玲</v>
      </c>
      <c r="L323" s="315" t="s">
        <v>1494</v>
      </c>
    </row>
    <row r="324" spans="1:13" x14ac:dyDescent="0.3">
      <c r="A324" s="315" t="s">
        <v>486</v>
      </c>
      <c r="B324" s="69" t="str">
        <f>VLOOKUP(A324,URS確認!$E:$F,2,FALSE)</f>
        <v>債權維護</v>
      </c>
      <c r="C324" s="315">
        <v>6</v>
      </c>
      <c r="D324" s="74" t="s">
        <v>1822</v>
      </c>
      <c r="E324" s="71">
        <v>44462</v>
      </c>
      <c r="F324" s="71">
        <v>44475</v>
      </c>
      <c r="G324" s="71">
        <v>44469</v>
      </c>
      <c r="H324" s="71">
        <v>44473</v>
      </c>
      <c r="I324" s="315" t="str">
        <f>VLOOKUP(A324,URS確認!E:I,5,FALSE)</f>
        <v>蘇曉玲</v>
      </c>
      <c r="L324" s="315" t="s">
        <v>1494</v>
      </c>
    </row>
    <row r="325" spans="1:13" x14ac:dyDescent="0.3">
      <c r="A325" s="315" t="s">
        <v>490</v>
      </c>
      <c r="B325" s="69" t="str">
        <f>VLOOKUP(A325,URS確認!$E:$F,2,FALSE)</f>
        <v xml:space="preserve">債務協商滯繳/應繳明細查詢             </v>
      </c>
      <c r="C325" s="315">
        <v>1</v>
      </c>
      <c r="D325" s="74" t="s">
        <v>1823</v>
      </c>
      <c r="E325" s="71">
        <v>44462</v>
      </c>
      <c r="F325" s="71">
        <v>44467</v>
      </c>
      <c r="G325" s="71">
        <v>44467</v>
      </c>
      <c r="H325" s="71">
        <v>44468</v>
      </c>
      <c r="I325" s="315" t="str">
        <f>VLOOKUP(A325,URS確認!E:I,5,FALSE)</f>
        <v>蘇曉玲</v>
      </c>
      <c r="L325" s="315" t="s">
        <v>1494</v>
      </c>
    </row>
    <row r="326" spans="1:13" ht="33" customHeight="1" x14ac:dyDescent="0.3">
      <c r="A326" s="315" t="s">
        <v>490</v>
      </c>
      <c r="B326" s="69" t="str">
        <f>VLOOKUP(A326,URS確認!$E:$F,2,FALSE)</f>
        <v xml:space="preserve">債務協商滯繳/應繳明細查詢             </v>
      </c>
      <c r="C326" s="315">
        <v>2</v>
      </c>
      <c r="D326" s="74" t="s">
        <v>1824</v>
      </c>
      <c r="E326" s="71">
        <v>44462</v>
      </c>
      <c r="F326" s="71">
        <v>44475</v>
      </c>
      <c r="G326" s="71">
        <v>44505</v>
      </c>
      <c r="H326" s="365">
        <v>44489</v>
      </c>
      <c r="I326" s="315" t="str">
        <f>VLOOKUP(A326,URS確認!E:I,5,FALSE)</f>
        <v>蘇曉玲</v>
      </c>
      <c r="M326" s="315" t="s">
        <v>1510</v>
      </c>
    </row>
    <row r="327" spans="1:13" x14ac:dyDescent="0.3">
      <c r="A327" s="315" t="s">
        <v>490</v>
      </c>
      <c r="B327" s="69" t="str">
        <f>VLOOKUP(A327,URS確認!$E:$F,2,FALSE)</f>
        <v xml:space="preserve">債務協商滯繳/應繳明細查詢             </v>
      </c>
      <c r="C327" s="315">
        <v>3</v>
      </c>
      <c r="D327" s="74" t="s">
        <v>1825</v>
      </c>
      <c r="E327" s="71">
        <v>44462</v>
      </c>
      <c r="F327" s="71">
        <v>44467</v>
      </c>
      <c r="G327" s="71">
        <v>44467</v>
      </c>
      <c r="H327" s="71">
        <v>44468</v>
      </c>
      <c r="I327" s="315" t="str">
        <f>VLOOKUP(A327,URS確認!E:I,5,FALSE)</f>
        <v>蘇曉玲</v>
      </c>
      <c r="L327" s="315" t="s">
        <v>1494</v>
      </c>
    </row>
    <row r="328" spans="1:13" x14ac:dyDescent="0.3">
      <c r="A328" s="315" t="s">
        <v>484</v>
      </c>
      <c r="B328" s="69" t="str">
        <f>VLOOKUP(A328,URS確認!$E:$F,2,FALSE)</f>
        <v>債權案件明細查詢</v>
      </c>
      <c r="C328" s="315">
        <v>1</v>
      </c>
      <c r="D328" s="74" t="s">
        <v>1826</v>
      </c>
      <c r="E328" s="71">
        <v>44462</v>
      </c>
      <c r="F328" s="71">
        <v>44468</v>
      </c>
      <c r="G328" s="71">
        <v>44468</v>
      </c>
      <c r="H328" s="71">
        <v>44470</v>
      </c>
      <c r="I328" s="315" t="str">
        <f>VLOOKUP(A328,URS確認!E:I,5,FALSE)</f>
        <v>蘇曉玲</v>
      </c>
      <c r="L328" s="315" t="s">
        <v>1494</v>
      </c>
    </row>
    <row r="329" spans="1:13" x14ac:dyDescent="0.3">
      <c r="A329" s="315" t="s">
        <v>496</v>
      </c>
      <c r="B329" s="69" t="str">
        <f>VLOOKUP(A329,URS確認!$E:$F,2,FALSE)</f>
        <v xml:space="preserve">期款試算                              </v>
      </c>
      <c r="C329" s="315">
        <v>1</v>
      </c>
      <c r="D329" s="74" t="s">
        <v>1827</v>
      </c>
      <c r="E329" s="71">
        <v>44462</v>
      </c>
      <c r="F329" s="71">
        <v>44467</v>
      </c>
      <c r="G329" s="71">
        <v>44467</v>
      </c>
      <c r="H329" s="71">
        <v>44468</v>
      </c>
      <c r="I329" s="315" t="str">
        <f>VLOOKUP(A329,URS確認!E:I,5,FALSE)</f>
        <v>蘇曉玲</v>
      </c>
      <c r="L329" s="315" t="s">
        <v>1494</v>
      </c>
    </row>
    <row r="330" spans="1:13" ht="33" customHeight="1" x14ac:dyDescent="0.3">
      <c r="A330" s="315" t="s">
        <v>500</v>
      </c>
      <c r="B330" s="69" t="str">
        <f>VLOOKUP(A330,URS確認!$E:$F,2,FALSE)</f>
        <v>債務協商作業-整批處理</v>
      </c>
      <c r="C330" s="315">
        <v>1</v>
      </c>
      <c r="D330" s="74" t="s">
        <v>1828</v>
      </c>
      <c r="E330" s="71">
        <v>44463</v>
      </c>
      <c r="F330" s="71">
        <v>44475</v>
      </c>
      <c r="G330" s="71">
        <v>44474</v>
      </c>
      <c r="H330" s="71">
        <v>44474</v>
      </c>
      <c r="I330" s="315" t="str">
        <f>VLOOKUP(A330,URS確認!E:I,5,FALSE)</f>
        <v>蘇曉玲</v>
      </c>
      <c r="M330" s="315" t="s">
        <v>1510</v>
      </c>
    </row>
    <row r="331" spans="1:13" x14ac:dyDescent="0.3">
      <c r="A331" s="315" t="s">
        <v>529</v>
      </c>
      <c r="B331" s="69" t="str">
        <f>VLOOKUP(A331,URS確認!$E:$F,2,FALSE)</f>
        <v xml:space="preserve">最大債權撥付回覆檔檢核                </v>
      </c>
      <c r="C331" s="315">
        <v>1</v>
      </c>
      <c r="D331" s="74" t="s">
        <v>1829</v>
      </c>
      <c r="E331" s="71">
        <v>44463</v>
      </c>
      <c r="F331" s="71">
        <v>44475</v>
      </c>
      <c r="G331" s="71">
        <v>44473</v>
      </c>
      <c r="H331" s="71">
        <v>44473</v>
      </c>
      <c r="I331" s="315" t="str">
        <f>VLOOKUP(A331,URS確認!E:I,5,FALSE)</f>
        <v>蘇曉玲</v>
      </c>
      <c r="L331" s="315" t="s">
        <v>1494</v>
      </c>
    </row>
    <row r="332" spans="1:13" x14ac:dyDescent="0.3">
      <c r="A332" s="315" t="s">
        <v>531</v>
      </c>
      <c r="B332" s="69" t="str">
        <f>VLOOKUP(A332,URS確認!$E:$F,2,FALSE)</f>
        <v xml:space="preserve">一般債權撥付資料檢核                  </v>
      </c>
      <c r="C332" s="315">
        <v>1</v>
      </c>
      <c r="D332" s="74" t="s">
        <v>1829</v>
      </c>
      <c r="E332" s="71">
        <v>44463</v>
      </c>
      <c r="F332" s="71">
        <v>44475</v>
      </c>
      <c r="G332" s="71">
        <v>44473</v>
      </c>
      <c r="H332" s="71">
        <v>44473</v>
      </c>
      <c r="I332" s="315" t="str">
        <f>VLOOKUP(A332,URS確認!E:I,5,FALSE)</f>
        <v>蘇曉玲</v>
      </c>
      <c r="L332" s="315" t="s">
        <v>1494</v>
      </c>
    </row>
    <row r="333" spans="1:13" ht="33" customHeight="1" x14ac:dyDescent="0.3">
      <c r="A333" s="315" t="s">
        <v>484</v>
      </c>
      <c r="B333" s="69" t="str">
        <f>VLOOKUP(A333,URS確認!$E:$F,2,FALSE)</f>
        <v>債權案件明細查詢</v>
      </c>
      <c r="C333" s="315">
        <v>1</v>
      </c>
      <c r="D333" s="74" t="s">
        <v>1830</v>
      </c>
      <c r="E333" s="71">
        <v>44463</v>
      </c>
      <c r="F333" s="71">
        <v>44475</v>
      </c>
      <c r="G333" s="71">
        <v>44469</v>
      </c>
      <c r="H333" s="71">
        <v>44470</v>
      </c>
      <c r="I333" s="315" t="str">
        <f>VLOOKUP(A333,URS確認!E:I,5,FALSE)</f>
        <v>蘇曉玲</v>
      </c>
      <c r="M333" s="315" t="s">
        <v>1510</v>
      </c>
    </row>
    <row r="334" spans="1:13" x14ac:dyDescent="0.3">
      <c r="A334" s="315" t="s">
        <v>507</v>
      </c>
      <c r="B334" s="69" t="str">
        <f>VLOOKUP(A334,URS確認!$E:$F,2,FALSE)</f>
        <v xml:space="preserve">債務協商交易資料查詢                  </v>
      </c>
      <c r="C334" s="315">
        <v>1</v>
      </c>
      <c r="D334" s="74" t="s">
        <v>1831</v>
      </c>
      <c r="E334" s="71">
        <v>44463</v>
      </c>
      <c r="F334" s="71">
        <v>44467</v>
      </c>
      <c r="G334" s="71">
        <v>44467</v>
      </c>
      <c r="H334" s="71">
        <v>44468</v>
      </c>
      <c r="I334" s="315" t="str">
        <f>VLOOKUP(A334,URS確認!E:I,5,FALSE)</f>
        <v>蘇曉玲</v>
      </c>
      <c r="L334" s="315" t="s">
        <v>1494</v>
      </c>
    </row>
    <row r="335" spans="1:13" ht="66" customHeight="1" x14ac:dyDescent="0.3">
      <c r="A335" s="315" t="s">
        <v>507</v>
      </c>
      <c r="B335" s="69" t="str">
        <f>VLOOKUP(A335,URS確認!$E:$F,2,FALSE)</f>
        <v xml:space="preserve">債務協商交易資料查詢                  </v>
      </c>
      <c r="C335" s="315">
        <v>2</v>
      </c>
      <c r="D335" s="74" t="s">
        <v>1832</v>
      </c>
      <c r="E335" s="71">
        <v>44463</v>
      </c>
      <c r="F335" s="71">
        <v>44475</v>
      </c>
      <c r="G335" s="71">
        <v>44474</v>
      </c>
      <c r="H335" s="71">
        <v>44474</v>
      </c>
      <c r="I335" s="315" t="str">
        <f>VLOOKUP(A335,URS確認!E:I,5,FALSE)</f>
        <v>蘇曉玲</v>
      </c>
      <c r="M335" s="315" t="s">
        <v>1510</v>
      </c>
    </row>
    <row r="336" spans="1:13" x14ac:dyDescent="0.3">
      <c r="A336" s="315" t="s">
        <v>538</v>
      </c>
      <c r="B336" s="69" t="str">
        <f>VLOOKUP(A336,URS確認!$E:$F,2,FALSE)</f>
        <v>單位及主管代號維護</v>
      </c>
      <c r="C336" s="315">
        <v>1</v>
      </c>
      <c r="D336" s="74" t="s">
        <v>1833</v>
      </c>
      <c r="E336" s="71">
        <v>44466</v>
      </c>
      <c r="F336" s="71">
        <v>44475</v>
      </c>
      <c r="G336" s="71">
        <v>44475</v>
      </c>
      <c r="H336" s="71">
        <v>44475</v>
      </c>
      <c r="I336" s="315" t="str">
        <f>VLOOKUP(A336,URS確認!E:I,5,FALSE)</f>
        <v>楊智誠</v>
      </c>
      <c r="L336" s="315" t="s">
        <v>1494</v>
      </c>
    </row>
    <row r="337" spans="1:12" x14ac:dyDescent="0.3">
      <c r="A337" s="315" t="s">
        <v>538</v>
      </c>
      <c r="B337" s="69" t="str">
        <f>VLOOKUP(A337,URS確認!$E:$F,2,FALSE)</f>
        <v>單位及主管代號維護</v>
      </c>
      <c r="C337" s="315">
        <v>2</v>
      </c>
      <c r="D337" s="74" t="s">
        <v>1834</v>
      </c>
      <c r="E337" s="71">
        <v>44466</v>
      </c>
      <c r="F337" s="71">
        <v>44475</v>
      </c>
      <c r="G337" s="71">
        <v>44475</v>
      </c>
      <c r="H337" s="71">
        <v>44475</v>
      </c>
      <c r="I337" s="315" t="str">
        <f>VLOOKUP(A337,URS確認!E:I,5,FALSE)</f>
        <v>楊智誠</v>
      </c>
      <c r="L337" s="315" t="s">
        <v>1494</v>
      </c>
    </row>
    <row r="338" spans="1:12" x14ac:dyDescent="0.3">
      <c r="A338" s="315" t="s">
        <v>533</v>
      </c>
      <c r="B338" s="69" t="str">
        <f>VLOOKUP(A338,URS確認!$E:$F,2,FALSE)</f>
        <v>單位及主管代號查詢</v>
      </c>
      <c r="C338" s="315">
        <v>1</v>
      </c>
      <c r="D338" s="74" t="s">
        <v>1833</v>
      </c>
      <c r="E338" s="71">
        <v>44466</v>
      </c>
      <c r="F338" s="71">
        <v>44475</v>
      </c>
      <c r="G338" s="71">
        <v>44475</v>
      </c>
      <c r="H338" s="71">
        <v>44475</v>
      </c>
      <c r="I338" s="315" t="str">
        <f>VLOOKUP(A338,URS確認!E:I,5,FALSE)</f>
        <v>楊智誠</v>
      </c>
      <c r="L338" s="315" t="s">
        <v>1494</v>
      </c>
    </row>
    <row r="339" spans="1:12" x14ac:dyDescent="0.3">
      <c r="A339" s="315" t="s">
        <v>533</v>
      </c>
      <c r="B339" s="69" t="str">
        <f>VLOOKUP(A339,URS確認!$E:$F,2,FALSE)</f>
        <v>單位及主管代號查詢</v>
      </c>
      <c r="C339" s="315">
        <v>2</v>
      </c>
      <c r="D339" s="74" t="s">
        <v>1835</v>
      </c>
      <c r="E339" s="71">
        <v>44466</v>
      </c>
      <c r="F339" s="71">
        <v>44475</v>
      </c>
      <c r="G339" s="71">
        <v>44475</v>
      </c>
      <c r="H339" s="71">
        <v>44475</v>
      </c>
      <c r="I339" s="315" t="str">
        <f>VLOOKUP(A339,URS確認!E:I,5,FALSE)</f>
        <v>楊智誠</v>
      </c>
      <c r="L339" s="315" t="s">
        <v>1494</v>
      </c>
    </row>
    <row r="340" spans="1:12" x14ac:dyDescent="0.3">
      <c r="A340" s="315" t="s">
        <v>533</v>
      </c>
      <c r="B340" s="69" t="str">
        <f>VLOOKUP(A340,URS確認!$E:$F,2,FALSE)</f>
        <v>單位及主管代號查詢</v>
      </c>
      <c r="C340" s="315">
        <v>3</v>
      </c>
      <c r="D340" s="74" t="s">
        <v>1836</v>
      </c>
      <c r="E340" s="71">
        <v>44466</v>
      </c>
      <c r="F340" s="71">
        <v>44475</v>
      </c>
      <c r="G340" s="71">
        <v>44475</v>
      </c>
      <c r="H340" s="71">
        <v>44475</v>
      </c>
      <c r="I340" s="315" t="str">
        <f>VLOOKUP(A340,URS確認!E:I,5,FALSE)</f>
        <v>楊智誠</v>
      </c>
      <c r="L340" s="315" t="s">
        <v>1494</v>
      </c>
    </row>
    <row r="341" spans="1:12" ht="49.5" customHeight="1" x14ac:dyDescent="0.3">
      <c r="A341" s="315" t="s">
        <v>540</v>
      </c>
      <c r="B341" s="69" t="str">
        <f>VLOOKUP(A341,URS確認!$E:$F,2,FALSE)</f>
        <v>單位代號查詢</v>
      </c>
      <c r="C341" s="315">
        <v>1</v>
      </c>
      <c r="D341" s="74" t="s">
        <v>1837</v>
      </c>
      <c r="E341" s="71">
        <v>44466</v>
      </c>
      <c r="F341" s="71">
        <v>44475</v>
      </c>
      <c r="G341" s="71">
        <v>44475</v>
      </c>
      <c r="H341" s="71">
        <v>44475</v>
      </c>
      <c r="I341" s="315" t="str">
        <f>VLOOKUP(A341,URS確認!E:I,5,FALSE)</f>
        <v>楊智誠</v>
      </c>
      <c r="L341" s="315" t="s">
        <v>1494</v>
      </c>
    </row>
    <row r="342" spans="1:12" x14ac:dyDescent="0.3">
      <c r="A342" s="315" t="s">
        <v>546</v>
      </c>
      <c r="B342" s="69" t="str">
        <f>VLOOKUP(A342,URS確認!$E:$F,2,FALSE)</f>
        <v>各類代碼檔查詢</v>
      </c>
      <c r="C342" s="315">
        <v>1</v>
      </c>
      <c r="D342" s="74" t="s">
        <v>1838</v>
      </c>
      <c r="E342" s="71">
        <v>44466</v>
      </c>
      <c r="F342" s="71">
        <v>44475</v>
      </c>
      <c r="G342" s="71">
        <v>44475</v>
      </c>
      <c r="H342" s="71">
        <v>44475</v>
      </c>
      <c r="I342" s="315" t="str">
        <f>VLOOKUP(A342,URS確認!E:I,5,FALSE)</f>
        <v>楊智誠</v>
      </c>
      <c r="L342" s="315" t="s">
        <v>1494</v>
      </c>
    </row>
    <row r="343" spans="1:12" x14ac:dyDescent="0.3">
      <c r="A343" s="315" t="s">
        <v>546</v>
      </c>
      <c r="B343" s="69" t="str">
        <f>VLOOKUP(A343,URS確認!$E:$F,2,FALSE)</f>
        <v>各類代碼檔查詢</v>
      </c>
      <c r="C343" s="315">
        <v>2</v>
      </c>
      <c r="D343" s="74" t="s">
        <v>1835</v>
      </c>
      <c r="E343" s="71">
        <v>44466</v>
      </c>
      <c r="F343" s="71">
        <v>44475</v>
      </c>
      <c r="G343" s="71">
        <v>44475</v>
      </c>
      <c r="H343" s="71">
        <v>44475</v>
      </c>
      <c r="I343" s="315" t="str">
        <f>VLOOKUP(A343,URS確認!E:I,5,FALSE)</f>
        <v>楊智誠</v>
      </c>
      <c r="L343" s="315" t="s">
        <v>1494</v>
      </c>
    </row>
    <row r="344" spans="1:12" x14ac:dyDescent="0.3">
      <c r="A344" s="315" t="s">
        <v>548</v>
      </c>
      <c r="B344" s="69" t="str">
        <f>VLOOKUP(A344,URS確認!$E:$F,2,FALSE)</f>
        <v>各類代碼檔維護</v>
      </c>
      <c r="C344" s="315">
        <v>1</v>
      </c>
      <c r="D344" s="74" t="s">
        <v>1839</v>
      </c>
      <c r="E344" s="71">
        <v>44466</v>
      </c>
      <c r="F344" s="71">
        <v>44475</v>
      </c>
      <c r="G344" s="71">
        <v>44475</v>
      </c>
      <c r="H344" s="71">
        <v>44475</v>
      </c>
      <c r="I344" s="315" t="str">
        <f>VLOOKUP(A344,URS確認!E:I,5,FALSE)</f>
        <v>楊智誠</v>
      </c>
      <c r="L344" s="315" t="s">
        <v>1494</v>
      </c>
    </row>
    <row r="345" spans="1:12" x14ac:dyDescent="0.3">
      <c r="A345" s="315" t="s">
        <v>542</v>
      </c>
      <c r="B345" s="69" t="str">
        <f>VLOOKUP(A345,URS確認!$E:$F,2,FALSE)</f>
        <v>特殊/例假日查詢</v>
      </c>
      <c r="C345" s="315">
        <v>1</v>
      </c>
      <c r="D345" s="74" t="s">
        <v>1840</v>
      </c>
      <c r="E345" s="71">
        <v>44466</v>
      </c>
      <c r="F345" s="71">
        <v>44475</v>
      </c>
      <c r="G345" s="71">
        <v>44475</v>
      </c>
      <c r="H345" s="71">
        <v>44475</v>
      </c>
      <c r="I345" s="315" t="str">
        <f>VLOOKUP(A345,URS確認!E:I,5,FALSE)</f>
        <v>楊智誠</v>
      </c>
      <c r="L345" s="315" t="s">
        <v>1494</v>
      </c>
    </row>
    <row r="346" spans="1:12" x14ac:dyDescent="0.3">
      <c r="A346" s="315" t="s">
        <v>588</v>
      </c>
      <c r="B346" s="69" t="str">
        <f>VLOOKUP(A346,URS確認!$E:$F,2,FALSE)</f>
        <v>地區別資料查詢</v>
      </c>
      <c r="C346" s="315">
        <v>1</v>
      </c>
      <c r="D346" s="74" t="s">
        <v>1841</v>
      </c>
      <c r="E346" s="71">
        <v>44467</v>
      </c>
      <c r="F346" s="71">
        <v>44475</v>
      </c>
      <c r="G346" s="71">
        <v>44475</v>
      </c>
      <c r="H346" s="71">
        <v>44475</v>
      </c>
      <c r="I346" s="315" t="str">
        <f>VLOOKUP(A346,URS確認!E:I,5,FALSE)</f>
        <v>楊智誠</v>
      </c>
      <c r="L346" s="315" t="s">
        <v>1494</v>
      </c>
    </row>
    <row r="347" spans="1:12" x14ac:dyDescent="0.3">
      <c r="A347" s="315" t="s">
        <v>590</v>
      </c>
      <c r="B347" s="69" t="str">
        <f>VLOOKUP(A347,URS確認!$E:$F,2,FALSE)</f>
        <v>地區別資料維護</v>
      </c>
      <c r="C347" s="315">
        <v>1</v>
      </c>
      <c r="D347" s="74" t="s">
        <v>1842</v>
      </c>
      <c r="E347" s="71">
        <v>44467</v>
      </c>
      <c r="F347" s="71">
        <v>44475</v>
      </c>
      <c r="G347" s="71">
        <v>44475</v>
      </c>
      <c r="H347" s="71">
        <v>44475</v>
      </c>
      <c r="I347" s="315" t="str">
        <f>VLOOKUP(A347,URS確認!E:I,5,FALSE)</f>
        <v>楊智誠</v>
      </c>
      <c r="L347" s="315" t="s">
        <v>1494</v>
      </c>
    </row>
    <row r="348" spans="1:12" x14ac:dyDescent="0.3">
      <c r="A348" s="315" t="s">
        <v>578</v>
      </c>
      <c r="B348" s="69" t="str">
        <f>VLOOKUP(A348,URS確認!$E:$F,2,FALSE)</f>
        <v>聯徵報送-地區別資料查詢</v>
      </c>
      <c r="C348" s="315">
        <v>1</v>
      </c>
      <c r="D348" s="74" t="s">
        <v>1843</v>
      </c>
      <c r="E348" s="71">
        <v>44467</v>
      </c>
      <c r="F348" s="71">
        <v>44475</v>
      </c>
      <c r="G348" s="71">
        <v>44475</v>
      </c>
      <c r="H348" s="71">
        <v>44475</v>
      </c>
      <c r="I348" s="315" t="str">
        <f>VLOOKUP(A348,URS確認!E:I,5,FALSE)</f>
        <v>楊智誠</v>
      </c>
      <c r="L348" s="315" t="s">
        <v>1494</v>
      </c>
    </row>
    <row r="349" spans="1:12" x14ac:dyDescent="0.3">
      <c r="A349" s="315" t="s">
        <v>578</v>
      </c>
      <c r="B349" s="69" t="str">
        <f>VLOOKUP(A349,URS確認!$E:$F,2,FALSE)</f>
        <v>聯徵報送-地區別資料查詢</v>
      </c>
      <c r="C349" s="315">
        <v>2</v>
      </c>
      <c r="D349" s="74" t="s">
        <v>1844</v>
      </c>
      <c r="E349" s="71">
        <v>44467</v>
      </c>
      <c r="F349" s="71">
        <v>44475</v>
      </c>
      <c r="G349" s="71">
        <v>44475</v>
      </c>
      <c r="H349" s="71">
        <v>44475</v>
      </c>
      <c r="I349" s="315" t="str">
        <f>VLOOKUP(A349,URS確認!E:I,5,FALSE)</f>
        <v>楊智誠</v>
      </c>
      <c r="L349" s="315" t="s">
        <v>1494</v>
      </c>
    </row>
    <row r="350" spans="1:12" x14ac:dyDescent="0.3">
      <c r="A350" s="315" t="s">
        <v>582</v>
      </c>
      <c r="B350" s="69" t="str">
        <f>VLOOKUP(A350,URS確認!$E:$F,2,FALSE)</f>
        <v>聯徵報送-地區別資料維護</v>
      </c>
      <c r="C350" s="315">
        <v>1</v>
      </c>
      <c r="D350" s="74" t="s">
        <v>1845</v>
      </c>
      <c r="E350" s="71">
        <v>44467</v>
      </c>
      <c r="F350" s="71">
        <v>44475</v>
      </c>
      <c r="G350" s="71">
        <v>44475</v>
      </c>
      <c r="H350" s="71">
        <v>44475</v>
      </c>
      <c r="I350" s="315" t="str">
        <f>VLOOKUP(A350,URS確認!E:I,5,FALSE)</f>
        <v>楊智誠</v>
      </c>
      <c r="L350" s="315" t="s">
        <v>1494</v>
      </c>
    </row>
    <row r="351" spans="1:12" x14ac:dyDescent="0.3">
      <c r="A351" s="315" t="s">
        <v>582</v>
      </c>
      <c r="B351" s="69" t="str">
        <f>VLOOKUP(A351,URS確認!$E:$F,2,FALSE)</f>
        <v>聯徵報送-地區別資料維護</v>
      </c>
      <c r="C351" s="315">
        <v>2</v>
      </c>
      <c r="D351" s="74" t="s">
        <v>1846</v>
      </c>
      <c r="E351" s="71">
        <v>44467</v>
      </c>
      <c r="F351" s="71">
        <v>44475</v>
      </c>
      <c r="G351" s="71">
        <v>44475</v>
      </c>
      <c r="H351" s="71">
        <v>44475</v>
      </c>
      <c r="I351" s="315" t="str">
        <f>VLOOKUP(A351,URS確認!E:I,5,FALSE)</f>
        <v>楊智誠</v>
      </c>
      <c r="L351" s="315" t="s">
        <v>1494</v>
      </c>
    </row>
    <row r="352" spans="1:12" x14ac:dyDescent="0.3">
      <c r="A352" s="315" t="s">
        <v>582</v>
      </c>
      <c r="B352" s="69" t="str">
        <f>VLOOKUP(A352,URS確認!$E:$F,2,FALSE)</f>
        <v>聯徵報送-地區別資料維護</v>
      </c>
      <c r="C352" s="315">
        <v>3</v>
      </c>
      <c r="D352" s="74" t="s">
        <v>1847</v>
      </c>
      <c r="E352" s="71">
        <v>44467</v>
      </c>
      <c r="F352" s="71">
        <v>44475</v>
      </c>
      <c r="G352" s="71">
        <v>44475</v>
      </c>
      <c r="H352" s="71">
        <v>44475</v>
      </c>
      <c r="I352" s="315" t="str">
        <f>VLOOKUP(A352,URS確認!E:I,5,FALSE)</f>
        <v>楊智誠</v>
      </c>
      <c r="L352" s="315" t="s">
        <v>1494</v>
      </c>
    </row>
    <row r="353" spans="1:13" x14ac:dyDescent="0.3">
      <c r="A353" s="315" t="s">
        <v>582</v>
      </c>
      <c r="B353" s="69" t="str">
        <f>VLOOKUP(A353,URS確認!$E:$F,2,FALSE)</f>
        <v>聯徵報送-地區別資料維護</v>
      </c>
      <c r="C353" s="315">
        <v>4</v>
      </c>
      <c r="D353" s="74" t="s">
        <v>1848</v>
      </c>
      <c r="E353" s="71">
        <v>44467</v>
      </c>
      <c r="F353" s="71">
        <v>44475</v>
      </c>
      <c r="G353" s="71">
        <v>44475</v>
      </c>
      <c r="H353" s="71">
        <v>44475</v>
      </c>
      <c r="I353" s="315" t="str">
        <f>VLOOKUP(A353,URS確認!E:I,5,FALSE)</f>
        <v>楊智誠</v>
      </c>
      <c r="L353" s="315" t="s">
        <v>1494</v>
      </c>
    </row>
    <row r="354" spans="1:13" x14ac:dyDescent="0.3">
      <c r="A354" s="315" t="s">
        <v>134</v>
      </c>
      <c r="B354" s="69" t="str">
        <f>VLOOKUP(A354,URS確認!$E:$F,2,FALSE)</f>
        <v>顧客明細資料查詢</v>
      </c>
      <c r="C354" s="315">
        <v>1</v>
      </c>
      <c r="D354" s="74" t="s">
        <v>1849</v>
      </c>
      <c r="E354" s="71">
        <v>44467</v>
      </c>
      <c r="F354" s="71">
        <v>44477</v>
      </c>
      <c r="G354" s="71">
        <v>44475</v>
      </c>
      <c r="H354" s="71">
        <v>44475</v>
      </c>
      <c r="I354" s="315" t="str">
        <f>VLOOKUP(A354,URS確認!E:I,5,FALSE)</f>
        <v>張嘉榮</v>
      </c>
      <c r="L354" s="315" t="s">
        <v>1494</v>
      </c>
    </row>
    <row r="355" spans="1:13" ht="33" customHeight="1" x14ac:dyDescent="0.3">
      <c r="A355" s="315" t="s">
        <v>1124</v>
      </c>
      <c r="B355" s="69" t="str">
        <f>VLOOKUP(A355,URS確認!$E:$F,2,FALSE)</f>
        <v>使用者資料維護</v>
      </c>
      <c r="C355" s="315">
        <v>1</v>
      </c>
      <c r="D355" s="74" t="s">
        <v>1850</v>
      </c>
      <c r="E355" s="71">
        <v>44467</v>
      </c>
      <c r="F355" s="71">
        <v>44476</v>
      </c>
      <c r="G355" s="71">
        <v>44476</v>
      </c>
      <c r="H355" s="71">
        <v>44476</v>
      </c>
      <c r="I355" s="315" t="str">
        <f>VLOOKUP(A355,URS確認!E:I,5,FALSE)</f>
        <v>楊智誠</v>
      </c>
      <c r="L355" s="315" t="s">
        <v>1494</v>
      </c>
    </row>
    <row r="356" spans="1:13" x14ac:dyDescent="0.3">
      <c r="A356" s="315" t="s">
        <v>612</v>
      </c>
      <c r="B356" s="69" t="str">
        <f>VLOOKUP(A356,URS確認!$E:$F,2,FALSE)</f>
        <v>保險/鑑定公司資料維護</v>
      </c>
      <c r="C356" s="315">
        <v>1</v>
      </c>
      <c r="D356" s="74" t="s">
        <v>1851</v>
      </c>
      <c r="E356" s="71">
        <v>44467</v>
      </c>
      <c r="F356" s="71">
        <v>44475</v>
      </c>
      <c r="G356" s="71">
        <v>44475</v>
      </c>
      <c r="H356" s="71">
        <v>44475</v>
      </c>
      <c r="I356" s="315" t="str">
        <f>VLOOKUP(A356,URS確認!E:I,5,FALSE)</f>
        <v>楊智誠</v>
      </c>
      <c r="L356" s="315" t="s">
        <v>1494</v>
      </c>
    </row>
    <row r="357" spans="1:13" x14ac:dyDescent="0.3">
      <c r="A357" s="315" t="s">
        <v>620</v>
      </c>
      <c r="B357" s="69" t="str">
        <f>VLOOKUP(A357,URS確認!$E:$F,2,FALSE)</f>
        <v>會計變動數值設定查詢</v>
      </c>
      <c r="C357" s="315">
        <v>1</v>
      </c>
      <c r="D357" s="74" t="s">
        <v>1852</v>
      </c>
      <c r="E357" s="71">
        <v>44467</v>
      </c>
      <c r="F357" s="71">
        <v>44475</v>
      </c>
      <c r="G357" s="71">
        <v>44475</v>
      </c>
      <c r="H357" s="71">
        <v>44475</v>
      </c>
      <c r="I357" s="315" t="str">
        <f>VLOOKUP(A357,URS確認!E:I,5,FALSE)</f>
        <v>楊智誠</v>
      </c>
      <c r="L357" s="315" t="s">
        <v>1494</v>
      </c>
    </row>
    <row r="358" spans="1:13" x14ac:dyDescent="0.3">
      <c r="A358" s="315" t="s">
        <v>622</v>
      </c>
      <c r="B358" s="69" t="str">
        <f>VLOOKUP(A358,URS確認!$E:$F,2,FALSE)</f>
        <v>會計變動數值設定</v>
      </c>
      <c r="C358" s="315">
        <v>1</v>
      </c>
      <c r="D358" s="74" t="s">
        <v>1853</v>
      </c>
      <c r="E358" s="71">
        <v>44467</v>
      </c>
      <c r="F358" s="71">
        <v>44475</v>
      </c>
      <c r="G358" s="71">
        <v>44475</v>
      </c>
      <c r="H358" s="71">
        <v>44475</v>
      </c>
      <c r="I358" s="315" t="str">
        <f>VLOOKUP(A358,URS確認!E:I,5,FALSE)</f>
        <v>楊智誠</v>
      </c>
      <c r="L358" s="315" t="s">
        <v>1494</v>
      </c>
    </row>
    <row r="359" spans="1:13" ht="66" customHeight="1" x14ac:dyDescent="0.3">
      <c r="A359" s="315" t="s">
        <v>629</v>
      </c>
      <c r="B359" s="69" t="str">
        <f>VLOOKUP(A359,URS確認!$E:$F,2,FALSE)</f>
        <v>產出員工扣薪明細檔</v>
      </c>
      <c r="C359" s="315">
        <v>1</v>
      </c>
      <c r="D359" s="74" t="s">
        <v>1854</v>
      </c>
      <c r="E359" s="71">
        <v>44468</v>
      </c>
      <c r="F359" s="71">
        <v>44504</v>
      </c>
      <c r="G359" s="71">
        <v>44504</v>
      </c>
      <c r="H359" s="71">
        <v>44504</v>
      </c>
      <c r="I359" s="315" t="s">
        <v>193</v>
      </c>
      <c r="M359" s="315" t="s">
        <v>1510</v>
      </c>
    </row>
    <row r="360" spans="1:13" x14ac:dyDescent="0.3">
      <c r="A360" s="315" t="s">
        <v>629</v>
      </c>
      <c r="B360" s="69" t="str">
        <f>VLOOKUP(A360,URS確認!$E:$F,2,FALSE)</f>
        <v>產出員工扣薪明細檔</v>
      </c>
      <c r="C360" s="315">
        <v>2</v>
      </c>
      <c r="D360" s="74" t="s">
        <v>1855</v>
      </c>
      <c r="E360" s="71">
        <v>44468</v>
      </c>
      <c r="F360" s="71">
        <v>44504</v>
      </c>
      <c r="G360" s="71">
        <v>44504</v>
      </c>
      <c r="H360" s="71">
        <v>44504</v>
      </c>
      <c r="I360" s="315" t="s">
        <v>193</v>
      </c>
      <c r="L360" s="315" t="s">
        <v>1494</v>
      </c>
    </row>
    <row r="361" spans="1:13" ht="49.5" customHeight="1" x14ac:dyDescent="0.3">
      <c r="A361" s="315" t="s">
        <v>629</v>
      </c>
      <c r="B361" s="69" t="str">
        <f>VLOOKUP(A361,URS確認!$E:$F,2,FALSE)</f>
        <v>產出員工扣薪明細檔</v>
      </c>
      <c r="C361" s="315">
        <v>3</v>
      </c>
      <c r="D361" s="74" t="s">
        <v>1856</v>
      </c>
      <c r="E361" s="71">
        <v>44468</v>
      </c>
      <c r="F361" s="71">
        <v>44504</v>
      </c>
      <c r="G361" s="71">
        <v>44504</v>
      </c>
      <c r="H361" s="71">
        <v>44504</v>
      </c>
      <c r="I361" s="315" t="s">
        <v>193</v>
      </c>
      <c r="L361" s="315" t="s">
        <v>1494</v>
      </c>
    </row>
    <row r="362" spans="1:13" x14ac:dyDescent="0.3">
      <c r="A362" s="315" t="s">
        <v>629</v>
      </c>
      <c r="B362" s="69" t="str">
        <f>VLOOKUP(A362,URS確認!$E:$F,2,FALSE)</f>
        <v>產出員工扣薪明細檔</v>
      </c>
      <c r="C362" s="315">
        <v>4</v>
      </c>
      <c r="D362" s="74" t="s">
        <v>1857</v>
      </c>
      <c r="E362" s="71">
        <v>44468</v>
      </c>
      <c r="F362" s="71">
        <v>44508</v>
      </c>
      <c r="G362" s="71">
        <v>44508</v>
      </c>
      <c r="H362" s="71">
        <v>44508</v>
      </c>
      <c r="I362" s="315" t="s">
        <v>193</v>
      </c>
      <c r="L362" s="315" t="s">
        <v>1494</v>
      </c>
    </row>
    <row r="363" spans="1:13" ht="33" customHeight="1" x14ac:dyDescent="0.3">
      <c r="A363" s="315" t="s">
        <v>637</v>
      </c>
      <c r="B363" s="69" t="str">
        <f>VLOOKUP(A363,URS確認!$E:$F,2,FALSE)</f>
        <v xml:space="preserve">入帳檔上傳作業                       </v>
      </c>
      <c r="C363" s="315">
        <v>1</v>
      </c>
      <c r="D363" s="74" t="s">
        <v>1858</v>
      </c>
      <c r="E363" s="71">
        <v>44468</v>
      </c>
      <c r="F363" s="71">
        <v>44512</v>
      </c>
      <c r="G363" s="71">
        <v>44526</v>
      </c>
      <c r="H363" s="71">
        <v>44526</v>
      </c>
      <c r="I363" s="315" t="s">
        <v>193</v>
      </c>
      <c r="L363" s="315" t="s">
        <v>1494</v>
      </c>
    </row>
    <row r="364" spans="1:13" ht="115.5" customHeight="1" x14ac:dyDescent="0.3">
      <c r="A364" s="315" t="s">
        <v>637</v>
      </c>
      <c r="B364" s="69" t="str">
        <f>VLOOKUP(A364,URS確認!$E:$F,2,FALSE)</f>
        <v xml:space="preserve">入帳檔上傳作業                       </v>
      </c>
      <c r="C364" s="315">
        <v>2</v>
      </c>
      <c r="D364" s="74" t="s">
        <v>1859</v>
      </c>
      <c r="E364" s="71">
        <v>44468</v>
      </c>
      <c r="F364" s="71">
        <v>44469</v>
      </c>
      <c r="G364" s="71">
        <v>44469</v>
      </c>
      <c r="H364" s="71">
        <v>44469</v>
      </c>
      <c r="I364" s="315" t="s">
        <v>193</v>
      </c>
      <c r="L364" s="315" t="s">
        <v>1494</v>
      </c>
    </row>
    <row r="365" spans="1:13" ht="49.5" customHeight="1" x14ac:dyDescent="0.3">
      <c r="A365" s="315" t="s">
        <v>635</v>
      </c>
      <c r="B365" s="69" t="str">
        <f>VLOOKUP(A365,URS確認!$E:$F,2,FALSE)</f>
        <v>產出員工扣薪媒體檔</v>
      </c>
      <c r="C365" s="315">
        <v>1</v>
      </c>
      <c r="D365" s="74" t="s">
        <v>1856</v>
      </c>
      <c r="E365" s="71">
        <v>44468</v>
      </c>
      <c r="F365" s="71">
        <v>44504</v>
      </c>
      <c r="G365" s="71">
        <v>44504</v>
      </c>
      <c r="H365" s="71">
        <v>44504</v>
      </c>
      <c r="I365" s="315" t="s">
        <v>193</v>
      </c>
      <c r="L365" s="315" t="s">
        <v>1494</v>
      </c>
    </row>
    <row r="366" spans="1:13" x14ac:dyDescent="0.3">
      <c r="A366" s="315" t="s">
        <v>640</v>
      </c>
      <c r="B366" s="69" t="str">
        <f>VLOOKUP(A366,URS確認!$E:$F,2,FALSE)</f>
        <v>產生員工扣薪報表</v>
      </c>
      <c r="C366" s="315">
        <v>1</v>
      </c>
      <c r="D366" s="74" t="s">
        <v>1857</v>
      </c>
      <c r="E366" s="71">
        <v>44468</v>
      </c>
      <c r="F366" s="71">
        <v>44508</v>
      </c>
      <c r="G366" s="71">
        <v>44508</v>
      </c>
      <c r="H366" s="71">
        <v>44508</v>
      </c>
      <c r="I366" s="315" t="s">
        <v>193</v>
      </c>
      <c r="L366" s="315" t="s">
        <v>1494</v>
      </c>
    </row>
    <row r="367" spans="1:13" ht="49.5" customHeight="1" x14ac:dyDescent="0.3">
      <c r="A367" s="315" t="s">
        <v>640</v>
      </c>
      <c r="B367" s="74" t="str">
        <f>VLOOKUP(A367,URS確認!$E:$F,2,FALSE)</f>
        <v>產生員工扣薪報表</v>
      </c>
      <c r="C367" s="315">
        <v>2</v>
      </c>
      <c r="D367" s="74" t="s">
        <v>1860</v>
      </c>
      <c r="E367" s="71">
        <v>44468</v>
      </c>
      <c r="F367" s="71">
        <v>44545</v>
      </c>
      <c r="I367" s="315" t="s">
        <v>193</v>
      </c>
      <c r="M367" s="315" t="s">
        <v>1510</v>
      </c>
    </row>
    <row r="368" spans="1:13" x14ac:dyDescent="0.3">
      <c r="A368" s="315" t="s">
        <v>792</v>
      </c>
      <c r="B368" s="69" t="str">
        <f>VLOOKUP(A368,URS確認!$E:$F,2,FALSE)</f>
        <v>日結明細查詢</v>
      </c>
      <c r="C368" s="315">
        <v>1</v>
      </c>
      <c r="D368" s="74" t="s">
        <v>1861</v>
      </c>
      <c r="E368" s="71">
        <v>44468</v>
      </c>
      <c r="F368" s="71">
        <v>44477</v>
      </c>
      <c r="G368" s="71">
        <v>44477</v>
      </c>
      <c r="H368" s="71">
        <v>44477</v>
      </c>
      <c r="I368" s="315" t="str">
        <f>VLOOKUP(A368,URS確認!E:I,5,FALSE)</f>
        <v>楊智誠</v>
      </c>
      <c r="L368" s="315" t="s">
        <v>1494</v>
      </c>
    </row>
    <row r="369" spans="1:13" ht="33" customHeight="1" x14ac:dyDescent="0.3">
      <c r="B369" s="69" t="s">
        <v>1862</v>
      </c>
      <c r="C369" s="315">
        <v>1</v>
      </c>
      <c r="D369" s="74" t="s">
        <v>1863</v>
      </c>
      <c r="E369" s="71">
        <v>44468</v>
      </c>
      <c r="F369" s="71">
        <v>44469</v>
      </c>
      <c r="G369" s="71">
        <v>44469</v>
      </c>
      <c r="H369" s="71">
        <v>44469</v>
      </c>
      <c r="I369" s="315" t="s">
        <v>193</v>
      </c>
      <c r="L369" s="315" t="s">
        <v>1494</v>
      </c>
    </row>
    <row r="370" spans="1:13" ht="49.5" customHeight="1" x14ac:dyDescent="0.3">
      <c r="B370" s="69" t="s">
        <v>1862</v>
      </c>
      <c r="C370" s="315">
        <v>2</v>
      </c>
      <c r="D370" s="74" t="s">
        <v>1864</v>
      </c>
      <c r="E370" s="71">
        <v>44468</v>
      </c>
      <c r="F370" s="71">
        <v>44469</v>
      </c>
      <c r="G370" s="71">
        <v>44469</v>
      </c>
      <c r="H370" s="71">
        <v>44469</v>
      </c>
      <c r="I370" s="315" t="s">
        <v>193</v>
      </c>
      <c r="L370" s="315" t="s">
        <v>1494</v>
      </c>
    </row>
    <row r="371" spans="1:13" x14ac:dyDescent="0.3">
      <c r="A371" s="315" t="s">
        <v>637</v>
      </c>
      <c r="B371" s="69" t="str">
        <f>VLOOKUP(A371,URS確認!$E:$F,2,FALSE)</f>
        <v xml:space="preserve">入帳檔上傳作業                       </v>
      </c>
      <c r="C371" s="315">
        <v>1</v>
      </c>
      <c r="D371" s="74" t="s">
        <v>1865</v>
      </c>
      <c r="E371" s="71">
        <v>44470</v>
      </c>
      <c r="F371" s="71">
        <v>44504</v>
      </c>
      <c r="G371" s="71">
        <v>44504</v>
      </c>
      <c r="H371" s="71">
        <v>44504</v>
      </c>
      <c r="I371" s="315" t="s">
        <v>193</v>
      </c>
    </row>
    <row r="372" spans="1:13" x14ac:dyDescent="0.3">
      <c r="A372" s="315" t="s">
        <v>375</v>
      </c>
      <c r="B372" s="69" t="str">
        <f>VLOOKUP(A372,URS確認!$E:$F,2,FALSE)</f>
        <v xml:space="preserve">應處理清單      </v>
      </c>
      <c r="C372" s="315">
        <v>1</v>
      </c>
      <c r="D372" s="74" t="s">
        <v>1866</v>
      </c>
      <c r="E372" s="71">
        <v>44470</v>
      </c>
      <c r="F372" s="71">
        <v>44539</v>
      </c>
      <c r="G372" s="71">
        <v>44539</v>
      </c>
      <c r="H372" s="71">
        <f t="shared" ref="H372:H373" si="7">G372</f>
        <v>44539</v>
      </c>
      <c r="I372" s="315" t="str">
        <f>VLOOKUP(A372,URS確認!E:I,5,FALSE)</f>
        <v>余家興</v>
      </c>
      <c r="L372" s="315" t="s">
        <v>1494</v>
      </c>
    </row>
    <row r="373" spans="1:13" x14ac:dyDescent="0.3">
      <c r="A373" s="315" t="s">
        <v>375</v>
      </c>
      <c r="B373" s="69" t="str">
        <f>VLOOKUP(A373,URS確認!$E:$F,2,FALSE)</f>
        <v xml:space="preserve">應處理清單      </v>
      </c>
      <c r="C373" s="315">
        <v>2</v>
      </c>
      <c r="D373" s="74" t="s">
        <v>1867</v>
      </c>
      <c r="E373" s="71">
        <v>44470</v>
      </c>
      <c r="F373" s="71">
        <v>44539</v>
      </c>
      <c r="G373" s="71">
        <v>44539</v>
      </c>
      <c r="H373" s="71">
        <f t="shared" si="7"/>
        <v>44539</v>
      </c>
      <c r="I373" s="315" t="str">
        <f>VLOOKUP(A373,URS確認!E:I,5,FALSE)</f>
        <v>余家興</v>
      </c>
      <c r="L373" s="315" t="s">
        <v>1494</v>
      </c>
    </row>
    <row r="374" spans="1:13" x14ac:dyDescent="0.3">
      <c r="A374" s="315" t="s">
        <v>732</v>
      </c>
      <c r="B374" s="69" t="str">
        <f>VLOOKUP(A374,URS確認!$E:$F,2,FALSE)</f>
        <v xml:space="preserve">法拍費用明細資料查詢              </v>
      </c>
      <c r="C374" s="315">
        <v>1</v>
      </c>
      <c r="D374" s="74" t="s">
        <v>1868</v>
      </c>
      <c r="E374" s="71">
        <v>44475</v>
      </c>
      <c r="F374" s="71">
        <v>44475</v>
      </c>
      <c r="G374" s="71">
        <v>44475</v>
      </c>
      <c r="H374" s="71">
        <v>44475</v>
      </c>
      <c r="I374" s="315" t="str">
        <f>VLOOKUP(A374,URS確認!E:I,5,FALSE)</f>
        <v>陳昱衡</v>
      </c>
      <c r="L374" s="315" t="s">
        <v>1494</v>
      </c>
    </row>
    <row r="375" spans="1:13" ht="33" customHeight="1" x14ac:dyDescent="0.3">
      <c r="A375" s="315" t="s">
        <v>708</v>
      </c>
      <c r="B375" s="69" t="str">
        <f>VLOOKUP(A375,URS確認!$E:$F,2,FALSE)</f>
        <v xml:space="preserve">約定部分償還登錄         </v>
      </c>
      <c r="C375" s="315">
        <v>1</v>
      </c>
      <c r="D375" s="74" t="s">
        <v>1869</v>
      </c>
      <c r="E375" s="71">
        <v>44481</v>
      </c>
      <c r="F375" s="71">
        <v>44496</v>
      </c>
      <c r="G375" s="71">
        <v>44496</v>
      </c>
      <c r="H375" s="71">
        <v>44510</v>
      </c>
      <c r="I375" s="315" t="str">
        <f>VLOOKUP(A375,URS確認!E:I,5,FALSE)</f>
        <v>余家興</v>
      </c>
      <c r="M375" s="315" t="s">
        <v>1510</v>
      </c>
    </row>
    <row r="376" spans="1:13" x14ac:dyDescent="0.4">
      <c r="A376" s="315" t="s">
        <v>708</v>
      </c>
      <c r="B376" s="69" t="str">
        <f>VLOOKUP(A376,URS確認!$E:$F,2,FALSE)</f>
        <v xml:space="preserve">約定部分償還登錄         </v>
      </c>
      <c r="C376" s="315">
        <v>2</v>
      </c>
      <c r="D376" s="68" t="s">
        <v>1870</v>
      </c>
      <c r="E376" s="71">
        <v>44481</v>
      </c>
      <c r="F376" s="71">
        <v>44496</v>
      </c>
      <c r="G376" s="71">
        <v>44496</v>
      </c>
      <c r="H376" s="71">
        <v>44510</v>
      </c>
      <c r="I376" s="315" t="str">
        <f>VLOOKUP(A376,URS確認!E:I,5,FALSE)</f>
        <v>余家興</v>
      </c>
      <c r="M376" s="315" t="s">
        <v>1510</v>
      </c>
    </row>
    <row r="377" spans="1:13" ht="33" customHeight="1" x14ac:dyDescent="0.4">
      <c r="A377" s="315" t="s">
        <v>708</v>
      </c>
      <c r="B377" s="69" t="str">
        <f>VLOOKUP(A377,URS確認!$E:$F,2,FALSE)</f>
        <v xml:space="preserve">約定部分償還登錄         </v>
      </c>
      <c r="C377" s="315">
        <v>3</v>
      </c>
      <c r="D377" s="217" t="s">
        <v>1871</v>
      </c>
      <c r="E377" s="71">
        <v>44481</v>
      </c>
      <c r="F377" s="71">
        <v>44510</v>
      </c>
      <c r="G377" s="71">
        <v>44510</v>
      </c>
      <c r="H377" s="71">
        <v>44510</v>
      </c>
      <c r="I377" s="315" t="str">
        <f>VLOOKUP(A377,URS確認!E:I,5,FALSE)</f>
        <v>余家興</v>
      </c>
      <c r="M377" s="315" t="s">
        <v>1510</v>
      </c>
    </row>
    <row r="378" spans="1:13" ht="264" customHeight="1" x14ac:dyDescent="0.4">
      <c r="A378" s="315" t="s">
        <v>708</v>
      </c>
      <c r="B378" s="69" t="str">
        <f>VLOOKUP(A378,URS確認!$E:$F,2,FALSE)</f>
        <v xml:space="preserve">約定部分償還登錄         </v>
      </c>
      <c r="C378" s="315">
        <v>4</v>
      </c>
      <c r="D378" s="217" t="s">
        <v>1872</v>
      </c>
      <c r="E378" s="71">
        <v>44481</v>
      </c>
      <c r="F378" s="71">
        <v>44510</v>
      </c>
      <c r="G378" s="71">
        <v>44510</v>
      </c>
      <c r="H378" s="71">
        <v>44510</v>
      </c>
      <c r="I378" s="315" t="str">
        <f>VLOOKUP(A378,URS確認!E:I,5,FALSE)</f>
        <v>余家興</v>
      </c>
      <c r="M378" s="315" t="s">
        <v>1510</v>
      </c>
    </row>
    <row r="379" spans="1:13" ht="66" customHeight="1" x14ac:dyDescent="0.4">
      <c r="A379" s="315" t="s">
        <v>647</v>
      </c>
      <c r="B379" s="69" t="str">
        <f>VLOOKUP(A379,URS確認!$E:$F,2,FALSE)</f>
        <v xml:space="preserve">整批入帳作業                         </v>
      </c>
      <c r="C379" s="315">
        <v>1</v>
      </c>
      <c r="D379" s="217" t="s">
        <v>3258</v>
      </c>
      <c r="E379" s="71">
        <v>44481</v>
      </c>
      <c r="F379" s="71">
        <v>44512</v>
      </c>
      <c r="G379" s="71">
        <v>44512</v>
      </c>
      <c r="H379" s="71">
        <v>44512</v>
      </c>
      <c r="I379" s="315" t="s">
        <v>193</v>
      </c>
      <c r="M379" s="315" t="s">
        <v>1510</v>
      </c>
    </row>
    <row r="380" spans="1:13" x14ac:dyDescent="0.4">
      <c r="A380" s="315" t="s">
        <v>647</v>
      </c>
      <c r="B380" s="69" t="str">
        <f>VLOOKUP(A380,URS確認!$E:$F,2,FALSE)</f>
        <v xml:space="preserve">整批入帳作業                         </v>
      </c>
      <c r="C380" s="315">
        <v>2</v>
      </c>
      <c r="D380" s="217" t="s">
        <v>1873</v>
      </c>
      <c r="E380" s="71">
        <v>44481</v>
      </c>
      <c r="F380" s="71">
        <v>44504</v>
      </c>
      <c r="G380" s="71">
        <v>44504</v>
      </c>
      <c r="H380" s="71">
        <v>44504</v>
      </c>
      <c r="I380" s="315" t="s">
        <v>193</v>
      </c>
      <c r="L380" s="315" t="s">
        <v>1494</v>
      </c>
    </row>
    <row r="381" spans="1:13" x14ac:dyDescent="0.4">
      <c r="A381" s="315" t="s">
        <v>647</v>
      </c>
      <c r="B381" s="69" t="str">
        <f>VLOOKUP(A381,URS確認!$E:$F,2,FALSE)</f>
        <v xml:space="preserve">整批入帳作業                         </v>
      </c>
      <c r="C381" s="315">
        <v>3</v>
      </c>
      <c r="D381" s="217" t="s">
        <v>1874</v>
      </c>
      <c r="E381" s="71">
        <v>44481</v>
      </c>
      <c r="F381" s="71">
        <v>44504</v>
      </c>
      <c r="G381" s="71">
        <v>44504</v>
      </c>
      <c r="H381" s="71">
        <v>44504</v>
      </c>
      <c r="I381" s="315" t="s">
        <v>193</v>
      </c>
      <c r="L381" s="315" t="s">
        <v>1494</v>
      </c>
    </row>
    <row r="382" spans="1:13" ht="33" customHeight="1" x14ac:dyDescent="0.4">
      <c r="A382" s="315" t="s">
        <v>675</v>
      </c>
      <c r="B382" s="69" t="str">
        <f>VLOOKUP(A382,URS確認!$E:$F,2,FALSE)</f>
        <v xml:space="preserve">其他還款來源建檔                     </v>
      </c>
      <c r="C382" s="315">
        <v>1</v>
      </c>
      <c r="D382" s="217" t="s">
        <v>1875</v>
      </c>
      <c r="E382" s="71">
        <v>44481</v>
      </c>
      <c r="F382" s="71">
        <v>44504</v>
      </c>
      <c r="G382" s="71">
        <v>44504</v>
      </c>
      <c r="H382" s="71">
        <v>44504</v>
      </c>
      <c r="I382" s="315" t="s">
        <v>193</v>
      </c>
      <c r="L382" s="315" t="s">
        <v>1494</v>
      </c>
    </row>
    <row r="383" spans="1:13" x14ac:dyDescent="0.4">
      <c r="A383" s="315" t="s">
        <v>679</v>
      </c>
      <c r="B383" s="69" t="str">
        <f>VLOOKUP(A383,URS確認!$E:$F,2,FALSE)</f>
        <v>匯款轉帳-明細維護</v>
      </c>
      <c r="C383" s="315">
        <v>1</v>
      </c>
      <c r="D383" s="217" t="s">
        <v>1876</v>
      </c>
      <c r="E383" s="71">
        <v>44481</v>
      </c>
      <c r="F383" s="71">
        <v>44504</v>
      </c>
      <c r="G383" s="71">
        <v>44504</v>
      </c>
      <c r="H383" s="71">
        <v>44504</v>
      </c>
      <c r="I383" s="315" t="s">
        <v>193</v>
      </c>
      <c r="L383" s="315" t="s">
        <v>1494</v>
      </c>
    </row>
    <row r="384" spans="1:13" x14ac:dyDescent="0.4">
      <c r="A384" s="315" t="s">
        <v>679</v>
      </c>
      <c r="B384" s="69" t="str">
        <f>VLOOKUP(A384,URS確認!$E:$F,2,FALSE)</f>
        <v>匯款轉帳-明細維護</v>
      </c>
      <c r="C384" s="315">
        <v>2</v>
      </c>
      <c r="D384" s="217" t="s">
        <v>1877</v>
      </c>
      <c r="E384" s="71">
        <v>44481</v>
      </c>
      <c r="F384" s="71">
        <v>44504</v>
      </c>
      <c r="G384" s="71">
        <v>44504</v>
      </c>
      <c r="H384" s="71">
        <v>44504</v>
      </c>
      <c r="I384" s="315" t="s">
        <v>193</v>
      </c>
      <c r="L384" s="315" t="s">
        <v>1494</v>
      </c>
    </row>
    <row r="385" spans="1:13" x14ac:dyDescent="0.4">
      <c r="A385" s="315" t="s">
        <v>654</v>
      </c>
      <c r="B385" s="69" t="str">
        <f>VLOOKUP(A385,URS確認!$E:$F,2,FALSE)</f>
        <v>整批入帳明細查詢</v>
      </c>
      <c r="C385" s="315">
        <v>1</v>
      </c>
      <c r="D385" s="262" t="s">
        <v>1878</v>
      </c>
      <c r="E385" s="71">
        <v>44481</v>
      </c>
      <c r="F385" s="71">
        <v>44512</v>
      </c>
      <c r="G385" s="71">
        <v>44508</v>
      </c>
      <c r="H385" s="71">
        <v>44508</v>
      </c>
      <c r="I385" s="315" t="s">
        <v>193</v>
      </c>
      <c r="L385" s="315" t="s">
        <v>1494</v>
      </c>
    </row>
    <row r="386" spans="1:13" x14ac:dyDescent="0.4">
      <c r="A386" s="315" t="s">
        <v>654</v>
      </c>
      <c r="B386" s="69" t="str">
        <f>VLOOKUP(A386,URS確認!$E:$F,2,FALSE)</f>
        <v>整批入帳明細查詢</v>
      </c>
      <c r="C386" s="315">
        <v>2</v>
      </c>
      <c r="D386" s="217" t="s">
        <v>1879</v>
      </c>
      <c r="E386" s="71">
        <v>44481</v>
      </c>
      <c r="F386" s="71">
        <v>44504</v>
      </c>
      <c r="G386" s="71">
        <v>44504</v>
      </c>
      <c r="H386" s="71">
        <v>44504</v>
      </c>
      <c r="I386" s="315" t="s">
        <v>193</v>
      </c>
      <c r="L386" s="315" t="s">
        <v>1494</v>
      </c>
    </row>
    <row r="387" spans="1:13" ht="34" x14ac:dyDescent="0.4">
      <c r="A387" s="315" t="s">
        <v>683</v>
      </c>
      <c r="B387" s="74" t="str">
        <f>VLOOKUP(A387,URS確認!$E:$F,2,FALSE)</f>
        <v xml:space="preserve">產生放款本息攤還表暨繳息通知單       </v>
      </c>
      <c r="C387" s="315">
        <v>1</v>
      </c>
      <c r="D387" s="217" t="s">
        <v>1880</v>
      </c>
      <c r="E387" s="71">
        <v>44481</v>
      </c>
      <c r="F387" s="71">
        <v>44554</v>
      </c>
      <c r="G387" s="315"/>
      <c r="I387" s="315" t="s">
        <v>1881</v>
      </c>
      <c r="L387" s="315" t="s">
        <v>1494</v>
      </c>
    </row>
    <row r="388" spans="1:13" ht="34" x14ac:dyDescent="0.4">
      <c r="A388" s="315" t="s">
        <v>683</v>
      </c>
      <c r="B388" s="74" t="str">
        <f>VLOOKUP(A388,URS確認!$E:$F,2,FALSE)</f>
        <v xml:space="preserve">產生放款本息攤還表暨繳息通知單       </v>
      </c>
      <c r="C388" s="315">
        <v>2</v>
      </c>
      <c r="D388" s="68" t="s">
        <v>1882</v>
      </c>
      <c r="E388" s="71">
        <v>44481</v>
      </c>
      <c r="F388" s="71">
        <v>44554</v>
      </c>
      <c r="G388" s="315"/>
      <c r="I388" s="315" t="s">
        <v>1881</v>
      </c>
      <c r="M388" s="315" t="s">
        <v>1510</v>
      </c>
    </row>
    <row r="389" spans="1:13" x14ac:dyDescent="0.4">
      <c r="A389" s="315" t="s">
        <v>685</v>
      </c>
      <c r="B389" s="74" t="str">
        <f>VLOOKUP(A389,URS確認!$E:$F,2,FALSE)</f>
        <v xml:space="preserve">產生滯繳通知單                       </v>
      </c>
      <c r="C389" s="315">
        <v>1</v>
      </c>
      <c r="D389" s="217" t="s">
        <v>1880</v>
      </c>
      <c r="E389" s="71">
        <v>44481</v>
      </c>
      <c r="F389" s="71">
        <v>44554</v>
      </c>
      <c r="G389" s="315"/>
      <c r="I389" s="315" t="s">
        <v>1881</v>
      </c>
      <c r="L389" s="315" t="s">
        <v>1494</v>
      </c>
    </row>
    <row r="390" spans="1:13" x14ac:dyDescent="0.4">
      <c r="A390" s="315" t="s">
        <v>685</v>
      </c>
      <c r="B390" s="74" t="str">
        <f>VLOOKUP(A390,URS確認!$E:$F,2,FALSE)</f>
        <v xml:space="preserve">產生滯繳通知單                       </v>
      </c>
      <c r="C390" s="315">
        <v>2</v>
      </c>
      <c r="D390" s="217" t="s">
        <v>1882</v>
      </c>
      <c r="E390" s="71">
        <v>44481</v>
      </c>
      <c r="F390" s="71">
        <v>44554</v>
      </c>
      <c r="G390" s="315"/>
      <c r="I390" s="315" t="s">
        <v>1881</v>
      </c>
      <c r="M390" s="315" t="s">
        <v>1510</v>
      </c>
    </row>
    <row r="391" spans="1:13" ht="49.5" customHeight="1" x14ac:dyDescent="0.4">
      <c r="A391" s="315" t="s">
        <v>3256</v>
      </c>
      <c r="B391" s="69" t="s">
        <v>1883</v>
      </c>
      <c r="C391" s="315">
        <v>1</v>
      </c>
      <c r="D391" s="217" t="s">
        <v>3257</v>
      </c>
      <c r="E391" s="71">
        <v>44481</v>
      </c>
      <c r="F391" s="71">
        <v>44512</v>
      </c>
      <c r="G391" s="71">
        <v>44512</v>
      </c>
      <c r="H391" s="71">
        <v>44512</v>
      </c>
      <c r="I391" s="315" t="s">
        <v>193</v>
      </c>
      <c r="L391" s="315" t="s">
        <v>1885</v>
      </c>
    </row>
    <row r="392" spans="1:13" ht="66" customHeight="1" x14ac:dyDescent="0.4">
      <c r="A392" s="670" t="s">
        <v>3080</v>
      </c>
      <c r="B392" s="74" t="s">
        <v>1883</v>
      </c>
      <c r="C392" s="315">
        <v>2</v>
      </c>
      <c r="D392" s="217" t="s">
        <v>1886</v>
      </c>
      <c r="E392" s="71">
        <v>44481</v>
      </c>
      <c r="F392" s="71">
        <v>44554</v>
      </c>
      <c r="G392" s="315"/>
      <c r="I392" s="315" t="s">
        <v>193</v>
      </c>
      <c r="L392" s="315" t="s">
        <v>1494</v>
      </c>
    </row>
    <row r="393" spans="1:13" ht="33" customHeight="1" x14ac:dyDescent="0.4">
      <c r="A393" s="670" t="s">
        <v>3080</v>
      </c>
      <c r="B393" s="74" t="s">
        <v>1883</v>
      </c>
      <c r="C393" s="315">
        <v>3</v>
      </c>
      <c r="D393" s="217" t="s">
        <v>1887</v>
      </c>
      <c r="E393" s="71">
        <v>44481</v>
      </c>
      <c r="F393" s="71">
        <v>44554</v>
      </c>
      <c r="G393" s="315"/>
      <c r="I393" s="315" t="s">
        <v>193</v>
      </c>
      <c r="L393" s="315" t="s">
        <v>1494</v>
      </c>
    </row>
    <row r="394" spans="1:13" ht="33" customHeight="1" x14ac:dyDescent="0.4">
      <c r="B394" s="69" t="s">
        <v>1888</v>
      </c>
      <c r="C394" s="315">
        <v>1</v>
      </c>
      <c r="D394" s="217" t="s">
        <v>1889</v>
      </c>
      <c r="E394" s="71">
        <v>44481</v>
      </c>
      <c r="F394" s="71">
        <v>44530</v>
      </c>
      <c r="G394" s="71">
        <v>44530</v>
      </c>
      <c r="H394" s="71">
        <v>44530</v>
      </c>
      <c r="I394" s="315" t="s">
        <v>193</v>
      </c>
      <c r="L394" s="315" t="s">
        <v>1494</v>
      </c>
    </row>
    <row r="395" spans="1:13" x14ac:dyDescent="0.4">
      <c r="A395" s="315" t="s">
        <v>708</v>
      </c>
      <c r="B395" s="69" t="str">
        <f>VLOOKUP(A395,URS確認!$E:$F,2,FALSE)</f>
        <v xml:space="preserve">約定部分償還登錄         </v>
      </c>
      <c r="C395" s="315">
        <v>1</v>
      </c>
      <c r="D395" s="217" t="s">
        <v>1890</v>
      </c>
      <c r="E395" s="71">
        <v>44482</v>
      </c>
      <c r="F395" s="71">
        <v>44496</v>
      </c>
      <c r="G395" s="71">
        <v>44496</v>
      </c>
      <c r="H395" s="71">
        <v>44510</v>
      </c>
      <c r="I395" s="315" t="str">
        <f>VLOOKUP(A395,URS確認!E:I,5,FALSE)</f>
        <v>余家興</v>
      </c>
      <c r="L395" s="315" t="s">
        <v>1494</v>
      </c>
    </row>
    <row r="396" spans="1:13" ht="33" customHeight="1" x14ac:dyDescent="0.4">
      <c r="A396" s="315" t="s">
        <v>708</v>
      </c>
      <c r="B396" s="69" t="str">
        <f>VLOOKUP(A396,URS確認!$E:$F,2,FALSE)</f>
        <v xml:space="preserve">約定部分償還登錄         </v>
      </c>
      <c r="C396" s="315">
        <v>2</v>
      </c>
      <c r="D396" s="217" t="s">
        <v>1891</v>
      </c>
      <c r="E396" s="71">
        <v>44482</v>
      </c>
      <c r="F396" s="71">
        <v>44496</v>
      </c>
      <c r="G396" s="71">
        <v>44496</v>
      </c>
      <c r="H396" s="71">
        <v>44510</v>
      </c>
      <c r="I396" s="315" t="str">
        <f>VLOOKUP(A396,URS確認!E:I,5,FALSE)</f>
        <v>余家興</v>
      </c>
      <c r="L396" s="315" t="s">
        <v>1494</v>
      </c>
    </row>
    <row r="397" spans="1:13" x14ac:dyDescent="0.4">
      <c r="A397" s="315" t="s">
        <v>708</v>
      </c>
      <c r="B397" s="69" t="str">
        <f>VLOOKUP(A397,URS確認!$E:$F,2,FALSE)</f>
        <v xml:space="preserve">約定部分償還登錄         </v>
      </c>
      <c r="C397" s="315">
        <v>3</v>
      </c>
      <c r="D397" s="217" t="s">
        <v>1892</v>
      </c>
      <c r="E397" s="71">
        <v>44482</v>
      </c>
      <c r="F397" s="71">
        <v>44510</v>
      </c>
      <c r="G397" s="71">
        <v>44510</v>
      </c>
      <c r="H397" s="71">
        <v>44510</v>
      </c>
      <c r="I397" s="315" t="str">
        <f>VLOOKUP(A397,URS確認!E:I,5,FALSE)</f>
        <v>余家興</v>
      </c>
      <c r="M397" s="315" t="s">
        <v>1510</v>
      </c>
    </row>
    <row r="398" spans="1:13" x14ac:dyDescent="0.4">
      <c r="A398" s="315" t="s">
        <v>708</v>
      </c>
      <c r="B398" s="69" t="str">
        <f>VLOOKUP(A398,URS確認!$E:$F,2,FALSE)</f>
        <v xml:space="preserve">約定部分償還登錄         </v>
      </c>
      <c r="C398" s="315">
        <v>4</v>
      </c>
      <c r="D398" s="217" t="s">
        <v>1893</v>
      </c>
      <c r="E398" s="71">
        <v>44482</v>
      </c>
      <c r="F398" s="71">
        <v>44510</v>
      </c>
      <c r="G398" s="71">
        <v>44510</v>
      </c>
      <c r="H398" s="71">
        <v>44510</v>
      </c>
      <c r="I398" s="315" t="str">
        <f>VLOOKUP(A398,URS確認!E:I,5,FALSE)</f>
        <v>余家興</v>
      </c>
      <c r="M398" s="315" t="s">
        <v>1510</v>
      </c>
    </row>
    <row r="399" spans="1:13" x14ac:dyDescent="0.4">
      <c r="A399" s="315" t="s">
        <v>708</v>
      </c>
      <c r="B399" s="69" t="str">
        <f>VLOOKUP(A399,URS確認!$E:$F,2,FALSE)</f>
        <v xml:space="preserve">約定部分償還登錄         </v>
      </c>
      <c r="C399" s="315">
        <v>5</v>
      </c>
      <c r="D399" s="217" t="s">
        <v>1894</v>
      </c>
      <c r="E399" s="71">
        <v>44482</v>
      </c>
      <c r="F399" s="71">
        <v>44510</v>
      </c>
      <c r="G399" s="71">
        <v>44510</v>
      </c>
      <c r="H399" s="71">
        <v>44510</v>
      </c>
      <c r="I399" s="315" t="str">
        <f>VLOOKUP(A399,URS確認!E:I,5,FALSE)</f>
        <v>余家興</v>
      </c>
      <c r="M399" s="315" t="s">
        <v>1510</v>
      </c>
    </row>
    <row r="400" spans="1:13" ht="33" customHeight="1" x14ac:dyDescent="0.4">
      <c r="A400" s="315" t="s">
        <v>708</v>
      </c>
      <c r="B400" s="69" t="str">
        <f>VLOOKUP(A400,URS確認!$E:$F,2,FALSE)</f>
        <v xml:space="preserve">約定部分償還登錄         </v>
      </c>
      <c r="C400" s="315">
        <v>6</v>
      </c>
      <c r="D400" s="217" t="s">
        <v>1895</v>
      </c>
      <c r="E400" s="71">
        <v>44482</v>
      </c>
      <c r="F400" s="71">
        <v>44496</v>
      </c>
      <c r="G400" s="71">
        <v>44496</v>
      </c>
      <c r="H400" s="71">
        <v>44510</v>
      </c>
      <c r="I400" s="315" t="str">
        <f>VLOOKUP(A400,URS確認!E:I,5,FALSE)</f>
        <v>余家興</v>
      </c>
      <c r="L400" s="315" t="s">
        <v>1494</v>
      </c>
    </row>
    <row r="401" spans="1:13" x14ac:dyDescent="0.4">
      <c r="A401" s="315" t="s">
        <v>708</v>
      </c>
      <c r="B401" s="69" t="str">
        <f>VLOOKUP(A401,URS確認!$E:$F,2,FALSE)</f>
        <v xml:space="preserve">約定部分償還登錄         </v>
      </c>
      <c r="C401" s="315">
        <v>7</v>
      </c>
      <c r="D401" s="217" t="s">
        <v>1896</v>
      </c>
      <c r="E401" s="71">
        <v>44482</v>
      </c>
      <c r="F401" s="71">
        <v>44496</v>
      </c>
      <c r="G401" s="71">
        <v>44496</v>
      </c>
      <c r="H401" s="71">
        <v>44510</v>
      </c>
      <c r="I401" s="315" t="str">
        <f>VLOOKUP(A401,URS確認!E:I,5,FALSE)</f>
        <v>余家興</v>
      </c>
      <c r="L401" s="315" t="s">
        <v>1494</v>
      </c>
    </row>
    <row r="402" spans="1:13" x14ac:dyDescent="0.4">
      <c r="A402" s="315" t="s">
        <v>957</v>
      </c>
      <c r="B402" s="69" t="str">
        <f>VLOOKUP(A402,URS確認!$E:$F,2,FALSE)</f>
        <v>疑似洗錢交易訪談記錄維護</v>
      </c>
      <c r="C402" s="315">
        <v>1</v>
      </c>
      <c r="D402" s="217" t="s">
        <v>1897</v>
      </c>
      <c r="E402" s="71">
        <v>44482</v>
      </c>
      <c r="F402" s="71">
        <v>44494</v>
      </c>
      <c r="G402" s="71">
        <v>44494</v>
      </c>
      <c r="H402" s="71">
        <v>44494</v>
      </c>
      <c r="I402" s="315" t="str">
        <f>VLOOKUP(A402,URS確認!E:I,5,FALSE)</f>
        <v>楊智誠</v>
      </c>
      <c r="L402" s="315" t="s">
        <v>1494</v>
      </c>
    </row>
    <row r="403" spans="1:13" ht="49.5" customHeight="1" x14ac:dyDescent="0.4">
      <c r="A403" s="315" t="s">
        <v>957</v>
      </c>
      <c r="B403" s="69" t="str">
        <f>VLOOKUP(A403,URS確認!$E:$F,2,FALSE)</f>
        <v>疑似洗錢交易訪談記錄維護</v>
      </c>
      <c r="C403" s="315">
        <v>2</v>
      </c>
      <c r="D403" s="217" t="s">
        <v>1898</v>
      </c>
      <c r="E403" s="71">
        <v>44482</v>
      </c>
      <c r="F403" s="71">
        <v>44494</v>
      </c>
      <c r="G403" s="71">
        <v>44494</v>
      </c>
      <c r="H403" s="71">
        <v>44494</v>
      </c>
      <c r="I403" s="315" t="str">
        <f>VLOOKUP(A403,URS確認!E:I,5,FALSE)</f>
        <v>楊智誠</v>
      </c>
      <c r="L403" s="315" t="s">
        <v>1494</v>
      </c>
    </row>
    <row r="404" spans="1:13" ht="49.5" customHeight="1" x14ac:dyDescent="0.4">
      <c r="A404" s="315" t="s">
        <v>957</v>
      </c>
      <c r="B404" s="69" t="str">
        <f>VLOOKUP(A404,URS確認!$E:$F,2,FALSE)</f>
        <v>疑似洗錢交易訪談記錄維護</v>
      </c>
      <c r="C404" s="315">
        <v>3</v>
      </c>
      <c r="D404" s="217" t="s">
        <v>1899</v>
      </c>
      <c r="E404" s="71">
        <v>44482</v>
      </c>
      <c r="F404" s="71">
        <v>44494</v>
      </c>
      <c r="G404" s="71">
        <v>44494</v>
      </c>
      <c r="H404" s="71">
        <v>44494</v>
      </c>
      <c r="I404" s="315" t="str">
        <f>VLOOKUP(A404,URS確認!E:I,5,FALSE)</f>
        <v>楊智誠</v>
      </c>
      <c r="L404" s="315" t="s">
        <v>1494</v>
      </c>
    </row>
    <row r="405" spans="1:13" x14ac:dyDescent="0.4">
      <c r="A405" s="315" t="s">
        <v>703</v>
      </c>
      <c r="B405" s="69" t="str">
        <f>VLOOKUP(A405,URS確認!$E:$F,2,FALSE)</f>
        <v xml:space="preserve">變更期款試算             </v>
      </c>
      <c r="C405" s="315">
        <v>1</v>
      </c>
      <c r="D405" s="217" t="s">
        <v>1900</v>
      </c>
      <c r="E405" s="71">
        <v>44482</v>
      </c>
      <c r="F405" s="71">
        <v>44510</v>
      </c>
      <c r="G405" s="71">
        <v>44510</v>
      </c>
      <c r="H405" s="71">
        <v>44510</v>
      </c>
      <c r="I405" s="315" t="str">
        <f>VLOOKUP(A405,URS確認!E:I,5,FALSE)</f>
        <v>余家興</v>
      </c>
      <c r="L405" s="315" t="s">
        <v>1494</v>
      </c>
    </row>
    <row r="406" spans="1:13" ht="49.5" customHeight="1" x14ac:dyDescent="0.4">
      <c r="A406" s="315" t="s">
        <v>703</v>
      </c>
      <c r="B406" s="69" t="str">
        <f>VLOOKUP(A406,URS確認!$E:$F,2,FALSE)</f>
        <v xml:space="preserve">變更期款試算             </v>
      </c>
      <c r="C406" s="315">
        <v>2</v>
      </c>
      <c r="D406" s="217" t="s">
        <v>1901</v>
      </c>
      <c r="E406" s="71">
        <v>44482</v>
      </c>
      <c r="F406" s="71">
        <v>44510</v>
      </c>
      <c r="G406" s="71">
        <v>44510</v>
      </c>
      <c r="H406" s="71">
        <v>44510</v>
      </c>
      <c r="I406" s="315" t="str">
        <f>VLOOKUP(A406,URS確認!E:I,5,FALSE)</f>
        <v>余家興</v>
      </c>
      <c r="M406" s="315" t="s">
        <v>1510</v>
      </c>
    </row>
    <row r="407" spans="1:13" x14ac:dyDescent="0.4">
      <c r="A407" s="315" t="s">
        <v>713</v>
      </c>
      <c r="B407" s="69" t="str">
        <f>VLOOKUP(A407,URS確認!$E:$F,2,FALSE)</f>
        <v>暫收款銷帳</v>
      </c>
      <c r="C407" s="315">
        <v>1</v>
      </c>
      <c r="D407" s="217" t="s">
        <v>1902</v>
      </c>
      <c r="E407" s="71">
        <v>44482</v>
      </c>
      <c r="F407" s="71">
        <v>44510</v>
      </c>
      <c r="G407" s="71">
        <v>44510</v>
      </c>
      <c r="H407" s="71">
        <v>44510</v>
      </c>
      <c r="I407" s="315" t="str">
        <f>VLOOKUP(A407,URS確認!E:I,5,FALSE)</f>
        <v>余家興</v>
      </c>
      <c r="L407" s="315" t="s">
        <v>1494</v>
      </c>
    </row>
    <row r="408" spans="1:13" ht="34" customHeight="1" x14ac:dyDescent="0.4">
      <c r="B408" s="69" t="s">
        <v>1903</v>
      </c>
      <c r="C408" s="315">
        <v>1</v>
      </c>
      <c r="D408" s="217" t="s">
        <v>1904</v>
      </c>
      <c r="E408" s="71">
        <v>44483</v>
      </c>
      <c r="F408" s="71">
        <v>44484</v>
      </c>
      <c r="G408" s="71">
        <v>44484</v>
      </c>
      <c r="H408" s="71">
        <f t="shared" ref="H408:H416" si="8">G408</f>
        <v>44484</v>
      </c>
      <c r="I408" s="315" t="s">
        <v>137</v>
      </c>
      <c r="L408" s="315" t="s">
        <v>1562</v>
      </c>
    </row>
    <row r="409" spans="1:13" x14ac:dyDescent="0.4">
      <c r="B409" s="69" t="s">
        <v>1903</v>
      </c>
      <c r="C409" s="315">
        <v>2</v>
      </c>
      <c r="D409" s="217" t="s">
        <v>1905</v>
      </c>
      <c r="E409" s="71">
        <v>44483</v>
      </c>
      <c r="F409" s="71">
        <v>44484</v>
      </c>
      <c r="G409" s="71">
        <v>44484</v>
      </c>
      <c r="H409" s="71">
        <f t="shared" si="8"/>
        <v>44484</v>
      </c>
      <c r="I409" s="315" t="s">
        <v>137</v>
      </c>
      <c r="L409" s="315" t="s">
        <v>1562</v>
      </c>
    </row>
    <row r="410" spans="1:13" x14ac:dyDescent="0.4">
      <c r="B410" s="69" t="s">
        <v>1903</v>
      </c>
      <c r="C410" s="315">
        <v>3</v>
      </c>
      <c r="D410" s="217" t="s">
        <v>1906</v>
      </c>
      <c r="E410" s="71">
        <v>44483</v>
      </c>
      <c r="F410" s="71">
        <v>44484</v>
      </c>
      <c r="G410" s="71">
        <v>44484</v>
      </c>
      <c r="H410" s="71">
        <f t="shared" si="8"/>
        <v>44484</v>
      </c>
      <c r="I410" s="315" t="s">
        <v>137</v>
      </c>
      <c r="L410" s="315" t="s">
        <v>1562</v>
      </c>
    </row>
    <row r="411" spans="1:13" ht="33" customHeight="1" x14ac:dyDescent="0.4">
      <c r="B411" s="69" t="s">
        <v>1903</v>
      </c>
      <c r="C411" s="315">
        <v>4</v>
      </c>
      <c r="D411" s="217" t="s">
        <v>1907</v>
      </c>
      <c r="E411" s="71">
        <v>44483</v>
      </c>
      <c r="F411" s="71">
        <v>44484</v>
      </c>
      <c r="G411" s="71">
        <v>44484</v>
      </c>
      <c r="H411" s="71">
        <f t="shared" si="8"/>
        <v>44484</v>
      </c>
      <c r="I411" s="315" t="s">
        <v>137</v>
      </c>
    </row>
    <row r="412" spans="1:13" x14ac:dyDescent="0.4">
      <c r="B412" s="69" t="s">
        <v>1903</v>
      </c>
      <c r="C412" s="315">
        <v>5</v>
      </c>
      <c r="D412" s="217" t="s">
        <v>1908</v>
      </c>
      <c r="E412" s="71">
        <v>44483</v>
      </c>
      <c r="F412" s="71">
        <v>44484</v>
      </c>
      <c r="G412" s="71">
        <v>44484</v>
      </c>
      <c r="H412" s="71">
        <f t="shared" si="8"/>
        <v>44484</v>
      </c>
      <c r="I412" s="315" t="s">
        <v>137</v>
      </c>
    </row>
    <row r="413" spans="1:13" x14ac:dyDescent="0.4">
      <c r="A413" s="315" t="s">
        <v>1137</v>
      </c>
      <c r="B413" s="69" t="str">
        <f>VLOOKUP(A413,URS確認!$E:$F,2,FALSE)</f>
        <v>消債條列JCIC報送資料歷程查詢(041)</v>
      </c>
      <c r="C413" s="315">
        <v>1</v>
      </c>
      <c r="D413" s="217" t="s">
        <v>1909</v>
      </c>
      <c r="E413" s="71">
        <v>44483</v>
      </c>
      <c r="F413" s="71">
        <v>44484</v>
      </c>
      <c r="G413" s="71">
        <v>44484</v>
      </c>
      <c r="H413" s="71">
        <f t="shared" si="8"/>
        <v>44484</v>
      </c>
      <c r="I413" s="315" t="s">
        <v>137</v>
      </c>
    </row>
    <row r="414" spans="1:13" ht="33" customHeight="1" x14ac:dyDescent="0.4">
      <c r="A414" s="315" t="s">
        <v>1149</v>
      </c>
      <c r="B414" s="69" t="str">
        <f>VLOOKUP(A414,URS確認!$E:$F,2,FALSE)</f>
        <v>消債條列JCIC報送資料歷程查詢(047)</v>
      </c>
      <c r="C414" s="315">
        <v>1</v>
      </c>
      <c r="D414" s="217" t="s">
        <v>1910</v>
      </c>
      <c r="E414" s="71">
        <v>44483</v>
      </c>
      <c r="F414" s="71">
        <v>44484</v>
      </c>
      <c r="G414" s="71">
        <v>44484</v>
      </c>
      <c r="H414" s="71">
        <f t="shared" si="8"/>
        <v>44484</v>
      </c>
      <c r="I414" s="315" t="s">
        <v>137</v>
      </c>
    </row>
    <row r="415" spans="1:13" x14ac:dyDescent="0.4">
      <c r="A415" s="315" t="s">
        <v>1151</v>
      </c>
      <c r="B415" s="69" t="str">
        <f>VLOOKUP(A415,URS確認!$E:$F,2,FALSE)</f>
        <v>消債條列JCIC報送資料歷程查詢(048)</v>
      </c>
      <c r="C415" s="315">
        <v>1</v>
      </c>
      <c r="D415" s="217" t="s">
        <v>1911</v>
      </c>
      <c r="E415" s="71">
        <v>44483</v>
      </c>
      <c r="F415" s="71">
        <v>44484</v>
      </c>
      <c r="G415" s="71">
        <v>44484</v>
      </c>
      <c r="H415" s="71">
        <f t="shared" si="8"/>
        <v>44484</v>
      </c>
      <c r="I415" s="315" t="s">
        <v>137</v>
      </c>
    </row>
    <row r="416" spans="1:13" x14ac:dyDescent="0.4">
      <c r="A416" s="315" t="s">
        <v>1197</v>
      </c>
      <c r="B416" s="69" t="str">
        <f>VLOOKUP(A416,URS確認!$E:$F,2,FALSE)</f>
        <v>消債條列JCIC報送資料歷程查詢(570)</v>
      </c>
      <c r="C416" s="315">
        <v>1</v>
      </c>
      <c r="D416" s="217" t="s">
        <v>1912</v>
      </c>
      <c r="E416" s="71">
        <v>44483</v>
      </c>
      <c r="F416" s="71">
        <v>44484</v>
      </c>
      <c r="G416" s="71">
        <v>44484</v>
      </c>
      <c r="H416" s="71">
        <f t="shared" si="8"/>
        <v>44484</v>
      </c>
      <c r="I416" s="315" t="s">
        <v>137</v>
      </c>
    </row>
    <row r="417" spans="1:13" x14ac:dyDescent="0.4">
      <c r="A417" s="315" t="s">
        <v>637</v>
      </c>
      <c r="B417" s="69" t="str">
        <f>VLOOKUP(A417,URS確認!$E:$F,2,FALSE)</f>
        <v xml:space="preserve">入帳檔上傳作業                       </v>
      </c>
      <c r="C417" s="315">
        <v>1</v>
      </c>
      <c r="D417" s="217" t="s">
        <v>1913</v>
      </c>
      <c r="E417" s="71">
        <v>44484</v>
      </c>
      <c r="F417" s="71">
        <v>44505</v>
      </c>
      <c r="G417" s="71">
        <v>44523</v>
      </c>
      <c r="H417" s="71">
        <v>44523</v>
      </c>
      <c r="I417" s="315" t="str">
        <f>VLOOKUP(A417,URS確認!E:I,5,FALSE)</f>
        <v>陳昱衡</v>
      </c>
    </row>
    <row r="418" spans="1:13" ht="49.5" customHeight="1" x14ac:dyDescent="0.4">
      <c r="A418" s="315" t="s">
        <v>664</v>
      </c>
      <c r="B418" s="69" t="str">
        <f>VLOOKUP(A418,URS確認!$E:$F,2,FALSE)</f>
        <v>產生銀扣失敗通知</v>
      </c>
      <c r="C418" s="315">
        <v>1</v>
      </c>
      <c r="D418" s="217" t="s">
        <v>1914</v>
      </c>
      <c r="E418" s="71">
        <v>44484</v>
      </c>
      <c r="F418" s="71">
        <v>44530</v>
      </c>
      <c r="G418" s="71">
        <v>44530</v>
      </c>
      <c r="H418" s="71">
        <v>44530</v>
      </c>
      <c r="I418" s="315" t="s">
        <v>193</v>
      </c>
    </row>
    <row r="419" spans="1:13" x14ac:dyDescent="0.4">
      <c r="A419" s="315" t="s">
        <v>658</v>
      </c>
      <c r="B419" s="69" t="str">
        <f>VLOOKUP(A419,URS確認!$E:$F,2,FALSE)</f>
        <v>整批勾選處理</v>
      </c>
      <c r="C419" s="315">
        <v>1</v>
      </c>
      <c r="D419" s="217" t="s">
        <v>1915</v>
      </c>
      <c r="E419" s="71">
        <v>44484</v>
      </c>
      <c r="F419" s="71">
        <v>44504</v>
      </c>
      <c r="G419" s="71">
        <v>44504</v>
      </c>
      <c r="H419" s="71">
        <v>44504</v>
      </c>
      <c r="I419" s="315" t="s">
        <v>193</v>
      </c>
    </row>
    <row r="420" spans="1:13" ht="33" customHeight="1" x14ac:dyDescent="0.4">
      <c r="A420" s="315" t="s">
        <v>647</v>
      </c>
      <c r="B420" s="69" t="str">
        <f>VLOOKUP(A420,URS確認!$E:$F,2,FALSE)</f>
        <v xml:space="preserve">整批入帳作業                         </v>
      </c>
      <c r="C420" s="315">
        <v>1</v>
      </c>
      <c r="D420" s="217" t="s">
        <v>1916</v>
      </c>
      <c r="E420" s="71">
        <v>44484</v>
      </c>
      <c r="F420" s="71">
        <v>44504</v>
      </c>
      <c r="G420" s="71">
        <v>44504</v>
      </c>
      <c r="H420" s="71">
        <v>44504</v>
      </c>
      <c r="I420" s="315" t="s">
        <v>193</v>
      </c>
    </row>
    <row r="421" spans="1:13" x14ac:dyDescent="0.4">
      <c r="A421" s="315" t="s">
        <v>647</v>
      </c>
      <c r="B421" s="69" t="str">
        <f>VLOOKUP(A421,URS確認!$E:$F,2,FALSE)</f>
        <v xml:space="preserve">整批入帳作業                         </v>
      </c>
      <c r="C421" s="315">
        <v>2</v>
      </c>
      <c r="D421" s="217" t="s">
        <v>1917</v>
      </c>
      <c r="E421" s="71">
        <v>44484</v>
      </c>
      <c r="F421" s="71">
        <v>44504</v>
      </c>
      <c r="G421" s="71">
        <v>44504</v>
      </c>
      <c r="H421" s="71">
        <v>44504</v>
      </c>
      <c r="I421" s="315" t="s">
        <v>193</v>
      </c>
    </row>
    <row r="422" spans="1:13" x14ac:dyDescent="0.4">
      <c r="A422" s="315" t="s">
        <v>656</v>
      </c>
      <c r="B422" s="69" t="str">
        <f>VLOOKUP(A422,URS確認!$E:$F,2,FALSE)</f>
        <v xml:space="preserve">整批入帳明細查詢(By日期區間)         </v>
      </c>
      <c r="C422" s="315">
        <v>1</v>
      </c>
      <c r="D422" s="217" t="s">
        <v>1918</v>
      </c>
      <c r="E422" s="71">
        <v>44484</v>
      </c>
      <c r="F422" s="71">
        <v>44510</v>
      </c>
      <c r="G422" s="71">
        <v>44510</v>
      </c>
      <c r="H422" s="71">
        <v>44510</v>
      </c>
      <c r="I422" s="315" t="s">
        <v>193</v>
      </c>
    </row>
    <row r="423" spans="1:13" ht="49.5" customHeight="1" x14ac:dyDescent="0.4">
      <c r="A423" s="315" t="s">
        <v>469</v>
      </c>
      <c r="B423" s="69" t="str">
        <f>VLOOKUP(A423,URS確認!$E:$F,2,FALSE)</f>
        <v xml:space="preserve">銀行扣款檔資料查詢                   </v>
      </c>
      <c r="C423" s="315">
        <v>1</v>
      </c>
      <c r="D423" s="217" t="s">
        <v>1919</v>
      </c>
      <c r="E423" s="71">
        <v>44484</v>
      </c>
      <c r="F423" s="71">
        <v>44504</v>
      </c>
      <c r="G423" s="71">
        <v>44504</v>
      </c>
      <c r="H423" s="71">
        <v>44504</v>
      </c>
      <c r="I423" s="315" t="s">
        <v>193</v>
      </c>
    </row>
    <row r="424" spans="1:13" x14ac:dyDescent="0.4">
      <c r="B424" s="69" t="s">
        <v>1883</v>
      </c>
      <c r="C424" s="315">
        <v>1</v>
      </c>
      <c r="D424" s="217" t="s">
        <v>1920</v>
      </c>
      <c r="E424" s="71">
        <v>44484</v>
      </c>
      <c r="F424" s="71">
        <v>44530</v>
      </c>
      <c r="G424" s="71">
        <v>44530</v>
      </c>
      <c r="H424" s="71">
        <v>44530</v>
      </c>
      <c r="I424" s="315" t="s">
        <v>193</v>
      </c>
    </row>
    <row r="425" spans="1:13" x14ac:dyDescent="0.4">
      <c r="B425" s="69" t="s">
        <v>1883</v>
      </c>
      <c r="C425" s="315">
        <v>2</v>
      </c>
      <c r="D425" s="217" t="s">
        <v>1921</v>
      </c>
      <c r="E425" s="71">
        <v>44484</v>
      </c>
      <c r="F425" s="71">
        <v>44530</v>
      </c>
      <c r="G425" s="71">
        <v>44530</v>
      </c>
      <c r="H425" s="71">
        <v>44530</v>
      </c>
      <c r="I425" s="315" t="s">
        <v>193</v>
      </c>
    </row>
    <row r="426" spans="1:13" ht="87.75" customHeight="1" x14ac:dyDescent="0.3">
      <c r="A426" s="315" t="s">
        <v>721</v>
      </c>
      <c r="B426" s="69" t="s">
        <v>1922</v>
      </c>
      <c r="C426" s="315">
        <v>1</v>
      </c>
      <c r="D426" s="74" t="s">
        <v>1923</v>
      </c>
      <c r="E426" s="71">
        <v>44487</v>
      </c>
      <c r="F426" s="71">
        <v>44496</v>
      </c>
      <c r="G426" s="71">
        <v>44496</v>
      </c>
      <c r="H426" s="71">
        <v>44510</v>
      </c>
      <c r="I426" s="315" t="str">
        <f>VLOOKUP(A426,URS確認!E:I,5,FALSE)</f>
        <v>余家興</v>
      </c>
      <c r="L426" s="315" t="s">
        <v>1494</v>
      </c>
    </row>
    <row r="427" spans="1:13" ht="34" x14ac:dyDescent="0.3">
      <c r="A427" s="315" t="s">
        <v>1924</v>
      </c>
      <c r="B427" s="74" t="s">
        <v>1925</v>
      </c>
      <c r="C427" s="315">
        <v>1</v>
      </c>
      <c r="D427" s="74" t="s">
        <v>1926</v>
      </c>
      <c r="E427" s="71">
        <v>44487</v>
      </c>
      <c r="F427" s="71">
        <v>44545</v>
      </c>
      <c r="G427" s="315"/>
      <c r="I427" s="315" t="s">
        <v>1545</v>
      </c>
    </row>
    <row r="428" spans="1:13" x14ac:dyDescent="0.3">
      <c r="A428" s="315" t="s">
        <v>801</v>
      </c>
      <c r="B428" s="69" t="str">
        <f>VLOOKUP(A428,URS確認!$E:$F,2,FALSE)</f>
        <v>核心傳票相關單獨作業</v>
      </c>
      <c r="C428" s="315">
        <v>1</v>
      </c>
      <c r="D428" s="74" t="s">
        <v>1927</v>
      </c>
      <c r="E428" s="71">
        <v>44487</v>
      </c>
      <c r="F428" s="71">
        <v>44494</v>
      </c>
      <c r="G428" s="71">
        <v>44494</v>
      </c>
      <c r="H428" s="71">
        <v>44494</v>
      </c>
      <c r="I428" s="315" t="str">
        <f>VLOOKUP(A428,URS確認!E:I,5,FALSE)</f>
        <v>楊智誠</v>
      </c>
      <c r="L428" s="315" t="s">
        <v>1494</v>
      </c>
    </row>
    <row r="429" spans="1:13" ht="33" customHeight="1" x14ac:dyDescent="0.3">
      <c r="B429" s="69" t="s">
        <v>1928</v>
      </c>
      <c r="C429" s="315">
        <v>1</v>
      </c>
      <c r="D429" s="74" t="s">
        <v>1929</v>
      </c>
      <c r="E429" s="71">
        <v>44488</v>
      </c>
      <c r="F429" s="71">
        <v>44499</v>
      </c>
      <c r="G429" s="71">
        <v>44499</v>
      </c>
      <c r="H429" s="71">
        <v>44499</v>
      </c>
      <c r="I429" s="315" t="s">
        <v>193</v>
      </c>
      <c r="M429" s="315" t="s">
        <v>1510</v>
      </c>
    </row>
    <row r="430" spans="1:13" x14ac:dyDescent="0.3">
      <c r="B430" s="69" t="s">
        <v>1930</v>
      </c>
      <c r="C430" s="315">
        <v>1</v>
      </c>
      <c r="D430" s="74" t="s">
        <v>1931</v>
      </c>
      <c r="E430" s="71">
        <v>44488</v>
      </c>
      <c r="F430" s="71">
        <v>44512</v>
      </c>
      <c r="G430" s="71">
        <v>44512</v>
      </c>
      <c r="H430" s="71">
        <v>44512</v>
      </c>
      <c r="I430" s="315" t="s">
        <v>193</v>
      </c>
      <c r="M430" s="315" t="s">
        <v>1510</v>
      </c>
    </row>
    <row r="431" spans="1:13" x14ac:dyDescent="0.3">
      <c r="A431" s="315" t="s">
        <v>463</v>
      </c>
      <c r="B431" s="69" t="str">
        <f>VLOOKUP(A431,URS確認!$E:$F,2,FALSE)</f>
        <v xml:space="preserve">保險單明細資料查詢       </v>
      </c>
      <c r="C431" s="315">
        <v>1</v>
      </c>
      <c r="D431" s="74" t="s">
        <v>1932</v>
      </c>
      <c r="E431" s="71">
        <v>44488</v>
      </c>
      <c r="F431" s="71">
        <v>44504</v>
      </c>
      <c r="G431" s="71">
        <v>44504</v>
      </c>
      <c r="H431" s="71">
        <v>44504</v>
      </c>
      <c r="I431" s="315" t="s">
        <v>193</v>
      </c>
      <c r="L431" s="315" t="s">
        <v>1494</v>
      </c>
    </row>
    <row r="432" spans="1:13" ht="33" customHeight="1" x14ac:dyDescent="0.3">
      <c r="A432" s="315" t="s">
        <v>463</v>
      </c>
      <c r="B432" s="69" t="str">
        <f>VLOOKUP(A432,URS確認!$E:$F,2,FALSE)</f>
        <v xml:space="preserve">保險單明細資料查詢       </v>
      </c>
      <c r="C432" s="315">
        <v>2</v>
      </c>
      <c r="D432" s="74" t="s">
        <v>1933</v>
      </c>
      <c r="E432" s="71">
        <v>44488</v>
      </c>
      <c r="F432" s="71">
        <v>44504</v>
      </c>
      <c r="G432" s="71">
        <v>44504</v>
      </c>
      <c r="H432" s="71">
        <v>44504</v>
      </c>
      <c r="I432" s="315" t="s">
        <v>193</v>
      </c>
      <c r="L432" s="315" t="s">
        <v>1494</v>
      </c>
    </row>
    <row r="433" spans="1:13" ht="66" customHeight="1" x14ac:dyDescent="0.3">
      <c r="A433" s="315" t="s">
        <v>757</v>
      </c>
      <c r="B433" s="69" t="str">
        <f>VLOOKUP(A433,URS確認!$E:$F,2,FALSE)</f>
        <v xml:space="preserve">火險保費未繳轉借支作業     </v>
      </c>
      <c r="C433" s="315">
        <v>1</v>
      </c>
      <c r="D433" s="74" t="s">
        <v>1934</v>
      </c>
      <c r="E433" s="71">
        <v>44488</v>
      </c>
      <c r="F433" s="71">
        <v>44510</v>
      </c>
      <c r="G433" s="71">
        <v>44508</v>
      </c>
      <c r="H433" s="71">
        <v>44508</v>
      </c>
      <c r="I433" s="315" t="s">
        <v>193</v>
      </c>
      <c r="L433" s="315" t="s">
        <v>1494</v>
      </c>
    </row>
    <row r="434" spans="1:13" ht="33" customHeight="1" x14ac:dyDescent="0.3">
      <c r="A434" s="315" t="s">
        <v>761</v>
      </c>
      <c r="B434" s="69" t="str">
        <f>VLOOKUP(A434,URS確認!$E:$F,2,FALSE)</f>
        <v xml:space="preserve">火險佣金作業               </v>
      </c>
      <c r="C434" s="315">
        <v>1</v>
      </c>
      <c r="D434" s="74" t="s">
        <v>1935</v>
      </c>
      <c r="E434" s="71">
        <v>44488</v>
      </c>
      <c r="F434" s="71">
        <v>44505</v>
      </c>
      <c r="G434" s="71">
        <v>44505</v>
      </c>
      <c r="H434" s="71">
        <v>44505</v>
      </c>
      <c r="I434" s="315" t="s">
        <v>193</v>
      </c>
      <c r="L434" s="315" t="s">
        <v>1494</v>
      </c>
    </row>
    <row r="435" spans="1:13" ht="33" customHeight="1" x14ac:dyDescent="0.3">
      <c r="A435" s="315" t="s">
        <v>761</v>
      </c>
      <c r="B435" s="69" t="str">
        <f>VLOOKUP(A435,URS確認!$E:$F,2,FALSE)</f>
        <v xml:space="preserve">火險佣金作業               </v>
      </c>
      <c r="C435" s="315">
        <v>2</v>
      </c>
      <c r="D435" s="74" t="s">
        <v>1936</v>
      </c>
      <c r="E435" s="71">
        <v>44488</v>
      </c>
      <c r="F435" s="71">
        <v>44505</v>
      </c>
      <c r="G435" s="71">
        <v>44505</v>
      </c>
      <c r="H435" s="71">
        <v>44505</v>
      </c>
      <c r="I435" s="315" t="s">
        <v>193</v>
      </c>
      <c r="L435" s="315" t="s">
        <v>1494</v>
      </c>
    </row>
    <row r="436" spans="1:13" ht="33" customHeight="1" x14ac:dyDescent="0.3">
      <c r="B436" s="69" t="s">
        <v>1937</v>
      </c>
      <c r="C436" s="315">
        <v>1</v>
      </c>
      <c r="D436" s="74" t="s">
        <v>1938</v>
      </c>
      <c r="E436" s="71">
        <v>44488</v>
      </c>
      <c r="F436" s="71">
        <v>44505</v>
      </c>
      <c r="G436" s="71">
        <v>44505</v>
      </c>
      <c r="H436" s="71">
        <v>44505</v>
      </c>
      <c r="I436" s="315" t="s">
        <v>193</v>
      </c>
      <c r="L436" s="315" t="s">
        <v>1494</v>
      </c>
    </row>
    <row r="437" spans="1:13" ht="33" customHeight="1" x14ac:dyDescent="0.3">
      <c r="B437" s="69" t="s">
        <v>1937</v>
      </c>
      <c r="C437" s="315">
        <v>2</v>
      </c>
      <c r="D437" s="74" t="s">
        <v>1939</v>
      </c>
      <c r="E437" s="71">
        <v>44488</v>
      </c>
      <c r="F437" s="71">
        <v>44505</v>
      </c>
      <c r="G437" s="71">
        <v>44505</v>
      </c>
      <c r="H437" s="71">
        <v>44505</v>
      </c>
      <c r="I437" s="315" t="s">
        <v>193</v>
      </c>
      <c r="L437" s="315" t="s">
        <v>1494</v>
      </c>
    </row>
    <row r="438" spans="1:13" ht="49.5" customHeight="1" x14ac:dyDescent="0.3">
      <c r="B438" s="69" t="s">
        <v>1937</v>
      </c>
      <c r="C438" s="315">
        <v>3</v>
      </c>
      <c r="D438" s="74" t="s">
        <v>1940</v>
      </c>
      <c r="E438" s="71">
        <v>44488</v>
      </c>
      <c r="F438" s="71">
        <v>44508</v>
      </c>
      <c r="G438" s="71">
        <v>44508</v>
      </c>
      <c r="H438" s="71">
        <v>44508</v>
      </c>
      <c r="I438" s="315" t="s">
        <v>193</v>
      </c>
      <c r="L438" s="315" t="s">
        <v>1494</v>
      </c>
    </row>
    <row r="439" spans="1:13" x14ac:dyDescent="0.3">
      <c r="A439" s="315" t="s">
        <v>1473</v>
      </c>
      <c r="B439" s="69" t="e">
        <f>VLOOKUP(A439,URS確認!$E:$F,2,FALSE)</f>
        <v>#N/A</v>
      </c>
      <c r="C439" s="315">
        <v>1</v>
      </c>
      <c r="D439" s="74" t="s">
        <v>1941</v>
      </c>
      <c r="E439" s="71">
        <v>44488</v>
      </c>
      <c r="F439" s="71">
        <v>44530</v>
      </c>
      <c r="G439" s="71">
        <v>44530</v>
      </c>
      <c r="H439" s="71">
        <f>G439</f>
        <v>44530</v>
      </c>
      <c r="I439" s="315" t="e">
        <f>VLOOKUP(A439,URS確認!E:I,5,FALSE)</f>
        <v>#N/A</v>
      </c>
      <c r="L439" s="315" t="s">
        <v>1494</v>
      </c>
    </row>
    <row r="440" spans="1:13" x14ac:dyDescent="0.3">
      <c r="A440" s="315" t="s">
        <v>713</v>
      </c>
      <c r="B440" s="69" t="str">
        <f>VLOOKUP(A440,URS確認!$E:$F,2,FALSE)</f>
        <v>暫收款銷帳</v>
      </c>
      <c r="C440" s="315">
        <v>1</v>
      </c>
      <c r="D440" s="74" t="s">
        <v>1942</v>
      </c>
      <c r="E440" s="71">
        <v>44488</v>
      </c>
      <c r="F440" s="71">
        <v>44496</v>
      </c>
      <c r="G440" s="71">
        <v>44496</v>
      </c>
      <c r="H440" s="71">
        <v>44510</v>
      </c>
      <c r="I440" s="315" t="str">
        <f>VLOOKUP(A440,URS確認!E:I,5,FALSE)</f>
        <v>余家興</v>
      </c>
      <c r="L440" s="315" t="s">
        <v>1494</v>
      </c>
    </row>
    <row r="441" spans="1:13" ht="61.5" customHeight="1" x14ac:dyDescent="0.3">
      <c r="A441" s="315" t="s">
        <v>713</v>
      </c>
      <c r="B441" s="69" t="str">
        <f>VLOOKUP(A441,URS確認!$E:$F,2,FALSE)</f>
        <v>暫收款銷帳</v>
      </c>
      <c r="C441" s="315">
        <v>2</v>
      </c>
      <c r="D441" s="74" t="s">
        <v>1943</v>
      </c>
      <c r="E441" s="71">
        <v>44488</v>
      </c>
      <c r="F441" s="71">
        <v>44495</v>
      </c>
      <c r="G441" s="71">
        <v>44495</v>
      </c>
      <c r="H441" s="71">
        <v>44510</v>
      </c>
      <c r="I441" s="315" t="str">
        <f>VLOOKUP(A441,URS確認!E:I,5,FALSE)</f>
        <v>余家興</v>
      </c>
      <c r="L441" s="315" t="s">
        <v>1494</v>
      </c>
    </row>
    <row r="442" spans="1:13" x14ac:dyDescent="0.3">
      <c r="A442" s="315" t="s">
        <v>375</v>
      </c>
      <c r="B442" s="69" t="str">
        <f>VLOOKUP(A442,URS確認!$E:$F,2,FALSE)</f>
        <v xml:space="preserve">應處理清單      </v>
      </c>
      <c r="C442" s="315">
        <v>1</v>
      </c>
      <c r="D442" s="74" t="s">
        <v>1944</v>
      </c>
      <c r="E442" s="71">
        <v>44488</v>
      </c>
      <c r="F442" s="71">
        <v>44545</v>
      </c>
      <c r="G442" s="71">
        <v>44539</v>
      </c>
      <c r="H442" s="71">
        <f>G442</f>
        <v>44539</v>
      </c>
      <c r="I442" s="315" t="str">
        <f>VLOOKUP(A442,URS確認!E:I,5,FALSE)</f>
        <v>余家興</v>
      </c>
      <c r="M442" s="315" t="s">
        <v>1510</v>
      </c>
    </row>
    <row r="443" spans="1:13" ht="33" customHeight="1" x14ac:dyDescent="0.3">
      <c r="A443" s="315" t="s">
        <v>3248</v>
      </c>
      <c r="B443" s="69" t="s">
        <v>1945</v>
      </c>
      <c r="C443" s="315">
        <v>1</v>
      </c>
      <c r="D443" s="74" t="s">
        <v>1946</v>
      </c>
      <c r="E443" s="71">
        <v>44489</v>
      </c>
      <c r="F443" s="71">
        <v>44545</v>
      </c>
      <c r="G443" s="71">
        <v>44525</v>
      </c>
      <c r="H443" s="71">
        <v>44525</v>
      </c>
      <c r="I443" s="663" t="str">
        <f>VLOOKUP(A443,URS確認!E:I,5,FALSE)</f>
        <v>楊智誠</v>
      </c>
      <c r="M443" s="315" t="s">
        <v>1510</v>
      </c>
    </row>
    <row r="444" spans="1:13" x14ac:dyDescent="0.3">
      <c r="A444" s="315" t="s">
        <v>842</v>
      </c>
      <c r="B444" s="69" t="str">
        <f>VLOOKUP(A444,URS確認!$E:$F,2,FALSE)</f>
        <v>指標利率種類查詢</v>
      </c>
      <c r="C444" s="315">
        <v>1</v>
      </c>
      <c r="D444" s="74" t="s">
        <v>1947</v>
      </c>
      <c r="E444" s="71">
        <v>44489</v>
      </c>
      <c r="F444" s="71">
        <v>44494</v>
      </c>
      <c r="G444" s="71">
        <v>44494</v>
      </c>
      <c r="H444" s="71">
        <v>44494</v>
      </c>
      <c r="I444" s="315" t="str">
        <f>VLOOKUP(A444,URS確認!E:I,5,FALSE)</f>
        <v>楊智誠</v>
      </c>
      <c r="L444" s="315" t="s">
        <v>1494</v>
      </c>
    </row>
    <row r="445" spans="1:13" ht="66" customHeight="1" x14ac:dyDescent="0.3">
      <c r="A445" s="315" t="s">
        <v>844</v>
      </c>
      <c r="B445" s="69" t="str">
        <f>VLOOKUP(A445,URS確認!$E:$F,2,FALSE)</f>
        <v>指標利率資料查詢</v>
      </c>
      <c r="C445" s="315">
        <v>1</v>
      </c>
      <c r="D445" s="74" t="s">
        <v>1948</v>
      </c>
      <c r="E445" s="71">
        <v>44489</v>
      </c>
      <c r="F445" s="71">
        <v>44494</v>
      </c>
      <c r="G445" s="71">
        <v>44494</v>
      </c>
      <c r="H445" s="71">
        <v>44494</v>
      </c>
      <c r="I445" s="315" t="str">
        <f>VLOOKUP(A445,URS確認!E:I,5,FALSE)</f>
        <v>楊智誠</v>
      </c>
      <c r="L445" s="315" t="s">
        <v>1494</v>
      </c>
    </row>
    <row r="446" spans="1:13" ht="99" customHeight="1" x14ac:dyDescent="0.3">
      <c r="A446" s="315" t="s">
        <v>844</v>
      </c>
      <c r="B446" s="69" t="str">
        <f>VLOOKUP(A446,URS確認!$E:$F,2,FALSE)</f>
        <v>指標利率資料查詢</v>
      </c>
      <c r="C446" s="315">
        <v>2</v>
      </c>
      <c r="D446" s="74" t="s">
        <v>1949</v>
      </c>
      <c r="E446" s="71">
        <v>44489</v>
      </c>
      <c r="F446" s="71">
        <v>44494</v>
      </c>
      <c r="G446" s="71">
        <v>44494</v>
      </c>
      <c r="H446" s="71">
        <v>44494</v>
      </c>
      <c r="I446" s="315" t="str">
        <f>VLOOKUP(A446,URS確認!E:I,5,FALSE)</f>
        <v>楊智誠</v>
      </c>
      <c r="L446" s="315" t="s">
        <v>1494</v>
      </c>
    </row>
    <row r="447" spans="1:13" x14ac:dyDescent="0.3">
      <c r="A447" s="315" t="s">
        <v>848</v>
      </c>
      <c r="B447" s="69" t="str">
        <f>VLOOKUP(A447,URS確認!$E:$F,2,FALSE)</f>
        <v>指標利率登錄/維護</v>
      </c>
      <c r="C447" s="315">
        <v>1</v>
      </c>
      <c r="D447" s="74" t="s">
        <v>1950</v>
      </c>
      <c r="E447" s="71">
        <v>44489</v>
      </c>
      <c r="F447" s="71">
        <v>44494</v>
      </c>
      <c r="G447" s="71">
        <v>44494</v>
      </c>
      <c r="H447" s="71">
        <v>44494</v>
      </c>
      <c r="I447" s="315" t="str">
        <f>VLOOKUP(A447,URS確認!E:I,5,FALSE)</f>
        <v>楊智誠</v>
      </c>
      <c r="L447" s="315" t="s">
        <v>1494</v>
      </c>
    </row>
    <row r="448" spans="1:13" ht="66" customHeight="1" x14ac:dyDescent="0.3">
      <c r="A448" s="315" t="s">
        <v>848</v>
      </c>
      <c r="B448" s="69" t="str">
        <f>VLOOKUP(A448,URS確認!$E:$F,2,FALSE)</f>
        <v>指標利率登錄/維護</v>
      </c>
      <c r="C448" s="315">
        <v>2</v>
      </c>
      <c r="D448" s="74" t="s">
        <v>1951</v>
      </c>
      <c r="E448" s="71">
        <v>44489</v>
      </c>
      <c r="F448" s="71">
        <v>44494</v>
      </c>
      <c r="G448" s="71">
        <v>44494</v>
      </c>
      <c r="H448" s="71">
        <v>44494</v>
      </c>
      <c r="I448" s="315" t="str">
        <f>VLOOKUP(A448,URS確認!E:I,5,FALSE)</f>
        <v>楊智誠</v>
      </c>
      <c r="L448" s="315" t="s">
        <v>1494</v>
      </c>
    </row>
    <row r="449" spans="1:13" ht="66" customHeight="1" x14ac:dyDescent="0.3">
      <c r="A449" s="315" t="s">
        <v>848</v>
      </c>
      <c r="B449" s="69" t="str">
        <f>VLOOKUP(A449,URS確認!$E:$F,2,FALSE)</f>
        <v>指標利率登錄/維護</v>
      </c>
      <c r="C449" s="315">
        <v>3</v>
      </c>
      <c r="D449" s="74" t="s">
        <v>1952</v>
      </c>
      <c r="E449" s="71">
        <v>44489</v>
      </c>
      <c r="F449" s="71">
        <v>44494</v>
      </c>
      <c r="G449" s="71">
        <v>44494</v>
      </c>
      <c r="H449" s="71">
        <v>44494</v>
      </c>
      <c r="I449" s="315" t="str">
        <f>VLOOKUP(A449,URS確認!E:I,5,FALSE)</f>
        <v>楊智誠</v>
      </c>
      <c r="L449" s="315" t="s">
        <v>1494</v>
      </c>
    </row>
    <row r="450" spans="1:13" ht="33" customHeight="1" x14ac:dyDescent="0.3">
      <c r="A450" s="315" t="s">
        <v>827</v>
      </c>
      <c r="B450" s="69" t="str">
        <f>VLOOKUP(A450,URS確認!$E:$F,2,FALSE)</f>
        <v xml:space="preserve">產生利率即將變動資料                 </v>
      </c>
      <c r="C450" s="315">
        <v>1</v>
      </c>
      <c r="D450" s="74" t="s">
        <v>1953</v>
      </c>
      <c r="E450" s="71">
        <v>44490</v>
      </c>
      <c r="F450" s="71">
        <v>44504</v>
      </c>
      <c r="G450" s="71">
        <v>44504</v>
      </c>
      <c r="H450" s="71">
        <v>44504</v>
      </c>
      <c r="I450" s="315" t="s">
        <v>193</v>
      </c>
      <c r="L450" s="315" t="s">
        <v>1494</v>
      </c>
    </row>
    <row r="451" spans="1:13" ht="82.5" customHeight="1" x14ac:dyDescent="0.3">
      <c r="A451" s="315" t="s">
        <v>827</v>
      </c>
      <c r="B451" s="69" t="str">
        <f>VLOOKUP(A451,URS確認!$E:$F,2,FALSE)</f>
        <v xml:space="preserve">產生利率即將變動資料                 </v>
      </c>
      <c r="C451" s="315">
        <v>2</v>
      </c>
      <c r="D451" s="74" t="s">
        <v>1954</v>
      </c>
      <c r="E451" s="71">
        <v>44490</v>
      </c>
      <c r="F451" s="126" t="s">
        <v>1955</v>
      </c>
      <c r="G451" s="126" t="s">
        <v>1955</v>
      </c>
      <c r="H451" s="126" t="s">
        <v>1955</v>
      </c>
      <c r="I451" s="315" t="s">
        <v>193</v>
      </c>
      <c r="L451" s="315" t="s">
        <v>1494</v>
      </c>
    </row>
    <row r="452" spans="1:13" ht="33" customHeight="1" x14ac:dyDescent="0.3">
      <c r="A452" s="315" t="s">
        <v>827</v>
      </c>
      <c r="B452" s="69" t="str">
        <f>VLOOKUP(A452,URS確認!$E:$F,2,FALSE)</f>
        <v xml:space="preserve">產生利率即將變動資料                 </v>
      </c>
      <c r="C452" s="315">
        <v>3</v>
      </c>
      <c r="D452" s="74" t="s">
        <v>1956</v>
      </c>
      <c r="E452" s="71">
        <v>44490</v>
      </c>
      <c r="F452" s="71">
        <v>44530</v>
      </c>
      <c r="G452" s="71">
        <v>44530</v>
      </c>
      <c r="H452" s="71">
        <f>G452</f>
        <v>44530</v>
      </c>
      <c r="I452" s="315" t="s">
        <v>1881</v>
      </c>
      <c r="M452" s="315" t="s">
        <v>1510</v>
      </c>
    </row>
    <row r="453" spans="1:13" x14ac:dyDescent="0.3">
      <c r="A453" s="315" t="s">
        <v>829</v>
      </c>
      <c r="B453" s="69" t="str">
        <f>VLOOKUP(A453,URS確認!$E:$F,2,FALSE)</f>
        <v>利率調整清單</v>
      </c>
      <c r="C453" s="315">
        <v>1</v>
      </c>
      <c r="D453" s="74" t="s">
        <v>1957</v>
      </c>
      <c r="E453" s="71">
        <v>44490</v>
      </c>
      <c r="F453" s="71">
        <v>44504</v>
      </c>
      <c r="G453" s="71">
        <v>44504</v>
      </c>
      <c r="H453" s="71">
        <v>44504</v>
      </c>
      <c r="I453" s="315" t="s">
        <v>193</v>
      </c>
      <c r="L453" s="315" t="s">
        <v>1494</v>
      </c>
    </row>
    <row r="454" spans="1:13" ht="33" customHeight="1" x14ac:dyDescent="0.3">
      <c r="A454" s="315" t="s">
        <v>829</v>
      </c>
      <c r="B454" s="69" t="str">
        <f>VLOOKUP(A454,URS確認!$E:$F,2,FALSE)</f>
        <v>利率調整清單</v>
      </c>
      <c r="C454" s="315">
        <v>2</v>
      </c>
      <c r="D454" s="74" t="s">
        <v>1958</v>
      </c>
      <c r="E454" s="71">
        <v>44490</v>
      </c>
      <c r="F454" s="71">
        <v>44512</v>
      </c>
      <c r="G454" s="71">
        <v>44512</v>
      </c>
      <c r="H454" s="71">
        <v>44512</v>
      </c>
      <c r="I454" s="315" t="s">
        <v>193</v>
      </c>
      <c r="L454" s="315" t="s">
        <v>1494</v>
      </c>
    </row>
    <row r="455" spans="1:13" x14ac:dyDescent="0.3">
      <c r="A455" s="315" t="s">
        <v>829</v>
      </c>
      <c r="B455" s="69" t="str">
        <f>VLOOKUP(A455,URS確認!$E:$F,2,FALSE)</f>
        <v>利率調整清單</v>
      </c>
      <c r="C455" s="315">
        <v>3</v>
      </c>
      <c r="D455" s="74" t="s">
        <v>1959</v>
      </c>
      <c r="E455" s="71">
        <v>44490</v>
      </c>
      <c r="F455" s="71">
        <v>44512</v>
      </c>
      <c r="G455" s="71">
        <v>44511</v>
      </c>
      <c r="H455" s="71">
        <v>44511</v>
      </c>
      <c r="I455" s="315" t="s">
        <v>193</v>
      </c>
      <c r="L455" s="315" t="s">
        <v>1494</v>
      </c>
    </row>
    <row r="456" spans="1:13" ht="33" customHeight="1" x14ac:dyDescent="0.3">
      <c r="A456" s="315" t="s">
        <v>829</v>
      </c>
      <c r="B456" s="69" t="str">
        <f>VLOOKUP(A456,URS確認!$E:$F,2,FALSE)</f>
        <v>利率調整清單</v>
      </c>
      <c r="C456" s="315">
        <v>4</v>
      </c>
      <c r="D456" s="74" t="s">
        <v>1960</v>
      </c>
      <c r="E456" s="71">
        <v>44490</v>
      </c>
      <c r="F456" s="71">
        <v>44508</v>
      </c>
      <c r="G456" s="71">
        <v>44508</v>
      </c>
      <c r="H456" s="71">
        <v>44508</v>
      </c>
      <c r="I456" s="315" t="s">
        <v>193</v>
      </c>
      <c r="L456" s="315" t="s">
        <v>1494</v>
      </c>
    </row>
    <row r="457" spans="1:13" x14ac:dyDescent="0.3">
      <c r="A457" s="315" t="s">
        <v>836</v>
      </c>
      <c r="B457" s="69" t="str">
        <f>VLOOKUP(A457,URS確認!$E:$F,2,FALSE)</f>
        <v>個別利率調整作業</v>
      </c>
      <c r="C457" s="315">
        <v>1</v>
      </c>
      <c r="D457" s="74" t="s">
        <v>1961</v>
      </c>
      <c r="E457" s="71">
        <v>44490</v>
      </c>
      <c r="F457" s="71">
        <v>44508</v>
      </c>
      <c r="G457" s="71">
        <v>44508</v>
      </c>
      <c r="H457" s="71">
        <v>44508</v>
      </c>
      <c r="I457" s="315" t="s">
        <v>193</v>
      </c>
      <c r="L457" s="315" t="s">
        <v>1494</v>
      </c>
    </row>
    <row r="458" spans="1:13" x14ac:dyDescent="0.3">
      <c r="A458" s="315" t="s">
        <v>836</v>
      </c>
      <c r="B458" s="69" t="str">
        <f>VLOOKUP(A458,URS確認!$E:$F,2,FALSE)</f>
        <v>個別利率調整作業</v>
      </c>
      <c r="C458" s="315">
        <v>2</v>
      </c>
      <c r="D458" s="74" t="s">
        <v>1962</v>
      </c>
      <c r="E458" s="71">
        <v>44490</v>
      </c>
      <c r="F458" s="71">
        <v>44504</v>
      </c>
      <c r="G458" s="71">
        <v>44504</v>
      </c>
      <c r="H458" s="71">
        <v>44504</v>
      </c>
      <c r="I458" s="315" t="s">
        <v>193</v>
      </c>
      <c r="L458" s="315" t="s">
        <v>1494</v>
      </c>
    </row>
    <row r="459" spans="1:13" x14ac:dyDescent="0.3">
      <c r="A459" s="315" t="s">
        <v>831</v>
      </c>
      <c r="B459" s="69" t="str">
        <f>VLOOKUP(A459,URS確認!$E:$F,2,FALSE)</f>
        <v>利率調整確認作業</v>
      </c>
      <c r="C459" s="315">
        <v>1</v>
      </c>
      <c r="D459" s="74" t="s">
        <v>1963</v>
      </c>
      <c r="E459" s="71">
        <v>44490</v>
      </c>
      <c r="F459" s="71">
        <v>44504</v>
      </c>
      <c r="G459" s="71">
        <v>44504</v>
      </c>
      <c r="H459" s="71">
        <v>44504</v>
      </c>
      <c r="I459" s="315" t="s">
        <v>193</v>
      </c>
      <c r="L459" s="315" t="s">
        <v>1494</v>
      </c>
    </row>
    <row r="460" spans="1:13" ht="367.5" customHeight="1" x14ac:dyDescent="0.3">
      <c r="A460" s="315" t="s">
        <v>840</v>
      </c>
      <c r="B460" s="69" t="s">
        <v>1964</v>
      </c>
      <c r="D460" s="234" t="s">
        <v>1965</v>
      </c>
      <c r="E460" s="71"/>
      <c r="F460" s="71">
        <v>44505</v>
      </c>
      <c r="G460" s="71">
        <v>44505</v>
      </c>
      <c r="H460" s="71">
        <v>44505</v>
      </c>
      <c r="I460" s="315" t="s">
        <v>193</v>
      </c>
      <c r="L460" s="315" t="s">
        <v>1494</v>
      </c>
    </row>
    <row r="461" spans="1:13" x14ac:dyDescent="0.3">
      <c r="A461" s="315" t="s">
        <v>875</v>
      </c>
      <c r="B461" s="69" t="str">
        <f>VLOOKUP(A461,URS確認!$E:$F,2,FALSE)</f>
        <v>個人房貸調整作業</v>
      </c>
      <c r="C461" s="315">
        <v>1</v>
      </c>
      <c r="D461" s="74" t="s">
        <v>1966</v>
      </c>
      <c r="E461" s="71">
        <v>44490</v>
      </c>
      <c r="F461" s="71">
        <v>44490</v>
      </c>
      <c r="G461" s="71">
        <v>44490</v>
      </c>
      <c r="H461" s="71">
        <v>44490</v>
      </c>
      <c r="I461" s="315" t="str">
        <f>VLOOKUP(A461,URS確認!E:I,5,FALSE)</f>
        <v>陳昱衡</v>
      </c>
      <c r="L461" s="315" t="s">
        <v>1494</v>
      </c>
    </row>
    <row r="462" spans="1:13" ht="66" customHeight="1" x14ac:dyDescent="0.3">
      <c r="A462" s="315" t="s">
        <v>875</v>
      </c>
      <c r="B462" s="69" t="str">
        <f>VLOOKUP(A462,URS確認!$E:$F,2,FALSE)</f>
        <v>個人房貸調整作業</v>
      </c>
      <c r="C462" s="315">
        <v>2</v>
      </c>
      <c r="D462" s="74" t="s">
        <v>1967</v>
      </c>
      <c r="E462" s="71">
        <v>44490</v>
      </c>
      <c r="F462" s="71">
        <v>44490</v>
      </c>
      <c r="G462" s="71">
        <v>44490</v>
      </c>
      <c r="H462" s="71">
        <v>44490</v>
      </c>
      <c r="I462" s="315" t="str">
        <f>VLOOKUP(A462,URS確認!E:I,5,FALSE)</f>
        <v>陳昱衡</v>
      </c>
      <c r="L462" s="315" t="s">
        <v>1494</v>
      </c>
    </row>
    <row r="463" spans="1:13" x14ac:dyDescent="0.3">
      <c r="A463" s="315" t="s">
        <v>669</v>
      </c>
      <c r="B463" s="69" t="str">
        <f>VLOOKUP(A463,URS確認!$E:$F,2,FALSE)</f>
        <v xml:space="preserve">繳息情形查詢             </v>
      </c>
      <c r="C463" s="315">
        <v>1</v>
      </c>
      <c r="D463" s="74" t="s">
        <v>1968</v>
      </c>
      <c r="E463" s="71">
        <v>44491</v>
      </c>
      <c r="F463" s="71">
        <v>44504</v>
      </c>
      <c r="G463" s="71">
        <v>44504</v>
      </c>
      <c r="H463" s="71">
        <v>44510</v>
      </c>
      <c r="I463" s="315" t="str">
        <f>VLOOKUP(A463,URS確認!E:I,5,FALSE)</f>
        <v>余家興</v>
      </c>
      <c r="L463" s="315" t="s">
        <v>1494</v>
      </c>
    </row>
    <row r="464" spans="1:13" x14ac:dyDescent="0.3">
      <c r="A464" s="315" t="s">
        <v>669</v>
      </c>
      <c r="B464" s="69" t="str">
        <f>VLOOKUP(A464,URS確認!$E:$F,2,FALSE)</f>
        <v xml:space="preserve">繳息情形查詢             </v>
      </c>
      <c r="C464" s="315">
        <v>2</v>
      </c>
      <c r="D464" s="74" t="s">
        <v>1969</v>
      </c>
      <c r="E464" s="71">
        <v>44491</v>
      </c>
      <c r="F464" s="71">
        <v>44504</v>
      </c>
      <c r="G464" s="71">
        <v>44504</v>
      </c>
      <c r="H464" s="71">
        <v>44510</v>
      </c>
      <c r="I464" s="315" t="str">
        <f>VLOOKUP(A464,URS確認!E:I,5,FALSE)</f>
        <v>余家興</v>
      </c>
      <c r="L464" s="315" t="s">
        <v>1494</v>
      </c>
    </row>
    <row r="465" spans="1:13" x14ac:dyDescent="0.3">
      <c r="A465" s="315" t="s">
        <v>672</v>
      </c>
      <c r="B465" s="69" t="str">
        <f>VLOOKUP(A465,URS確認!$E:$F,2,FALSE)</f>
        <v>計息明細查詢</v>
      </c>
      <c r="C465" s="315">
        <v>1</v>
      </c>
      <c r="D465" s="74" t="s">
        <v>1968</v>
      </c>
      <c r="E465" s="71">
        <v>44491</v>
      </c>
      <c r="F465" s="71">
        <v>44504</v>
      </c>
      <c r="G465" s="71">
        <v>44504</v>
      </c>
      <c r="H465" s="71">
        <v>44510</v>
      </c>
      <c r="I465" s="315" t="str">
        <f>VLOOKUP(A465,URS確認!E:I,5,FALSE)</f>
        <v>余家興</v>
      </c>
      <c r="L465" s="315" t="s">
        <v>1494</v>
      </c>
    </row>
    <row r="466" spans="1:13" x14ac:dyDescent="0.3">
      <c r="A466" s="315" t="s">
        <v>672</v>
      </c>
      <c r="B466" s="69" t="str">
        <f>VLOOKUP(A466,URS確認!$E:$F,2,FALSE)</f>
        <v>計息明細查詢</v>
      </c>
      <c r="C466" s="315">
        <v>2</v>
      </c>
      <c r="D466" s="74" t="s">
        <v>1970</v>
      </c>
      <c r="E466" s="71">
        <v>44491</v>
      </c>
      <c r="F466" s="71">
        <v>44504</v>
      </c>
      <c r="G466" s="71">
        <v>44504</v>
      </c>
      <c r="H466" s="71">
        <v>44510</v>
      </c>
      <c r="I466" s="315" t="str">
        <f>VLOOKUP(A466,URS確認!E:I,5,FALSE)</f>
        <v>余家興</v>
      </c>
      <c r="L466" s="315" t="s">
        <v>1494</v>
      </c>
    </row>
    <row r="467" spans="1:13" x14ac:dyDescent="0.3">
      <c r="A467" s="315" t="s">
        <v>354</v>
      </c>
      <c r="B467" s="69" t="str">
        <f>VLOOKUP(A467,URS確認!$E:$F,2,FALSE)</f>
        <v xml:space="preserve">交易內容查詢             </v>
      </c>
      <c r="C467" s="315">
        <v>1</v>
      </c>
      <c r="D467" s="74" t="s">
        <v>1971</v>
      </c>
      <c r="E467" s="71">
        <v>44491</v>
      </c>
      <c r="F467" s="71">
        <v>44510</v>
      </c>
      <c r="G467" s="71">
        <v>44510</v>
      </c>
      <c r="H467" s="71">
        <v>44510</v>
      </c>
      <c r="I467" s="315" t="str">
        <f>VLOOKUP(A467,URS確認!E:I,5,FALSE)</f>
        <v>余家興</v>
      </c>
      <c r="L467" s="315" t="s">
        <v>1494</v>
      </c>
    </row>
    <row r="468" spans="1:13" ht="34" customHeight="1" x14ac:dyDescent="0.3">
      <c r="A468" s="315" t="s">
        <v>809</v>
      </c>
      <c r="B468" s="69" t="str">
        <f>VLOOKUP(A468,URS確認!$E:$F,2,FALSE)</f>
        <v xml:space="preserve">清償作業                                </v>
      </c>
      <c r="C468" s="315">
        <v>1</v>
      </c>
      <c r="D468" s="74" t="s">
        <v>1972</v>
      </c>
      <c r="E468" s="71">
        <v>44491</v>
      </c>
      <c r="F468" s="71">
        <v>44504</v>
      </c>
      <c r="G468" s="71">
        <v>44504</v>
      </c>
      <c r="H468" s="71">
        <v>44504</v>
      </c>
      <c r="I468" s="315" t="str">
        <f>VLOOKUP(A468,URS確認!E:I,5,FALSE)</f>
        <v>余家興</v>
      </c>
      <c r="L468" s="315" t="s">
        <v>1494</v>
      </c>
    </row>
    <row r="469" spans="1:13" x14ac:dyDescent="0.3">
      <c r="A469" s="315" t="s">
        <v>866</v>
      </c>
      <c r="B469" s="69" t="str">
        <f>VLOOKUP(A469,URS確認!$E:$F,2,FALSE)</f>
        <v>ID所有人案件關係查詢</v>
      </c>
      <c r="C469" s="315">
        <v>1</v>
      </c>
      <c r="D469" s="74" t="s">
        <v>1973</v>
      </c>
      <c r="E469" s="71">
        <v>44494</v>
      </c>
      <c r="F469" s="71">
        <v>44531</v>
      </c>
      <c r="G469" s="71">
        <v>44531</v>
      </c>
      <c r="H469" s="71">
        <f>G469</f>
        <v>44531</v>
      </c>
      <c r="I469" s="132" t="s">
        <v>136</v>
      </c>
      <c r="M469" s="315" t="s">
        <v>1510</v>
      </c>
    </row>
    <row r="470" spans="1:13" x14ac:dyDescent="0.3">
      <c r="A470" s="315" t="s">
        <v>880</v>
      </c>
      <c r="B470" s="69" t="str">
        <f>VLOOKUP(A470,URS確認!$E:$F,2,FALSE)</f>
        <v>結清客戶申請個人資料控管維護</v>
      </c>
      <c r="C470" s="315">
        <v>1</v>
      </c>
      <c r="D470" s="74" t="s">
        <v>1974</v>
      </c>
      <c r="E470" s="71">
        <v>44494</v>
      </c>
      <c r="F470" s="71">
        <v>44494</v>
      </c>
      <c r="G470" s="71">
        <v>44494</v>
      </c>
      <c r="H470" s="71">
        <v>44494</v>
      </c>
      <c r="I470" s="315" t="str">
        <f>VLOOKUP(A470,URS確認!E:I,5,FALSE)</f>
        <v>陳昱衡</v>
      </c>
      <c r="L470" s="315" t="s">
        <v>1494</v>
      </c>
    </row>
    <row r="471" spans="1:13" x14ac:dyDescent="0.3">
      <c r="A471" s="315" t="s">
        <v>880</v>
      </c>
      <c r="B471" s="69" t="str">
        <f>VLOOKUP(A471,URS確認!$E:$F,2,FALSE)</f>
        <v>結清客戶申請個人資料控管維護</v>
      </c>
      <c r="C471" s="315">
        <v>2</v>
      </c>
      <c r="D471" s="74" t="s">
        <v>1975</v>
      </c>
      <c r="E471" s="71">
        <v>44494</v>
      </c>
      <c r="F471" s="71">
        <v>44494</v>
      </c>
      <c r="G471" s="71">
        <v>44494</v>
      </c>
      <c r="H471" s="71">
        <v>44494</v>
      </c>
      <c r="I471" s="315" t="str">
        <f>VLOOKUP(A471,URS確認!E:I,5,FALSE)</f>
        <v>陳昱衡</v>
      </c>
      <c r="L471" s="315" t="s">
        <v>1494</v>
      </c>
    </row>
    <row r="472" spans="1:13" x14ac:dyDescent="0.3">
      <c r="A472" s="315" t="s">
        <v>880</v>
      </c>
      <c r="B472" s="69" t="str">
        <f>VLOOKUP(A472,URS確認!$E:$F,2,FALSE)</f>
        <v>結清客戶申請個人資料控管維護</v>
      </c>
      <c r="C472" s="315">
        <v>3</v>
      </c>
      <c r="D472" s="74" t="s">
        <v>1976</v>
      </c>
      <c r="E472" s="71">
        <v>44494</v>
      </c>
      <c r="F472" s="71">
        <v>44502</v>
      </c>
      <c r="G472" s="71">
        <v>44502</v>
      </c>
      <c r="H472" s="71">
        <v>44502</v>
      </c>
      <c r="I472" s="315" t="str">
        <f>VLOOKUP(A472,URS確認!E:I,5,FALSE)</f>
        <v>陳昱衡</v>
      </c>
      <c r="L472" s="315" t="s">
        <v>1494</v>
      </c>
    </row>
    <row r="473" spans="1:13" x14ac:dyDescent="0.3">
      <c r="A473" s="315" t="s">
        <v>880</v>
      </c>
      <c r="B473" s="69" t="str">
        <f>VLOOKUP(A473,URS確認!$E:$F,2,FALSE)</f>
        <v>結清客戶申請個人資料控管維護</v>
      </c>
      <c r="C473" s="315">
        <v>4</v>
      </c>
      <c r="D473" s="74" t="s">
        <v>1977</v>
      </c>
      <c r="E473" s="71">
        <v>44494</v>
      </c>
      <c r="F473" s="71">
        <v>44503</v>
      </c>
      <c r="G473" s="71">
        <v>44503</v>
      </c>
      <c r="H473" s="71">
        <v>44503</v>
      </c>
      <c r="I473" s="315" t="str">
        <f>VLOOKUP(A473,URS確認!E:I,5,FALSE)</f>
        <v>陳昱衡</v>
      </c>
      <c r="L473" s="315" t="s">
        <v>1494</v>
      </c>
    </row>
    <row r="474" spans="1:13" x14ac:dyDescent="0.3">
      <c r="A474" s="315" t="s">
        <v>880</v>
      </c>
      <c r="B474" s="69" t="str">
        <f>VLOOKUP(A474,URS確認!$E:$F,2,FALSE)</f>
        <v>結清客戶申請個人資料控管維護</v>
      </c>
      <c r="C474" s="315">
        <v>5</v>
      </c>
      <c r="D474" s="74" t="s">
        <v>1978</v>
      </c>
      <c r="E474" s="71">
        <v>44494</v>
      </c>
      <c r="F474" s="71">
        <v>44522</v>
      </c>
      <c r="G474" s="71">
        <v>44522</v>
      </c>
      <c r="H474" s="71">
        <v>44522</v>
      </c>
      <c r="I474" s="315" t="str">
        <f>VLOOKUP(A474,URS確認!E:I,5,FALSE)</f>
        <v>陳昱衡</v>
      </c>
      <c r="M474" s="315" t="s">
        <v>1510</v>
      </c>
    </row>
    <row r="475" spans="1:13" x14ac:dyDescent="0.3">
      <c r="A475" s="315" t="s">
        <v>883</v>
      </c>
      <c r="B475" s="69" t="str">
        <f>VLOOKUP(A475,URS確認!$E:$F,2,FALSE)</f>
        <v xml:space="preserve">擔保品重評明細資料查詢                  </v>
      </c>
      <c r="C475" s="315">
        <v>1</v>
      </c>
      <c r="D475" s="74" t="s">
        <v>1979</v>
      </c>
      <c r="E475" s="71">
        <v>44494</v>
      </c>
      <c r="F475" s="71">
        <v>44494</v>
      </c>
      <c r="G475" s="71">
        <v>44494</v>
      </c>
      <c r="H475" s="71">
        <v>44494</v>
      </c>
      <c r="I475" s="315" t="str">
        <f>VLOOKUP(A475,URS確認!E:I,5,FALSE)</f>
        <v>陳昱衡</v>
      </c>
      <c r="L475" s="315" t="s">
        <v>1494</v>
      </c>
    </row>
    <row r="476" spans="1:13" ht="33" customHeight="1" x14ac:dyDescent="0.3">
      <c r="A476" s="315" t="s">
        <v>883</v>
      </c>
      <c r="B476" s="69" t="str">
        <f>VLOOKUP(A476,URS確認!$E:$F,2,FALSE)</f>
        <v xml:space="preserve">擔保品重評明細資料查詢                  </v>
      </c>
      <c r="C476" s="315">
        <v>2</v>
      </c>
      <c r="D476" s="74" t="s">
        <v>1980</v>
      </c>
      <c r="E476" s="71">
        <v>44494</v>
      </c>
      <c r="F476" s="71">
        <v>44494</v>
      </c>
      <c r="G476" s="71">
        <v>44494</v>
      </c>
      <c r="H476" s="71">
        <v>44494</v>
      </c>
      <c r="I476" s="315" t="str">
        <f>VLOOKUP(A476,URS確認!E:I,5,FALSE)</f>
        <v>陳昱衡</v>
      </c>
      <c r="L476" s="315" t="s">
        <v>1494</v>
      </c>
    </row>
    <row r="477" spans="1:13" x14ac:dyDescent="0.3">
      <c r="A477" s="315" t="s">
        <v>883</v>
      </c>
      <c r="B477" s="69" t="str">
        <f>VLOOKUP(A477,URS確認!$E:$F,2,FALSE)</f>
        <v xml:space="preserve">擔保品重評明細資料查詢                  </v>
      </c>
      <c r="C477" s="315">
        <v>3</v>
      </c>
      <c r="D477" s="74" t="s">
        <v>1981</v>
      </c>
      <c r="E477" s="71">
        <v>44494</v>
      </c>
      <c r="F477" s="71">
        <v>44494</v>
      </c>
      <c r="G477" s="71">
        <v>44494</v>
      </c>
      <c r="H477" s="71">
        <v>44494</v>
      </c>
      <c r="I477" s="315" t="str">
        <f>VLOOKUP(A477,URS確認!E:I,5,FALSE)</f>
        <v>陳昱衡</v>
      </c>
      <c r="L477" s="315" t="s">
        <v>1494</v>
      </c>
    </row>
    <row r="478" spans="1:13" x14ac:dyDescent="0.3">
      <c r="A478" s="315" t="s">
        <v>268</v>
      </c>
      <c r="B478" s="69" t="str">
        <f>VLOOKUP(A478,URS確認!$E:$F,2,FALSE)</f>
        <v xml:space="preserve">不動產擔保品資料查詢                    </v>
      </c>
      <c r="C478" s="315">
        <v>1</v>
      </c>
      <c r="D478" s="74" t="s">
        <v>1982</v>
      </c>
      <c r="E478" s="71">
        <v>44494</v>
      </c>
      <c r="F478" s="71">
        <v>44494</v>
      </c>
      <c r="G478" s="71">
        <v>44494</v>
      </c>
      <c r="H478" s="71">
        <v>44494</v>
      </c>
      <c r="I478" s="315" t="str">
        <f>VLOOKUP(A478,URS確認!E:I,5,FALSE)</f>
        <v>陳昱衡</v>
      </c>
      <c r="L478" s="315" t="s">
        <v>1494</v>
      </c>
    </row>
    <row r="479" spans="1:13" x14ac:dyDescent="0.3">
      <c r="A479" s="315" t="s">
        <v>284</v>
      </c>
      <c r="B479" s="69" t="str">
        <f>VLOOKUP(A479,URS確認!$E:$F,2,FALSE)</f>
        <v xml:space="preserve">額度與擔保品關聯查詢 </v>
      </c>
      <c r="C479" s="315">
        <v>1</v>
      </c>
      <c r="D479" s="74" t="s">
        <v>1983</v>
      </c>
      <c r="E479" s="71">
        <v>44494</v>
      </c>
      <c r="F479" s="71">
        <v>44494</v>
      </c>
      <c r="G479" s="71">
        <v>44494</v>
      </c>
      <c r="H479" s="71">
        <v>44494</v>
      </c>
      <c r="I479" s="315" t="str">
        <f>VLOOKUP(A479,URS確認!E:I,5,FALSE)</f>
        <v>陳昱衡</v>
      </c>
      <c r="L479" s="315" t="s">
        <v>1494</v>
      </c>
    </row>
    <row r="480" spans="1:13" x14ac:dyDescent="0.3">
      <c r="A480" s="315" t="s">
        <v>885</v>
      </c>
      <c r="B480" s="69" t="str">
        <f>VLOOKUP(A480,URS確認!$E:$F,2,FALSE)</f>
        <v xml:space="preserve">擔保品重評資料登錄                      </v>
      </c>
      <c r="C480" s="315">
        <v>1</v>
      </c>
      <c r="D480" s="74" t="s">
        <v>1984</v>
      </c>
      <c r="E480" s="71">
        <v>44494</v>
      </c>
      <c r="F480" s="71">
        <v>44494</v>
      </c>
      <c r="G480" s="71">
        <v>44494</v>
      </c>
      <c r="H480" s="71">
        <v>44494</v>
      </c>
      <c r="I480" s="315" t="str">
        <f>VLOOKUP(A480,URS確認!E:I,5,FALSE)</f>
        <v>陳昱衡</v>
      </c>
      <c r="L480" s="315" t="s">
        <v>1494</v>
      </c>
    </row>
    <row r="481" spans="1:13" ht="49.5" customHeight="1" x14ac:dyDescent="0.3">
      <c r="A481" s="315" t="s">
        <v>885</v>
      </c>
      <c r="B481" s="69" t="str">
        <f>VLOOKUP(A481,URS確認!$E:$F,2,FALSE)</f>
        <v xml:space="preserve">擔保品重評資料登錄                      </v>
      </c>
      <c r="C481" s="315">
        <v>2</v>
      </c>
      <c r="D481" s="74" t="s">
        <v>1985</v>
      </c>
      <c r="E481" s="71">
        <v>44494</v>
      </c>
      <c r="F481" s="71">
        <v>44503</v>
      </c>
      <c r="G481" s="71">
        <v>44503</v>
      </c>
      <c r="H481" s="71">
        <v>44503</v>
      </c>
      <c r="I481" s="315" t="str">
        <f>VLOOKUP(A481,URS確認!E:I,5,FALSE)</f>
        <v>陳昱衡</v>
      </c>
      <c r="M481" s="315" t="s">
        <v>1510</v>
      </c>
    </row>
    <row r="482" spans="1:13" x14ac:dyDescent="0.3">
      <c r="A482" s="315" t="s">
        <v>415</v>
      </c>
      <c r="B482" s="69" t="str">
        <f>VLOOKUP(A482,URS確認!$E:$F,2,FALSE)</f>
        <v>業務關帳作業</v>
      </c>
      <c r="C482" s="315">
        <v>1</v>
      </c>
      <c r="D482" s="74" t="s">
        <v>1986</v>
      </c>
      <c r="E482" s="71">
        <v>44494</v>
      </c>
      <c r="F482" s="71">
        <v>44533</v>
      </c>
      <c r="G482" s="71">
        <v>44540</v>
      </c>
      <c r="H482" s="71">
        <v>44540</v>
      </c>
      <c r="I482" s="315" t="str">
        <f>VLOOKUP(A482,URS確認!E:I,5,FALSE)</f>
        <v>楊智誠</v>
      </c>
      <c r="M482" s="315" t="s">
        <v>1510</v>
      </c>
    </row>
    <row r="483" spans="1:13" x14ac:dyDescent="0.3">
      <c r="A483" s="315" t="s">
        <v>415</v>
      </c>
      <c r="B483" s="69" t="str">
        <f>VLOOKUP(A483,URS確認!$E:$F,2,FALSE)</f>
        <v>業務關帳作業</v>
      </c>
      <c r="C483" s="315">
        <v>2</v>
      </c>
      <c r="D483" s="74" t="s">
        <v>1987</v>
      </c>
      <c r="E483" s="71">
        <v>44494</v>
      </c>
      <c r="F483" s="71">
        <v>44533</v>
      </c>
      <c r="G483" s="71">
        <v>44540</v>
      </c>
      <c r="H483" s="71">
        <v>44540</v>
      </c>
      <c r="I483" s="315" t="str">
        <f>VLOOKUP(A483,URS確認!E:I,5,FALSE)</f>
        <v>楊智誠</v>
      </c>
      <c r="M483" s="315" t="s">
        <v>1510</v>
      </c>
    </row>
    <row r="484" spans="1:13" ht="34" customHeight="1" x14ac:dyDescent="0.3">
      <c r="A484" s="315" t="s">
        <v>887</v>
      </c>
      <c r="B484" s="69" t="str">
        <f>VLOOKUP(A484,URS確認!$E:$F,2,FALSE)</f>
        <v xml:space="preserve">案件處理清單         </v>
      </c>
      <c r="C484" s="315">
        <v>1</v>
      </c>
      <c r="D484" s="74" t="s">
        <v>1988</v>
      </c>
      <c r="E484" s="71">
        <v>44496</v>
      </c>
      <c r="F484" s="71">
        <v>44511</v>
      </c>
      <c r="G484" s="71" t="s">
        <v>1645</v>
      </c>
      <c r="H484" s="71" t="str">
        <f>G484</f>
        <v>取消不做</v>
      </c>
      <c r="I484" s="315" t="str">
        <f>VLOOKUP(A484,URS確認!E:I,5,FALSE)</f>
        <v>蘇曉玲</v>
      </c>
      <c r="M484" s="315" t="s">
        <v>1510</v>
      </c>
    </row>
    <row r="485" spans="1:13" x14ac:dyDescent="0.3">
      <c r="A485" s="315" t="s">
        <v>891</v>
      </c>
      <c r="B485" s="69" t="str">
        <f>VLOOKUP(A485,URS確認!$E:$F,2,FALSE)</f>
        <v xml:space="preserve">電催明細資料查詢     </v>
      </c>
      <c r="C485" s="315">
        <v>1</v>
      </c>
      <c r="D485" s="74" t="s">
        <v>1989</v>
      </c>
      <c r="E485" s="71">
        <v>44496</v>
      </c>
      <c r="F485" s="71">
        <v>44497</v>
      </c>
      <c r="G485" s="71">
        <v>44497</v>
      </c>
      <c r="H485" s="71">
        <v>44497</v>
      </c>
      <c r="I485" s="315" t="str">
        <f>VLOOKUP(A485,URS確認!E:I,5,FALSE)</f>
        <v>蘇曉玲</v>
      </c>
      <c r="L485" s="315" t="s">
        <v>1494</v>
      </c>
    </row>
    <row r="486" spans="1:13" x14ac:dyDescent="0.3">
      <c r="A486" s="315" t="s">
        <v>891</v>
      </c>
      <c r="B486" s="69" t="str">
        <f>VLOOKUP(A486,URS確認!$E:$F,2,FALSE)</f>
        <v xml:space="preserve">電催明細資料查詢     </v>
      </c>
      <c r="C486" s="315">
        <v>2</v>
      </c>
      <c r="D486" s="74" t="s">
        <v>1990</v>
      </c>
      <c r="E486" s="71">
        <v>44496</v>
      </c>
      <c r="F486" s="71">
        <v>44497</v>
      </c>
      <c r="G486" s="71">
        <v>44497</v>
      </c>
      <c r="H486" s="71">
        <v>44497</v>
      </c>
      <c r="I486" s="315" t="str">
        <f>VLOOKUP(A486,URS確認!E:I,5,FALSE)</f>
        <v>蘇曉玲</v>
      </c>
      <c r="L486" s="315" t="s">
        <v>1494</v>
      </c>
    </row>
    <row r="487" spans="1:13" x14ac:dyDescent="0.3">
      <c r="A487" s="315" t="s">
        <v>895</v>
      </c>
      <c r="B487" s="69" t="str">
        <f>VLOOKUP(A487,URS確認!$E:$F,2,FALSE)</f>
        <v xml:space="preserve">面催明細資料查詢     </v>
      </c>
      <c r="C487" s="315">
        <v>1</v>
      </c>
      <c r="D487" s="74" t="s">
        <v>1989</v>
      </c>
      <c r="E487" s="71">
        <v>44496</v>
      </c>
      <c r="F487" s="71">
        <v>44497</v>
      </c>
      <c r="G487" s="71">
        <v>44497</v>
      </c>
      <c r="H487" s="71">
        <v>44497</v>
      </c>
      <c r="I487" s="315" t="str">
        <f>VLOOKUP(A487,URS確認!E:I,5,FALSE)</f>
        <v>蘇曉玲</v>
      </c>
      <c r="L487" s="315" t="s">
        <v>1494</v>
      </c>
    </row>
    <row r="488" spans="1:13" x14ac:dyDescent="0.3">
      <c r="A488" s="315" t="s">
        <v>895</v>
      </c>
      <c r="B488" s="69" t="str">
        <f>VLOOKUP(A488,URS確認!$E:$F,2,FALSE)</f>
        <v xml:space="preserve">面催明細資料查詢     </v>
      </c>
      <c r="C488" s="315">
        <v>2</v>
      </c>
      <c r="D488" s="74" t="s">
        <v>1990</v>
      </c>
      <c r="E488" s="71">
        <v>44496</v>
      </c>
      <c r="F488" s="71">
        <v>44497</v>
      </c>
      <c r="G488" s="71">
        <v>44497</v>
      </c>
      <c r="H488" s="71">
        <v>44497</v>
      </c>
      <c r="I488" s="315" t="str">
        <f>VLOOKUP(A488,URS確認!E:I,5,FALSE)</f>
        <v>蘇曉玲</v>
      </c>
      <c r="L488" s="315" t="s">
        <v>1494</v>
      </c>
    </row>
    <row r="489" spans="1:13" x14ac:dyDescent="0.3">
      <c r="A489" s="315" t="s">
        <v>895</v>
      </c>
      <c r="B489" s="69" t="str">
        <f>VLOOKUP(A489,URS確認!$E:$F,2,FALSE)</f>
        <v xml:space="preserve">面催明細資料查詢     </v>
      </c>
      <c r="C489" s="315">
        <v>3</v>
      </c>
      <c r="D489" s="74" t="s">
        <v>1991</v>
      </c>
      <c r="E489" s="71">
        <v>44496</v>
      </c>
      <c r="F489" s="71">
        <v>44497</v>
      </c>
      <c r="G489" s="71">
        <v>44497</v>
      </c>
      <c r="H489" s="71">
        <v>44497</v>
      </c>
      <c r="I489" s="315" t="str">
        <f>VLOOKUP(A489,URS確認!E:I,5,FALSE)</f>
        <v>蘇曉玲</v>
      </c>
      <c r="L489" s="315" t="s">
        <v>1494</v>
      </c>
    </row>
    <row r="490" spans="1:13" x14ac:dyDescent="0.3">
      <c r="A490" s="315" t="s">
        <v>899</v>
      </c>
      <c r="B490" s="69" t="str">
        <f>VLOOKUP(A490,URS確認!$E:$F,2,FALSE)</f>
        <v xml:space="preserve">函催明細資料查詢     </v>
      </c>
      <c r="C490" s="315">
        <v>1</v>
      </c>
      <c r="D490" s="74" t="s">
        <v>1989</v>
      </c>
      <c r="E490" s="71">
        <v>44496</v>
      </c>
      <c r="F490" s="71">
        <v>44497</v>
      </c>
      <c r="G490" s="71">
        <v>44497</v>
      </c>
      <c r="H490" s="71">
        <v>44497</v>
      </c>
      <c r="I490" s="315" t="str">
        <f>VLOOKUP(A490,URS確認!E:I,5,FALSE)</f>
        <v>蘇曉玲</v>
      </c>
      <c r="L490" s="315" t="s">
        <v>1494</v>
      </c>
    </row>
    <row r="491" spans="1:13" x14ac:dyDescent="0.3">
      <c r="A491" s="315" t="s">
        <v>899</v>
      </c>
      <c r="B491" s="69" t="str">
        <f>VLOOKUP(A491,URS確認!$E:$F,2,FALSE)</f>
        <v xml:space="preserve">函催明細資料查詢     </v>
      </c>
      <c r="C491" s="315">
        <v>2</v>
      </c>
      <c r="D491" s="74" t="s">
        <v>1990</v>
      </c>
      <c r="E491" s="71">
        <v>44496</v>
      </c>
      <c r="F491" s="71">
        <v>44497</v>
      </c>
      <c r="G491" s="71">
        <v>44497</v>
      </c>
      <c r="H491" s="71">
        <v>44497</v>
      </c>
      <c r="I491" s="315" t="str">
        <f>VLOOKUP(A491,URS確認!E:I,5,FALSE)</f>
        <v>蘇曉玲</v>
      </c>
      <c r="L491" s="315" t="s">
        <v>1494</v>
      </c>
    </row>
    <row r="492" spans="1:13" x14ac:dyDescent="0.3">
      <c r="A492" s="315" t="s">
        <v>903</v>
      </c>
      <c r="B492" s="69" t="str">
        <f>VLOOKUP(A492,URS確認!$E:$F,2,FALSE)</f>
        <v xml:space="preserve">法務進度明細資料查詢 </v>
      </c>
      <c r="C492" s="315">
        <v>1</v>
      </c>
      <c r="D492" s="74" t="s">
        <v>1989</v>
      </c>
      <c r="E492" s="71">
        <v>44496</v>
      </c>
      <c r="F492" s="71">
        <v>44498</v>
      </c>
      <c r="G492" s="71">
        <v>44497</v>
      </c>
      <c r="H492" s="71">
        <v>44497</v>
      </c>
      <c r="I492" s="315" t="str">
        <f>VLOOKUP(A492,URS確認!E:I,5,FALSE)</f>
        <v>蘇曉玲</v>
      </c>
      <c r="L492" s="315" t="s">
        <v>1494</v>
      </c>
    </row>
    <row r="493" spans="1:13" x14ac:dyDescent="0.3">
      <c r="A493" s="315" t="s">
        <v>903</v>
      </c>
      <c r="B493" s="69" t="str">
        <f>VLOOKUP(A493,URS確認!$E:$F,2,FALSE)</f>
        <v xml:space="preserve">法務進度明細資料查詢 </v>
      </c>
      <c r="C493" s="315">
        <v>2</v>
      </c>
      <c r="D493" s="74" t="s">
        <v>1990</v>
      </c>
      <c r="E493" s="71">
        <v>44496</v>
      </c>
      <c r="F493" s="71">
        <v>44498</v>
      </c>
      <c r="G493" s="71">
        <v>44497</v>
      </c>
      <c r="H493" s="71">
        <v>44497</v>
      </c>
      <c r="I493" s="315" t="str">
        <f>VLOOKUP(A493,URS確認!E:I,5,FALSE)</f>
        <v>蘇曉玲</v>
      </c>
      <c r="L493" s="315" t="s">
        <v>1494</v>
      </c>
    </row>
    <row r="494" spans="1:13" x14ac:dyDescent="0.3">
      <c r="A494" s="315" t="s">
        <v>903</v>
      </c>
      <c r="B494" s="69" t="str">
        <f>VLOOKUP(A494,URS確認!$E:$F,2,FALSE)</f>
        <v xml:space="preserve">法務進度明細資料查詢 </v>
      </c>
      <c r="C494" s="315">
        <v>3</v>
      </c>
      <c r="D494" s="74" t="s">
        <v>1992</v>
      </c>
      <c r="E494" s="71">
        <v>44496</v>
      </c>
      <c r="F494" s="71">
        <v>44498</v>
      </c>
      <c r="G494" s="71">
        <v>44497</v>
      </c>
      <c r="H494" s="71">
        <v>44497</v>
      </c>
      <c r="I494" s="315" t="str">
        <f>VLOOKUP(A494,URS確認!E:I,5,FALSE)</f>
        <v>蘇曉玲</v>
      </c>
      <c r="L494" s="315" t="s">
        <v>1494</v>
      </c>
    </row>
    <row r="495" spans="1:13" x14ac:dyDescent="0.4">
      <c r="A495" s="315" t="s">
        <v>907</v>
      </c>
      <c r="B495" s="69" t="str">
        <f>VLOOKUP(A495,URS確認!$E:$F,2,FALSE)</f>
        <v xml:space="preserve">提醒事項查詢         </v>
      </c>
      <c r="C495" s="315">
        <v>1</v>
      </c>
      <c r="D495" s="68" t="s">
        <v>1989</v>
      </c>
      <c r="E495" s="71">
        <v>44496</v>
      </c>
      <c r="F495" s="71">
        <v>44498</v>
      </c>
      <c r="G495" s="71">
        <v>44497</v>
      </c>
      <c r="H495" s="71">
        <v>44497</v>
      </c>
      <c r="I495" s="315" t="str">
        <f>VLOOKUP(A495,URS確認!E:I,5,FALSE)</f>
        <v>蘇曉玲</v>
      </c>
      <c r="L495" s="315" t="s">
        <v>1494</v>
      </c>
    </row>
    <row r="496" spans="1:13" x14ac:dyDescent="0.4">
      <c r="A496" s="315" t="s">
        <v>907</v>
      </c>
      <c r="B496" s="69" t="str">
        <f>VLOOKUP(A496,URS確認!$E:$F,2,FALSE)</f>
        <v xml:space="preserve">提醒事項查詢         </v>
      </c>
      <c r="C496" s="315">
        <v>2</v>
      </c>
      <c r="D496" s="68" t="s">
        <v>1990</v>
      </c>
      <c r="E496" s="71">
        <v>44496</v>
      </c>
      <c r="F496" s="71">
        <v>44498</v>
      </c>
      <c r="G496" s="71">
        <v>44497</v>
      </c>
      <c r="H496" s="71">
        <v>44497</v>
      </c>
      <c r="I496" s="315" t="str">
        <f>VLOOKUP(A496,URS確認!E:I,5,FALSE)</f>
        <v>蘇曉玲</v>
      </c>
      <c r="L496" s="315" t="s">
        <v>1494</v>
      </c>
    </row>
    <row r="497" spans="1:13" x14ac:dyDescent="0.3">
      <c r="A497" s="315" t="s">
        <v>907</v>
      </c>
      <c r="B497" s="69" t="str">
        <f>VLOOKUP(A497,URS確認!$E:$F,2,FALSE)</f>
        <v xml:space="preserve">提醒事項查詢         </v>
      </c>
      <c r="C497" s="315">
        <v>3</v>
      </c>
      <c r="D497" s="74" t="s">
        <v>1993</v>
      </c>
      <c r="E497" s="71">
        <v>44496</v>
      </c>
      <c r="F497" s="71">
        <v>44498</v>
      </c>
      <c r="G497" s="71">
        <v>44497</v>
      </c>
      <c r="H497" s="71">
        <v>44497</v>
      </c>
      <c r="I497" s="315" t="str">
        <f>VLOOKUP(A497,URS確認!E:I,5,FALSE)</f>
        <v>蘇曉玲</v>
      </c>
      <c r="L497" s="315" t="s">
        <v>1494</v>
      </c>
    </row>
    <row r="498" spans="1:13" x14ac:dyDescent="0.3">
      <c r="A498" s="315" t="s">
        <v>893</v>
      </c>
      <c r="B498" s="69" t="str">
        <f>VLOOKUP(A498,URS確認!$E:$F,2,FALSE)</f>
        <v xml:space="preserve">電催登錄             </v>
      </c>
      <c r="C498" s="315">
        <v>1</v>
      </c>
      <c r="D498" s="74" t="s">
        <v>1994</v>
      </c>
      <c r="E498" s="71">
        <v>44496</v>
      </c>
      <c r="F498" s="71">
        <v>44503</v>
      </c>
      <c r="G498" s="71">
        <v>44503</v>
      </c>
      <c r="H498" s="71">
        <v>44504</v>
      </c>
      <c r="I498" s="315" t="str">
        <f>VLOOKUP(A498,URS確認!E:I,5,FALSE)</f>
        <v>蘇曉玲</v>
      </c>
      <c r="L498" s="315" t="s">
        <v>1494</v>
      </c>
    </row>
    <row r="499" spans="1:13" x14ac:dyDescent="0.3">
      <c r="A499" s="315" t="s">
        <v>893</v>
      </c>
      <c r="B499" s="69" t="str">
        <f>VLOOKUP(A499,URS確認!$E:$F,2,FALSE)</f>
        <v xml:space="preserve">電催登錄             </v>
      </c>
      <c r="C499" s="315">
        <v>2</v>
      </c>
      <c r="D499" s="74" t="s">
        <v>1995</v>
      </c>
      <c r="E499" s="71">
        <v>44496</v>
      </c>
      <c r="F499" s="71">
        <v>44503</v>
      </c>
      <c r="G499" s="71">
        <v>44503</v>
      </c>
      <c r="H499" s="71">
        <v>44504</v>
      </c>
      <c r="I499" s="315" t="str">
        <f>VLOOKUP(A499,URS確認!E:I,5,FALSE)</f>
        <v>蘇曉玲</v>
      </c>
      <c r="L499" s="315" t="s">
        <v>1494</v>
      </c>
    </row>
    <row r="500" spans="1:13" ht="33" customHeight="1" x14ac:dyDescent="0.3">
      <c r="A500" s="315" t="s">
        <v>897</v>
      </c>
      <c r="B500" s="69" t="str">
        <f>VLOOKUP(A500,URS確認!$E:$F,2,FALSE)</f>
        <v xml:space="preserve">面催登錄             </v>
      </c>
      <c r="C500" s="315">
        <v>1</v>
      </c>
      <c r="D500" s="74" t="s">
        <v>1996</v>
      </c>
      <c r="E500" s="71">
        <v>44496</v>
      </c>
      <c r="F500" s="71">
        <v>44511</v>
      </c>
      <c r="G500" s="71">
        <v>44503</v>
      </c>
      <c r="H500" s="71">
        <v>44504</v>
      </c>
      <c r="I500" s="315" t="str">
        <f>VLOOKUP(A500,URS確認!E:I,5,FALSE)</f>
        <v>蘇曉玲</v>
      </c>
      <c r="L500" s="315" t="s">
        <v>1494</v>
      </c>
    </row>
    <row r="501" spans="1:13" x14ac:dyDescent="0.3">
      <c r="A501" s="315" t="s">
        <v>897</v>
      </c>
      <c r="B501" s="69" t="str">
        <f>VLOOKUP(A501,URS確認!$E:$F,2,FALSE)</f>
        <v xml:space="preserve">面催登錄             </v>
      </c>
      <c r="C501" s="315">
        <v>2</v>
      </c>
      <c r="D501" s="74" t="s">
        <v>1995</v>
      </c>
      <c r="E501" s="71">
        <v>44496</v>
      </c>
      <c r="F501" s="71">
        <v>44511</v>
      </c>
      <c r="G501" s="71">
        <v>44503</v>
      </c>
      <c r="H501" s="71">
        <v>44504</v>
      </c>
      <c r="I501" s="315" t="str">
        <f>VLOOKUP(A501,URS確認!E:I,5,FALSE)</f>
        <v>蘇曉玲</v>
      </c>
      <c r="L501" s="315" t="s">
        <v>1494</v>
      </c>
    </row>
    <row r="502" spans="1:13" x14ac:dyDescent="0.3">
      <c r="A502" s="315" t="s">
        <v>897</v>
      </c>
      <c r="B502" s="69" t="str">
        <f>VLOOKUP(A502,URS確認!$E:$F,2,FALSE)</f>
        <v xml:space="preserve">面催登錄             </v>
      </c>
      <c r="C502" s="315">
        <v>3</v>
      </c>
      <c r="D502" s="74" t="s">
        <v>1997</v>
      </c>
      <c r="E502" s="71">
        <v>44496</v>
      </c>
      <c r="F502" s="71">
        <v>44511</v>
      </c>
      <c r="G502" s="71">
        <v>44503</v>
      </c>
      <c r="H502" s="71">
        <v>44504</v>
      </c>
      <c r="I502" s="315" t="str">
        <f>VLOOKUP(A502,URS確認!E:I,5,FALSE)</f>
        <v>蘇曉玲</v>
      </c>
      <c r="L502" s="315" t="s">
        <v>1494</v>
      </c>
    </row>
    <row r="503" spans="1:13" ht="33" customHeight="1" x14ac:dyDescent="0.4">
      <c r="A503" s="315" t="s">
        <v>897</v>
      </c>
      <c r="B503" s="69" t="str">
        <f>VLOOKUP(A503,URS確認!$E:$F,2,FALSE)</f>
        <v xml:space="preserve">面催登錄             </v>
      </c>
      <c r="C503" s="315">
        <v>4</v>
      </c>
      <c r="D503" s="217" t="s">
        <v>1998</v>
      </c>
      <c r="E503" s="71">
        <v>44496</v>
      </c>
      <c r="F503" s="71">
        <v>44511</v>
      </c>
      <c r="G503" s="71">
        <v>44503</v>
      </c>
      <c r="H503" s="71">
        <v>44504</v>
      </c>
      <c r="I503" s="315" t="str">
        <f>VLOOKUP(A503,URS確認!E:I,5,FALSE)</f>
        <v>蘇曉玲</v>
      </c>
      <c r="M503" s="315" t="s">
        <v>1510</v>
      </c>
    </row>
    <row r="504" spans="1:13" x14ac:dyDescent="0.3">
      <c r="A504" s="315" t="s">
        <v>897</v>
      </c>
      <c r="B504" s="69" t="str">
        <f>VLOOKUP(A504,URS確認!$E:$F,2,FALSE)</f>
        <v xml:space="preserve">面催登錄             </v>
      </c>
      <c r="C504" s="315">
        <v>5</v>
      </c>
      <c r="D504" s="74" t="s">
        <v>1999</v>
      </c>
      <c r="E504" s="71">
        <v>44496</v>
      </c>
      <c r="F504" s="71">
        <v>44511</v>
      </c>
      <c r="G504" s="71">
        <v>44503</v>
      </c>
      <c r="H504" s="71">
        <v>44504</v>
      </c>
      <c r="I504" s="315" t="str">
        <f>VLOOKUP(A504,URS確認!E:I,5,FALSE)</f>
        <v>蘇曉玲</v>
      </c>
      <c r="L504" s="315" t="s">
        <v>1494</v>
      </c>
    </row>
    <row r="505" spans="1:13" x14ac:dyDescent="0.3">
      <c r="A505" s="315" t="s">
        <v>901</v>
      </c>
      <c r="B505" s="69" t="str">
        <f>VLOOKUP(A505,URS確認!$E:$F,2,FALSE)</f>
        <v xml:space="preserve">函催登錄             </v>
      </c>
      <c r="C505" s="315">
        <v>1</v>
      </c>
      <c r="D505" s="74" t="s">
        <v>1994</v>
      </c>
      <c r="E505" s="71">
        <v>44496</v>
      </c>
      <c r="F505" s="71">
        <v>44503</v>
      </c>
      <c r="G505" s="71">
        <v>44503</v>
      </c>
      <c r="H505" s="71">
        <v>44504</v>
      </c>
      <c r="I505" s="315" t="str">
        <f>VLOOKUP(A505,URS確認!E:I,5,FALSE)</f>
        <v>蘇曉玲</v>
      </c>
      <c r="L505" s="315" t="s">
        <v>1494</v>
      </c>
    </row>
    <row r="506" spans="1:13" x14ac:dyDescent="0.3">
      <c r="A506" s="315" t="s">
        <v>901</v>
      </c>
      <c r="B506" s="69" t="str">
        <f>VLOOKUP(A506,URS確認!$E:$F,2,FALSE)</f>
        <v xml:space="preserve">函催登錄             </v>
      </c>
      <c r="C506" s="315">
        <v>2</v>
      </c>
      <c r="D506" s="74" t="s">
        <v>1995</v>
      </c>
      <c r="E506" s="71">
        <v>44496</v>
      </c>
      <c r="F506" s="71">
        <v>44503</v>
      </c>
      <c r="G506" s="71">
        <v>44503</v>
      </c>
      <c r="H506" s="71">
        <v>44504</v>
      </c>
      <c r="I506" s="315" t="str">
        <f>VLOOKUP(A506,URS確認!E:I,5,FALSE)</f>
        <v>蘇曉玲</v>
      </c>
      <c r="L506" s="315" t="s">
        <v>1494</v>
      </c>
    </row>
    <row r="507" spans="1:13" x14ac:dyDescent="0.3">
      <c r="A507" s="315" t="s">
        <v>905</v>
      </c>
      <c r="B507" s="69" t="str">
        <f>VLOOKUP(A507,URS確認!$E:$F,2,FALSE)</f>
        <v xml:space="preserve">法務進度登錄         </v>
      </c>
      <c r="C507" s="315">
        <v>1</v>
      </c>
      <c r="D507" s="74" t="s">
        <v>1994</v>
      </c>
      <c r="E507" s="71">
        <v>44496</v>
      </c>
      <c r="F507" s="71">
        <v>44511</v>
      </c>
      <c r="G507" s="71">
        <v>44504</v>
      </c>
      <c r="H507" s="71">
        <v>44504</v>
      </c>
      <c r="I507" s="315" t="str">
        <f>VLOOKUP(A507,URS確認!E:I,5,FALSE)</f>
        <v>蘇曉玲</v>
      </c>
      <c r="L507" s="315" t="s">
        <v>1494</v>
      </c>
    </row>
    <row r="508" spans="1:13" x14ac:dyDescent="0.3">
      <c r="A508" s="315" t="s">
        <v>905</v>
      </c>
      <c r="B508" s="69" t="str">
        <f>VLOOKUP(A508,URS確認!$E:$F,2,FALSE)</f>
        <v xml:space="preserve">法務進度登錄         </v>
      </c>
      <c r="C508" s="315">
        <v>2</v>
      </c>
      <c r="D508" s="74" t="s">
        <v>1995</v>
      </c>
      <c r="E508" s="71">
        <v>44496</v>
      </c>
      <c r="F508" s="71">
        <v>44511</v>
      </c>
      <c r="G508" s="71">
        <v>44504</v>
      </c>
      <c r="H508" s="71">
        <v>44504</v>
      </c>
      <c r="I508" s="315" t="str">
        <f>VLOOKUP(A508,URS確認!E:I,5,FALSE)</f>
        <v>蘇曉玲</v>
      </c>
      <c r="L508" s="315" t="s">
        <v>1494</v>
      </c>
    </row>
    <row r="509" spans="1:13" x14ac:dyDescent="0.3">
      <c r="A509" s="315" t="s">
        <v>905</v>
      </c>
      <c r="B509" s="69" t="str">
        <f>VLOOKUP(A509,URS確認!$E:$F,2,FALSE)</f>
        <v xml:space="preserve">法務進度登錄         </v>
      </c>
      <c r="C509" s="315">
        <v>3</v>
      </c>
      <c r="D509" s="74" t="s">
        <v>2000</v>
      </c>
      <c r="E509" s="71">
        <v>44496</v>
      </c>
      <c r="F509" s="71">
        <v>44511</v>
      </c>
      <c r="G509" s="71">
        <v>44504</v>
      </c>
      <c r="H509" s="71">
        <v>44504</v>
      </c>
      <c r="I509" s="315" t="str">
        <f>VLOOKUP(A509,URS確認!E:I,5,FALSE)</f>
        <v>蘇曉玲</v>
      </c>
      <c r="M509" s="315" t="s">
        <v>1510</v>
      </c>
    </row>
    <row r="510" spans="1:13" x14ac:dyDescent="0.3">
      <c r="A510" s="315" t="s">
        <v>905</v>
      </c>
      <c r="B510" s="69" t="str">
        <f>VLOOKUP(A510,URS確認!$E:$F,2,FALSE)</f>
        <v xml:space="preserve">法務進度登錄         </v>
      </c>
      <c r="C510" s="315">
        <v>4</v>
      </c>
      <c r="D510" s="74" t="s">
        <v>2001</v>
      </c>
      <c r="E510" s="71">
        <v>44496</v>
      </c>
      <c r="F510" s="71">
        <v>44511</v>
      </c>
      <c r="G510" s="71">
        <v>44504</v>
      </c>
      <c r="H510" s="71">
        <v>44504</v>
      </c>
      <c r="I510" s="315" t="str">
        <f>VLOOKUP(A510,URS確認!E:I,5,FALSE)</f>
        <v>蘇曉玲</v>
      </c>
      <c r="M510" s="315" t="s">
        <v>1510</v>
      </c>
    </row>
    <row r="511" spans="1:13" x14ac:dyDescent="0.3">
      <c r="A511" s="315" t="s">
        <v>909</v>
      </c>
      <c r="B511" s="69" t="str">
        <f>VLOOKUP(A511,URS確認!$E:$F,2,FALSE)</f>
        <v xml:space="preserve">提醒事項登錄         </v>
      </c>
      <c r="C511" s="315">
        <v>1</v>
      </c>
      <c r="D511" s="74" t="s">
        <v>2002</v>
      </c>
      <c r="E511" s="71">
        <v>44496</v>
      </c>
      <c r="F511" s="71">
        <v>44503</v>
      </c>
      <c r="G511" s="71">
        <v>44501</v>
      </c>
      <c r="H511" s="71">
        <v>44501</v>
      </c>
      <c r="I511" s="315" t="str">
        <f>VLOOKUP(A511,URS確認!E:I,5,FALSE)</f>
        <v>蘇曉玲</v>
      </c>
      <c r="L511" s="315" t="s">
        <v>1494</v>
      </c>
    </row>
    <row r="512" spans="1:13" x14ac:dyDescent="0.3">
      <c r="A512" s="315" t="s">
        <v>909</v>
      </c>
      <c r="B512" s="69" t="str">
        <f>VLOOKUP(A512,URS確認!$E:$F,2,FALSE)</f>
        <v xml:space="preserve">提醒事項登錄         </v>
      </c>
      <c r="C512" s="315">
        <v>2</v>
      </c>
      <c r="D512" s="74" t="s">
        <v>2003</v>
      </c>
      <c r="E512" s="71">
        <v>44496</v>
      </c>
      <c r="F512" s="71">
        <v>44503</v>
      </c>
      <c r="G512" s="71">
        <v>44501</v>
      </c>
      <c r="H512" s="71">
        <v>44501</v>
      </c>
      <c r="I512" s="315" t="str">
        <f>VLOOKUP(A512,URS確認!E:I,5,FALSE)</f>
        <v>蘇曉玲</v>
      </c>
      <c r="L512" s="315" t="s">
        <v>1494</v>
      </c>
    </row>
    <row r="513" spans="1:13" x14ac:dyDescent="0.3">
      <c r="A513" s="315" t="s">
        <v>909</v>
      </c>
      <c r="B513" s="69" t="str">
        <f>VLOOKUP(A513,URS確認!$E:$F,2,FALSE)</f>
        <v xml:space="preserve">提醒事項登錄         </v>
      </c>
      <c r="C513" s="315">
        <v>3</v>
      </c>
      <c r="D513" s="74" t="s">
        <v>2004</v>
      </c>
      <c r="E513" s="71">
        <v>44496</v>
      </c>
      <c r="F513" s="71">
        <v>44503</v>
      </c>
      <c r="G513" s="71">
        <v>44501</v>
      </c>
      <c r="H513" s="71">
        <v>44501</v>
      </c>
      <c r="I513" s="315" t="str">
        <f>VLOOKUP(A513,URS確認!E:I,5,FALSE)</f>
        <v>蘇曉玲</v>
      </c>
      <c r="L513" s="315" t="s">
        <v>1494</v>
      </c>
    </row>
    <row r="514" spans="1:13" x14ac:dyDescent="0.3">
      <c r="A514" s="315" t="s">
        <v>911</v>
      </c>
      <c r="B514" s="69" t="str">
        <f>VLOOKUP(A514,URS確認!$E:$F,2,FALSE)</f>
        <v>催收催繳明細</v>
      </c>
      <c r="C514" s="315">
        <v>1</v>
      </c>
      <c r="D514" s="74" t="s">
        <v>2005</v>
      </c>
      <c r="E514" s="71">
        <v>44496</v>
      </c>
      <c r="F514" s="71">
        <v>44511</v>
      </c>
      <c r="G514" s="71">
        <v>44498</v>
      </c>
      <c r="H514" s="71">
        <v>44501</v>
      </c>
      <c r="I514" s="315" t="str">
        <f>VLOOKUP(A514,URS確認!E:I,5,FALSE)</f>
        <v>蘇曉玲</v>
      </c>
      <c r="M514" s="315" t="s">
        <v>1510</v>
      </c>
    </row>
    <row r="515" spans="1:13" x14ac:dyDescent="0.3">
      <c r="A515" s="315" t="s">
        <v>976</v>
      </c>
      <c r="B515" s="69" t="str">
        <f>VLOOKUP(A515,URS確認!$E:$F,2,FALSE)</f>
        <v>授信審議委員會會議紀錄明細資料查詢</v>
      </c>
      <c r="C515" s="315">
        <v>1</v>
      </c>
      <c r="D515" s="74" t="s">
        <v>2006</v>
      </c>
      <c r="E515" s="71">
        <v>44496</v>
      </c>
      <c r="F515" s="71">
        <v>44508</v>
      </c>
      <c r="G515" s="71">
        <v>44508</v>
      </c>
      <c r="H515" s="71">
        <v>44508</v>
      </c>
      <c r="I515" s="315" t="s">
        <v>137</v>
      </c>
    </row>
    <row r="516" spans="1:13" x14ac:dyDescent="0.3">
      <c r="A516" s="315" t="s">
        <v>976</v>
      </c>
      <c r="B516" s="69" t="str">
        <f>VLOOKUP(A516,URS確認!$E:$F,2,FALSE)</f>
        <v>授信審議委員會會議紀錄明細資料查詢</v>
      </c>
      <c r="C516" s="315">
        <v>2</v>
      </c>
      <c r="D516" s="74" t="s">
        <v>2007</v>
      </c>
      <c r="E516" s="71">
        <v>44496</v>
      </c>
      <c r="F516" s="71">
        <v>44508</v>
      </c>
      <c r="G516" s="71">
        <v>44508</v>
      </c>
      <c r="H516" s="71">
        <v>44508</v>
      </c>
      <c r="I516" s="315" t="s">
        <v>137</v>
      </c>
    </row>
    <row r="517" spans="1:13" x14ac:dyDescent="0.3">
      <c r="A517" s="315" t="s">
        <v>976</v>
      </c>
      <c r="B517" s="69" t="str">
        <f>VLOOKUP(A517,URS確認!$E:$F,2,FALSE)</f>
        <v>授信審議委員會會議紀錄明細資料查詢</v>
      </c>
      <c r="C517" s="315">
        <v>3</v>
      </c>
      <c r="D517" s="74" t="s">
        <v>2008</v>
      </c>
      <c r="E517" s="71">
        <v>44496</v>
      </c>
      <c r="F517" s="71">
        <v>44508</v>
      </c>
      <c r="G517" s="71">
        <v>44508</v>
      </c>
      <c r="H517" s="71">
        <v>44508</v>
      </c>
      <c r="I517" s="315" t="s">
        <v>137</v>
      </c>
    </row>
    <row r="518" spans="1:13" x14ac:dyDescent="0.3">
      <c r="A518" s="315" t="s">
        <v>980</v>
      </c>
      <c r="B518" s="69" t="str">
        <f>VLOOKUP(A518,URS確認!$E:$F,2,FALSE)</f>
        <v>授信審議委員會會議紀錄維護</v>
      </c>
      <c r="C518" s="315">
        <v>1</v>
      </c>
      <c r="D518" s="74" t="s">
        <v>2006</v>
      </c>
      <c r="E518" s="71">
        <v>44496</v>
      </c>
      <c r="F518" s="71">
        <v>44508</v>
      </c>
      <c r="G518" s="71">
        <v>44508</v>
      </c>
      <c r="H518" s="71">
        <v>44508</v>
      </c>
      <c r="I518" s="315" t="s">
        <v>137</v>
      </c>
    </row>
    <row r="519" spans="1:13" x14ac:dyDescent="0.3">
      <c r="A519" s="315" t="s">
        <v>980</v>
      </c>
      <c r="B519" s="69" t="str">
        <f>VLOOKUP(A519,URS確認!$E:$F,2,FALSE)</f>
        <v>授信審議委員會會議紀錄維護</v>
      </c>
      <c r="C519" s="315">
        <v>2</v>
      </c>
      <c r="D519" s="74" t="s">
        <v>2009</v>
      </c>
      <c r="E519" s="71">
        <v>44496</v>
      </c>
      <c r="F519" s="71">
        <v>44508</v>
      </c>
      <c r="G519" s="71">
        <v>44508</v>
      </c>
      <c r="H519" s="71">
        <v>44508</v>
      </c>
      <c r="I519" s="315" t="s">
        <v>137</v>
      </c>
    </row>
    <row r="520" spans="1:13" x14ac:dyDescent="0.3">
      <c r="A520" s="315" t="s">
        <v>980</v>
      </c>
      <c r="B520" s="69" t="str">
        <f>VLOOKUP(A520,URS確認!$E:$F,2,FALSE)</f>
        <v>授信審議委員會會議紀錄維護</v>
      </c>
      <c r="C520" s="315">
        <v>3</v>
      </c>
      <c r="D520" s="74" t="s">
        <v>2010</v>
      </c>
      <c r="E520" s="71">
        <v>44496</v>
      </c>
      <c r="F520" s="71">
        <v>44508</v>
      </c>
      <c r="G520" s="71">
        <v>44508</v>
      </c>
      <c r="H520" s="71">
        <v>44508</v>
      </c>
      <c r="I520" s="315" t="s">
        <v>137</v>
      </c>
    </row>
    <row r="521" spans="1:13" ht="34" customHeight="1" x14ac:dyDescent="0.3">
      <c r="A521" s="315" t="s">
        <v>992</v>
      </c>
      <c r="B521" s="69" t="str">
        <f>VLOOKUP(A521,URS確認!$E:$F,2,FALSE)</f>
        <v>覆審案件明細檔查詢</v>
      </c>
      <c r="C521" s="315">
        <v>1</v>
      </c>
      <c r="D521" s="74" t="s">
        <v>2011</v>
      </c>
      <c r="E521" s="71">
        <v>44496</v>
      </c>
      <c r="F521" s="71">
        <v>44510</v>
      </c>
      <c r="G521" s="71">
        <v>44510</v>
      </c>
      <c r="H521" s="71">
        <v>44510</v>
      </c>
      <c r="I521" s="315" t="str">
        <f>VLOOKUP(A521,URS確認!E:I,5,FALSE)</f>
        <v>張嘉榮</v>
      </c>
    </row>
    <row r="522" spans="1:13" x14ac:dyDescent="0.3">
      <c r="A522" s="315" t="s">
        <v>992</v>
      </c>
      <c r="B522" s="69" t="str">
        <f>VLOOKUP(A522,URS確認!$E:$F,2,FALSE)</f>
        <v>覆審案件明細檔查詢</v>
      </c>
      <c r="C522" s="315">
        <v>2</v>
      </c>
      <c r="D522" s="74" t="s">
        <v>2012</v>
      </c>
      <c r="E522" s="71">
        <v>44496</v>
      </c>
      <c r="F522" s="71">
        <v>44510</v>
      </c>
      <c r="G522" s="71">
        <v>44510</v>
      </c>
      <c r="H522" s="71">
        <v>44510</v>
      </c>
      <c r="I522" s="315" t="str">
        <f>VLOOKUP(A522,URS確認!E:I,5,FALSE)</f>
        <v>張嘉榮</v>
      </c>
    </row>
    <row r="523" spans="1:13" x14ac:dyDescent="0.3">
      <c r="A523" s="315" t="s">
        <v>992</v>
      </c>
      <c r="B523" s="69" t="str">
        <f>VLOOKUP(A523,URS確認!$E:$F,2,FALSE)</f>
        <v>覆審案件明細檔查詢</v>
      </c>
      <c r="C523" s="315">
        <v>3</v>
      </c>
      <c r="D523" s="74" t="s">
        <v>2013</v>
      </c>
      <c r="E523" s="71">
        <v>44496</v>
      </c>
      <c r="F523" s="71">
        <v>44510</v>
      </c>
      <c r="G523" s="71">
        <v>44510</v>
      </c>
      <c r="H523" s="71">
        <v>44510</v>
      </c>
      <c r="I523" s="315" t="str">
        <f>VLOOKUP(A523,URS確認!E:I,5,FALSE)</f>
        <v>張嘉榮</v>
      </c>
    </row>
    <row r="524" spans="1:13" x14ac:dyDescent="0.3">
      <c r="A524" s="315" t="s">
        <v>994</v>
      </c>
      <c r="B524" s="69" t="str">
        <f>VLOOKUP(A524,URS確認!$E:$F,2,FALSE)</f>
        <v>覆審案件明細檔維護</v>
      </c>
      <c r="C524" s="315">
        <v>1</v>
      </c>
      <c r="D524" s="74" t="s">
        <v>2014</v>
      </c>
      <c r="E524" s="71">
        <v>44496</v>
      </c>
      <c r="F524" s="71">
        <v>44510</v>
      </c>
      <c r="G524" s="71">
        <v>44510</v>
      </c>
      <c r="H524" s="71">
        <v>44510</v>
      </c>
      <c r="I524" s="315" t="str">
        <f>VLOOKUP(A524,URS確認!E:I,5,FALSE)</f>
        <v>張嘉榮</v>
      </c>
    </row>
    <row r="525" spans="1:13" x14ac:dyDescent="0.3">
      <c r="A525" s="315" t="s">
        <v>994</v>
      </c>
      <c r="B525" s="69" t="str">
        <f>VLOOKUP(A525,URS確認!$E:$F,2,FALSE)</f>
        <v>覆審案件明細檔維護</v>
      </c>
      <c r="C525" s="315">
        <v>2</v>
      </c>
      <c r="D525" s="74" t="s">
        <v>2015</v>
      </c>
      <c r="E525" s="71">
        <v>44496</v>
      </c>
      <c r="F525" s="71">
        <v>44510</v>
      </c>
      <c r="G525" s="71">
        <v>44510</v>
      </c>
      <c r="H525" s="71">
        <v>44510</v>
      </c>
      <c r="I525" s="315" t="str">
        <f>VLOOKUP(A525,URS確認!E:I,5,FALSE)</f>
        <v>張嘉榮</v>
      </c>
    </row>
    <row r="526" spans="1:13" x14ac:dyDescent="0.3">
      <c r="A526" s="315" t="s">
        <v>939</v>
      </c>
      <c r="B526" s="69" t="str">
        <f>VLOOKUP(A526,URS確認!$E:$F,2,FALSE)</f>
        <v>疑似洗錢樣態條件設定</v>
      </c>
      <c r="C526" s="315">
        <v>1</v>
      </c>
      <c r="D526" s="74" t="s">
        <v>2798</v>
      </c>
      <c r="E526" s="71">
        <v>44498</v>
      </c>
      <c r="F526" s="71">
        <v>44515</v>
      </c>
      <c r="G526" s="71">
        <v>44515</v>
      </c>
      <c r="H526" s="71">
        <v>44515</v>
      </c>
      <c r="I526" s="315" t="str">
        <f>VLOOKUP(A526,URS確認!E:I,5,FALSE)</f>
        <v>楊智誠</v>
      </c>
    </row>
    <row r="527" spans="1:13" x14ac:dyDescent="0.4">
      <c r="A527" s="315" t="s">
        <v>945</v>
      </c>
      <c r="B527" s="69" t="str">
        <f>VLOOKUP(A527,URS確認!$E:$F,2,FALSE)</f>
        <v>疑似洗錢樣態資料產生</v>
      </c>
      <c r="C527" s="315">
        <v>1</v>
      </c>
      <c r="D527" s="68" t="s">
        <v>2016</v>
      </c>
      <c r="E527" s="71">
        <v>44498</v>
      </c>
      <c r="F527" s="71">
        <v>44533</v>
      </c>
      <c r="G527" s="71">
        <v>44540</v>
      </c>
      <c r="H527" s="71">
        <v>44540</v>
      </c>
      <c r="I527" s="315" t="str">
        <f>VLOOKUP(A527,URS確認!E:I,5,FALSE)</f>
        <v>楊智誠</v>
      </c>
    </row>
    <row r="528" spans="1:13" x14ac:dyDescent="0.3">
      <c r="A528" s="315" t="s">
        <v>952</v>
      </c>
      <c r="B528" s="69" t="str">
        <f>VLOOKUP(A528,URS確認!$E:$F,2,FALSE)</f>
        <v>疑似洗錢交易合理性維護</v>
      </c>
      <c r="C528" s="315">
        <v>1</v>
      </c>
      <c r="D528" s="74" t="s">
        <v>2017</v>
      </c>
      <c r="E528" s="71">
        <v>44498</v>
      </c>
      <c r="F528" s="71">
        <v>44515</v>
      </c>
      <c r="G528" s="71">
        <v>44515</v>
      </c>
      <c r="H528" s="71">
        <v>44515</v>
      </c>
      <c r="I528" s="315" t="str">
        <f>VLOOKUP(A528,URS確認!E:I,5,FALSE)</f>
        <v>楊智誠</v>
      </c>
    </row>
    <row r="529" spans="1:9" x14ac:dyDescent="0.3">
      <c r="A529" s="315" t="s">
        <v>952</v>
      </c>
      <c r="B529" s="69" t="str">
        <f>VLOOKUP(A529,URS確認!$E:$F,2,FALSE)</f>
        <v>疑似洗錢交易合理性維護</v>
      </c>
      <c r="C529" s="315">
        <v>2</v>
      </c>
      <c r="D529" s="74" t="s">
        <v>2018</v>
      </c>
      <c r="E529" s="71">
        <v>44498</v>
      </c>
      <c r="F529" s="71">
        <v>44515</v>
      </c>
      <c r="G529" s="71">
        <v>44515</v>
      </c>
      <c r="H529" s="71">
        <v>44515</v>
      </c>
      <c r="I529" s="315" t="str">
        <f>VLOOKUP(A529,URS確認!E:I,5,FALSE)</f>
        <v>楊智誠</v>
      </c>
    </row>
    <row r="530" spans="1:9" x14ac:dyDescent="0.3">
      <c r="A530" s="315" t="s">
        <v>952</v>
      </c>
      <c r="B530" s="69" t="str">
        <f>VLOOKUP(A530,URS確認!$E:$F,2,FALSE)</f>
        <v>疑似洗錢交易合理性維護</v>
      </c>
      <c r="C530" s="315">
        <v>3</v>
      </c>
      <c r="D530" s="74" t="s">
        <v>2019</v>
      </c>
      <c r="E530" s="71">
        <v>44498</v>
      </c>
      <c r="F530" s="71">
        <v>44515</v>
      </c>
      <c r="G530" s="71">
        <v>44515</v>
      </c>
      <c r="H530" s="71">
        <v>44515</v>
      </c>
      <c r="I530" s="315" t="str">
        <f>VLOOKUP(A530,URS確認!E:I,5,FALSE)</f>
        <v>楊智誠</v>
      </c>
    </row>
    <row r="531" spans="1:9" x14ac:dyDescent="0.3">
      <c r="A531" s="315" t="s">
        <v>952</v>
      </c>
      <c r="B531" s="69" t="str">
        <f>VLOOKUP(A531,URS確認!$E:$F,2,FALSE)</f>
        <v>疑似洗錢交易合理性維護</v>
      </c>
      <c r="C531" s="315">
        <v>4</v>
      </c>
      <c r="D531" s="74" t="s">
        <v>2020</v>
      </c>
      <c r="E531" s="71">
        <v>44498</v>
      </c>
      <c r="F531" s="71">
        <v>44515</v>
      </c>
      <c r="G531" s="71">
        <v>44515</v>
      </c>
      <c r="H531" s="71">
        <v>44515</v>
      </c>
      <c r="I531" s="315" t="str">
        <f>VLOOKUP(A531,URS確認!E:I,5,FALSE)</f>
        <v>楊智誠</v>
      </c>
    </row>
    <row r="532" spans="1:9" x14ac:dyDescent="0.3">
      <c r="A532" s="315" t="s">
        <v>952</v>
      </c>
      <c r="B532" s="69" t="str">
        <f>VLOOKUP(A532,URS確認!$E:$F,2,FALSE)</f>
        <v>疑似洗錢交易合理性維護</v>
      </c>
      <c r="C532" s="315">
        <v>5</v>
      </c>
      <c r="D532" s="74" t="s">
        <v>2021</v>
      </c>
      <c r="E532" s="71">
        <v>44498</v>
      </c>
      <c r="F532" s="71">
        <v>44515</v>
      </c>
      <c r="G532" s="71">
        <v>44515</v>
      </c>
      <c r="H532" s="71">
        <v>44515</v>
      </c>
      <c r="I532" s="315" t="str">
        <f>VLOOKUP(A532,URS確認!E:I,5,FALSE)</f>
        <v>楊智誠</v>
      </c>
    </row>
    <row r="533" spans="1:9" x14ac:dyDescent="0.3">
      <c r="A533" s="315" t="s">
        <v>952</v>
      </c>
      <c r="B533" s="69" t="str">
        <f>VLOOKUP(A533,URS確認!$E:$F,2,FALSE)</f>
        <v>疑似洗錢交易合理性維護</v>
      </c>
      <c r="C533" s="315">
        <v>6</v>
      </c>
      <c r="D533" s="74" t="s">
        <v>2022</v>
      </c>
      <c r="E533" s="71">
        <v>44498</v>
      </c>
      <c r="F533" s="71">
        <v>44515</v>
      </c>
      <c r="G533" s="71">
        <v>44515</v>
      </c>
      <c r="H533" s="71">
        <v>44515</v>
      </c>
      <c r="I533" s="315" t="str">
        <f>VLOOKUP(A533,URS確認!E:I,5,FALSE)</f>
        <v>楊智誠</v>
      </c>
    </row>
    <row r="534" spans="1:9" x14ac:dyDescent="0.3">
      <c r="A534" s="315" t="s">
        <v>952</v>
      </c>
      <c r="B534" s="69" t="str">
        <f>VLOOKUP(A534,URS確認!$E:$F,2,FALSE)</f>
        <v>疑似洗錢交易合理性維護</v>
      </c>
      <c r="C534" s="315">
        <v>7</v>
      </c>
      <c r="D534" s="74" t="s">
        <v>2023</v>
      </c>
      <c r="E534" s="71">
        <v>44498</v>
      </c>
      <c r="F534" s="71">
        <v>44515</v>
      </c>
      <c r="G534" s="71">
        <v>44515</v>
      </c>
      <c r="H534" s="71">
        <v>44515</v>
      </c>
      <c r="I534" s="315" t="str">
        <f>VLOOKUP(A534,URS確認!E:I,5,FALSE)</f>
        <v>楊智誠</v>
      </c>
    </row>
    <row r="535" spans="1:9" x14ac:dyDescent="0.3">
      <c r="A535" s="315" t="s">
        <v>957</v>
      </c>
      <c r="B535" s="69" t="str">
        <f>VLOOKUP(A535,URS確認!$E:$F,2,FALSE)</f>
        <v>疑似洗錢交易訪談記錄維護</v>
      </c>
      <c r="C535" s="315">
        <v>1</v>
      </c>
      <c r="D535" s="74" t="s">
        <v>2024</v>
      </c>
      <c r="E535" s="71">
        <v>44498</v>
      </c>
      <c r="F535" s="71">
        <v>44515</v>
      </c>
      <c r="G535" s="71">
        <v>44515</v>
      </c>
      <c r="H535" s="71">
        <v>44515</v>
      </c>
      <c r="I535" s="315" t="str">
        <f>VLOOKUP(A535,URS確認!E:I,5,FALSE)</f>
        <v>楊智誠</v>
      </c>
    </row>
    <row r="536" spans="1:9" x14ac:dyDescent="0.3">
      <c r="A536" s="315" t="s">
        <v>957</v>
      </c>
      <c r="B536" s="69" t="str">
        <f>VLOOKUP(A536,URS確認!$E:$F,2,FALSE)</f>
        <v>疑似洗錢交易訪談記錄維護</v>
      </c>
      <c r="C536" s="315">
        <v>2</v>
      </c>
      <c r="D536" s="74" t="s">
        <v>2025</v>
      </c>
      <c r="E536" s="71">
        <v>44498</v>
      </c>
      <c r="F536" s="71">
        <v>44515</v>
      </c>
      <c r="G536" s="71">
        <v>44515</v>
      </c>
      <c r="H536" s="71">
        <v>44515</v>
      </c>
      <c r="I536" s="315" t="str">
        <f>VLOOKUP(A536,URS確認!E:I,5,FALSE)</f>
        <v>楊智誠</v>
      </c>
    </row>
    <row r="537" spans="1:9" x14ac:dyDescent="0.3">
      <c r="A537" s="315" t="s">
        <v>953</v>
      </c>
      <c r="B537" s="69" t="str">
        <f>VLOOKUP(A537,URS確認!$E:$F,2,FALSE)</f>
        <v>疑似洗錢交易訪談記錄查詢</v>
      </c>
      <c r="C537" s="315">
        <v>1</v>
      </c>
      <c r="D537" s="74" t="s">
        <v>2751</v>
      </c>
      <c r="E537" s="71">
        <v>44498</v>
      </c>
      <c r="F537" s="71">
        <v>44515</v>
      </c>
      <c r="G537" s="71">
        <v>44515</v>
      </c>
      <c r="H537" s="71">
        <v>44515</v>
      </c>
      <c r="I537" s="315" t="str">
        <f>VLOOKUP(A537,URS確認!E:I,5,FALSE)</f>
        <v>楊智誠</v>
      </c>
    </row>
    <row r="538" spans="1:9" x14ac:dyDescent="0.3">
      <c r="A538" s="315" t="s">
        <v>943</v>
      </c>
      <c r="B538" s="69" t="str">
        <f>VLOOKUP(A538,URS確認!$E:$F,2,FALSE)</f>
        <v>疑似洗錢資料變更查詢</v>
      </c>
      <c r="C538" s="315">
        <v>1</v>
      </c>
      <c r="D538" s="74" t="s">
        <v>2026</v>
      </c>
      <c r="E538" s="71">
        <v>44498</v>
      </c>
      <c r="F538" s="71">
        <v>44515</v>
      </c>
      <c r="G538" s="71">
        <v>44515</v>
      </c>
      <c r="H538" s="71">
        <v>44515</v>
      </c>
      <c r="I538" s="315" t="str">
        <f>VLOOKUP(A538,URS確認!E:I,5,FALSE)</f>
        <v>楊智誠</v>
      </c>
    </row>
    <row r="539" spans="1:9" x14ac:dyDescent="0.3">
      <c r="A539" s="315" t="s">
        <v>943</v>
      </c>
      <c r="B539" s="69" t="str">
        <f>VLOOKUP(A539,URS確認!$E:$F,2,FALSE)</f>
        <v>疑似洗錢資料變更查詢</v>
      </c>
      <c r="C539" s="315">
        <v>2</v>
      </c>
      <c r="D539" s="74" t="s">
        <v>2027</v>
      </c>
      <c r="E539" s="71">
        <v>44498</v>
      </c>
      <c r="F539" s="71">
        <v>44515</v>
      </c>
      <c r="G539" s="71">
        <v>44515</v>
      </c>
      <c r="H539" s="71">
        <v>44515</v>
      </c>
      <c r="I539" s="315" t="str">
        <f>VLOOKUP(A539,URS確認!E:I,5,FALSE)</f>
        <v>楊智誠</v>
      </c>
    </row>
    <row r="540" spans="1:9" ht="34" customHeight="1" x14ac:dyDescent="0.3">
      <c r="A540" s="315" t="s">
        <v>965</v>
      </c>
      <c r="B540" s="69" t="str">
        <f>VLOOKUP(A540,URS確認!$E:$F,2,FALSE)</f>
        <v>產生國稅局申報檢核檔</v>
      </c>
      <c r="C540" s="315">
        <v>1</v>
      </c>
      <c r="D540" s="74" t="s">
        <v>2028</v>
      </c>
      <c r="E540" s="71">
        <v>44503</v>
      </c>
      <c r="F540" s="71">
        <v>44533</v>
      </c>
      <c r="G540" s="71">
        <v>44533</v>
      </c>
      <c r="H540" s="71">
        <f t="shared" ref="H540:H546" si="9">G540</f>
        <v>44533</v>
      </c>
      <c r="I540" s="315" t="str">
        <f>VLOOKUP(A540,URS確認!E:I,5,FALSE)</f>
        <v>楊智誠</v>
      </c>
    </row>
    <row r="541" spans="1:9" x14ac:dyDescent="0.4">
      <c r="A541" s="315" t="s">
        <v>965</v>
      </c>
      <c r="B541" s="69" t="str">
        <f>VLOOKUP(A541,URS確認!$E:$F,2,FALSE)</f>
        <v>產生國稅局申報檢核檔</v>
      </c>
      <c r="C541" s="315">
        <v>2</v>
      </c>
      <c r="D541" s="68" t="s">
        <v>2029</v>
      </c>
      <c r="E541" s="71">
        <v>44503</v>
      </c>
      <c r="F541" s="71">
        <v>44533</v>
      </c>
      <c r="G541" s="71">
        <v>44533</v>
      </c>
      <c r="H541" s="71">
        <f t="shared" si="9"/>
        <v>44533</v>
      </c>
      <c r="I541" s="315" t="str">
        <f>VLOOKUP(A541,URS確認!E:I,5,FALSE)</f>
        <v>楊智誠</v>
      </c>
    </row>
    <row r="542" spans="1:9" x14ac:dyDescent="0.4">
      <c r="A542" s="315" t="s">
        <v>965</v>
      </c>
      <c r="B542" s="69" t="str">
        <f>VLOOKUP(A542,URS確認!$E:$F,2,FALSE)</f>
        <v>產生國稅局申報檢核檔</v>
      </c>
      <c r="C542" s="315">
        <v>3</v>
      </c>
      <c r="D542" s="68" t="s">
        <v>2030</v>
      </c>
      <c r="E542" s="71">
        <v>44503</v>
      </c>
      <c r="F542" s="71">
        <v>44533</v>
      </c>
      <c r="G542" s="71">
        <v>44533</v>
      </c>
      <c r="H542" s="71">
        <f t="shared" si="9"/>
        <v>44533</v>
      </c>
      <c r="I542" s="315" t="str">
        <f>VLOOKUP(A542,URS確認!E:I,5,FALSE)</f>
        <v>楊智誠</v>
      </c>
    </row>
    <row r="543" spans="1:9" x14ac:dyDescent="0.4">
      <c r="A543" s="315" t="s">
        <v>961</v>
      </c>
      <c r="B543" s="69" t="str">
        <f>VLOOKUP(A543,URS確認!$E:$F,2,FALSE)</f>
        <v>國稅局申報檔查詢</v>
      </c>
      <c r="C543" s="315">
        <v>1</v>
      </c>
      <c r="D543" s="68" t="s">
        <v>2031</v>
      </c>
      <c r="E543" s="71">
        <v>44503</v>
      </c>
      <c r="F543" s="71">
        <v>44533</v>
      </c>
      <c r="G543" s="71">
        <v>44533</v>
      </c>
      <c r="H543" s="71">
        <f t="shared" si="9"/>
        <v>44533</v>
      </c>
      <c r="I543" s="315" t="str">
        <f>VLOOKUP(A543,URS確認!E:I,5,FALSE)</f>
        <v>楊智誠</v>
      </c>
    </row>
    <row r="544" spans="1:9" x14ac:dyDescent="0.4">
      <c r="A544" s="315" t="s">
        <v>963</v>
      </c>
      <c r="B544" s="69" t="str">
        <f>VLOOKUP(A544,URS確認!$E:$F,2,FALSE)</f>
        <v>國稅局申報檔維護</v>
      </c>
      <c r="C544" s="315">
        <v>1</v>
      </c>
      <c r="D544" s="68" t="s">
        <v>2032</v>
      </c>
      <c r="E544" s="71">
        <v>44503</v>
      </c>
      <c r="F544" s="71">
        <v>44533</v>
      </c>
      <c r="G544" s="71">
        <v>44533</v>
      </c>
      <c r="H544" s="71">
        <f t="shared" si="9"/>
        <v>44533</v>
      </c>
      <c r="I544" s="315" t="str">
        <f>VLOOKUP(A544,URS確認!E:I,5,FALSE)</f>
        <v>楊智誠</v>
      </c>
    </row>
    <row r="545" spans="1:9" x14ac:dyDescent="0.4">
      <c r="A545" s="315" t="s">
        <v>967</v>
      </c>
      <c r="B545" s="69" t="str">
        <f>VLOOKUP(A545,URS確認!$E:$F,2,FALSE)</f>
        <v>產生國稅局申報媒體檔</v>
      </c>
      <c r="C545" s="315">
        <v>1</v>
      </c>
      <c r="D545" s="68" t="s">
        <v>2033</v>
      </c>
      <c r="E545" s="71">
        <v>44503</v>
      </c>
      <c r="F545" s="71">
        <v>44533</v>
      </c>
      <c r="G545" s="71">
        <v>44533</v>
      </c>
      <c r="H545" s="71">
        <f t="shared" si="9"/>
        <v>44533</v>
      </c>
      <c r="I545" s="315" t="str">
        <f>VLOOKUP(A545,URS確認!E:I,5,FALSE)</f>
        <v>楊智誠</v>
      </c>
    </row>
    <row r="546" spans="1:9" x14ac:dyDescent="0.4">
      <c r="A546" s="315" t="s">
        <v>967</v>
      </c>
      <c r="B546" s="69" t="str">
        <f>VLOOKUP(A546,URS確認!$E:$F,2,FALSE)</f>
        <v>產生國稅局申報媒體檔</v>
      </c>
      <c r="C546" s="315">
        <v>2</v>
      </c>
      <c r="D546" s="68" t="s">
        <v>2034</v>
      </c>
      <c r="E546" s="71">
        <v>44503</v>
      </c>
      <c r="F546" s="71">
        <v>44533</v>
      </c>
      <c r="G546" s="71">
        <v>44533</v>
      </c>
      <c r="H546" s="71">
        <f t="shared" si="9"/>
        <v>44533</v>
      </c>
      <c r="I546" s="315" t="str">
        <f>VLOOKUP(A546,URS確認!E:I,5,FALSE)</f>
        <v>楊智誠</v>
      </c>
    </row>
    <row r="547" spans="1:9" ht="34" customHeight="1" x14ac:dyDescent="0.3">
      <c r="A547" s="315" t="s">
        <v>933</v>
      </c>
      <c r="B547" s="69" t="str">
        <f>VLOOKUP(A547,URS確認!$E:$F,2,FALSE)</f>
        <v>產製公務人員報送資料</v>
      </c>
      <c r="C547" s="315">
        <v>1</v>
      </c>
      <c r="D547" s="74" t="s">
        <v>2035</v>
      </c>
      <c r="E547" s="71">
        <v>44503</v>
      </c>
      <c r="F547" s="71">
        <v>44531</v>
      </c>
      <c r="G547" s="71">
        <v>44531</v>
      </c>
      <c r="H547" s="71">
        <v>44531</v>
      </c>
      <c r="I547" s="315" t="str">
        <f>VLOOKUP(A547,URS確認!E:I,5,FALSE)</f>
        <v>楊智誠</v>
      </c>
    </row>
    <row r="548" spans="1:9" x14ac:dyDescent="0.3">
      <c r="A548" s="315" t="s">
        <v>933</v>
      </c>
      <c r="B548" s="69" t="str">
        <f>VLOOKUP(A548,URS確認!$E:$F,2,FALSE)</f>
        <v>產製公務人員報送資料</v>
      </c>
      <c r="C548" s="315">
        <v>2</v>
      </c>
      <c r="D548" s="74" t="s">
        <v>2036</v>
      </c>
      <c r="E548" s="71">
        <v>44503</v>
      </c>
      <c r="F548" s="71">
        <v>44531</v>
      </c>
      <c r="G548" s="71">
        <v>44531</v>
      </c>
      <c r="H548" s="71">
        <v>44531</v>
      </c>
      <c r="I548" s="315" t="str">
        <f>VLOOKUP(A548,URS確認!E:I,5,FALSE)</f>
        <v>楊智誠</v>
      </c>
    </row>
    <row r="549" spans="1:9" x14ac:dyDescent="0.3">
      <c r="A549" s="315" t="s">
        <v>973</v>
      </c>
      <c r="B549" s="69" t="str">
        <f>VLOOKUP(A549,URS確認!$E:$F,2,FALSE)</f>
        <v xml:space="preserve">資金運用概況維護                      </v>
      </c>
      <c r="C549" s="315">
        <v>1</v>
      </c>
      <c r="D549" s="74" t="s">
        <v>2037</v>
      </c>
      <c r="E549" s="71">
        <v>44505</v>
      </c>
      <c r="F549" s="71">
        <v>44518</v>
      </c>
      <c r="G549" s="71">
        <v>44518</v>
      </c>
      <c r="H549" s="71">
        <v>44518</v>
      </c>
      <c r="I549" s="315" t="str">
        <f>VLOOKUP(A549,URS確認!E:I,5,FALSE)</f>
        <v>楊智誠</v>
      </c>
    </row>
    <row r="550" spans="1:9" x14ac:dyDescent="0.3">
      <c r="A550" s="315" t="s">
        <v>982</v>
      </c>
      <c r="B550" s="69" t="str">
        <f>VLOOKUP(A550,URS確認!$E:$F,2,FALSE)</f>
        <v xml:space="preserve">檔案借閱明細資料查詢                  </v>
      </c>
      <c r="C550" s="315">
        <v>1</v>
      </c>
      <c r="D550" s="74" t="s">
        <v>2038</v>
      </c>
      <c r="E550" s="71">
        <v>44505</v>
      </c>
      <c r="F550" s="71">
        <v>44518</v>
      </c>
      <c r="G550" s="71">
        <v>44518</v>
      </c>
      <c r="H550" s="71">
        <v>44518</v>
      </c>
      <c r="I550" s="315" t="str">
        <f>VLOOKUP(A550,URS確認!E:I,5,FALSE)</f>
        <v>楊智誠</v>
      </c>
    </row>
    <row r="551" spans="1:9" x14ac:dyDescent="0.3">
      <c r="A551" s="315" t="s">
        <v>982</v>
      </c>
      <c r="B551" s="69" t="str">
        <f>VLOOKUP(A551,URS確認!$E:$F,2,FALSE)</f>
        <v xml:space="preserve">檔案借閱明細資料查詢                  </v>
      </c>
      <c r="C551" s="315">
        <v>2</v>
      </c>
      <c r="D551" s="74" t="s">
        <v>2039</v>
      </c>
      <c r="E551" s="71">
        <v>44505</v>
      </c>
      <c r="F551" s="71">
        <v>44518</v>
      </c>
      <c r="G551" s="71">
        <v>44518</v>
      </c>
      <c r="H551" s="71">
        <v>44518</v>
      </c>
      <c r="I551" s="315" t="str">
        <f>VLOOKUP(A551,URS確認!E:I,5,FALSE)</f>
        <v>楊智誠</v>
      </c>
    </row>
    <row r="552" spans="1:9" x14ac:dyDescent="0.3">
      <c r="A552" s="315" t="s">
        <v>986</v>
      </c>
      <c r="B552" s="69" t="str">
        <f>VLOOKUP(A552,URS確認!$E:$F,2,FALSE)</f>
        <v xml:space="preserve">檔案借閱維護                          </v>
      </c>
      <c r="C552" s="315">
        <v>1</v>
      </c>
      <c r="D552" s="74" t="s">
        <v>2040</v>
      </c>
      <c r="E552" s="71">
        <v>44505</v>
      </c>
      <c r="F552" s="71">
        <v>44518</v>
      </c>
      <c r="G552" s="71">
        <v>44518</v>
      </c>
      <c r="H552" s="71">
        <v>44518</v>
      </c>
      <c r="I552" s="315" t="str">
        <f>VLOOKUP(A552,URS確認!E:I,5,FALSE)</f>
        <v>楊智誠</v>
      </c>
    </row>
    <row r="553" spans="1:9" x14ac:dyDescent="0.3">
      <c r="A553" s="315" t="s">
        <v>986</v>
      </c>
      <c r="B553" s="69" t="str">
        <f>VLOOKUP(A553,URS確認!$E:$F,2,FALSE)</f>
        <v xml:space="preserve">檔案借閱維護                          </v>
      </c>
      <c r="C553" s="315">
        <v>2</v>
      </c>
      <c r="D553" s="74" t="s">
        <v>2041</v>
      </c>
      <c r="E553" s="71">
        <v>44505</v>
      </c>
      <c r="F553" s="71">
        <v>44535</v>
      </c>
      <c r="G553" s="71">
        <v>44540</v>
      </c>
      <c r="H553" s="71">
        <v>44540</v>
      </c>
      <c r="I553" s="315" t="str">
        <f>VLOOKUP(A553,URS確認!E:I,5,FALSE)</f>
        <v>楊智誠</v>
      </c>
    </row>
    <row r="554" spans="1:9" x14ac:dyDescent="0.3">
      <c r="A554" s="315" t="s">
        <v>988</v>
      </c>
      <c r="B554" s="69" t="str">
        <f>VLOOKUP(A554,URS確認!$E:$F,2,FALSE)</f>
        <v xml:space="preserve">檔案借閱報表作業(列印)                </v>
      </c>
      <c r="C554" s="315">
        <v>1</v>
      </c>
      <c r="D554" s="74" t="s">
        <v>2042</v>
      </c>
      <c r="E554" s="71">
        <v>44505</v>
      </c>
      <c r="F554" s="71">
        <v>44518</v>
      </c>
      <c r="G554" s="71">
        <v>44518</v>
      </c>
      <c r="H554" s="71">
        <v>44518</v>
      </c>
      <c r="I554" s="315" t="str">
        <f>VLOOKUP(A554,URS確認!E:I,5,FALSE)</f>
        <v>楊智誠</v>
      </c>
    </row>
    <row r="555" spans="1:9" x14ac:dyDescent="0.3">
      <c r="A555" s="315" t="s">
        <v>988</v>
      </c>
      <c r="B555" s="69" t="str">
        <f>VLOOKUP(A555,URS確認!$E:$F,2,FALSE)</f>
        <v xml:space="preserve">檔案借閱報表作業(列印)                </v>
      </c>
      <c r="C555" s="315">
        <v>2</v>
      </c>
      <c r="D555" s="74" t="s">
        <v>2043</v>
      </c>
      <c r="E555" s="71">
        <v>44505</v>
      </c>
      <c r="F555" s="71">
        <v>44518</v>
      </c>
      <c r="G555" s="71">
        <v>44518</v>
      </c>
      <c r="H555" s="71">
        <v>44518</v>
      </c>
      <c r="I555" s="315" t="str">
        <f>VLOOKUP(A555,URS確認!E:I,5,FALSE)</f>
        <v>楊智誠</v>
      </c>
    </row>
    <row r="556" spans="1:9" x14ac:dyDescent="0.3">
      <c r="A556" s="315" t="s">
        <v>988</v>
      </c>
      <c r="B556" s="69" t="str">
        <f>VLOOKUP(A556,URS確認!$E:$F,2,FALSE)</f>
        <v xml:space="preserve">檔案借閱報表作業(列印)                </v>
      </c>
      <c r="C556" s="315">
        <v>3</v>
      </c>
      <c r="D556" s="74" t="s">
        <v>2044</v>
      </c>
      <c r="E556" s="71">
        <v>44505</v>
      </c>
      <c r="F556" s="71">
        <v>44518</v>
      </c>
      <c r="G556" s="71">
        <v>44518</v>
      </c>
      <c r="H556" s="71">
        <v>44518</v>
      </c>
      <c r="I556" s="315" t="str">
        <f>VLOOKUP(A556,URS確認!E:I,5,FALSE)</f>
        <v>楊智誠</v>
      </c>
    </row>
    <row r="557" spans="1:9" ht="34" customHeight="1" x14ac:dyDescent="0.3">
      <c r="A557" s="315" t="s">
        <v>988</v>
      </c>
      <c r="B557" s="69" t="str">
        <f>VLOOKUP(A557,URS確認!$E:$F,2,FALSE)</f>
        <v xml:space="preserve">檔案借閱報表作業(列印)                </v>
      </c>
      <c r="C557" s="315">
        <v>4</v>
      </c>
      <c r="D557" s="74" t="s">
        <v>2045</v>
      </c>
      <c r="E557" s="71">
        <v>44505</v>
      </c>
      <c r="F557" s="71">
        <v>44518</v>
      </c>
      <c r="G557" s="71">
        <v>44518</v>
      </c>
      <c r="H557" s="71">
        <v>44518</v>
      </c>
      <c r="I557" s="315" t="str">
        <f>VLOOKUP(A557,URS確認!E:I,5,FALSE)</f>
        <v>楊智誠</v>
      </c>
    </row>
    <row r="558" spans="1:9" x14ac:dyDescent="0.3">
      <c r="A558" s="315" t="s">
        <v>988</v>
      </c>
      <c r="B558" s="69" t="str">
        <f>VLOOKUP(A558,URS確認!$E:$F,2,FALSE)</f>
        <v xml:space="preserve">檔案借閱報表作業(列印)                </v>
      </c>
      <c r="C558" s="315">
        <v>5</v>
      </c>
      <c r="D558" s="74" t="s">
        <v>2046</v>
      </c>
      <c r="E558" s="71">
        <v>44505</v>
      </c>
      <c r="F558" s="71">
        <v>44518</v>
      </c>
      <c r="G558" s="71">
        <v>44518</v>
      </c>
      <c r="H558" s="71">
        <v>44518</v>
      </c>
      <c r="I558" s="315" t="str">
        <f>VLOOKUP(A558,URS確認!E:I,5,FALSE)</f>
        <v>楊智誠</v>
      </c>
    </row>
    <row r="559" spans="1:9" x14ac:dyDescent="0.3">
      <c r="A559" s="315" t="s">
        <v>988</v>
      </c>
      <c r="B559" s="69" t="str">
        <f>VLOOKUP(A559,URS確認!$E:$F,2,FALSE)</f>
        <v xml:space="preserve">檔案借閱報表作業(列印)                </v>
      </c>
      <c r="C559" s="315">
        <v>6</v>
      </c>
      <c r="D559" s="74" t="s">
        <v>2047</v>
      </c>
      <c r="E559" s="71">
        <v>44505</v>
      </c>
      <c r="F559" s="71">
        <v>44518</v>
      </c>
      <c r="G559" s="71">
        <v>44518</v>
      </c>
      <c r="H559" s="71">
        <v>44518</v>
      </c>
      <c r="I559" s="315" t="str">
        <f>VLOOKUP(A559,URS確認!E:I,5,FALSE)</f>
        <v>楊智誠</v>
      </c>
    </row>
    <row r="560" spans="1:9" x14ac:dyDescent="0.3">
      <c r="A560" s="315" t="s">
        <v>1397</v>
      </c>
      <c r="B560" s="69" t="s">
        <v>2048</v>
      </c>
      <c r="C560" s="315">
        <v>1</v>
      </c>
      <c r="D560" s="74" t="s">
        <v>2049</v>
      </c>
      <c r="E560" s="71">
        <v>44505</v>
      </c>
      <c r="F560" s="71">
        <v>44533</v>
      </c>
      <c r="G560" s="71">
        <v>44533</v>
      </c>
      <c r="H560" s="71">
        <v>44533</v>
      </c>
      <c r="I560" s="396" t="str">
        <f>VLOOKUP(A560,URS確認!E:I,5,FALSE)</f>
        <v>張金龍</v>
      </c>
    </row>
    <row r="561" spans="1:16" x14ac:dyDescent="0.3">
      <c r="A561" s="315" t="s">
        <v>804</v>
      </c>
      <c r="B561" s="69" t="str">
        <f>VLOOKUP(A561,URS確認!$E:$F,2,FALSE)</f>
        <v>領取清償證明作業</v>
      </c>
      <c r="C561" s="315">
        <v>1</v>
      </c>
      <c r="D561" s="74" t="s">
        <v>2050</v>
      </c>
      <c r="E561" s="71">
        <v>44505</v>
      </c>
      <c r="F561" s="71">
        <v>44533</v>
      </c>
      <c r="G561" s="71">
        <v>44539</v>
      </c>
      <c r="H561" s="71">
        <v>44540</v>
      </c>
      <c r="I561" s="315" t="str">
        <f>VLOOKUP(A561,URS確認!E:I,5,FALSE)</f>
        <v>余家興</v>
      </c>
    </row>
    <row r="562" spans="1:16" x14ac:dyDescent="0.4">
      <c r="A562" s="315" t="s">
        <v>1279</v>
      </c>
      <c r="B562" s="69" t="str">
        <f>VLOOKUP(A562,URS確認!$E:$F,2,FALSE)</f>
        <v>(574)更生款項統一收付結案通知資料</v>
      </c>
      <c r="C562" s="315">
        <v>1</v>
      </c>
      <c r="D562" s="68" t="s">
        <v>2051</v>
      </c>
      <c r="E562" s="71">
        <v>44517</v>
      </c>
      <c r="F562" s="71">
        <v>44540</v>
      </c>
      <c r="G562" s="71">
        <v>44540</v>
      </c>
      <c r="H562" s="71">
        <v>44540</v>
      </c>
      <c r="I562" s="315" t="str">
        <f>VLOOKUP(A562,URS確認!E:I,5,FALSE)</f>
        <v>張嘉榮</v>
      </c>
      <c r="L562" s="315" t="s">
        <v>2734</v>
      </c>
    </row>
    <row r="563" spans="1:16" x14ac:dyDescent="0.3">
      <c r="A563" s="315" t="s">
        <v>2052</v>
      </c>
      <c r="B563" s="69" t="s">
        <v>2053</v>
      </c>
      <c r="C563" s="315">
        <v>1</v>
      </c>
      <c r="D563" s="74" t="s">
        <v>2054</v>
      </c>
      <c r="E563" s="71">
        <v>44517</v>
      </c>
      <c r="F563" s="71">
        <v>44540</v>
      </c>
      <c r="G563" s="71">
        <v>44540</v>
      </c>
      <c r="H563" s="71">
        <v>44540</v>
      </c>
      <c r="I563" s="315" t="s">
        <v>137</v>
      </c>
      <c r="L563" s="315" t="s">
        <v>2734</v>
      </c>
    </row>
    <row r="564" spans="1:16" x14ac:dyDescent="0.3">
      <c r="A564" s="396" t="s">
        <v>2052</v>
      </c>
      <c r="B564" s="69" t="s">
        <v>2053</v>
      </c>
      <c r="C564" s="315">
        <v>2</v>
      </c>
      <c r="D564" s="74" t="s">
        <v>2055</v>
      </c>
      <c r="E564" s="71">
        <v>44517</v>
      </c>
      <c r="F564" s="71">
        <v>44540</v>
      </c>
      <c r="G564" s="71">
        <v>44540</v>
      </c>
      <c r="H564" s="71">
        <v>44540</v>
      </c>
      <c r="I564" s="315" t="s">
        <v>137</v>
      </c>
      <c r="L564" s="315" t="s">
        <v>2734</v>
      </c>
    </row>
    <row r="565" spans="1:16" x14ac:dyDescent="0.3">
      <c r="A565" s="396" t="s">
        <v>2052</v>
      </c>
      <c r="B565" s="69" t="s">
        <v>2053</v>
      </c>
      <c r="C565" s="315">
        <v>3</v>
      </c>
      <c r="D565" s="74" t="s">
        <v>2056</v>
      </c>
      <c r="E565" s="71">
        <v>44517</v>
      </c>
      <c r="F565" s="71">
        <v>44540</v>
      </c>
      <c r="G565" s="71">
        <v>44540</v>
      </c>
      <c r="H565" s="71">
        <v>44540</v>
      </c>
      <c r="I565" s="315" t="s">
        <v>137</v>
      </c>
      <c r="L565" s="315" t="s">
        <v>2734</v>
      </c>
    </row>
    <row r="566" spans="1:16" x14ac:dyDescent="0.3">
      <c r="A566" s="396" t="s">
        <v>2052</v>
      </c>
      <c r="B566" s="69" t="s">
        <v>2053</v>
      </c>
      <c r="C566" s="315">
        <v>4</v>
      </c>
      <c r="D566" s="74" t="s">
        <v>2057</v>
      </c>
      <c r="E566" s="71">
        <v>44517</v>
      </c>
      <c r="F566" s="71">
        <v>44540</v>
      </c>
      <c r="G566" s="71">
        <v>44540</v>
      </c>
      <c r="H566" s="71">
        <v>44540</v>
      </c>
      <c r="I566" s="315" t="s">
        <v>137</v>
      </c>
      <c r="L566" s="315" t="s">
        <v>2734</v>
      </c>
    </row>
    <row r="567" spans="1:16" ht="102" x14ac:dyDescent="0.3">
      <c r="A567" s="315" t="s">
        <v>2753</v>
      </c>
      <c r="B567" s="69" t="s">
        <v>2754</v>
      </c>
      <c r="D567" s="74" t="s">
        <v>2893</v>
      </c>
      <c r="E567" s="71">
        <v>44530</v>
      </c>
      <c r="F567" s="71">
        <v>44540</v>
      </c>
      <c r="G567" s="71">
        <v>44536</v>
      </c>
      <c r="H567" s="71">
        <v>44536</v>
      </c>
      <c r="I567" s="315" t="s">
        <v>2766</v>
      </c>
      <c r="L567" s="315" t="s">
        <v>2734</v>
      </c>
    </row>
    <row r="568" spans="1:16" ht="51" x14ac:dyDescent="0.3">
      <c r="A568" s="466" t="s">
        <v>2890</v>
      </c>
      <c r="B568" s="69" t="s">
        <v>2891</v>
      </c>
      <c r="C568" s="466"/>
      <c r="D568" s="74" t="s">
        <v>2892</v>
      </c>
      <c r="E568" s="71">
        <v>44530</v>
      </c>
      <c r="F568" s="71">
        <v>44540</v>
      </c>
      <c r="G568" s="71">
        <v>44536</v>
      </c>
      <c r="H568" s="71">
        <v>44536</v>
      </c>
      <c r="I568" s="466" t="s">
        <v>2766</v>
      </c>
      <c r="J568" s="466"/>
      <c r="K568" s="466"/>
      <c r="L568" s="466" t="s">
        <v>2734</v>
      </c>
      <c r="M568" s="466"/>
      <c r="N568" s="466"/>
      <c r="O568" s="466"/>
      <c r="P568" s="466"/>
    </row>
    <row r="569" spans="1:16" ht="85" x14ac:dyDescent="0.3">
      <c r="A569" s="315" t="s">
        <v>2756</v>
      </c>
      <c r="B569" s="69" t="s">
        <v>2757</v>
      </c>
      <c r="D569" s="74" t="s">
        <v>2764</v>
      </c>
      <c r="E569" s="71">
        <v>44530</v>
      </c>
      <c r="F569" s="71">
        <v>44540</v>
      </c>
      <c r="G569" s="71">
        <v>44536</v>
      </c>
      <c r="H569" s="71">
        <v>44536</v>
      </c>
      <c r="I569" s="407" t="s">
        <v>2766</v>
      </c>
      <c r="M569" s="315" t="s">
        <v>2769</v>
      </c>
    </row>
    <row r="570" spans="1:16" x14ac:dyDescent="0.3">
      <c r="A570" s="315" t="s">
        <v>2758</v>
      </c>
      <c r="B570" s="69" t="s">
        <v>2759</v>
      </c>
      <c r="D570" s="74" t="s">
        <v>2760</v>
      </c>
      <c r="E570" s="71">
        <v>44530</v>
      </c>
      <c r="F570" s="71">
        <v>44533</v>
      </c>
      <c r="G570" s="71">
        <v>44533</v>
      </c>
      <c r="H570" s="365">
        <v>44533</v>
      </c>
      <c r="I570" s="407" t="s">
        <v>2766</v>
      </c>
      <c r="L570" s="315" t="s">
        <v>2734</v>
      </c>
    </row>
    <row r="571" spans="1:16" x14ac:dyDescent="0.3">
      <c r="A571" s="315" t="s">
        <v>2761</v>
      </c>
      <c r="B571" s="69" t="s">
        <v>2743</v>
      </c>
      <c r="D571" s="74" t="s">
        <v>2762</v>
      </c>
      <c r="E571" s="71">
        <v>44530</v>
      </c>
      <c r="F571" s="71">
        <v>44531</v>
      </c>
      <c r="G571" s="71">
        <v>44531</v>
      </c>
      <c r="H571" s="365">
        <v>44533</v>
      </c>
      <c r="I571" s="407" t="s">
        <v>2766</v>
      </c>
      <c r="L571" s="315" t="s">
        <v>2734</v>
      </c>
    </row>
    <row r="572" spans="1:16" x14ac:dyDescent="0.3">
      <c r="A572" s="315" t="s">
        <v>2765</v>
      </c>
      <c r="B572" s="69" t="s">
        <v>2770</v>
      </c>
      <c r="D572" s="74" t="s">
        <v>2763</v>
      </c>
      <c r="E572" s="71">
        <v>44530</v>
      </c>
      <c r="F572" s="71">
        <v>44530</v>
      </c>
      <c r="G572" s="71">
        <v>44530</v>
      </c>
      <c r="H572" s="365">
        <v>44533</v>
      </c>
      <c r="I572" s="407" t="s">
        <v>2766</v>
      </c>
      <c r="L572" s="315" t="s">
        <v>2734</v>
      </c>
    </row>
    <row r="573" spans="1:16" x14ac:dyDescent="0.3">
      <c r="A573" s="491" t="s">
        <v>2927</v>
      </c>
      <c r="B573" s="69" t="s">
        <v>2928</v>
      </c>
      <c r="C573" s="491"/>
      <c r="D573" s="74" t="s">
        <v>2929</v>
      </c>
      <c r="E573" s="71">
        <v>44530</v>
      </c>
      <c r="F573" s="71">
        <v>44561</v>
      </c>
      <c r="G573" s="71">
        <v>44544</v>
      </c>
      <c r="H573" s="71">
        <v>44544</v>
      </c>
      <c r="I573" s="491" t="s">
        <v>2766</v>
      </c>
      <c r="J573" s="491"/>
      <c r="K573" s="491"/>
      <c r="L573" s="491"/>
      <c r="M573" s="491" t="s">
        <v>2769</v>
      </c>
      <c r="N573" s="491"/>
      <c r="O573" s="491"/>
      <c r="P573" s="491"/>
    </row>
    <row r="574" spans="1:16" x14ac:dyDescent="0.3">
      <c r="A574" s="315" t="s">
        <v>2755</v>
      </c>
      <c r="B574" s="69" t="s">
        <v>2767</v>
      </c>
      <c r="D574" s="74" t="s">
        <v>2768</v>
      </c>
      <c r="E574" s="71">
        <v>44496</v>
      </c>
      <c r="F574" s="71">
        <v>44540</v>
      </c>
      <c r="G574" s="71">
        <v>44538</v>
      </c>
      <c r="H574" s="365">
        <v>44539</v>
      </c>
      <c r="I574" s="407" t="s">
        <v>2766</v>
      </c>
      <c r="L574" s="315" t="s">
        <v>2734</v>
      </c>
    </row>
    <row r="575" spans="1:16" x14ac:dyDescent="0.3">
      <c r="A575" s="408" t="s">
        <v>2771</v>
      </c>
      <c r="B575" s="74" t="s">
        <v>2772</v>
      </c>
      <c r="C575" s="408">
        <v>2</v>
      </c>
      <c r="D575" s="74" t="s">
        <v>2773</v>
      </c>
      <c r="E575" s="71">
        <v>44484</v>
      </c>
      <c r="F575" s="71">
        <v>44554</v>
      </c>
      <c r="H575" s="408"/>
      <c r="I575" s="408" t="s">
        <v>2774</v>
      </c>
      <c r="J575" s="408"/>
      <c r="K575" s="408"/>
      <c r="L575" s="408"/>
      <c r="M575" s="408"/>
      <c r="N575" s="408"/>
      <c r="O575" s="408"/>
      <c r="P575" s="408"/>
    </row>
    <row r="576" spans="1:16" x14ac:dyDescent="0.3">
      <c r="A576" s="408" t="s">
        <v>2775</v>
      </c>
      <c r="B576" s="69" t="s">
        <v>2776</v>
      </c>
      <c r="C576" s="408">
        <v>1</v>
      </c>
      <c r="D576" s="74" t="s">
        <v>2777</v>
      </c>
      <c r="E576" s="71">
        <v>44455</v>
      </c>
      <c r="F576" s="71">
        <v>44554</v>
      </c>
      <c r="G576" s="71">
        <v>44552</v>
      </c>
      <c r="H576" s="71">
        <v>44552</v>
      </c>
      <c r="I576" s="408" t="s">
        <v>2774</v>
      </c>
      <c r="J576" s="408"/>
      <c r="K576" s="408"/>
      <c r="L576" s="408"/>
      <c r="M576" s="408"/>
      <c r="N576" s="408"/>
      <c r="O576" s="408"/>
      <c r="P576" s="408"/>
    </row>
    <row r="577" spans="1:16" ht="34" x14ac:dyDescent="0.3">
      <c r="A577" s="466" t="s">
        <v>2894</v>
      </c>
      <c r="B577" s="69" t="s">
        <v>2895</v>
      </c>
      <c r="C577" s="466"/>
      <c r="D577" s="74" t="s">
        <v>2898</v>
      </c>
      <c r="E577" s="71">
        <v>44525</v>
      </c>
      <c r="F577" s="71">
        <v>44529</v>
      </c>
      <c r="G577" s="71">
        <v>44529</v>
      </c>
      <c r="H577" s="71">
        <v>44529</v>
      </c>
      <c r="I577" s="466" t="s">
        <v>2766</v>
      </c>
      <c r="J577" s="466"/>
      <c r="K577" s="466"/>
      <c r="L577" s="466" t="s">
        <v>2734</v>
      </c>
      <c r="M577" s="466"/>
      <c r="N577" s="466"/>
      <c r="O577" s="466"/>
      <c r="P577" s="466"/>
    </row>
    <row r="578" spans="1:16" ht="51" x14ac:dyDescent="0.3">
      <c r="A578" s="466" t="s">
        <v>2896</v>
      </c>
      <c r="B578" s="69" t="s">
        <v>2897</v>
      </c>
      <c r="C578" s="466"/>
      <c r="D578" s="74" t="s">
        <v>2899</v>
      </c>
      <c r="E578" s="71">
        <v>44525</v>
      </c>
      <c r="F578" s="71">
        <v>44529</v>
      </c>
      <c r="G578" s="71">
        <v>44529</v>
      </c>
      <c r="H578" s="71">
        <v>44529</v>
      </c>
      <c r="I578" s="466" t="s">
        <v>2766</v>
      </c>
      <c r="J578" s="466"/>
      <c r="K578" s="466"/>
      <c r="L578" s="466" t="s">
        <v>2734</v>
      </c>
      <c r="M578" s="466"/>
      <c r="N578" s="466"/>
      <c r="O578" s="466"/>
      <c r="P578" s="466"/>
    </row>
    <row r="579" spans="1:16" s="626" customFormat="1" x14ac:dyDescent="0.4">
      <c r="A579" s="625" t="s">
        <v>809</v>
      </c>
      <c r="B579" s="68" t="s">
        <v>812</v>
      </c>
      <c r="C579" s="625"/>
      <c r="D579" s="627" t="s">
        <v>3083</v>
      </c>
      <c r="E579" s="630">
        <v>44498</v>
      </c>
      <c r="F579" s="628"/>
      <c r="G579" s="628">
        <v>44543</v>
      </c>
      <c r="H579" s="71">
        <f t="shared" ref="H579:H584" si="10">G579</f>
        <v>44543</v>
      </c>
      <c r="I579" s="625" t="str">
        <f>VLOOKUP(A579,URS確認!E:I,5,FALSE)</f>
        <v>余家興</v>
      </c>
      <c r="J579" s="625"/>
      <c r="K579" s="625"/>
      <c r="L579" s="625"/>
      <c r="M579" s="625"/>
      <c r="N579" s="625"/>
      <c r="O579" s="625"/>
      <c r="P579" s="625"/>
    </row>
    <row r="580" spans="1:16" x14ac:dyDescent="0.4">
      <c r="A580" s="315" t="s">
        <v>804</v>
      </c>
      <c r="B580" s="69" t="s">
        <v>3082</v>
      </c>
      <c r="D580" s="74" t="s">
        <v>3084</v>
      </c>
      <c r="E580" s="630">
        <v>44498</v>
      </c>
      <c r="G580" s="628">
        <v>44543</v>
      </c>
      <c r="H580" s="71">
        <f t="shared" si="10"/>
        <v>44543</v>
      </c>
      <c r="I580" s="625" t="str">
        <f>VLOOKUP(A580,URS確認!E:I,5,FALSE)</f>
        <v>余家興</v>
      </c>
    </row>
    <row r="581" spans="1:16" x14ac:dyDescent="0.4">
      <c r="A581" s="315" t="s">
        <v>282</v>
      </c>
      <c r="B581" s="69" t="s">
        <v>3087</v>
      </c>
      <c r="C581" s="315">
        <v>1</v>
      </c>
      <c r="D581" s="68" t="s">
        <v>3088</v>
      </c>
      <c r="E581" s="630">
        <v>44498</v>
      </c>
      <c r="G581" s="628">
        <v>44543</v>
      </c>
      <c r="H581" s="71">
        <f t="shared" si="10"/>
        <v>44543</v>
      </c>
      <c r="I581" s="625" t="str">
        <f>VLOOKUP(A581,URS確認!E:I,5,FALSE)</f>
        <v>余家興</v>
      </c>
    </row>
    <row r="582" spans="1:16" x14ac:dyDescent="0.4">
      <c r="A582" s="663" t="s">
        <v>282</v>
      </c>
      <c r="B582" s="69" t="s">
        <v>3087</v>
      </c>
      <c r="C582" s="315">
        <v>2</v>
      </c>
      <c r="D582" s="68" t="s">
        <v>3089</v>
      </c>
      <c r="E582" s="630">
        <v>44498</v>
      </c>
      <c r="G582" s="628">
        <v>44543</v>
      </c>
      <c r="H582" s="71">
        <f t="shared" si="10"/>
        <v>44543</v>
      </c>
      <c r="I582" s="625" t="str">
        <f>VLOOKUP(A582,URS確認!E:I,5,FALSE)</f>
        <v>余家興</v>
      </c>
    </row>
    <row r="583" spans="1:16" x14ac:dyDescent="0.4">
      <c r="A583" s="68" t="s">
        <v>821</v>
      </c>
      <c r="B583" s="68" t="s">
        <v>3090</v>
      </c>
      <c r="D583" s="68" t="s">
        <v>3091</v>
      </c>
      <c r="E583" s="630">
        <v>44498</v>
      </c>
      <c r="G583" s="628">
        <v>44543</v>
      </c>
      <c r="H583" s="71">
        <f t="shared" si="10"/>
        <v>44543</v>
      </c>
      <c r="I583" s="625" t="str">
        <f>VLOOKUP(A583,URS確認!E:I,5,FALSE)</f>
        <v>余家興</v>
      </c>
    </row>
    <row r="584" spans="1:16" x14ac:dyDescent="0.4">
      <c r="A584" s="315" t="s">
        <v>816</v>
      </c>
      <c r="B584" s="68" t="s">
        <v>3093</v>
      </c>
      <c r="D584" s="74" t="s">
        <v>3092</v>
      </c>
      <c r="E584" s="630">
        <v>44498</v>
      </c>
      <c r="G584" s="628">
        <v>44543</v>
      </c>
      <c r="H584" s="71">
        <f t="shared" si="10"/>
        <v>44543</v>
      </c>
      <c r="I584" s="625" t="str">
        <f>VLOOKUP(A584,URS確認!E:I,5,FALSE)</f>
        <v>余家興</v>
      </c>
    </row>
    <row r="585" spans="1:16" x14ac:dyDescent="0.4">
      <c r="A585" s="68" t="s">
        <v>1360</v>
      </c>
      <c r="B585" s="69" t="s">
        <v>3094</v>
      </c>
      <c r="C585" s="315">
        <v>1</v>
      </c>
      <c r="D585" s="68" t="s">
        <v>3095</v>
      </c>
      <c r="E585" s="630">
        <v>44525</v>
      </c>
      <c r="F585" s="71">
        <v>44540</v>
      </c>
      <c r="G585" s="71">
        <v>44540</v>
      </c>
      <c r="H585" s="71">
        <v>44540</v>
      </c>
      <c r="I585" s="625" t="str">
        <f>VLOOKUP(A585,URS確認!E:I,5,FALSE)</f>
        <v>張嘉榮</v>
      </c>
    </row>
    <row r="586" spans="1:16" x14ac:dyDescent="0.4">
      <c r="A586" s="68" t="s">
        <v>1360</v>
      </c>
      <c r="B586" s="69" t="s">
        <v>3094</v>
      </c>
      <c r="C586" s="315">
        <v>2</v>
      </c>
      <c r="D586" s="74" t="s">
        <v>3096</v>
      </c>
      <c r="E586" s="630">
        <v>44525</v>
      </c>
      <c r="F586" s="71">
        <v>44540</v>
      </c>
      <c r="G586" s="71">
        <v>44540</v>
      </c>
      <c r="H586" s="71">
        <v>44540</v>
      </c>
      <c r="I586" s="625" t="str">
        <f>VLOOKUP(A586,URS確認!E:I,5,FALSE)</f>
        <v>張嘉榮</v>
      </c>
    </row>
    <row r="587" spans="1:16" x14ac:dyDescent="0.4">
      <c r="A587" s="68" t="s">
        <v>1360</v>
      </c>
      <c r="B587" s="69" t="s">
        <v>3094</v>
      </c>
      <c r="C587" s="315">
        <v>3</v>
      </c>
      <c r="D587" s="68" t="s">
        <v>3097</v>
      </c>
      <c r="E587" s="630">
        <v>44525</v>
      </c>
      <c r="F587" s="71">
        <v>44540</v>
      </c>
      <c r="G587" s="71">
        <v>44540</v>
      </c>
      <c r="H587" s="71">
        <v>44540</v>
      </c>
      <c r="I587" s="625" t="str">
        <f>VLOOKUP(A587,URS確認!E:I,5,FALSE)</f>
        <v>張嘉榮</v>
      </c>
    </row>
    <row r="588" spans="1:16" x14ac:dyDescent="0.4">
      <c r="A588" s="68" t="s">
        <v>1362</v>
      </c>
      <c r="B588" s="68" t="s">
        <v>1363</v>
      </c>
      <c r="C588" s="315">
        <v>1</v>
      </c>
      <c r="D588" s="68" t="s">
        <v>3098</v>
      </c>
      <c r="E588" s="630">
        <v>44525</v>
      </c>
      <c r="F588" s="71">
        <v>44540</v>
      </c>
      <c r="G588" s="71">
        <v>44540</v>
      </c>
      <c r="H588" s="71">
        <v>44540</v>
      </c>
      <c r="I588" s="625" t="str">
        <f>VLOOKUP(A588,URS確認!E:I,5,FALSE)</f>
        <v>張嘉榮</v>
      </c>
    </row>
    <row r="589" spans="1:16" x14ac:dyDescent="0.4">
      <c r="A589" s="68" t="s">
        <v>1362</v>
      </c>
      <c r="B589" s="68" t="s">
        <v>1363</v>
      </c>
      <c r="C589" s="315">
        <v>2</v>
      </c>
      <c r="D589" s="68" t="s">
        <v>3099</v>
      </c>
      <c r="E589" s="630">
        <v>44525</v>
      </c>
      <c r="F589" s="71">
        <v>44540</v>
      </c>
      <c r="G589" s="71">
        <v>44540</v>
      </c>
      <c r="H589" s="71">
        <v>44540</v>
      </c>
      <c r="I589" s="625" t="str">
        <f>VLOOKUP(A589,URS確認!E:I,5,FALSE)</f>
        <v>張嘉榮</v>
      </c>
    </row>
    <row r="590" spans="1:16" ht="34" x14ac:dyDescent="0.4">
      <c r="A590" s="68" t="s">
        <v>1357</v>
      </c>
      <c r="B590" s="69" t="s">
        <v>3100</v>
      </c>
      <c r="C590" s="315">
        <v>1</v>
      </c>
      <c r="D590" s="74" t="s">
        <v>3102</v>
      </c>
      <c r="E590" s="630">
        <v>44525</v>
      </c>
      <c r="F590" s="71">
        <v>44540</v>
      </c>
      <c r="G590" s="71">
        <v>44540</v>
      </c>
      <c r="H590" s="71">
        <v>44540</v>
      </c>
      <c r="I590" s="625" t="str">
        <f>VLOOKUP(A590,URS確認!E:I,5,FALSE)</f>
        <v>張嘉榮</v>
      </c>
    </row>
    <row r="591" spans="1:16" x14ac:dyDescent="0.4">
      <c r="A591" s="68" t="s">
        <v>1357</v>
      </c>
      <c r="B591" s="69" t="s">
        <v>3100</v>
      </c>
      <c r="C591" s="315">
        <v>2</v>
      </c>
      <c r="D591" s="74" t="s">
        <v>3101</v>
      </c>
      <c r="E591" s="630">
        <v>44525</v>
      </c>
      <c r="F591" s="71">
        <v>44540</v>
      </c>
      <c r="G591" s="71">
        <v>44540</v>
      </c>
      <c r="H591" s="71">
        <v>44540</v>
      </c>
      <c r="I591" s="625" t="str">
        <f>VLOOKUP(A591,URS確認!E:I,5,FALSE)</f>
        <v>張嘉榮</v>
      </c>
    </row>
    <row r="592" spans="1:16" x14ac:dyDescent="0.4">
      <c r="A592" s="68" t="s">
        <v>1364</v>
      </c>
      <c r="B592" s="69" t="s">
        <v>3125</v>
      </c>
      <c r="C592" s="624">
        <v>1</v>
      </c>
      <c r="D592" s="74" t="s">
        <v>3126</v>
      </c>
      <c r="E592" s="630">
        <v>44525</v>
      </c>
      <c r="F592" s="71">
        <v>44529</v>
      </c>
      <c r="G592" s="71">
        <v>44544</v>
      </c>
      <c r="H592" s="71">
        <v>44544</v>
      </c>
      <c r="I592" s="625" t="str">
        <f>VLOOKUP(A592,URS確認!E:I,5,FALSE)</f>
        <v>蘇曉玲</v>
      </c>
      <c r="J592" s="624"/>
      <c r="K592" s="624"/>
      <c r="L592" s="624"/>
      <c r="M592" s="624"/>
      <c r="N592" s="624"/>
      <c r="O592" s="624"/>
      <c r="P592" s="624"/>
    </row>
    <row r="593" spans="1:16" x14ac:dyDescent="0.4">
      <c r="A593" s="68" t="s">
        <v>959</v>
      </c>
      <c r="B593" s="68" t="s">
        <v>960</v>
      </c>
      <c r="C593" s="315">
        <v>1</v>
      </c>
      <c r="D593" s="629" t="s">
        <v>3103</v>
      </c>
      <c r="E593" s="630">
        <v>44524</v>
      </c>
      <c r="F593" s="630">
        <v>44524</v>
      </c>
      <c r="G593" s="630">
        <v>44524</v>
      </c>
      <c r="H593" s="630">
        <v>44524</v>
      </c>
      <c r="I593" s="625" t="str">
        <f>VLOOKUP(A593,URS確認!E:I,5,FALSE)</f>
        <v>陳昱衡</v>
      </c>
      <c r="J593" s="624"/>
      <c r="K593" s="624"/>
      <c r="L593" s="624"/>
      <c r="M593" s="624"/>
      <c r="N593" s="624"/>
      <c r="O593" s="624"/>
      <c r="P593" s="624"/>
    </row>
    <row r="594" spans="1:16" x14ac:dyDescent="0.4">
      <c r="A594" s="68" t="s">
        <v>959</v>
      </c>
      <c r="B594" s="68" t="s">
        <v>960</v>
      </c>
      <c r="C594" s="315">
        <v>2</v>
      </c>
      <c r="D594" s="629" t="s">
        <v>3104</v>
      </c>
      <c r="E594" s="630">
        <v>44524</v>
      </c>
      <c r="F594" s="630">
        <v>44524</v>
      </c>
      <c r="G594" s="630">
        <v>44524</v>
      </c>
      <c r="H594" s="630">
        <v>44524</v>
      </c>
      <c r="I594" s="625" t="str">
        <f>VLOOKUP(A594,URS確認!E:I,5,FALSE)</f>
        <v>陳昱衡</v>
      </c>
      <c r="J594" s="624"/>
      <c r="K594" s="624"/>
      <c r="L594" s="624"/>
      <c r="M594" s="624"/>
      <c r="N594" s="624"/>
      <c r="O594" s="624"/>
      <c r="P594" s="624"/>
    </row>
    <row r="595" spans="1:16" x14ac:dyDescent="0.4">
      <c r="A595" s="68" t="s">
        <v>713</v>
      </c>
      <c r="B595" s="69" t="s">
        <v>3105</v>
      </c>
      <c r="C595" s="315">
        <v>1</v>
      </c>
      <c r="D595" s="74" t="s">
        <v>3106</v>
      </c>
      <c r="E595" s="630">
        <v>44524</v>
      </c>
      <c r="G595" s="628">
        <v>44543</v>
      </c>
      <c r="H595" s="71">
        <f>G595</f>
        <v>44543</v>
      </c>
      <c r="I595" s="625" t="str">
        <f>VLOOKUP(A595,URS確認!E:I,5,FALSE)</f>
        <v>余家興</v>
      </c>
      <c r="J595" s="624"/>
      <c r="K595" s="624"/>
      <c r="L595" s="624"/>
      <c r="M595" s="624"/>
      <c r="N595" s="624"/>
      <c r="O595" s="624"/>
      <c r="P595" s="624"/>
    </row>
    <row r="596" spans="1:16" x14ac:dyDescent="0.4">
      <c r="A596" s="68" t="s">
        <v>1445</v>
      </c>
      <c r="B596" s="68" t="s">
        <v>2478</v>
      </c>
      <c r="C596" s="315">
        <v>1</v>
      </c>
      <c r="D596" s="68" t="s">
        <v>3109</v>
      </c>
      <c r="E596" s="630">
        <v>44518</v>
      </c>
      <c r="F596" s="71">
        <v>44547</v>
      </c>
      <c r="G596" s="71">
        <v>44547</v>
      </c>
      <c r="H596" s="71">
        <v>44547</v>
      </c>
      <c r="I596" s="625" t="s">
        <v>3254</v>
      </c>
    </row>
    <row r="597" spans="1:16" x14ac:dyDescent="0.4">
      <c r="A597" s="68" t="s">
        <v>1066</v>
      </c>
      <c r="B597" s="68" t="s">
        <v>1067</v>
      </c>
      <c r="C597" s="315">
        <v>1</v>
      </c>
      <c r="D597" s="74" t="s">
        <v>3112</v>
      </c>
      <c r="E597" s="630">
        <v>44518</v>
      </c>
      <c r="F597" s="71">
        <v>44547</v>
      </c>
      <c r="G597" s="71">
        <v>44547</v>
      </c>
      <c r="H597" s="71">
        <v>44547</v>
      </c>
      <c r="I597" s="625" t="str">
        <f>VLOOKUP(A597,URS確認!E:I,5,FALSE)</f>
        <v>張金龍</v>
      </c>
    </row>
    <row r="598" spans="1:16" x14ac:dyDescent="0.4">
      <c r="A598" s="68" t="s">
        <v>1068</v>
      </c>
      <c r="B598" s="69" t="s">
        <v>3110</v>
      </c>
      <c r="C598" s="315">
        <v>1</v>
      </c>
      <c r="D598" s="68" t="s">
        <v>3111</v>
      </c>
      <c r="E598" s="630">
        <v>44518</v>
      </c>
      <c r="F598" s="71">
        <v>44547</v>
      </c>
      <c r="G598" s="71">
        <v>44547</v>
      </c>
      <c r="H598" s="71">
        <v>44547</v>
      </c>
      <c r="I598" s="625" t="str">
        <f>VLOOKUP(A598,URS確認!E:I,5,FALSE)</f>
        <v>張金龍</v>
      </c>
    </row>
    <row r="599" spans="1:16" x14ac:dyDescent="0.4">
      <c r="A599" s="68" t="s">
        <v>1068</v>
      </c>
      <c r="B599" s="69" t="s">
        <v>3110</v>
      </c>
      <c r="C599" s="315">
        <v>2</v>
      </c>
      <c r="D599" s="68" t="s">
        <v>3113</v>
      </c>
      <c r="E599" s="630">
        <v>44518</v>
      </c>
      <c r="F599" s="71">
        <v>44547</v>
      </c>
      <c r="G599" s="71">
        <v>44547</v>
      </c>
      <c r="H599" s="71">
        <v>44547</v>
      </c>
      <c r="I599" s="625" t="str">
        <f>VLOOKUP(A599,URS確認!E:I,5,FALSE)</f>
        <v>張金龍</v>
      </c>
    </row>
    <row r="600" spans="1:16" x14ac:dyDescent="0.4">
      <c r="A600" s="68" t="s">
        <v>1542</v>
      </c>
      <c r="B600" s="68" t="s">
        <v>1543</v>
      </c>
      <c r="C600" s="315">
        <v>1</v>
      </c>
      <c r="D600" s="68" t="s">
        <v>3114</v>
      </c>
      <c r="E600" s="630">
        <v>44518</v>
      </c>
      <c r="F600" s="71">
        <v>44547</v>
      </c>
      <c r="G600" s="71">
        <v>44547</v>
      </c>
      <c r="H600" s="71">
        <v>44547</v>
      </c>
      <c r="I600" s="666" t="s">
        <v>3255</v>
      </c>
    </row>
    <row r="601" spans="1:16" ht="34" x14ac:dyDescent="0.4">
      <c r="A601" s="68" t="s">
        <v>1542</v>
      </c>
      <c r="B601" s="68" t="s">
        <v>1543</v>
      </c>
      <c r="C601" s="315">
        <v>2</v>
      </c>
      <c r="D601" s="74" t="s">
        <v>3116</v>
      </c>
      <c r="E601" s="630">
        <v>44518</v>
      </c>
      <c r="F601" s="71">
        <v>44547</v>
      </c>
      <c r="G601" s="71">
        <v>44547</v>
      </c>
      <c r="H601" s="71">
        <v>44547</v>
      </c>
      <c r="I601" s="667" t="s">
        <v>3255</v>
      </c>
    </row>
    <row r="602" spans="1:16" x14ac:dyDescent="0.4">
      <c r="A602" s="68" t="s">
        <v>1542</v>
      </c>
      <c r="B602" s="68" t="s">
        <v>1543</v>
      </c>
      <c r="C602" s="315">
        <v>3</v>
      </c>
      <c r="D602" s="68" t="s">
        <v>3115</v>
      </c>
      <c r="E602" s="630">
        <v>44518</v>
      </c>
      <c r="F602" s="71">
        <v>44547</v>
      </c>
      <c r="G602" s="71">
        <v>44547</v>
      </c>
      <c r="H602" s="71">
        <v>44547</v>
      </c>
      <c r="I602" s="668" t="s">
        <v>3255</v>
      </c>
    </row>
    <row r="603" spans="1:16" x14ac:dyDescent="0.4">
      <c r="A603" s="68" t="s">
        <v>1448</v>
      </c>
      <c r="B603" s="68" t="s">
        <v>2480</v>
      </c>
      <c r="C603" s="315">
        <v>1</v>
      </c>
      <c r="D603" s="74" t="s">
        <v>3117</v>
      </c>
      <c r="E603" s="630">
        <v>44518</v>
      </c>
      <c r="F603" s="71">
        <v>44547</v>
      </c>
      <c r="G603" s="71">
        <v>44547</v>
      </c>
      <c r="H603" s="71">
        <v>44547</v>
      </c>
      <c r="I603" s="625" t="s">
        <v>3254</v>
      </c>
    </row>
    <row r="604" spans="1:16" x14ac:dyDescent="0.4">
      <c r="A604" s="68" t="s">
        <v>1073</v>
      </c>
      <c r="B604" s="69" t="s">
        <v>3119</v>
      </c>
      <c r="C604" s="315">
        <v>1</v>
      </c>
      <c r="D604" s="68" t="s">
        <v>3118</v>
      </c>
      <c r="E604" s="630">
        <v>44518</v>
      </c>
      <c r="F604" s="71">
        <v>44547</v>
      </c>
      <c r="G604" s="71">
        <v>44547</v>
      </c>
      <c r="H604" s="71">
        <v>44547</v>
      </c>
      <c r="I604" s="625" t="str">
        <f>VLOOKUP(A604,URS確認!E:I,5,FALSE)</f>
        <v>張金龍</v>
      </c>
    </row>
    <row r="605" spans="1:16" x14ac:dyDescent="0.4">
      <c r="A605" s="68" t="s">
        <v>1075</v>
      </c>
      <c r="B605" s="68" t="s">
        <v>3120</v>
      </c>
      <c r="C605" s="315">
        <v>1</v>
      </c>
      <c r="D605" s="68" t="s">
        <v>3121</v>
      </c>
      <c r="E605" s="630">
        <v>44518</v>
      </c>
      <c r="F605" s="71">
        <v>44547</v>
      </c>
      <c r="G605" s="71">
        <v>44547</v>
      </c>
      <c r="H605" s="71">
        <v>44547</v>
      </c>
      <c r="I605" s="625" t="str">
        <f>VLOOKUP(A605,URS確認!E:I,5,FALSE)</f>
        <v>張金龍</v>
      </c>
    </row>
    <row r="606" spans="1:16" x14ac:dyDescent="0.4">
      <c r="A606" s="68" t="s">
        <v>1546</v>
      </c>
      <c r="B606" s="68" t="s">
        <v>1547</v>
      </c>
      <c r="C606" s="315">
        <v>1</v>
      </c>
      <c r="D606" s="68" t="s">
        <v>3122</v>
      </c>
      <c r="E606" s="630">
        <v>44518</v>
      </c>
      <c r="F606" s="71">
        <v>44547</v>
      </c>
      <c r="G606" s="71">
        <v>44547</v>
      </c>
      <c r="H606" s="71">
        <v>44547</v>
      </c>
      <c r="I606" s="669" t="s">
        <v>3255</v>
      </c>
    </row>
    <row r="607" spans="1:16" x14ac:dyDescent="0.4">
      <c r="A607" s="68" t="s">
        <v>1546</v>
      </c>
      <c r="B607" s="68" t="s">
        <v>1547</v>
      </c>
      <c r="C607" s="315">
        <v>2</v>
      </c>
      <c r="D607" s="68" t="s">
        <v>3123</v>
      </c>
      <c r="E607" s="630">
        <v>44518</v>
      </c>
      <c r="F607" s="71">
        <v>44547</v>
      </c>
      <c r="G607" s="71">
        <v>44547</v>
      </c>
      <c r="H607" s="71">
        <v>44547</v>
      </c>
      <c r="I607" s="665" t="s">
        <v>3255</v>
      </c>
    </row>
    <row r="608" spans="1:16" x14ac:dyDescent="0.4">
      <c r="A608" s="68" t="s">
        <v>1408</v>
      </c>
      <c r="B608" s="69"/>
      <c r="C608" s="315">
        <v>1</v>
      </c>
      <c r="D608" s="74" t="s">
        <v>3129</v>
      </c>
      <c r="E608" s="630">
        <v>44533</v>
      </c>
      <c r="F608" s="71">
        <v>44547</v>
      </c>
      <c r="G608" s="71">
        <v>44547</v>
      </c>
      <c r="H608" s="71">
        <v>44547</v>
      </c>
      <c r="I608" s="625" t="str">
        <f>VLOOKUP(A608,URS確認!E:I,5,FALSE)</f>
        <v>張金龍</v>
      </c>
    </row>
    <row r="609" spans="1:9" x14ac:dyDescent="0.4">
      <c r="A609" s="68" t="s">
        <v>1410</v>
      </c>
      <c r="B609" s="68" t="s">
        <v>1411</v>
      </c>
      <c r="C609" s="315">
        <v>1</v>
      </c>
      <c r="D609" s="74" t="s">
        <v>3130</v>
      </c>
      <c r="E609" s="630">
        <v>44533</v>
      </c>
      <c r="F609" s="71">
        <v>44547</v>
      </c>
      <c r="G609" s="71">
        <v>44547</v>
      </c>
      <c r="H609" s="71">
        <v>44547</v>
      </c>
      <c r="I609" s="625" t="s">
        <v>3254</v>
      </c>
    </row>
    <row r="610" spans="1:9" ht="58.25" customHeight="1" x14ac:dyDescent="0.3">
      <c r="A610" s="651" t="s">
        <v>1122</v>
      </c>
      <c r="B610" s="69" t="s">
        <v>3193</v>
      </c>
      <c r="C610" s="315">
        <v>1</v>
      </c>
      <c r="D610" s="74" t="s">
        <v>3206</v>
      </c>
      <c r="E610" s="652">
        <v>44529</v>
      </c>
      <c r="F610" s="71">
        <v>44546</v>
      </c>
      <c r="G610" s="71">
        <v>44546</v>
      </c>
      <c r="H610" s="71">
        <v>44546</v>
      </c>
      <c r="I610" s="625" t="str">
        <f>VLOOKUP(A610,URS確認!E:I,5,FALSE)</f>
        <v>楊智誠</v>
      </c>
    </row>
    <row r="611" spans="1:9" ht="18" customHeight="1" x14ac:dyDescent="0.3">
      <c r="A611" s="651" t="s">
        <v>1122</v>
      </c>
      <c r="B611" s="69" t="s">
        <v>3193</v>
      </c>
      <c r="C611" s="315">
        <v>2</v>
      </c>
      <c r="D611" s="74" t="s">
        <v>3199</v>
      </c>
      <c r="E611" s="652">
        <v>44529</v>
      </c>
      <c r="F611" s="71">
        <v>44546</v>
      </c>
      <c r="G611" s="71">
        <v>44546</v>
      </c>
      <c r="H611" s="71">
        <v>44546</v>
      </c>
      <c r="I611" s="625" t="str">
        <f>VLOOKUP(A611,URS確認!E:I,5,FALSE)</f>
        <v>楊智誠</v>
      </c>
    </row>
    <row r="612" spans="1:9" x14ac:dyDescent="0.3">
      <c r="A612" s="651" t="s">
        <v>1124</v>
      </c>
      <c r="B612" s="69" t="s">
        <v>3196</v>
      </c>
      <c r="C612" s="315">
        <v>1</v>
      </c>
      <c r="D612" s="74" t="s">
        <v>3197</v>
      </c>
      <c r="E612" s="652">
        <v>44529</v>
      </c>
      <c r="F612" s="71">
        <v>44546</v>
      </c>
      <c r="G612" s="71">
        <v>44546</v>
      </c>
      <c r="H612" s="71">
        <v>44546</v>
      </c>
      <c r="I612" s="625" t="str">
        <f>VLOOKUP(A612,URS確認!E:I,5,FALSE)</f>
        <v>楊智誠</v>
      </c>
    </row>
    <row r="613" spans="1:9" x14ac:dyDescent="0.3">
      <c r="A613" s="651" t="s">
        <v>1124</v>
      </c>
      <c r="B613" s="69" t="s">
        <v>3196</v>
      </c>
      <c r="C613" s="315">
        <v>2</v>
      </c>
      <c r="D613" s="74" t="s">
        <v>3198</v>
      </c>
      <c r="E613" s="652">
        <v>44529</v>
      </c>
      <c r="F613" s="71">
        <v>44546</v>
      </c>
      <c r="G613" s="71">
        <v>44546</v>
      </c>
      <c r="H613" s="71">
        <v>44546</v>
      </c>
      <c r="I613" s="625" t="str">
        <f>VLOOKUP(A613,URS確認!E:I,5,FALSE)</f>
        <v>楊智誠</v>
      </c>
    </row>
    <row r="614" spans="1:9" x14ac:dyDescent="0.3">
      <c r="A614" s="651" t="s">
        <v>1124</v>
      </c>
      <c r="B614" s="69" t="s">
        <v>3196</v>
      </c>
      <c r="C614" s="315">
        <v>3</v>
      </c>
      <c r="D614" s="74" t="s">
        <v>3200</v>
      </c>
      <c r="E614" s="652">
        <v>44529</v>
      </c>
      <c r="F614" s="71">
        <v>44546</v>
      </c>
      <c r="G614" s="71">
        <v>44546</v>
      </c>
      <c r="H614" s="71">
        <v>44546</v>
      </c>
      <c r="I614" s="625" t="str">
        <f>VLOOKUP(A614,URS確認!E:I,5,FALSE)</f>
        <v>楊智誠</v>
      </c>
    </row>
    <row r="615" spans="1:9" x14ac:dyDescent="0.4">
      <c r="A615" s="68" t="s">
        <v>1109</v>
      </c>
      <c r="B615" s="69" t="s">
        <v>3201</v>
      </c>
      <c r="C615" s="315">
        <v>1</v>
      </c>
      <c r="D615" s="74" t="s">
        <v>3205</v>
      </c>
      <c r="E615" s="652">
        <v>44529</v>
      </c>
      <c r="F615" s="71">
        <v>44546</v>
      </c>
      <c r="G615" s="71">
        <v>44546</v>
      </c>
      <c r="H615" s="71">
        <v>44546</v>
      </c>
      <c r="I615" s="625" t="str">
        <f>VLOOKUP(A615,URS確認!E:I,5,FALSE)</f>
        <v>楊智誠</v>
      </c>
    </row>
    <row r="616" spans="1:9" ht="51" x14ac:dyDescent="0.4">
      <c r="A616" s="68" t="s">
        <v>1128</v>
      </c>
      <c r="B616" s="69" t="s">
        <v>3203</v>
      </c>
      <c r="C616" s="315">
        <v>1</v>
      </c>
      <c r="D616" s="74" t="s">
        <v>3204</v>
      </c>
      <c r="E616" s="652">
        <v>44529</v>
      </c>
      <c r="F616" s="71">
        <v>44546</v>
      </c>
      <c r="G616" s="71">
        <v>44546</v>
      </c>
      <c r="H616" s="71">
        <v>44546</v>
      </c>
      <c r="I616" s="625" t="str">
        <f>VLOOKUP(A616,URS確認!E:I,5,FALSE)</f>
        <v>楊智誠</v>
      </c>
    </row>
    <row r="617" spans="1:9" ht="34" x14ac:dyDescent="0.4">
      <c r="A617" s="68" t="s">
        <v>1130</v>
      </c>
      <c r="B617" s="69" t="s">
        <v>3207</v>
      </c>
      <c r="C617" s="315">
        <v>1</v>
      </c>
      <c r="D617" s="74" t="s">
        <v>3208</v>
      </c>
      <c r="E617" s="652">
        <v>44529</v>
      </c>
      <c r="F617" s="71">
        <v>44532</v>
      </c>
      <c r="G617" s="71">
        <v>44532</v>
      </c>
      <c r="H617" s="71">
        <v>44532</v>
      </c>
      <c r="I617" s="625" t="str">
        <f>VLOOKUP(A617,URS確認!E:I,5,FALSE)</f>
        <v>楊智誠</v>
      </c>
    </row>
    <row r="618" spans="1:9" x14ac:dyDescent="0.3">
      <c r="A618" s="653" t="s">
        <v>1113</v>
      </c>
      <c r="B618" s="69" t="s">
        <v>3209</v>
      </c>
      <c r="C618" s="315">
        <v>1</v>
      </c>
      <c r="D618" s="74" t="s">
        <v>3210</v>
      </c>
      <c r="E618" s="652">
        <v>44529</v>
      </c>
      <c r="F618" s="71">
        <v>44532</v>
      </c>
      <c r="G618" s="71">
        <v>44532</v>
      </c>
      <c r="H618" s="71">
        <v>44532</v>
      </c>
      <c r="I618" s="625" t="str">
        <f>VLOOKUP(A618,URS確認!E:I,5,FALSE)</f>
        <v>楊智誠</v>
      </c>
    </row>
    <row r="619" spans="1:9" x14ac:dyDescent="0.3">
      <c r="A619" s="653" t="s">
        <v>1113</v>
      </c>
      <c r="B619" s="74" t="s">
        <v>3209</v>
      </c>
      <c r="C619" s="315">
        <v>2</v>
      </c>
      <c r="D619" s="74" t="s">
        <v>3211</v>
      </c>
      <c r="E619" s="652">
        <v>44529</v>
      </c>
      <c r="F619" s="71">
        <v>44592</v>
      </c>
      <c r="I619" s="625" t="str">
        <f>VLOOKUP(A619,URS確認!E:I,5,FALSE)</f>
        <v>楊智誠</v>
      </c>
    </row>
    <row r="620" spans="1:9" x14ac:dyDescent="0.4">
      <c r="A620" s="68" t="s">
        <v>3246</v>
      </c>
      <c r="B620" s="69" t="s">
        <v>3212</v>
      </c>
      <c r="C620" s="315">
        <v>1</v>
      </c>
      <c r="D620" s="74" t="s">
        <v>3215</v>
      </c>
      <c r="E620" s="652">
        <v>44529</v>
      </c>
      <c r="F620" s="71">
        <v>44532</v>
      </c>
      <c r="G620" s="71">
        <v>44532</v>
      </c>
      <c r="H620" s="71">
        <v>44532</v>
      </c>
      <c r="I620" s="625" t="str">
        <f>VLOOKUP(A620,URS確認!E:I,5,FALSE)</f>
        <v>楊智誠</v>
      </c>
    </row>
    <row r="621" spans="1:9" x14ac:dyDescent="0.4">
      <c r="A621" s="68" t="s">
        <v>3246</v>
      </c>
      <c r="B621" s="69" t="s">
        <v>3212</v>
      </c>
      <c r="C621" s="315">
        <v>2</v>
      </c>
      <c r="D621" s="74" t="s">
        <v>3216</v>
      </c>
      <c r="E621" s="652">
        <v>44529</v>
      </c>
      <c r="F621" s="71">
        <v>44532</v>
      </c>
      <c r="G621" s="71">
        <v>44532</v>
      </c>
      <c r="H621" s="71">
        <v>44532</v>
      </c>
      <c r="I621" s="625" t="str">
        <f>VLOOKUP(A621,URS確認!E:I,5,FALSE)</f>
        <v>楊智誠</v>
      </c>
    </row>
    <row r="622" spans="1:9" x14ac:dyDescent="0.3">
      <c r="A622" s="315" t="s">
        <v>1115</v>
      </c>
      <c r="B622" s="69" t="s">
        <v>3213</v>
      </c>
      <c r="C622" s="315">
        <v>1</v>
      </c>
      <c r="D622" s="74" t="s">
        <v>3217</v>
      </c>
      <c r="E622" s="652">
        <v>44529</v>
      </c>
      <c r="F622" s="71">
        <v>44546</v>
      </c>
      <c r="G622" s="71">
        <v>44546</v>
      </c>
      <c r="H622" s="71">
        <v>44546</v>
      </c>
      <c r="I622" s="625" t="str">
        <f>VLOOKUP(A622,URS確認!E:I,5,FALSE)</f>
        <v>楊智誠</v>
      </c>
    </row>
    <row r="623" spans="1:9" x14ac:dyDescent="0.3">
      <c r="A623" s="315" t="s">
        <v>1126</v>
      </c>
      <c r="B623" s="69" t="s">
        <v>3214</v>
      </c>
      <c r="C623" s="315">
        <v>1</v>
      </c>
      <c r="D623" s="74" t="s">
        <v>3218</v>
      </c>
      <c r="E623" s="652">
        <v>44529</v>
      </c>
      <c r="F623" s="71">
        <v>44546</v>
      </c>
      <c r="G623" s="71">
        <v>44546</v>
      </c>
      <c r="H623" s="71">
        <v>44546</v>
      </c>
      <c r="I623" s="625" t="str">
        <f>VLOOKUP(A623,URS確認!E:I,5,FALSE)</f>
        <v>楊智誠</v>
      </c>
    </row>
    <row r="624" spans="1:9" x14ac:dyDescent="0.3">
      <c r="A624" s="653" t="s">
        <v>1126</v>
      </c>
      <c r="B624" s="69" t="s">
        <v>3214</v>
      </c>
      <c r="C624" s="315">
        <v>2</v>
      </c>
      <c r="D624" s="74" t="s">
        <v>3219</v>
      </c>
      <c r="E624" s="652">
        <v>44529</v>
      </c>
      <c r="F624" s="71">
        <v>44546</v>
      </c>
      <c r="G624" s="71">
        <v>44546</v>
      </c>
      <c r="H624" s="71">
        <v>44546</v>
      </c>
      <c r="I624" s="625" t="str">
        <f>VLOOKUP(A624,URS確認!E:I,5,FALSE)</f>
        <v>楊智誠</v>
      </c>
    </row>
    <row r="625" spans="1:9" x14ac:dyDescent="0.3">
      <c r="A625" s="653" t="s">
        <v>1126</v>
      </c>
      <c r="B625" s="69" t="s">
        <v>3214</v>
      </c>
      <c r="C625" s="315">
        <v>3</v>
      </c>
      <c r="D625" s="74" t="s">
        <v>3220</v>
      </c>
      <c r="E625" s="652">
        <v>44529</v>
      </c>
      <c r="F625" s="71">
        <v>44546</v>
      </c>
      <c r="G625" s="71">
        <v>44546</v>
      </c>
      <c r="H625" s="71">
        <v>44546</v>
      </c>
      <c r="I625" s="625" t="str">
        <f>VLOOKUP(A625,URS確認!E:I,5,FALSE)</f>
        <v>楊智誠</v>
      </c>
    </row>
    <row r="626" spans="1:9" x14ac:dyDescent="0.4">
      <c r="A626" s="68" t="s">
        <v>3245</v>
      </c>
      <c r="B626" s="68" t="s">
        <v>931</v>
      </c>
      <c r="C626" s="315">
        <v>1</v>
      </c>
      <c r="D626" s="74" t="s">
        <v>3225</v>
      </c>
      <c r="E626" s="71">
        <v>44526</v>
      </c>
      <c r="F626" s="71">
        <v>44547</v>
      </c>
      <c r="G626" s="71">
        <v>44547</v>
      </c>
      <c r="H626" s="71">
        <v>44547</v>
      </c>
      <c r="I626" s="625" t="str">
        <f>VLOOKUP(A626,URS確認!E:I,5,FALSE)</f>
        <v>張金龍</v>
      </c>
    </row>
    <row r="627" spans="1:9" x14ac:dyDescent="0.3">
      <c r="A627" s="315" t="s">
        <v>3247</v>
      </c>
      <c r="B627" s="69" t="s">
        <v>3226</v>
      </c>
      <c r="C627" s="315">
        <v>1</v>
      </c>
      <c r="D627" s="74" t="s">
        <v>3227</v>
      </c>
      <c r="E627" s="71">
        <v>44526</v>
      </c>
      <c r="F627" s="71">
        <v>44547</v>
      </c>
      <c r="G627" s="71">
        <v>44547</v>
      </c>
      <c r="H627" s="71">
        <v>44547</v>
      </c>
      <c r="I627" s="625" t="str">
        <f>VLOOKUP(A627,URS確認!E:I,5,FALSE)</f>
        <v>張金龍</v>
      </c>
    </row>
  </sheetData>
  <autoFilter ref="A1:P627" xr:uid="{00000000-0009-0000-0000-00000B000000}">
    <filterColumn colId="9" showButton="0"/>
    <filterColumn colId="10" showButton="0"/>
    <filterColumn colId="11" showButton="0"/>
    <filterColumn colId="12" showButton="0"/>
  </autoFilter>
  <mergeCells count="13">
    <mergeCell ref="P1:P3"/>
    <mergeCell ref="A1:A3"/>
    <mergeCell ref="B1:B3"/>
    <mergeCell ref="D1:D3"/>
    <mergeCell ref="E1:E3"/>
    <mergeCell ref="J2:J3"/>
    <mergeCell ref="F1:F3"/>
    <mergeCell ref="K2:K3"/>
    <mergeCell ref="J1:N1"/>
    <mergeCell ref="C1:C3"/>
    <mergeCell ref="G1:G3"/>
    <mergeCell ref="I1:I3"/>
    <mergeCell ref="L2:O2"/>
  </mergeCells>
  <phoneticPr fontId="3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filterMode="1"/>
  <dimension ref="A1:K93"/>
  <sheetViews>
    <sheetView zoomScale="85" zoomScaleNormal="85" workbookViewId="0">
      <pane ySplit="1" topLeftCell="A31" activePane="bottomLeft" state="frozen"/>
      <selection pane="bottomLeft" activeCell="C53" sqref="C53"/>
    </sheetView>
  </sheetViews>
  <sheetFormatPr defaultColWidth="9" defaultRowHeight="17" x14ac:dyDescent="0.3"/>
  <cols>
    <col min="1" max="1" width="14.59765625" style="89" bestFit="1" customWidth="1"/>
    <col min="2" max="2" width="5.59765625" style="89" bestFit="1" customWidth="1"/>
    <col min="3" max="3" width="54.296875" style="78" customWidth="1"/>
    <col min="4" max="4" width="14.59765625" style="89" bestFit="1" customWidth="1"/>
    <col min="5" max="5" width="9.69921875" style="89" hidden="1" customWidth="1"/>
    <col min="6" max="6" width="12.5" style="89" bestFit="1" customWidth="1"/>
    <col min="7" max="7" width="13.19921875" style="81" customWidth="1"/>
    <col min="8" max="8" width="41.69921875" style="82" customWidth="1"/>
    <col min="9" max="9" width="15.59765625" style="81" bestFit="1" customWidth="1"/>
    <col min="10" max="10" width="27.3984375" style="82" customWidth="1"/>
    <col min="11" max="14" width="9" style="82" customWidth="1"/>
    <col min="15" max="16384" width="9" style="82"/>
  </cols>
  <sheetData>
    <row r="1" spans="1:10" s="122" customFormat="1" x14ac:dyDescent="0.3">
      <c r="A1" s="119" t="s">
        <v>1480</v>
      </c>
      <c r="B1" s="676" t="s">
        <v>2171</v>
      </c>
      <c r="C1" s="119" t="s">
        <v>2172</v>
      </c>
      <c r="D1" s="119" t="s">
        <v>1483</v>
      </c>
      <c r="E1" s="119" t="s">
        <v>3262</v>
      </c>
      <c r="F1" s="119" t="s">
        <v>3261</v>
      </c>
      <c r="G1" s="121" t="s">
        <v>2173</v>
      </c>
      <c r="H1" s="119" t="s">
        <v>2174</v>
      </c>
      <c r="I1" s="121" t="s">
        <v>2175</v>
      </c>
      <c r="J1" s="121" t="s">
        <v>2176</v>
      </c>
    </row>
    <row r="2" spans="1:10" s="98" customFormat="1" ht="33" hidden="1" customHeight="1" x14ac:dyDescent="0.3">
      <c r="A2" s="81">
        <v>44399</v>
      </c>
      <c r="B2" s="89">
        <v>1</v>
      </c>
      <c r="C2" s="78" t="s">
        <v>2058</v>
      </c>
      <c r="D2" s="89" t="s">
        <v>136</v>
      </c>
      <c r="E2" s="89"/>
      <c r="F2" s="89"/>
      <c r="G2" s="81">
        <v>44403</v>
      </c>
      <c r="H2" s="80" t="s">
        <v>2177</v>
      </c>
      <c r="I2" s="81">
        <v>44403</v>
      </c>
      <c r="J2" s="82"/>
    </row>
    <row r="3" spans="1:10" hidden="1" x14ac:dyDescent="0.3">
      <c r="A3" s="81">
        <v>44397</v>
      </c>
      <c r="B3" s="89">
        <v>1</v>
      </c>
      <c r="C3" s="78" t="s">
        <v>2059</v>
      </c>
      <c r="D3" s="89" t="s">
        <v>5</v>
      </c>
      <c r="G3" s="81">
        <v>44407</v>
      </c>
      <c r="H3" s="82" t="s">
        <v>3264</v>
      </c>
      <c r="I3" s="81">
        <v>44474</v>
      </c>
    </row>
    <row r="4" spans="1:10" hidden="1" x14ac:dyDescent="0.3">
      <c r="A4" s="81">
        <v>44397</v>
      </c>
      <c r="B4" s="89">
        <v>2</v>
      </c>
      <c r="C4" s="78" t="s">
        <v>2060</v>
      </c>
      <c r="D4" s="89" t="s">
        <v>5</v>
      </c>
      <c r="G4" s="81">
        <v>44407</v>
      </c>
      <c r="H4" s="82" t="s">
        <v>3264</v>
      </c>
      <c r="I4" s="81">
        <v>44474</v>
      </c>
    </row>
    <row r="5" spans="1:10" s="98" customFormat="1" ht="33" hidden="1" customHeight="1" x14ac:dyDescent="0.3">
      <c r="A5" s="81">
        <v>44398</v>
      </c>
      <c r="B5" s="89">
        <v>3</v>
      </c>
      <c r="C5" s="99" t="s">
        <v>2061</v>
      </c>
      <c r="D5" s="89" t="s">
        <v>535</v>
      </c>
      <c r="E5" s="89"/>
      <c r="F5" s="89"/>
      <c r="G5" s="81">
        <v>44407</v>
      </c>
      <c r="H5" s="80" t="s">
        <v>2178</v>
      </c>
      <c r="I5" s="81">
        <v>44407</v>
      </c>
      <c r="J5" s="82" t="s">
        <v>2179</v>
      </c>
    </row>
    <row r="6" spans="1:10" s="98" customFormat="1" ht="34" hidden="1" customHeight="1" x14ac:dyDescent="0.3">
      <c r="A6" s="81">
        <v>44399</v>
      </c>
      <c r="B6" s="89">
        <v>2</v>
      </c>
      <c r="C6" s="78" t="s">
        <v>2062</v>
      </c>
      <c r="D6" s="89" t="s">
        <v>10</v>
      </c>
      <c r="E6" s="89"/>
      <c r="F6" s="89"/>
      <c r="G6" s="81">
        <v>44407</v>
      </c>
      <c r="H6" s="80" t="s">
        <v>2180</v>
      </c>
      <c r="I6" s="81">
        <v>44400</v>
      </c>
      <c r="J6" s="82" t="s">
        <v>2181</v>
      </c>
    </row>
    <row r="7" spans="1:10" s="98" customFormat="1" ht="33" hidden="1" customHeight="1" x14ac:dyDescent="0.3">
      <c r="A7" s="81">
        <v>44399</v>
      </c>
      <c r="B7" s="89">
        <v>3</v>
      </c>
      <c r="C7" s="78" t="s">
        <v>2063</v>
      </c>
      <c r="D7" s="89" t="s">
        <v>10</v>
      </c>
      <c r="E7" s="89"/>
      <c r="F7" s="89"/>
      <c r="G7" s="81">
        <v>44407</v>
      </c>
      <c r="H7" s="78" t="s">
        <v>2182</v>
      </c>
      <c r="I7" s="81">
        <v>44400</v>
      </c>
      <c r="J7" s="82"/>
    </row>
    <row r="8" spans="1:10" s="98" customFormat="1" hidden="1" x14ac:dyDescent="0.3">
      <c r="A8" s="81">
        <v>44400</v>
      </c>
      <c r="B8" s="89">
        <v>1</v>
      </c>
      <c r="C8" s="78" t="s">
        <v>2064</v>
      </c>
      <c r="D8" s="89" t="s">
        <v>9</v>
      </c>
      <c r="E8" s="89"/>
      <c r="F8" s="89"/>
      <c r="G8" s="81">
        <v>44407</v>
      </c>
      <c r="H8" s="82" t="s">
        <v>2183</v>
      </c>
      <c r="I8" s="81">
        <v>44407</v>
      </c>
      <c r="J8" s="82"/>
    </row>
    <row r="9" spans="1:10" s="98" customFormat="1" ht="34" hidden="1" x14ac:dyDescent="0.3">
      <c r="A9" s="81">
        <v>44403</v>
      </c>
      <c r="B9" s="89">
        <v>6</v>
      </c>
      <c r="C9" s="78" t="s">
        <v>2065</v>
      </c>
      <c r="D9" s="89" t="s">
        <v>136</v>
      </c>
      <c r="E9" s="89"/>
      <c r="F9" s="89"/>
      <c r="G9" s="81">
        <v>44414</v>
      </c>
      <c r="H9" s="82"/>
      <c r="I9" s="81">
        <v>44481</v>
      </c>
      <c r="J9" s="82" t="s">
        <v>2179</v>
      </c>
    </row>
    <row r="10" spans="1:10" s="98" customFormat="1" ht="33" hidden="1" customHeight="1" x14ac:dyDescent="0.3">
      <c r="A10" s="81">
        <v>44398</v>
      </c>
      <c r="B10" s="89">
        <v>1</v>
      </c>
      <c r="C10" s="99" t="s">
        <v>1527</v>
      </c>
      <c r="D10" s="89" t="s">
        <v>136</v>
      </c>
      <c r="E10" s="89"/>
      <c r="F10" s="89"/>
      <c r="G10" s="81">
        <v>44414</v>
      </c>
      <c r="H10" s="78" t="s">
        <v>2184</v>
      </c>
      <c r="I10" s="81">
        <v>44413</v>
      </c>
      <c r="J10" s="82" t="s">
        <v>2179</v>
      </c>
    </row>
    <row r="11" spans="1:10" s="98" customFormat="1" ht="33" hidden="1" customHeight="1" x14ac:dyDescent="0.3">
      <c r="A11" s="81">
        <v>44398</v>
      </c>
      <c r="B11" s="89">
        <v>2</v>
      </c>
      <c r="C11" s="99" t="s">
        <v>1531</v>
      </c>
      <c r="D11" s="89" t="s">
        <v>314</v>
      </c>
      <c r="E11" s="89"/>
      <c r="F11" s="89"/>
      <c r="G11" s="81">
        <v>44414</v>
      </c>
      <c r="H11" s="82" t="s">
        <v>2185</v>
      </c>
      <c r="I11" s="81">
        <v>44413</v>
      </c>
      <c r="J11" s="82"/>
    </row>
    <row r="12" spans="1:10" s="98" customFormat="1" hidden="1" x14ac:dyDescent="0.3">
      <c r="A12" s="81">
        <v>44403</v>
      </c>
      <c r="B12" s="89">
        <v>7</v>
      </c>
      <c r="C12" s="78" t="s">
        <v>2066</v>
      </c>
      <c r="D12" s="89" t="s">
        <v>136</v>
      </c>
      <c r="E12" s="89"/>
      <c r="F12" s="89"/>
      <c r="G12" s="81">
        <v>44414</v>
      </c>
      <c r="H12" s="82"/>
      <c r="I12" s="81">
        <v>44481</v>
      </c>
      <c r="J12" s="82"/>
    </row>
    <row r="13" spans="1:10" s="98" customFormat="1" ht="33" hidden="1" customHeight="1" x14ac:dyDescent="0.3">
      <c r="A13" s="81">
        <v>44398</v>
      </c>
      <c r="B13" s="89">
        <v>5</v>
      </c>
      <c r="C13" s="99" t="s">
        <v>2067</v>
      </c>
      <c r="D13" s="89" t="s">
        <v>136</v>
      </c>
      <c r="E13" s="89"/>
      <c r="F13" s="89"/>
      <c r="G13" s="81">
        <v>44414</v>
      </c>
      <c r="H13" s="82" t="s">
        <v>2186</v>
      </c>
      <c r="I13" s="81">
        <v>44413</v>
      </c>
      <c r="J13" s="82"/>
    </row>
    <row r="14" spans="1:10" s="98" customFormat="1" ht="33" hidden="1" customHeight="1" x14ac:dyDescent="0.3">
      <c r="A14" s="81">
        <v>44398</v>
      </c>
      <c r="B14" s="89">
        <v>6</v>
      </c>
      <c r="C14" s="99" t="s">
        <v>2068</v>
      </c>
      <c r="D14" s="89" t="s">
        <v>136</v>
      </c>
      <c r="E14" s="89"/>
      <c r="F14" s="89"/>
      <c r="G14" s="81">
        <v>44414</v>
      </c>
      <c r="H14" s="82" t="s">
        <v>2186</v>
      </c>
      <c r="I14" s="81">
        <v>44413</v>
      </c>
      <c r="J14" s="82"/>
    </row>
    <row r="15" spans="1:10" s="98" customFormat="1" ht="21" hidden="1" customHeight="1" x14ac:dyDescent="0.3">
      <c r="A15" s="81">
        <v>44403</v>
      </c>
      <c r="B15" s="89">
        <v>1</v>
      </c>
      <c r="C15" s="78" t="s">
        <v>2069</v>
      </c>
      <c r="D15" s="89" t="s">
        <v>15</v>
      </c>
      <c r="E15" s="89"/>
      <c r="F15" s="89"/>
      <c r="G15" s="81">
        <v>44414</v>
      </c>
      <c r="H15" s="80" t="s">
        <v>2187</v>
      </c>
      <c r="I15" s="81">
        <v>44406</v>
      </c>
      <c r="J15" s="82"/>
    </row>
    <row r="16" spans="1:10" s="98" customFormat="1" ht="21" hidden="1" customHeight="1" x14ac:dyDescent="0.3">
      <c r="A16" s="81">
        <v>44403</v>
      </c>
      <c r="B16" s="89">
        <v>2</v>
      </c>
      <c r="C16" s="78" t="s">
        <v>2070</v>
      </c>
      <c r="D16" s="89" t="s">
        <v>15</v>
      </c>
      <c r="E16" s="89"/>
      <c r="F16" s="89"/>
      <c r="G16" s="81">
        <v>44414</v>
      </c>
      <c r="H16" s="96" t="s">
        <v>3285</v>
      </c>
      <c r="I16" s="81">
        <v>44417</v>
      </c>
      <c r="J16" s="82"/>
    </row>
    <row r="17" spans="1:10" s="98" customFormat="1" hidden="1" x14ac:dyDescent="0.3">
      <c r="A17" s="81">
        <v>44403</v>
      </c>
      <c r="B17" s="89">
        <v>3</v>
      </c>
      <c r="C17" s="78" t="s">
        <v>2071</v>
      </c>
      <c r="D17" s="89" t="s">
        <v>15</v>
      </c>
      <c r="E17" s="89"/>
      <c r="F17" s="89"/>
      <c r="G17" s="81">
        <v>44414</v>
      </c>
      <c r="H17" s="97" t="s">
        <v>3286</v>
      </c>
      <c r="I17" s="81">
        <v>44404</v>
      </c>
      <c r="J17" s="82"/>
    </row>
    <row r="18" spans="1:10" hidden="1" x14ac:dyDescent="0.3">
      <c r="A18" s="81">
        <v>44403</v>
      </c>
      <c r="B18" s="89">
        <v>5</v>
      </c>
      <c r="C18" s="78" t="s">
        <v>2072</v>
      </c>
      <c r="D18" s="89" t="s">
        <v>10</v>
      </c>
      <c r="G18" s="81">
        <v>44414</v>
      </c>
      <c r="H18" s="82" t="s">
        <v>3287</v>
      </c>
      <c r="I18" s="81">
        <v>44412</v>
      </c>
    </row>
    <row r="19" spans="1:10" hidden="1" x14ac:dyDescent="0.3">
      <c r="A19" s="81">
        <v>44405</v>
      </c>
      <c r="B19" s="89">
        <v>3</v>
      </c>
      <c r="C19" s="78" t="s">
        <v>2073</v>
      </c>
      <c r="D19" s="89" t="s">
        <v>136</v>
      </c>
      <c r="G19" s="81">
        <v>44419</v>
      </c>
      <c r="I19" s="81">
        <v>44481</v>
      </c>
    </row>
    <row r="20" spans="1:10" s="98" customFormat="1" ht="33" hidden="1" customHeight="1" x14ac:dyDescent="0.3">
      <c r="A20" s="81">
        <v>44405</v>
      </c>
      <c r="B20" s="89">
        <v>4</v>
      </c>
      <c r="C20" s="78" t="s">
        <v>2074</v>
      </c>
      <c r="D20" s="89" t="s">
        <v>136</v>
      </c>
      <c r="E20" s="89"/>
      <c r="F20" s="89"/>
      <c r="G20" s="81">
        <v>44419</v>
      </c>
      <c r="H20" s="82"/>
      <c r="I20" s="81">
        <v>44481</v>
      </c>
      <c r="J20" s="82"/>
    </row>
    <row r="21" spans="1:10" s="98" customFormat="1" ht="34" hidden="1" customHeight="1" x14ac:dyDescent="0.3">
      <c r="A21" s="81">
        <v>44405</v>
      </c>
      <c r="B21" s="89">
        <v>5</v>
      </c>
      <c r="C21" s="78" t="s">
        <v>2075</v>
      </c>
      <c r="D21" s="89" t="s">
        <v>136</v>
      </c>
      <c r="E21" s="89"/>
      <c r="F21" s="89"/>
      <c r="G21" s="81">
        <v>44419</v>
      </c>
      <c r="H21" s="82"/>
      <c r="I21" s="81">
        <v>44547</v>
      </c>
      <c r="J21" s="82"/>
    </row>
    <row r="22" spans="1:10" hidden="1" x14ac:dyDescent="0.3">
      <c r="A22" s="81">
        <v>44405</v>
      </c>
      <c r="B22" s="89">
        <v>1</v>
      </c>
      <c r="C22" s="78" t="s">
        <v>2076</v>
      </c>
      <c r="D22" s="89" t="s">
        <v>9</v>
      </c>
      <c r="G22" s="81">
        <v>44419</v>
      </c>
      <c r="H22" s="82" t="s">
        <v>2188</v>
      </c>
      <c r="I22" s="81">
        <v>44405</v>
      </c>
    </row>
    <row r="23" spans="1:10" ht="63" hidden="1" customHeight="1" x14ac:dyDescent="0.3">
      <c r="A23" s="81">
        <v>44405</v>
      </c>
      <c r="B23" s="89">
        <v>2</v>
      </c>
      <c r="C23" s="78" t="s">
        <v>2077</v>
      </c>
      <c r="D23" s="89" t="s">
        <v>235</v>
      </c>
      <c r="G23" s="81">
        <v>44419</v>
      </c>
      <c r="H23" s="96" t="s">
        <v>2189</v>
      </c>
      <c r="I23" s="81">
        <v>44419</v>
      </c>
    </row>
    <row r="24" spans="1:10" s="98" customFormat="1" ht="33" hidden="1" customHeight="1" x14ac:dyDescent="0.3">
      <c r="A24" s="81">
        <v>44405</v>
      </c>
      <c r="B24" s="89">
        <v>6</v>
      </c>
      <c r="C24" s="78" t="s">
        <v>2078</v>
      </c>
      <c r="D24" s="89" t="s">
        <v>9</v>
      </c>
      <c r="E24" s="89"/>
      <c r="F24" s="89"/>
      <c r="G24" s="81">
        <v>44419</v>
      </c>
      <c r="H24" s="78" t="s">
        <v>2190</v>
      </c>
      <c r="I24" s="81">
        <v>44407</v>
      </c>
      <c r="J24" s="82"/>
    </row>
    <row r="25" spans="1:10" s="98" customFormat="1" ht="31.5" hidden="1" customHeight="1" x14ac:dyDescent="0.3">
      <c r="A25" s="81">
        <v>44399</v>
      </c>
      <c r="B25" s="89">
        <v>4</v>
      </c>
      <c r="C25" s="78" t="s">
        <v>2079</v>
      </c>
      <c r="D25" s="89" t="s">
        <v>9</v>
      </c>
      <c r="E25" s="89"/>
      <c r="F25" s="89"/>
      <c r="G25" s="79">
        <v>44421</v>
      </c>
      <c r="H25" s="96" t="s">
        <v>2191</v>
      </c>
      <c r="I25" s="79">
        <v>44420</v>
      </c>
      <c r="J25" s="82" t="s">
        <v>2192</v>
      </c>
    </row>
    <row r="26" spans="1:10" s="98" customFormat="1" hidden="1" x14ac:dyDescent="0.3">
      <c r="A26" s="81">
        <v>44404</v>
      </c>
      <c r="B26" s="89">
        <v>3</v>
      </c>
      <c r="C26" s="78" t="s">
        <v>2080</v>
      </c>
      <c r="D26" s="89" t="s">
        <v>15</v>
      </c>
      <c r="E26" s="89"/>
      <c r="F26" s="89"/>
      <c r="G26" s="81">
        <v>44421</v>
      </c>
      <c r="H26" s="97" t="s">
        <v>2193</v>
      </c>
      <c r="I26" s="81">
        <v>44406</v>
      </c>
      <c r="J26" s="82"/>
    </row>
    <row r="27" spans="1:10" s="98" customFormat="1" ht="178.5" hidden="1" customHeight="1" x14ac:dyDescent="0.3">
      <c r="A27" s="79">
        <v>44404</v>
      </c>
      <c r="B27" s="100">
        <v>4</v>
      </c>
      <c r="C27" s="101" t="s">
        <v>2081</v>
      </c>
      <c r="D27" s="100" t="s">
        <v>235</v>
      </c>
      <c r="E27" s="100"/>
      <c r="F27" s="100"/>
      <c r="G27" s="79">
        <v>44421</v>
      </c>
      <c r="H27" s="96" t="s">
        <v>2194</v>
      </c>
      <c r="I27" s="79">
        <v>44419</v>
      </c>
      <c r="J27" s="82"/>
    </row>
    <row r="28" spans="1:10" s="98" customFormat="1" ht="34" hidden="1" x14ac:dyDescent="0.3">
      <c r="A28" s="81">
        <v>44400</v>
      </c>
      <c r="B28" s="89">
        <v>2</v>
      </c>
      <c r="C28" s="78" t="s">
        <v>2082</v>
      </c>
      <c r="D28" s="89" t="s">
        <v>136</v>
      </c>
      <c r="E28" s="89"/>
      <c r="F28" s="89"/>
      <c r="G28" s="81">
        <v>44428</v>
      </c>
      <c r="H28" s="82"/>
      <c r="I28" s="81">
        <v>44456</v>
      </c>
      <c r="J28" s="82"/>
    </row>
    <row r="29" spans="1:10" s="103" customFormat="1" ht="21" hidden="1" customHeight="1" x14ac:dyDescent="0.3">
      <c r="A29" s="81">
        <v>44403</v>
      </c>
      <c r="B29" s="89">
        <v>9</v>
      </c>
      <c r="C29" s="78" t="s">
        <v>2083</v>
      </c>
      <c r="D29" s="89" t="s">
        <v>193</v>
      </c>
      <c r="E29" s="89"/>
      <c r="F29" s="89"/>
      <c r="G29" s="79">
        <v>44428</v>
      </c>
      <c r="H29" s="96" t="s">
        <v>3290</v>
      </c>
      <c r="I29" s="81">
        <v>44432</v>
      </c>
      <c r="J29" s="102" t="s">
        <v>3289</v>
      </c>
    </row>
    <row r="30" spans="1:10" s="98" customFormat="1" hidden="1" x14ac:dyDescent="0.3">
      <c r="A30" s="81">
        <v>44396</v>
      </c>
      <c r="B30" s="89">
        <v>1</v>
      </c>
      <c r="C30" s="78" t="s">
        <v>2084</v>
      </c>
      <c r="D30" s="89" t="s">
        <v>136</v>
      </c>
      <c r="E30" s="89"/>
      <c r="F30" s="89"/>
      <c r="G30" s="309">
        <v>44255</v>
      </c>
      <c r="H30" s="82"/>
      <c r="I30" s="81">
        <v>44547</v>
      </c>
      <c r="J30" s="82"/>
    </row>
    <row r="31" spans="1:10" s="98" customFormat="1" ht="33" customHeight="1" x14ac:dyDescent="0.3">
      <c r="A31" s="81">
        <v>44398</v>
      </c>
      <c r="B31" s="89">
        <v>4</v>
      </c>
      <c r="C31" s="99" t="s">
        <v>3270</v>
      </c>
      <c r="D31" s="159" t="s">
        <v>3281</v>
      </c>
      <c r="E31" s="89" t="str">
        <f>IFERROR(MID(C31,FIND("L",C31),5),"")</f>
        <v>L5500</v>
      </c>
      <c r="F31" s="89" t="str">
        <f>IFERROR(VLOOKUP(E31,URS確認!E:I,5,FALSE),"")</f>
        <v>張金龍</v>
      </c>
      <c r="G31" s="81">
        <v>44439</v>
      </c>
      <c r="H31" s="82" t="s">
        <v>3295</v>
      </c>
      <c r="I31" s="81"/>
      <c r="J31" s="82"/>
    </row>
    <row r="32" spans="1:10" s="98" customFormat="1" hidden="1" x14ac:dyDescent="0.3">
      <c r="A32" s="81">
        <v>44403</v>
      </c>
      <c r="B32" s="89">
        <v>4</v>
      </c>
      <c r="C32" s="78" t="s">
        <v>3284</v>
      </c>
      <c r="D32" s="89" t="s">
        <v>193</v>
      </c>
      <c r="E32" s="89" t="str">
        <f t="shared" ref="E32:E34" si="0">IFERROR(MID(C32,FIND("L",C32),5),"")</f>
        <v/>
      </c>
      <c r="F32" s="89" t="s">
        <v>2774</v>
      </c>
      <c r="G32" s="81">
        <v>44439</v>
      </c>
      <c r="H32" s="82" t="s">
        <v>3274</v>
      </c>
      <c r="I32" s="82" t="s">
        <v>3274</v>
      </c>
      <c r="J32" s="82"/>
    </row>
    <row r="33" spans="1:11" s="98" customFormat="1" ht="33" hidden="1" customHeight="1" x14ac:dyDescent="0.3">
      <c r="A33" s="81">
        <v>44403</v>
      </c>
      <c r="B33" s="89">
        <v>8</v>
      </c>
      <c r="C33" s="78" t="s">
        <v>2087</v>
      </c>
      <c r="D33" s="89" t="s">
        <v>15</v>
      </c>
      <c r="E33" s="89" t="str">
        <f t="shared" si="0"/>
        <v>L2111</v>
      </c>
      <c r="F33" s="89" t="str">
        <f>IFERROR(VLOOKUP(E33,URS確認!E:I,5,FALSE),"")</f>
        <v>余家興</v>
      </c>
      <c r="G33" s="81">
        <v>44439</v>
      </c>
      <c r="H33" s="96" t="s">
        <v>3288</v>
      </c>
      <c r="I33" s="81">
        <v>44553</v>
      </c>
      <c r="J33" s="82"/>
    </row>
    <row r="34" spans="1:11" s="98" customFormat="1" ht="33" hidden="1" customHeight="1" x14ac:dyDescent="0.3">
      <c r="A34" s="81">
        <v>44404</v>
      </c>
      <c r="B34" s="89">
        <v>2</v>
      </c>
      <c r="C34" s="78" t="s">
        <v>2088</v>
      </c>
      <c r="D34" s="89" t="s">
        <v>193</v>
      </c>
      <c r="E34" s="89" t="str">
        <f t="shared" si="0"/>
        <v>L3701</v>
      </c>
      <c r="F34" s="89" t="str">
        <f>IFERROR(VLOOKUP(E34,URS確認!E:I,5,FALSE),"")</f>
        <v>余家興</v>
      </c>
      <c r="G34" s="81">
        <v>44439</v>
      </c>
      <c r="H34" s="82"/>
      <c r="I34" s="81">
        <v>44553</v>
      </c>
      <c r="J34" s="82"/>
    </row>
    <row r="35" spans="1:11" s="98" customFormat="1" ht="33" hidden="1" customHeight="1" x14ac:dyDescent="0.3">
      <c r="A35" s="81">
        <v>44404</v>
      </c>
      <c r="B35" s="89">
        <v>1</v>
      </c>
      <c r="C35" s="78" t="s">
        <v>2089</v>
      </c>
      <c r="D35" s="89" t="s">
        <v>136</v>
      </c>
      <c r="E35" s="89"/>
      <c r="F35" s="89"/>
      <c r="G35" s="81" t="s">
        <v>2195</v>
      </c>
      <c r="H35" s="82"/>
      <c r="I35" s="81">
        <v>44547</v>
      </c>
      <c r="J35" s="82"/>
    </row>
    <row r="36" spans="1:11" hidden="1" x14ac:dyDescent="0.3">
      <c r="A36" s="81">
        <v>44431</v>
      </c>
      <c r="B36" s="675">
        <v>1</v>
      </c>
      <c r="C36" s="78" t="s">
        <v>2090</v>
      </c>
      <c r="D36" s="89" t="s">
        <v>136</v>
      </c>
      <c r="G36" s="71">
        <v>44454</v>
      </c>
      <c r="I36" s="81">
        <v>44519</v>
      </c>
    </row>
    <row r="37" spans="1:11" hidden="1" x14ac:dyDescent="0.4">
      <c r="A37" s="81">
        <v>44431</v>
      </c>
      <c r="B37" s="675">
        <v>2</v>
      </c>
      <c r="C37" s="68" t="s">
        <v>2091</v>
      </c>
      <c r="D37" s="89" t="s">
        <v>136</v>
      </c>
      <c r="G37" s="71">
        <v>44454</v>
      </c>
      <c r="I37" s="81">
        <v>44519</v>
      </c>
    </row>
    <row r="38" spans="1:11" ht="31.5" hidden="1" customHeight="1" x14ac:dyDescent="0.3">
      <c r="A38" s="71">
        <v>44432</v>
      </c>
      <c r="B38" s="675">
        <v>1</v>
      </c>
      <c r="C38" s="78" t="s">
        <v>2092</v>
      </c>
      <c r="D38" s="675" t="s">
        <v>9</v>
      </c>
      <c r="E38" s="671"/>
      <c r="F38" s="671"/>
      <c r="G38" s="71">
        <v>44442</v>
      </c>
      <c r="H38" s="80" t="s">
        <v>3263</v>
      </c>
      <c r="I38" s="81">
        <v>44433</v>
      </c>
    </row>
    <row r="39" spans="1:11" ht="33" hidden="1" customHeight="1" x14ac:dyDescent="0.3">
      <c r="A39" s="71">
        <v>44432</v>
      </c>
      <c r="B39" s="675">
        <v>2</v>
      </c>
      <c r="C39" s="78" t="s">
        <v>3272</v>
      </c>
      <c r="D39" s="675" t="s">
        <v>193</v>
      </c>
      <c r="E39" s="89" t="str">
        <f t="shared" ref="E39:E40" si="1">IFERROR(MID(C39,FIND("L",C39),5),"")</f>
        <v/>
      </c>
      <c r="F39" s="89" t="s">
        <v>3273</v>
      </c>
      <c r="G39" s="71">
        <v>44560</v>
      </c>
      <c r="H39" s="80" t="s">
        <v>3293</v>
      </c>
      <c r="I39" s="81">
        <v>44553</v>
      </c>
    </row>
    <row r="40" spans="1:11" x14ac:dyDescent="0.3">
      <c r="A40" s="71">
        <v>44432</v>
      </c>
      <c r="B40" s="675">
        <v>3</v>
      </c>
      <c r="C40" s="78" t="s">
        <v>2094</v>
      </c>
      <c r="D40" s="675" t="s">
        <v>136</v>
      </c>
      <c r="E40" s="89" t="str">
        <f t="shared" si="1"/>
        <v/>
      </c>
      <c r="F40" s="89" t="str">
        <f>IFERROR(VLOOKUP(E40,URS確認!E:I,5,FALSE),"")</f>
        <v/>
      </c>
      <c r="G40" s="71">
        <v>44592</v>
      </c>
    </row>
    <row r="41" spans="1:11" hidden="1" x14ac:dyDescent="0.3">
      <c r="A41" s="71">
        <v>44432</v>
      </c>
      <c r="B41" s="675">
        <v>4</v>
      </c>
      <c r="C41" s="78" t="s">
        <v>2095</v>
      </c>
      <c r="D41" s="675" t="s">
        <v>136</v>
      </c>
      <c r="E41" s="671"/>
      <c r="F41" s="671"/>
      <c r="G41" s="71">
        <v>44435</v>
      </c>
      <c r="H41" s="82" t="s">
        <v>3279</v>
      </c>
      <c r="I41" s="81">
        <v>44519</v>
      </c>
    </row>
    <row r="42" spans="1:11" ht="33" hidden="1" customHeight="1" x14ac:dyDescent="0.3">
      <c r="A42" s="71">
        <v>44432</v>
      </c>
      <c r="B42" s="675">
        <v>5</v>
      </c>
      <c r="C42" s="78" t="s">
        <v>2096</v>
      </c>
      <c r="D42" s="675" t="s">
        <v>136</v>
      </c>
      <c r="E42" s="671"/>
      <c r="F42" s="671"/>
      <c r="G42" s="71">
        <v>44435</v>
      </c>
      <c r="H42" s="82" t="s">
        <v>3280</v>
      </c>
      <c r="I42" s="81">
        <v>44456</v>
      </c>
    </row>
    <row r="43" spans="1:11" x14ac:dyDescent="0.3">
      <c r="A43" s="71">
        <v>44432</v>
      </c>
      <c r="B43" s="675">
        <v>6</v>
      </c>
      <c r="C43" s="78" t="s">
        <v>2097</v>
      </c>
      <c r="D43" s="675" t="s">
        <v>136</v>
      </c>
      <c r="E43" s="89" t="str">
        <f t="shared" ref="E43:E45" si="2">IFERROR(MID(C43,FIND("L",C43),5),"")</f>
        <v/>
      </c>
      <c r="F43" s="89" t="str">
        <f>IFERROR(VLOOKUP(E43,URS確認!E:I,5,FALSE),"")</f>
        <v/>
      </c>
      <c r="G43" s="71">
        <v>44592</v>
      </c>
    </row>
    <row r="44" spans="1:11" ht="33" customHeight="1" x14ac:dyDescent="0.3">
      <c r="A44" s="71">
        <v>44433</v>
      </c>
      <c r="B44" s="675">
        <v>1</v>
      </c>
      <c r="C44" s="78" t="s">
        <v>2098</v>
      </c>
      <c r="D44" s="675" t="s">
        <v>136</v>
      </c>
      <c r="E44" s="89" t="str">
        <f t="shared" si="2"/>
        <v/>
      </c>
      <c r="F44" s="89" t="str">
        <f>IFERROR(VLOOKUP(E44,URS確認!E:I,5,FALSE),"")</f>
        <v/>
      </c>
      <c r="G44" s="71">
        <v>44592</v>
      </c>
    </row>
    <row r="45" spans="1:11" hidden="1" x14ac:dyDescent="0.3">
      <c r="A45" s="71">
        <v>44433</v>
      </c>
      <c r="B45" s="675">
        <v>2</v>
      </c>
      <c r="C45" s="78" t="s">
        <v>2099</v>
      </c>
      <c r="D45" s="675" t="s">
        <v>136</v>
      </c>
      <c r="E45" s="89" t="str">
        <f t="shared" si="2"/>
        <v/>
      </c>
      <c r="F45" s="89" t="str">
        <f>IFERROR(VLOOKUP(E45,URS確認!E:I,5,FALSE),"")</f>
        <v/>
      </c>
      <c r="G45" s="71">
        <v>44547</v>
      </c>
      <c r="I45" s="81">
        <v>44547</v>
      </c>
    </row>
    <row r="46" spans="1:11" ht="33" hidden="1" customHeight="1" x14ac:dyDescent="0.3">
      <c r="A46" s="71">
        <v>44438</v>
      </c>
      <c r="B46" s="675">
        <v>1</v>
      </c>
      <c r="C46" s="74" t="s">
        <v>2100</v>
      </c>
      <c r="D46" s="126" t="s">
        <v>2196</v>
      </c>
      <c r="E46" s="126"/>
      <c r="F46" s="126"/>
      <c r="G46" s="71">
        <v>44449</v>
      </c>
      <c r="H46" s="80" t="s">
        <v>2197</v>
      </c>
      <c r="I46" s="81">
        <v>44462</v>
      </c>
    </row>
    <row r="47" spans="1:11" ht="73.5" hidden="1" customHeight="1" x14ac:dyDescent="0.3">
      <c r="A47" s="71">
        <v>44438</v>
      </c>
      <c r="B47" s="675">
        <v>2</v>
      </c>
      <c r="C47" s="74" t="s">
        <v>2101</v>
      </c>
      <c r="D47" s="126" t="s">
        <v>2196</v>
      </c>
      <c r="E47" s="126"/>
      <c r="F47" s="126"/>
      <c r="G47" s="71">
        <v>44449</v>
      </c>
      <c r="H47" s="80" t="s">
        <v>3276</v>
      </c>
      <c r="I47" s="81">
        <v>44462</v>
      </c>
    </row>
    <row r="48" spans="1:11" ht="34" hidden="1" customHeight="1" x14ac:dyDescent="0.3">
      <c r="A48" s="71">
        <v>44438</v>
      </c>
      <c r="B48" s="675">
        <v>3</v>
      </c>
      <c r="C48" s="78" t="s">
        <v>2102</v>
      </c>
      <c r="D48" s="675" t="s">
        <v>5</v>
      </c>
      <c r="E48" s="89" t="str">
        <f t="shared" ref="E48:E49" si="3">IFERROR(MID(C48,FIND("L",C48),5),"")</f>
        <v/>
      </c>
      <c r="F48" s="89" t="s">
        <v>3273</v>
      </c>
      <c r="G48" s="71">
        <v>44469</v>
      </c>
      <c r="H48" s="80" t="s">
        <v>3277</v>
      </c>
      <c r="I48" s="81">
        <v>44452</v>
      </c>
      <c r="K48" s="82" t="s">
        <v>2198</v>
      </c>
    </row>
    <row r="49" spans="1:10" ht="22" hidden="1" x14ac:dyDescent="0.3">
      <c r="A49" s="71">
        <v>44438</v>
      </c>
      <c r="B49" s="675">
        <v>4</v>
      </c>
      <c r="C49" s="74" t="s">
        <v>3282</v>
      </c>
      <c r="D49" s="675" t="s">
        <v>9</v>
      </c>
      <c r="E49" s="89" t="str">
        <f t="shared" si="3"/>
        <v/>
      </c>
      <c r="F49" s="89" t="s">
        <v>3278</v>
      </c>
      <c r="G49" s="71">
        <v>44449</v>
      </c>
      <c r="H49" s="80" t="s">
        <v>3292</v>
      </c>
      <c r="I49" s="81">
        <v>44524</v>
      </c>
    </row>
    <row r="50" spans="1:10" hidden="1" x14ac:dyDescent="0.3">
      <c r="A50" s="71">
        <v>44439</v>
      </c>
      <c r="B50" s="675">
        <v>1</v>
      </c>
      <c r="C50" s="78" t="s">
        <v>2104</v>
      </c>
      <c r="D50" s="89" t="s">
        <v>193</v>
      </c>
      <c r="G50" s="71">
        <v>44469</v>
      </c>
      <c r="I50" s="81">
        <v>44494</v>
      </c>
    </row>
    <row r="51" spans="1:10" ht="49.5" hidden="1" customHeight="1" x14ac:dyDescent="0.3">
      <c r="A51" s="71">
        <v>44439</v>
      </c>
      <c r="B51" s="675">
        <v>2</v>
      </c>
      <c r="C51" s="124" t="s">
        <v>2105</v>
      </c>
      <c r="D51" s="126" t="s">
        <v>2199</v>
      </c>
      <c r="E51" s="126"/>
      <c r="F51" s="126"/>
      <c r="G51" s="71">
        <v>44449</v>
      </c>
      <c r="H51" s="80" t="s">
        <v>2200</v>
      </c>
      <c r="I51" s="81">
        <v>44435</v>
      </c>
    </row>
    <row r="52" spans="1:10" ht="34" hidden="1" customHeight="1" x14ac:dyDescent="0.3">
      <c r="A52" s="81">
        <v>44452</v>
      </c>
      <c r="B52" s="89">
        <v>1</v>
      </c>
      <c r="C52" s="78" t="s">
        <v>2106</v>
      </c>
      <c r="D52" s="89" t="s">
        <v>193</v>
      </c>
      <c r="E52" s="89" t="str">
        <f t="shared" ref="E52:E54" si="4">IFERROR(MID(C52,FIND("L",C52),5),"")</f>
        <v>L3220</v>
      </c>
      <c r="F52" s="89" t="str">
        <f>IFERROR(VLOOKUP(E52,URS確認!E:I,5,FALSE),"")</f>
        <v>余家興</v>
      </c>
      <c r="G52" s="71">
        <v>44469</v>
      </c>
      <c r="H52" s="82" t="s">
        <v>3275</v>
      </c>
      <c r="I52" s="81">
        <v>44524</v>
      </c>
    </row>
    <row r="53" spans="1:10" ht="121.5" x14ac:dyDescent="0.3">
      <c r="A53" s="81">
        <v>44452</v>
      </c>
      <c r="B53" s="89">
        <v>2</v>
      </c>
      <c r="C53" s="78" t="s">
        <v>3294</v>
      </c>
      <c r="D53" s="89" t="s">
        <v>193</v>
      </c>
      <c r="E53" s="89" t="str">
        <f t="shared" si="4"/>
        <v/>
      </c>
      <c r="F53" s="89" t="s">
        <v>3273</v>
      </c>
      <c r="G53" s="71">
        <v>44469</v>
      </c>
      <c r="H53" s="233" t="s">
        <v>3313</v>
      </c>
    </row>
    <row r="54" spans="1:10" ht="40.5" x14ac:dyDescent="0.3">
      <c r="A54" s="81">
        <v>44455</v>
      </c>
      <c r="B54" s="89">
        <v>1</v>
      </c>
      <c r="C54" s="78" t="s">
        <v>3291</v>
      </c>
      <c r="D54" s="159" t="s">
        <v>2201</v>
      </c>
      <c r="E54" s="89" t="str">
        <f t="shared" si="4"/>
        <v>L6001</v>
      </c>
      <c r="F54" s="89" t="s">
        <v>2774</v>
      </c>
      <c r="G54" s="71">
        <v>44466</v>
      </c>
      <c r="H54" s="233" t="s">
        <v>3296</v>
      </c>
      <c r="I54" s="678"/>
    </row>
    <row r="55" spans="1:10" ht="33" hidden="1" customHeight="1" x14ac:dyDescent="0.3">
      <c r="A55" s="81">
        <v>44455</v>
      </c>
      <c r="B55" s="89">
        <v>2</v>
      </c>
      <c r="C55" s="78" t="s">
        <v>2109</v>
      </c>
      <c r="D55" s="89" t="s">
        <v>24</v>
      </c>
      <c r="G55" s="71">
        <v>44466</v>
      </c>
      <c r="H55" s="78" t="s">
        <v>2202</v>
      </c>
      <c r="I55" s="81">
        <v>44463</v>
      </c>
    </row>
    <row r="56" spans="1:10" hidden="1" x14ac:dyDescent="0.3">
      <c r="A56" s="81">
        <v>44455</v>
      </c>
      <c r="B56" s="89">
        <v>3</v>
      </c>
      <c r="C56" s="78" t="s">
        <v>2110</v>
      </c>
      <c r="D56" s="675" t="s">
        <v>10</v>
      </c>
      <c r="E56" s="671"/>
      <c r="F56" s="671"/>
      <c r="G56" s="71">
        <v>44466</v>
      </c>
      <c r="H56" s="82" t="s">
        <v>2203</v>
      </c>
      <c r="I56" s="81">
        <v>44468</v>
      </c>
    </row>
    <row r="57" spans="1:10" hidden="1" x14ac:dyDescent="0.3">
      <c r="A57" s="81">
        <v>44455</v>
      </c>
      <c r="B57" s="89">
        <v>4</v>
      </c>
      <c r="C57" s="78" t="s">
        <v>2111</v>
      </c>
      <c r="D57" s="675" t="s">
        <v>24</v>
      </c>
      <c r="E57" s="89" t="str">
        <f>IFERROR(MID(C57,FIND("L",C57),5),"")</f>
        <v/>
      </c>
      <c r="F57" s="89" t="str">
        <f>IFERROR(VLOOKUP(E57,URS確認!E:I,5,FALSE),"")</f>
        <v/>
      </c>
      <c r="G57" s="71">
        <v>44474</v>
      </c>
      <c r="H57" s="82" t="s">
        <v>3267</v>
      </c>
      <c r="I57" s="81">
        <v>44475</v>
      </c>
    </row>
    <row r="58" spans="1:10" ht="33" hidden="1" customHeight="1" x14ac:dyDescent="0.3">
      <c r="A58" s="81">
        <v>44462</v>
      </c>
      <c r="B58" s="89">
        <v>1</v>
      </c>
      <c r="C58" s="78" t="s">
        <v>2112</v>
      </c>
      <c r="D58" s="89" t="s">
        <v>25</v>
      </c>
      <c r="G58" s="81">
        <v>44467</v>
      </c>
      <c r="H58" s="82" t="s">
        <v>2204</v>
      </c>
      <c r="I58" s="81">
        <v>44463</v>
      </c>
      <c r="J58" s="367">
        <v>44489</v>
      </c>
    </row>
    <row r="59" spans="1:10" hidden="1" x14ac:dyDescent="0.3">
      <c r="A59" s="81">
        <v>44463</v>
      </c>
      <c r="B59" s="89">
        <v>1</v>
      </c>
      <c r="C59" s="78" t="s">
        <v>2113</v>
      </c>
      <c r="D59" s="89" t="s">
        <v>25</v>
      </c>
      <c r="G59" s="81">
        <v>44469</v>
      </c>
      <c r="H59" s="82" t="s">
        <v>2205</v>
      </c>
      <c r="I59" s="81">
        <v>44469</v>
      </c>
      <c r="J59" s="367">
        <v>44489</v>
      </c>
    </row>
    <row r="60" spans="1:10" hidden="1" x14ac:dyDescent="0.3">
      <c r="A60" s="81">
        <v>44463</v>
      </c>
      <c r="B60" s="89">
        <v>2</v>
      </c>
      <c r="C60" s="78" t="s">
        <v>2114</v>
      </c>
      <c r="D60" s="89" t="s">
        <v>7</v>
      </c>
      <c r="G60" s="81">
        <v>44469</v>
      </c>
      <c r="H60" s="82" t="s">
        <v>2205</v>
      </c>
      <c r="I60" s="81">
        <v>44469</v>
      </c>
    </row>
    <row r="61" spans="1:10" ht="32.5" hidden="1" customHeight="1" x14ac:dyDescent="0.3">
      <c r="A61" s="71">
        <v>44467</v>
      </c>
      <c r="B61" s="675">
        <v>1</v>
      </c>
      <c r="C61" s="78" t="s">
        <v>2115</v>
      </c>
      <c r="D61" s="675" t="s">
        <v>8</v>
      </c>
      <c r="E61" s="671"/>
      <c r="F61" s="671"/>
      <c r="G61" s="71">
        <v>44477</v>
      </c>
      <c r="H61" s="82" t="s">
        <v>2185</v>
      </c>
      <c r="I61" s="81">
        <v>44468</v>
      </c>
    </row>
    <row r="62" spans="1:10" ht="40.5" x14ac:dyDescent="0.3">
      <c r="A62" s="71">
        <v>44468</v>
      </c>
      <c r="B62" s="675">
        <v>1</v>
      </c>
      <c r="C62" s="78" t="s">
        <v>3298</v>
      </c>
      <c r="D62" s="126" t="s">
        <v>3299</v>
      </c>
      <c r="E62" s="89" t="str">
        <f>IFERROR(MID(C62,FIND("L",C62),5),"")</f>
        <v/>
      </c>
      <c r="F62" s="89" t="s">
        <v>2774</v>
      </c>
      <c r="G62" s="71">
        <v>44475</v>
      </c>
      <c r="H62" s="233" t="s">
        <v>3297</v>
      </c>
      <c r="I62" s="80"/>
    </row>
    <row r="63" spans="1:10" ht="33" hidden="1" customHeight="1" x14ac:dyDescent="0.3">
      <c r="A63" s="71">
        <v>44481</v>
      </c>
      <c r="B63" s="675">
        <v>1</v>
      </c>
      <c r="C63" s="78" t="s">
        <v>2117</v>
      </c>
      <c r="D63" s="126" t="s">
        <v>23</v>
      </c>
      <c r="E63" s="126"/>
      <c r="F63" s="126"/>
      <c r="G63" s="81">
        <v>44487</v>
      </c>
      <c r="H63" s="82" t="s">
        <v>2206</v>
      </c>
      <c r="I63" s="81">
        <v>44483</v>
      </c>
    </row>
    <row r="64" spans="1:10" ht="148.5" hidden="1" customHeight="1" x14ac:dyDescent="0.3">
      <c r="A64" s="71">
        <v>44484</v>
      </c>
      <c r="B64" s="675">
        <v>1</v>
      </c>
      <c r="C64" s="78" t="s">
        <v>2118</v>
      </c>
      <c r="D64" s="126" t="s">
        <v>22</v>
      </c>
      <c r="E64" s="89" t="str">
        <f>IFERROR(MID(C64,FIND("L",C64),5),"")</f>
        <v>L4454</v>
      </c>
      <c r="F64" s="89" t="str">
        <f>IFERROR(VLOOKUP(E64,URS確認!E:I,5,FALSE),"")</f>
        <v>陳昱衡</v>
      </c>
      <c r="G64" s="71">
        <v>44498</v>
      </c>
      <c r="H64" s="101" t="s">
        <v>2207</v>
      </c>
      <c r="I64" s="81">
        <v>44496</v>
      </c>
    </row>
    <row r="65" spans="1:10" ht="71.25" hidden="1" customHeight="1" x14ac:dyDescent="0.3">
      <c r="A65" s="71">
        <v>44487</v>
      </c>
      <c r="B65" s="675">
        <v>1</v>
      </c>
      <c r="C65" s="78" t="s">
        <v>2119</v>
      </c>
      <c r="D65" s="89" t="s">
        <v>14</v>
      </c>
      <c r="G65" s="81">
        <v>44487</v>
      </c>
      <c r="H65" s="233" t="s">
        <v>2208</v>
      </c>
      <c r="I65" s="81">
        <v>44494</v>
      </c>
    </row>
    <row r="66" spans="1:10" s="315" customFormat="1" ht="66" hidden="1" customHeight="1" x14ac:dyDescent="0.3">
      <c r="A66" s="71">
        <v>44488</v>
      </c>
      <c r="B66" s="675">
        <v>1</v>
      </c>
      <c r="C66" s="99" t="s">
        <v>2120</v>
      </c>
      <c r="D66" s="675" t="s">
        <v>24</v>
      </c>
      <c r="E66" s="671"/>
      <c r="F66" s="671"/>
      <c r="G66" s="71">
        <v>44491</v>
      </c>
      <c r="H66" s="78" t="s">
        <v>2209</v>
      </c>
      <c r="I66" s="71">
        <v>44490</v>
      </c>
    </row>
    <row r="67" spans="1:10" ht="33" hidden="1" customHeight="1" x14ac:dyDescent="0.3">
      <c r="A67" s="71">
        <v>44488</v>
      </c>
      <c r="B67" s="675">
        <v>2</v>
      </c>
      <c r="C67" s="78" t="s">
        <v>3202</v>
      </c>
      <c r="D67" s="675" t="s">
        <v>24</v>
      </c>
      <c r="E67" s="671"/>
      <c r="F67" s="671"/>
      <c r="G67" s="71">
        <v>44491</v>
      </c>
      <c r="H67" s="78" t="s">
        <v>2210</v>
      </c>
      <c r="I67" s="71">
        <v>44490</v>
      </c>
    </row>
    <row r="68" spans="1:10" ht="49.5" hidden="1" customHeight="1" x14ac:dyDescent="0.3">
      <c r="A68" s="71">
        <v>44488</v>
      </c>
      <c r="B68" s="675">
        <v>3</v>
      </c>
      <c r="C68" s="78" t="s">
        <v>2122</v>
      </c>
      <c r="D68" s="89" t="s">
        <v>8</v>
      </c>
      <c r="G68" s="71">
        <v>44491</v>
      </c>
      <c r="H68" s="78" t="s">
        <v>2211</v>
      </c>
      <c r="I68" s="71">
        <v>44490</v>
      </c>
    </row>
    <row r="69" spans="1:10" ht="49.5" hidden="1" customHeight="1" x14ac:dyDescent="0.3">
      <c r="A69" s="71">
        <v>44488</v>
      </c>
      <c r="B69" s="675">
        <v>4</v>
      </c>
      <c r="C69" s="78" t="s">
        <v>2123</v>
      </c>
      <c r="D69" s="89" t="s">
        <v>24</v>
      </c>
      <c r="G69" s="71">
        <v>44491</v>
      </c>
      <c r="H69" s="78" t="s">
        <v>2212</v>
      </c>
      <c r="I69" s="71">
        <v>44490</v>
      </c>
    </row>
    <row r="70" spans="1:10" ht="33" hidden="1" customHeight="1" x14ac:dyDescent="0.3">
      <c r="A70" s="71">
        <v>44488</v>
      </c>
      <c r="B70" s="675">
        <v>5</v>
      </c>
      <c r="C70" s="78" t="s">
        <v>3265</v>
      </c>
      <c r="D70" s="89" t="s">
        <v>8</v>
      </c>
      <c r="E70" s="89" t="str">
        <f>IFERROR(MID(C70,FIND("L",C70),5),"")</f>
        <v/>
      </c>
      <c r="F70" s="89" t="str">
        <f>IFERROR(VLOOKUP(E70,URS確認!E:I,5,FALSE),"")</f>
        <v/>
      </c>
      <c r="G70" s="71">
        <v>44496</v>
      </c>
      <c r="H70" s="78" t="s">
        <v>3266</v>
      </c>
      <c r="I70" s="81">
        <v>44504</v>
      </c>
    </row>
    <row r="71" spans="1:10" ht="42.75" hidden="1" customHeight="1" x14ac:dyDescent="0.3">
      <c r="A71" s="71">
        <v>44488</v>
      </c>
      <c r="B71" s="675">
        <v>6</v>
      </c>
      <c r="C71" s="78" t="s">
        <v>2125</v>
      </c>
      <c r="D71" s="89" t="s">
        <v>14</v>
      </c>
      <c r="G71" s="81">
        <v>44495</v>
      </c>
      <c r="H71" s="233" t="s">
        <v>2213</v>
      </c>
      <c r="I71" s="71">
        <v>44495</v>
      </c>
    </row>
    <row r="72" spans="1:10" ht="66" hidden="1" customHeight="1" x14ac:dyDescent="0.3">
      <c r="A72" s="71">
        <v>44490</v>
      </c>
      <c r="B72" s="675">
        <v>1</v>
      </c>
      <c r="C72" s="78" t="s">
        <v>2126</v>
      </c>
      <c r="D72" s="675" t="s">
        <v>7</v>
      </c>
      <c r="E72" s="89" t="str">
        <f t="shared" ref="E72:E74" si="5">IFERROR(MID(C72,FIND("L",C72),5),"")</f>
        <v>L4030</v>
      </c>
      <c r="F72" s="89" t="str">
        <f>IFERROR(VLOOKUP(E72,URS確認!E:I,5,FALSE),"")</f>
        <v>陳昱衡</v>
      </c>
      <c r="G72" s="71">
        <v>44498</v>
      </c>
      <c r="I72" s="81">
        <v>44531</v>
      </c>
      <c r="J72" s="673">
        <v>44531</v>
      </c>
    </row>
    <row r="73" spans="1:10" ht="33" hidden="1" customHeight="1" x14ac:dyDescent="0.3">
      <c r="A73" s="71">
        <v>44491</v>
      </c>
      <c r="B73" s="675">
        <v>1</v>
      </c>
      <c r="C73" s="78" t="s">
        <v>3268</v>
      </c>
      <c r="D73" s="675" t="s">
        <v>194</v>
      </c>
      <c r="E73" s="89" t="str">
        <f t="shared" si="5"/>
        <v>L6042</v>
      </c>
      <c r="F73" s="89" t="str">
        <f>IFERROR(VLOOKUP(E73,URS確認!E:I,5,FALSE),"")</f>
        <v>楊智誠</v>
      </c>
      <c r="G73" s="81">
        <v>44501</v>
      </c>
      <c r="H73" s="78" t="s">
        <v>3269</v>
      </c>
      <c r="I73" s="81">
        <v>44501</v>
      </c>
    </row>
    <row r="74" spans="1:10" ht="313.5" hidden="1" customHeight="1" x14ac:dyDescent="0.3">
      <c r="A74" s="71">
        <v>44491</v>
      </c>
      <c r="B74" s="675">
        <v>2</v>
      </c>
      <c r="C74" s="78" t="s">
        <v>2128</v>
      </c>
      <c r="D74" s="675" t="s">
        <v>193</v>
      </c>
      <c r="E74" s="89" t="str">
        <f t="shared" si="5"/>
        <v>L1905</v>
      </c>
      <c r="F74" s="674" t="s">
        <v>136</v>
      </c>
      <c r="G74" s="71">
        <v>44494</v>
      </c>
      <c r="H74" s="78" t="s">
        <v>2214</v>
      </c>
      <c r="I74" s="81">
        <v>44494</v>
      </c>
    </row>
    <row r="75" spans="1:10" ht="33" hidden="1" customHeight="1" x14ac:dyDescent="0.3">
      <c r="A75" s="71">
        <v>44494</v>
      </c>
      <c r="B75" s="675">
        <v>1</v>
      </c>
      <c r="C75" s="78" t="s">
        <v>2129</v>
      </c>
      <c r="D75" s="675" t="s">
        <v>136</v>
      </c>
      <c r="E75" s="671"/>
      <c r="F75" s="671"/>
      <c r="G75" s="71">
        <v>44498</v>
      </c>
      <c r="H75" s="78"/>
      <c r="I75" s="81">
        <v>44547</v>
      </c>
    </row>
    <row r="76" spans="1:10" hidden="1" x14ac:dyDescent="0.3">
      <c r="A76" s="71">
        <v>44494</v>
      </c>
      <c r="B76" s="675">
        <v>2</v>
      </c>
      <c r="C76" s="78" t="s">
        <v>2130</v>
      </c>
      <c r="D76" s="675" t="s">
        <v>136</v>
      </c>
      <c r="E76" s="671"/>
      <c r="F76" s="671"/>
      <c r="G76" s="71">
        <v>44620</v>
      </c>
      <c r="H76" s="78"/>
      <c r="I76" s="81">
        <v>44547</v>
      </c>
    </row>
    <row r="77" spans="1:10" ht="34" hidden="1" x14ac:dyDescent="0.3">
      <c r="A77" s="71">
        <v>44494</v>
      </c>
      <c r="B77" s="675">
        <v>1</v>
      </c>
      <c r="C77" s="78" t="s">
        <v>2131</v>
      </c>
      <c r="D77" s="675" t="s">
        <v>2215</v>
      </c>
      <c r="E77" s="89" t="str">
        <f>IFERROR(MID(C77,FIND("L",C77),5),"")</f>
        <v>L2480</v>
      </c>
      <c r="F77" s="89" t="str">
        <f>IFERROR(VLOOKUP(E77,URS確認!E:I,5,FALSE),"")</f>
        <v>陳昱衡</v>
      </c>
      <c r="G77" s="71">
        <v>44530</v>
      </c>
      <c r="H77" s="78"/>
      <c r="I77" s="71">
        <v>44525</v>
      </c>
      <c r="J77" s="71">
        <v>44525</v>
      </c>
    </row>
    <row r="78" spans="1:10" ht="34" hidden="1" customHeight="1" x14ac:dyDescent="0.3">
      <c r="A78" s="71">
        <v>44496</v>
      </c>
      <c r="B78" s="89">
        <v>1</v>
      </c>
      <c r="C78" s="78" t="s">
        <v>2132</v>
      </c>
      <c r="D78" s="89" t="s">
        <v>25</v>
      </c>
      <c r="G78" s="81">
        <v>44526</v>
      </c>
      <c r="H78" s="78" t="s">
        <v>3260</v>
      </c>
      <c r="I78" s="81">
        <v>44539</v>
      </c>
    </row>
    <row r="79" spans="1:10" hidden="1" x14ac:dyDescent="0.3">
      <c r="A79" s="71">
        <v>44496</v>
      </c>
      <c r="B79" s="89">
        <v>2</v>
      </c>
      <c r="C79" s="78" t="s">
        <v>2133</v>
      </c>
      <c r="D79" s="89" t="s">
        <v>7</v>
      </c>
      <c r="G79" s="81" t="s">
        <v>2216</v>
      </c>
      <c r="I79" s="81">
        <v>44505</v>
      </c>
    </row>
    <row r="80" spans="1:10" ht="144.75" hidden="1" customHeight="1" x14ac:dyDescent="0.3">
      <c r="A80" s="81">
        <v>44503</v>
      </c>
      <c r="B80" s="89">
        <v>1</v>
      </c>
      <c r="C80" s="78" t="s">
        <v>2134</v>
      </c>
      <c r="D80" s="89" t="s">
        <v>28</v>
      </c>
      <c r="E80" s="89" t="str">
        <f t="shared" ref="E80:E81" si="6">IFERROR(MID(C80,FIND("L",C80),5),"")</f>
        <v/>
      </c>
      <c r="F80" s="89" t="s">
        <v>3108</v>
      </c>
      <c r="G80" s="81">
        <v>44505</v>
      </c>
      <c r="H80" s="78" t="s">
        <v>2217</v>
      </c>
      <c r="I80" s="81">
        <v>44552</v>
      </c>
    </row>
    <row r="81" spans="1:10" ht="33" hidden="1" customHeight="1" x14ac:dyDescent="0.3">
      <c r="A81" s="81">
        <v>44503</v>
      </c>
      <c r="B81" s="89">
        <v>2</v>
      </c>
      <c r="C81" s="78" t="s">
        <v>2135</v>
      </c>
      <c r="D81" s="89" t="s">
        <v>28</v>
      </c>
      <c r="E81" s="89" t="str">
        <f t="shared" si="6"/>
        <v/>
      </c>
      <c r="F81" s="89" t="s">
        <v>3108</v>
      </c>
      <c r="G81" s="81">
        <v>44505</v>
      </c>
      <c r="H81" s="78" t="s">
        <v>2218</v>
      </c>
      <c r="I81" s="81">
        <v>44552</v>
      </c>
    </row>
    <row r="82" spans="1:10" hidden="1" x14ac:dyDescent="0.3">
      <c r="A82" s="81">
        <v>44503</v>
      </c>
      <c r="B82" s="89">
        <v>3</v>
      </c>
      <c r="C82" s="78" t="s">
        <v>2136</v>
      </c>
      <c r="D82" s="89" t="s">
        <v>137</v>
      </c>
      <c r="H82" s="82" t="s">
        <v>2219</v>
      </c>
      <c r="I82" s="81">
        <v>44547</v>
      </c>
    </row>
    <row r="83" spans="1:10" hidden="1" x14ac:dyDescent="0.3">
      <c r="A83" s="81">
        <v>44504</v>
      </c>
      <c r="B83" s="89">
        <v>1</v>
      </c>
      <c r="C83" s="78" t="s">
        <v>2137</v>
      </c>
      <c r="D83" s="89" t="s">
        <v>137</v>
      </c>
      <c r="E83" s="89" t="str">
        <f t="shared" ref="E83:E85" si="7">IFERROR(MID(C83,FIND("L",C83),5),"")</f>
        <v/>
      </c>
      <c r="F83" s="89" t="str">
        <f>IFERROR(VLOOKUP(E83,URS確認!E:I,5,FALSE),"")</f>
        <v/>
      </c>
      <c r="G83" s="81">
        <v>44515</v>
      </c>
      <c r="H83" s="82" t="s">
        <v>2185</v>
      </c>
      <c r="I83" s="81">
        <v>44540</v>
      </c>
    </row>
    <row r="84" spans="1:10" ht="34" hidden="1" x14ac:dyDescent="0.3">
      <c r="A84" s="81">
        <v>44504</v>
      </c>
      <c r="B84" s="89">
        <v>2</v>
      </c>
      <c r="C84" s="78" t="s">
        <v>2138</v>
      </c>
      <c r="D84" s="89" t="s">
        <v>25</v>
      </c>
      <c r="E84" s="89" t="str">
        <f t="shared" si="7"/>
        <v/>
      </c>
      <c r="F84" s="89" t="s">
        <v>3108</v>
      </c>
      <c r="G84" s="81">
        <v>44561</v>
      </c>
      <c r="H84" s="82" t="s">
        <v>2954</v>
      </c>
      <c r="I84" s="81">
        <v>44552</v>
      </c>
    </row>
    <row r="85" spans="1:10" ht="34" hidden="1" customHeight="1" x14ac:dyDescent="0.3">
      <c r="A85" s="81">
        <v>44517</v>
      </c>
      <c r="B85" s="89">
        <v>1</v>
      </c>
      <c r="C85" s="78" t="s">
        <v>2220</v>
      </c>
      <c r="D85" s="89" t="s">
        <v>137</v>
      </c>
      <c r="E85" s="89" t="str">
        <f t="shared" si="7"/>
        <v/>
      </c>
      <c r="F85" s="89" t="str">
        <f>IFERROR(VLOOKUP(E85,URS確認!E:I,5,FALSE),"")</f>
        <v/>
      </c>
      <c r="G85" s="81">
        <v>44526</v>
      </c>
      <c r="H85" s="82" t="s">
        <v>2185</v>
      </c>
      <c r="I85" s="81">
        <v>44540</v>
      </c>
    </row>
    <row r="86" spans="1:10" ht="34" hidden="1" customHeight="1" x14ac:dyDescent="0.3">
      <c r="A86" s="81">
        <v>44498</v>
      </c>
      <c r="B86" s="89">
        <v>1</v>
      </c>
      <c r="C86" s="78" t="s">
        <v>2221</v>
      </c>
      <c r="D86" s="89" t="s">
        <v>24</v>
      </c>
      <c r="G86" s="81">
        <v>44498</v>
      </c>
      <c r="H86" s="82" t="s">
        <v>2185</v>
      </c>
      <c r="I86" s="81">
        <v>44504</v>
      </c>
    </row>
    <row r="87" spans="1:10" hidden="1" x14ac:dyDescent="0.3">
      <c r="A87" s="81">
        <v>44498</v>
      </c>
      <c r="B87" s="89">
        <v>2</v>
      </c>
      <c r="C87" s="78" t="s">
        <v>2222</v>
      </c>
      <c r="D87" s="89" t="s">
        <v>24</v>
      </c>
      <c r="G87" s="81">
        <v>44498</v>
      </c>
      <c r="H87" s="82" t="s">
        <v>2185</v>
      </c>
      <c r="I87" s="81">
        <v>44504</v>
      </c>
    </row>
    <row r="88" spans="1:10" ht="34" hidden="1" customHeight="1" x14ac:dyDescent="0.3">
      <c r="A88" s="81">
        <v>44503</v>
      </c>
      <c r="B88" s="89">
        <v>1</v>
      </c>
      <c r="C88" s="78" t="s">
        <v>2223</v>
      </c>
      <c r="D88" s="159" t="s">
        <v>2201</v>
      </c>
      <c r="E88" s="159"/>
      <c r="F88" s="159"/>
      <c r="G88" s="81">
        <v>44526</v>
      </c>
      <c r="H88" s="82" t="s">
        <v>2185</v>
      </c>
      <c r="I88" s="81">
        <v>44529</v>
      </c>
    </row>
    <row r="89" spans="1:10" hidden="1" x14ac:dyDescent="0.4">
      <c r="A89" s="81">
        <v>44498</v>
      </c>
      <c r="B89" s="89">
        <v>1</v>
      </c>
      <c r="C89" s="78" t="s">
        <v>3085</v>
      </c>
      <c r="D89" s="413" t="s">
        <v>11</v>
      </c>
      <c r="E89" s="89" t="str">
        <f>IFERROR(MID(C89,FIND("L",C89),5),"")</f>
        <v>L</v>
      </c>
      <c r="F89" s="89" t="str">
        <f>IFERROR(VLOOKUP(E89,URS確認!E:I,5,FALSE),"")</f>
        <v/>
      </c>
      <c r="G89" s="81">
        <v>44501</v>
      </c>
      <c r="H89" s="82" t="s">
        <v>3086</v>
      </c>
      <c r="I89" s="81">
        <v>44501</v>
      </c>
    </row>
    <row r="90" spans="1:10" ht="42.75" hidden="1" customHeight="1" x14ac:dyDescent="0.3">
      <c r="A90" s="71">
        <v>44524</v>
      </c>
      <c r="B90" s="675">
        <v>1</v>
      </c>
      <c r="C90" s="78" t="s">
        <v>3107</v>
      </c>
      <c r="D90" s="89" t="s">
        <v>3108</v>
      </c>
      <c r="G90" s="81">
        <v>44526</v>
      </c>
      <c r="H90" s="82" t="s">
        <v>2185</v>
      </c>
      <c r="I90" s="71">
        <v>44526</v>
      </c>
    </row>
    <row r="91" spans="1:10" ht="42.75" hidden="1" customHeight="1" x14ac:dyDescent="0.3">
      <c r="A91" s="71">
        <v>44517</v>
      </c>
      <c r="B91" s="675">
        <v>1</v>
      </c>
      <c r="C91" s="78" t="s">
        <v>3124</v>
      </c>
      <c r="D91" s="89" t="s">
        <v>3108</v>
      </c>
      <c r="E91" s="89" t="str">
        <f>IFERROR(MID(C91,FIND("L",C91),5),"")</f>
        <v/>
      </c>
      <c r="F91" s="89" t="str">
        <f>IFERROR(VLOOKUP(E91,URS確認!E:I,5,FALSE),"")</f>
        <v/>
      </c>
      <c r="G91" s="81">
        <v>44526</v>
      </c>
      <c r="H91" s="82" t="s">
        <v>2185</v>
      </c>
      <c r="I91" s="81">
        <v>44540</v>
      </c>
    </row>
    <row r="92" spans="1:10" hidden="1" x14ac:dyDescent="0.3">
      <c r="A92" s="81">
        <v>44525</v>
      </c>
      <c r="B92" s="89">
        <v>1</v>
      </c>
      <c r="C92" s="78" t="s">
        <v>3127</v>
      </c>
      <c r="D92" s="89" t="s">
        <v>3128</v>
      </c>
      <c r="G92" s="672">
        <v>44529</v>
      </c>
      <c r="H92" s="82" t="s">
        <v>3259</v>
      </c>
      <c r="I92" s="81">
        <v>44529</v>
      </c>
      <c r="J92" s="673">
        <v>44544</v>
      </c>
    </row>
    <row r="93" spans="1:10" ht="62.5" hidden="1" x14ac:dyDescent="0.3">
      <c r="A93" s="71">
        <v>44529</v>
      </c>
      <c r="B93" s="675">
        <v>1</v>
      </c>
      <c r="C93" s="78" t="s">
        <v>3271</v>
      </c>
      <c r="D93" s="159" t="s">
        <v>3141</v>
      </c>
      <c r="E93" s="89" t="str">
        <f>IFERROR(MID(C93,FIND("L",C93),5),"")</f>
        <v>L6608</v>
      </c>
      <c r="F93" s="89" t="str">
        <f>IFERROR(VLOOKUP(E93,URS確認!E:I,5,FALSE),"")</f>
        <v>楊智誠</v>
      </c>
      <c r="G93" s="81">
        <v>44561</v>
      </c>
      <c r="H93" s="677" t="s">
        <v>3283</v>
      </c>
      <c r="I93" s="81">
        <v>44553</v>
      </c>
    </row>
  </sheetData>
  <autoFilter ref="A1:J93" xr:uid="{00000000-0009-0000-0000-00000D000000}">
    <filterColumn colId="8">
      <filters blank="1"/>
    </filterColumn>
  </autoFilter>
  <phoneticPr fontId="3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4"/>
  <sheetViews>
    <sheetView zoomScale="120" zoomScaleNormal="120" workbookViewId="0">
      <selection activeCell="B7" sqref="B7"/>
    </sheetView>
  </sheetViews>
  <sheetFormatPr defaultColWidth="9" defaultRowHeight="14.5" x14ac:dyDescent="0.35"/>
  <cols>
    <col min="1" max="1" width="9" style="259" customWidth="1"/>
    <col min="2" max="2" width="91.69921875" style="4" customWidth="1"/>
    <col min="3" max="3" width="23.3984375" style="4" customWidth="1"/>
    <col min="4" max="7" width="9" style="4" customWidth="1"/>
    <col min="8" max="16384" width="9" style="4"/>
  </cols>
  <sheetData>
    <row r="1" spans="1:3" x14ac:dyDescent="0.35">
      <c r="A1" s="5" t="s">
        <v>2141</v>
      </c>
      <c r="B1" s="5" t="s">
        <v>2142</v>
      </c>
      <c r="C1" s="5" t="s">
        <v>2143</v>
      </c>
    </row>
    <row r="2" spans="1:3" x14ac:dyDescent="0.35">
      <c r="A2" s="259">
        <v>1</v>
      </c>
      <c r="B2" s="46" t="s">
        <v>2089</v>
      </c>
      <c r="C2" s="4" t="s">
        <v>2144</v>
      </c>
    </row>
    <row r="3" spans="1:3" x14ac:dyDescent="0.35">
      <c r="A3" s="259">
        <v>2</v>
      </c>
      <c r="B3" s="4" t="s">
        <v>2088</v>
      </c>
      <c r="C3" s="4" t="s">
        <v>365</v>
      </c>
    </row>
    <row r="4" spans="1:3" ht="45" customHeight="1" x14ac:dyDescent="0.35">
      <c r="A4" s="259">
        <v>3</v>
      </c>
      <c r="B4" s="46" t="s">
        <v>2145</v>
      </c>
      <c r="C4" s="4" t="s">
        <v>2146</v>
      </c>
    </row>
  </sheetData>
  <phoneticPr fontId="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47"/>
  <sheetViews>
    <sheetView workbookViewId="0">
      <selection activeCell="F3" sqref="F3"/>
    </sheetView>
  </sheetViews>
  <sheetFormatPr defaultRowHeight="14.5" x14ac:dyDescent="0.3"/>
  <cols>
    <col min="2" max="2" width="10.19921875" style="293" bestFit="1" customWidth="1"/>
    <col min="3" max="3" width="11.59765625" style="366" bestFit="1" customWidth="1"/>
    <col min="4" max="4" width="50.69921875" style="293" customWidth="1"/>
    <col min="5" max="6" width="10.19921875" style="293" bestFit="1" customWidth="1"/>
  </cols>
  <sheetData>
    <row r="1" spans="1:7" x14ac:dyDescent="0.3">
      <c r="A1" t="s">
        <v>2731</v>
      </c>
    </row>
    <row r="3" spans="1:7" x14ac:dyDescent="0.3">
      <c r="A3" s="293" t="s">
        <v>1010</v>
      </c>
      <c r="B3" t="str">
        <f t="shared" ref="B3:B34" si="0">IF(FIND("連結",D3)&gt;0,"連結",FIND("連結",D3))</f>
        <v>連結</v>
      </c>
      <c r="C3" s="366" t="str">
        <f t="shared" ref="C3:C34" si="1">MID(D3,FIND("L",D3),5)</f>
        <v>L6752</v>
      </c>
      <c r="D3" t="s">
        <v>1495</v>
      </c>
      <c r="E3"/>
      <c r="F3" t="e">
        <f>MID(M10,FIND("L",M10),5)</f>
        <v>#VALUE!</v>
      </c>
      <c r="G3" t="s">
        <v>2058</v>
      </c>
    </row>
    <row r="4" spans="1:7" x14ac:dyDescent="0.3">
      <c r="A4" s="293" t="s">
        <v>1015</v>
      </c>
      <c r="B4" t="str">
        <f t="shared" si="0"/>
        <v>連結</v>
      </c>
      <c r="C4" s="366" t="str">
        <f t="shared" si="1"/>
        <v>L6082</v>
      </c>
      <c r="D4" t="s">
        <v>1497</v>
      </c>
      <c r="F4" t="str">
        <f t="shared" ref="F4:F34" si="2">MID(G4,FIND("L",G4),5)</f>
        <v>L6083</v>
      </c>
      <c r="G4" t="s">
        <v>2059</v>
      </c>
    </row>
    <row r="5" spans="1:7" x14ac:dyDescent="0.3">
      <c r="A5" s="293" t="s">
        <v>1018</v>
      </c>
      <c r="B5" t="e">
        <f t="shared" si="0"/>
        <v>#VALUE!</v>
      </c>
      <c r="C5" s="366" t="str">
        <f t="shared" si="1"/>
        <v>L6041</v>
      </c>
      <c r="D5" t="s">
        <v>1505</v>
      </c>
      <c r="F5" t="str">
        <f t="shared" si="2"/>
        <v>L6753</v>
      </c>
      <c r="G5" t="s">
        <v>2060</v>
      </c>
    </row>
    <row r="6" spans="1:7" x14ac:dyDescent="0.3">
      <c r="A6" s="293" t="s">
        <v>1020</v>
      </c>
      <c r="B6" t="e">
        <f t="shared" si="0"/>
        <v>#VALUE!</v>
      </c>
      <c r="C6" s="366" t="str">
        <f t="shared" si="1"/>
        <v>L5022</v>
      </c>
      <c r="D6" t="s">
        <v>1518</v>
      </c>
      <c r="F6" t="str">
        <f t="shared" si="2"/>
        <v>L6754</v>
      </c>
      <c r="G6" t="s">
        <v>2061</v>
      </c>
    </row>
    <row r="7" spans="1:7" x14ac:dyDescent="0.3">
      <c r="A7" s="293" t="s">
        <v>1022</v>
      </c>
      <c r="B7" t="e">
        <f t="shared" si="0"/>
        <v>#VALUE!</v>
      </c>
      <c r="C7" s="366" t="str">
        <f t="shared" si="1"/>
        <v>L6503</v>
      </c>
      <c r="D7" t="s">
        <v>1519</v>
      </c>
      <c r="F7" t="str">
        <f t="shared" si="2"/>
        <v>L1101</v>
      </c>
      <c r="G7" t="s">
        <v>2062</v>
      </c>
    </row>
    <row r="8" spans="1:7" x14ac:dyDescent="0.3">
      <c r="A8" s="293" t="s">
        <v>1030</v>
      </c>
      <c r="B8" t="e">
        <f t="shared" si="0"/>
        <v>#VALUE!</v>
      </c>
      <c r="C8" s="366" t="str">
        <f t="shared" si="1"/>
        <v>L5051</v>
      </c>
      <c r="D8" t="s">
        <v>1539</v>
      </c>
      <c r="F8" t="str">
        <f t="shared" si="2"/>
        <v>L1101</v>
      </c>
      <c r="G8" t="s">
        <v>2063</v>
      </c>
    </row>
    <row r="9" spans="1:7" x14ac:dyDescent="0.3">
      <c r="A9" s="293" t="s">
        <v>1024</v>
      </c>
      <c r="B9" t="e">
        <f t="shared" si="0"/>
        <v>#VALUE!</v>
      </c>
      <c r="C9" s="366" t="str">
        <f t="shared" si="1"/>
        <v>L5052</v>
      </c>
      <c r="D9" t="s">
        <v>1541</v>
      </c>
      <c r="F9" t="e">
        <f t="shared" si="2"/>
        <v>#VALUE!</v>
      </c>
      <c r="G9" t="s">
        <v>2064</v>
      </c>
    </row>
    <row r="10" spans="1:7" x14ac:dyDescent="0.3">
      <c r="A10" s="293" t="s">
        <v>1026</v>
      </c>
      <c r="B10" t="e">
        <f t="shared" si="0"/>
        <v>#VALUE!</v>
      </c>
      <c r="C10" s="366" t="str">
        <f t="shared" si="1"/>
        <v>L1001</v>
      </c>
      <c r="D10" t="s">
        <v>1548</v>
      </c>
      <c r="F10" t="str">
        <f t="shared" si="2"/>
        <v>L2111</v>
      </c>
      <c r="G10" t="s">
        <v>2065</v>
      </c>
    </row>
    <row r="11" spans="1:7" x14ac:dyDescent="0.3">
      <c r="A11" s="293" t="s">
        <v>1032</v>
      </c>
      <c r="B11" t="e">
        <f t="shared" si="0"/>
        <v>#VALUE!</v>
      </c>
      <c r="C11" s="366" t="str">
        <f t="shared" si="1"/>
        <v>L1109</v>
      </c>
      <c r="D11" t="s">
        <v>1560</v>
      </c>
      <c r="F11" t="str">
        <f t="shared" si="2"/>
        <v>L功能,待</v>
      </c>
      <c r="G11" t="s">
        <v>1527</v>
      </c>
    </row>
    <row r="12" spans="1:7" x14ac:dyDescent="0.3">
      <c r="A12" s="293" t="s">
        <v>1036</v>
      </c>
      <c r="B12" t="str">
        <f t="shared" si="0"/>
        <v>連結</v>
      </c>
      <c r="C12" s="366" t="str">
        <f t="shared" si="1"/>
        <v>L1105</v>
      </c>
      <c r="D12" t="s">
        <v>1561</v>
      </c>
      <c r="F12" t="e">
        <f t="shared" si="2"/>
        <v>#VALUE!</v>
      </c>
      <c r="G12" t="s">
        <v>1531</v>
      </c>
    </row>
    <row r="13" spans="1:7" x14ac:dyDescent="0.3">
      <c r="A13" s="293" t="s">
        <v>1048</v>
      </c>
      <c r="B13" t="e">
        <f t="shared" si="0"/>
        <v>#VALUE!</v>
      </c>
      <c r="C13" s="366" t="str">
        <f t="shared" si="1"/>
        <v>L1101</v>
      </c>
      <c r="D13" t="s">
        <v>1565</v>
      </c>
      <c r="F13" t="str">
        <f t="shared" si="2"/>
        <v>L2111</v>
      </c>
      <c r="G13" t="s">
        <v>2066</v>
      </c>
    </row>
    <row r="14" spans="1:7" x14ac:dyDescent="0.3">
      <c r="A14" s="293" t="s">
        <v>1052</v>
      </c>
      <c r="B14" t="e">
        <f t="shared" si="0"/>
        <v>#VALUE!</v>
      </c>
      <c r="C14" s="366" t="str">
        <f t="shared" si="1"/>
        <v>L1101</v>
      </c>
      <c r="D14" t="s">
        <v>1567</v>
      </c>
      <c r="F14" t="str">
        <f t="shared" si="2"/>
        <v>L5951</v>
      </c>
      <c r="G14" t="s">
        <v>2067</v>
      </c>
    </row>
    <row r="15" spans="1:7" x14ac:dyDescent="0.3">
      <c r="A15" s="293" t="s">
        <v>1054</v>
      </c>
      <c r="B15" t="e">
        <f t="shared" si="0"/>
        <v>#VALUE!</v>
      </c>
      <c r="C15" s="366" t="str">
        <f t="shared" si="1"/>
        <v>L1101</v>
      </c>
      <c r="D15" t="s">
        <v>1568</v>
      </c>
      <c r="F15" t="str">
        <f t="shared" si="2"/>
        <v>L5952</v>
      </c>
      <c r="G15" t="s">
        <v>2068</v>
      </c>
    </row>
    <row r="16" spans="1:7" x14ac:dyDescent="0.3">
      <c r="A16" s="293" t="s">
        <v>1040</v>
      </c>
      <c r="B16" t="e">
        <f t="shared" si="0"/>
        <v>#VALUE!</v>
      </c>
      <c r="C16" s="366" t="str">
        <f t="shared" si="1"/>
        <v>L2017</v>
      </c>
      <c r="D16" t="s">
        <v>1572</v>
      </c>
      <c r="F16" t="e">
        <f t="shared" si="2"/>
        <v>#VALUE!</v>
      </c>
      <c r="G16" t="s">
        <v>2069</v>
      </c>
    </row>
    <row r="17" spans="1:7" x14ac:dyDescent="0.3">
      <c r="A17" s="293" t="s">
        <v>1042</v>
      </c>
      <c r="B17" t="e">
        <f t="shared" si="0"/>
        <v>#VALUE!</v>
      </c>
      <c r="C17" s="366" t="str">
        <f t="shared" si="1"/>
        <v>L6608</v>
      </c>
      <c r="D17" t="s">
        <v>1578</v>
      </c>
      <c r="F17" t="str">
        <f t="shared" si="2"/>
        <v>L1105</v>
      </c>
      <c r="G17" t="s">
        <v>2070</v>
      </c>
    </row>
    <row r="18" spans="1:7" x14ac:dyDescent="0.3">
      <c r="A18" s="293" t="s">
        <v>1044</v>
      </c>
      <c r="B18" t="e">
        <f t="shared" si="0"/>
        <v>#VALUE!</v>
      </c>
      <c r="C18" s="366" t="str">
        <f t="shared" si="1"/>
        <v>LOAN於</v>
      </c>
      <c r="D18" t="s">
        <v>1582</v>
      </c>
      <c r="F18" t="e">
        <f t="shared" si="2"/>
        <v>#VALUE!</v>
      </c>
      <c r="G18" t="s">
        <v>2071</v>
      </c>
    </row>
    <row r="19" spans="1:7" x14ac:dyDescent="0.3">
      <c r="A19" s="293" t="s">
        <v>1081</v>
      </c>
      <c r="B19" t="e">
        <f t="shared" si="0"/>
        <v>#VALUE!</v>
      </c>
      <c r="C19" s="366" t="str">
        <f t="shared" si="1"/>
        <v>L1109</v>
      </c>
      <c r="D19" t="s">
        <v>1588</v>
      </c>
      <c r="F19" t="str">
        <f t="shared" si="2"/>
        <v>LOAN作</v>
      </c>
      <c r="G19" t="s">
        <v>2072</v>
      </c>
    </row>
    <row r="20" spans="1:7" x14ac:dyDescent="0.3">
      <c r="A20" s="293" t="s">
        <v>326</v>
      </c>
      <c r="B20" t="str">
        <f t="shared" si="0"/>
        <v>連結</v>
      </c>
      <c r="C20" s="366" t="str">
        <f t="shared" si="1"/>
        <v>L1105</v>
      </c>
      <c r="D20" t="s">
        <v>1590</v>
      </c>
      <c r="F20" t="str">
        <f t="shared" si="2"/>
        <v>L2801</v>
      </c>
      <c r="G20" t="s">
        <v>2073</v>
      </c>
    </row>
    <row r="21" spans="1:7" x14ac:dyDescent="0.3">
      <c r="A21" s="293" t="s">
        <v>1445</v>
      </c>
      <c r="B21" t="e">
        <f t="shared" si="0"/>
        <v>#VALUE!</v>
      </c>
      <c r="C21" s="366" t="str">
        <f t="shared" si="1"/>
        <v>L1102</v>
      </c>
      <c r="D21" t="s">
        <v>1591</v>
      </c>
      <c r="F21" t="str">
        <f t="shared" si="2"/>
        <v>LOAN亦</v>
      </c>
      <c r="G21" t="s">
        <v>2074</v>
      </c>
    </row>
    <row r="22" spans="1:7" x14ac:dyDescent="0.3">
      <c r="A22" s="293" t="s">
        <v>1448</v>
      </c>
      <c r="B22" t="e">
        <f t="shared" si="0"/>
        <v>#VALUE!</v>
      </c>
      <c r="C22" s="366" t="str">
        <f t="shared" si="1"/>
        <v>L1102</v>
      </c>
      <c r="D22" t="s">
        <v>1592</v>
      </c>
      <c r="F22" t="str">
        <f t="shared" si="2"/>
        <v>L範例</v>
      </c>
      <c r="G22" t="s">
        <v>2075</v>
      </c>
    </row>
    <row r="23" spans="1:7" x14ac:dyDescent="0.3">
      <c r="A23" s="293" t="s">
        <v>1542</v>
      </c>
      <c r="B23" t="e">
        <f t="shared" si="0"/>
        <v>#VALUE!</v>
      </c>
      <c r="C23" s="366" t="str">
        <f t="shared" si="1"/>
        <v>L1102</v>
      </c>
      <c r="D23" t="s">
        <v>1593</v>
      </c>
      <c r="F23" t="e">
        <f t="shared" si="2"/>
        <v>#VALUE!</v>
      </c>
      <c r="G23" t="s">
        <v>2076</v>
      </c>
    </row>
    <row r="24" spans="1:7" x14ac:dyDescent="0.3">
      <c r="A24" s="293" t="s">
        <v>1546</v>
      </c>
      <c r="B24" t="e">
        <f t="shared" si="0"/>
        <v>#VALUE!</v>
      </c>
      <c r="C24" s="366" t="str">
        <f t="shared" si="1"/>
        <v>L2306</v>
      </c>
      <c r="D24" t="s">
        <v>1595</v>
      </c>
      <c r="F24" t="str">
        <f t="shared" si="2"/>
        <v>L2801</v>
      </c>
      <c r="G24" t="s">
        <v>2077</v>
      </c>
    </row>
    <row r="25" spans="1:7" x14ac:dyDescent="0.3">
      <c r="A25" s="293" t="s">
        <v>134</v>
      </c>
      <c r="B25" t="e">
        <f t="shared" si="0"/>
        <v>#VALUE!</v>
      </c>
      <c r="C25" s="366" t="str">
        <f t="shared" si="1"/>
        <v>L2306</v>
      </c>
      <c r="D25" t="s">
        <v>1596</v>
      </c>
      <c r="F25" t="e">
        <f t="shared" si="2"/>
        <v>#VALUE!</v>
      </c>
      <c r="G25" t="s">
        <v>2078</v>
      </c>
    </row>
    <row r="26" spans="1:7" x14ac:dyDescent="0.3">
      <c r="A26" s="293" t="s">
        <v>140</v>
      </c>
      <c r="B26" t="e">
        <f t="shared" si="0"/>
        <v>#VALUE!</v>
      </c>
      <c r="C26" s="366" t="str">
        <f t="shared" si="1"/>
        <v>L2306</v>
      </c>
      <c r="D26" t="s">
        <v>1597</v>
      </c>
      <c r="F26" t="str">
        <f t="shared" si="2"/>
        <v>L1105</v>
      </c>
      <c r="G26" t="s">
        <v>2079</v>
      </c>
    </row>
    <row r="27" spans="1:7" x14ac:dyDescent="0.3">
      <c r="A27" s="293" t="s">
        <v>147</v>
      </c>
      <c r="B27" t="e">
        <f t="shared" si="0"/>
        <v>#VALUE!</v>
      </c>
      <c r="C27" s="366" t="str">
        <f t="shared" si="1"/>
        <v>L2153</v>
      </c>
      <c r="D27" t="s">
        <v>1612</v>
      </c>
      <c r="F27" t="e">
        <f t="shared" si="2"/>
        <v>#VALUE!</v>
      </c>
      <c r="G27" t="s">
        <v>2080</v>
      </c>
    </row>
    <row r="28" spans="1:7" x14ac:dyDescent="0.3">
      <c r="A28" s="293" t="s">
        <v>164</v>
      </c>
      <c r="B28" t="str">
        <f t="shared" si="0"/>
        <v>連結</v>
      </c>
      <c r="C28" s="366" t="str">
        <f t="shared" si="1"/>
        <v>L2151</v>
      </c>
      <c r="D28" t="s">
        <v>1615</v>
      </c>
      <c r="F28" t="e">
        <f t="shared" si="2"/>
        <v>#VALUE!</v>
      </c>
      <c r="G28" t="s">
        <v>2081</v>
      </c>
    </row>
    <row r="29" spans="1:7" x14ac:dyDescent="0.3">
      <c r="A29" s="293" t="s">
        <v>284</v>
      </c>
      <c r="B29" t="e">
        <f t="shared" si="0"/>
        <v>#VALUE!</v>
      </c>
      <c r="C29" s="366" t="str">
        <f t="shared" si="1"/>
        <v>LOAN作</v>
      </c>
      <c r="D29" t="s">
        <v>1617</v>
      </c>
      <c r="F29" t="e">
        <f t="shared" si="2"/>
        <v>#VALUE!</v>
      </c>
      <c r="G29" t="s">
        <v>2082</v>
      </c>
    </row>
    <row r="30" spans="1:7" x14ac:dyDescent="0.3">
      <c r="A30" s="293" t="s">
        <v>166</v>
      </c>
      <c r="B30" t="e">
        <f t="shared" si="0"/>
        <v>#VALUE!</v>
      </c>
      <c r="C30" s="366" t="str">
        <f t="shared" si="1"/>
        <v>LOAN規</v>
      </c>
      <c r="D30" t="s">
        <v>1620</v>
      </c>
      <c r="F30" t="e">
        <f t="shared" si="2"/>
        <v>#VALUE!</v>
      </c>
      <c r="G30" t="s">
        <v>2083</v>
      </c>
    </row>
    <row r="31" spans="1:7" x14ac:dyDescent="0.3">
      <c r="A31" s="293" t="s">
        <v>170</v>
      </c>
      <c r="B31" t="e">
        <f t="shared" si="0"/>
        <v>#VALUE!</v>
      </c>
      <c r="C31" s="366" t="str">
        <f t="shared" si="1"/>
        <v>L2111</v>
      </c>
      <c r="D31" t="s">
        <v>1623</v>
      </c>
      <c r="F31" t="e">
        <f t="shared" si="2"/>
        <v>#VALUE!</v>
      </c>
      <c r="G31" t="s">
        <v>2084</v>
      </c>
    </row>
    <row r="32" spans="1:7" x14ac:dyDescent="0.3">
      <c r="A32" s="293" t="s">
        <v>175</v>
      </c>
      <c r="B32" t="e">
        <f t="shared" si="0"/>
        <v>#VALUE!</v>
      </c>
      <c r="C32" s="366" t="str">
        <f t="shared" si="1"/>
        <v>L2101</v>
      </c>
      <c r="D32" t="s">
        <v>1629</v>
      </c>
      <c r="F32" t="str">
        <f t="shared" si="2"/>
        <v>L5500</v>
      </c>
      <c r="G32" t="s">
        <v>2085</v>
      </c>
    </row>
    <row r="33" spans="1:7" x14ac:dyDescent="0.3">
      <c r="A33" s="293" t="s">
        <v>144</v>
      </c>
      <c r="B33" t="e">
        <f t="shared" si="0"/>
        <v>#VALUE!</v>
      </c>
      <c r="C33" s="366" t="str">
        <f t="shared" si="1"/>
        <v>L3701</v>
      </c>
      <c r="D33" t="s">
        <v>1636</v>
      </c>
      <c r="F33" t="e">
        <f t="shared" si="2"/>
        <v>#VALUE!</v>
      </c>
      <c r="G33" t="s">
        <v>2086</v>
      </c>
    </row>
    <row r="34" spans="1:7" x14ac:dyDescent="0.3">
      <c r="A34" s="293" t="s">
        <v>151</v>
      </c>
      <c r="B34" t="e">
        <f t="shared" si="0"/>
        <v>#VALUE!</v>
      </c>
      <c r="C34" s="366" t="str">
        <f t="shared" si="1"/>
        <v>L3701</v>
      </c>
      <c r="D34" t="s">
        <v>1642</v>
      </c>
      <c r="F34" t="str">
        <f t="shared" si="2"/>
        <v>L2111</v>
      </c>
      <c r="G34" t="s">
        <v>2087</v>
      </c>
    </row>
    <row r="35" spans="1:7" x14ac:dyDescent="0.3">
      <c r="A35" s="293" t="s">
        <v>1419</v>
      </c>
      <c r="B35" t="e">
        <f t="shared" ref="B35:B66" si="3">IF(FIND("連結",D35)&gt;0,"連結",FIND("連結",D35))</f>
        <v>#VALUE!</v>
      </c>
      <c r="C35" s="366" t="str">
        <f t="shared" ref="C35:C66" si="4">MID(D35,FIND("L",D35),5)</f>
        <v>L通知
(</v>
      </c>
      <c r="D35" t="s">
        <v>1649</v>
      </c>
      <c r="F35" t="str">
        <f t="shared" ref="F35:F66" si="5">MID(G35,FIND("L",G35),5)</f>
        <v>L3701</v>
      </c>
      <c r="G35" t="s">
        <v>2088</v>
      </c>
    </row>
    <row r="36" spans="1:7" x14ac:dyDescent="0.3">
      <c r="A36" s="293" t="s">
        <v>1598</v>
      </c>
      <c r="B36" t="e">
        <f t="shared" si="3"/>
        <v>#VALUE!</v>
      </c>
      <c r="C36" s="366" t="str">
        <f t="shared" si="4"/>
        <v>L2801</v>
      </c>
      <c r="D36" t="s">
        <v>1655</v>
      </c>
      <c r="F36" t="str">
        <f t="shared" si="5"/>
        <v>L2154</v>
      </c>
      <c r="G36" t="s">
        <v>2089</v>
      </c>
    </row>
    <row r="37" spans="1:7" x14ac:dyDescent="0.3">
      <c r="A37" s="293" t="s">
        <v>846</v>
      </c>
      <c r="B37" t="e">
        <f t="shared" si="3"/>
        <v>#VALUE!</v>
      </c>
      <c r="C37" s="366" t="str">
        <f t="shared" si="4"/>
        <v>L1101</v>
      </c>
      <c r="D37" t="s">
        <v>1663</v>
      </c>
      <c r="F37" t="str">
        <f t="shared" si="5"/>
        <v>L2111</v>
      </c>
      <c r="G37" t="s">
        <v>2090</v>
      </c>
    </row>
    <row r="38" spans="1:7" x14ac:dyDescent="0.3">
      <c r="A38" s="293" t="s">
        <v>848</v>
      </c>
      <c r="B38" t="str">
        <f t="shared" si="3"/>
        <v>連結</v>
      </c>
      <c r="C38" s="366" t="str">
        <f t="shared" si="4"/>
        <v>LOAN共</v>
      </c>
      <c r="D38" t="s">
        <v>1667</v>
      </c>
      <c r="F38" t="str">
        <f t="shared" si="5"/>
        <v>L2221</v>
      </c>
      <c r="G38" t="s">
        <v>2091</v>
      </c>
    </row>
    <row r="39" spans="1:7" x14ac:dyDescent="0.3">
      <c r="A39" s="293" t="s">
        <v>199</v>
      </c>
      <c r="B39" t="e">
        <f t="shared" si="3"/>
        <v>#VALUE!</v>
      </c>
      <c r="C39" s="366" t="str">
        <f t="shared" si="4"/>
        <v>LOAN現</v>
      </c>
      <c r="D39" t="s">
        <v>1668</v>
      </c>
      <c r="F39" t="str">
        <f t="shared" si="5"/>
        <v>L表,供整</v>
      </c>
      <c r="G39" t="s">
        <v>2092</v>
      </c>
    </row>
    <row r="40" spans="1:7" x14ac:dyDescent="0.3">
      <c r="A40" s="293" t="s">
        <v>201</v>
      </c>
      <c r="B40" t="e">
        <f t="shared" si="3"/>
        <v>#VALUE!</v>
      </c>
      <c r="C40" s="366" t="str">
        <f t="shared" si="4"/>
        <v>LOAN規</v>
      </c>
      <c r="D40" t="s">
        <v>1670</v>
      </c>
      <c r="F40" t="e">
        <f t="shared" si="5"/>
        <v>#VALUE!</v>
      </c>
      <c r="G40" t="s">
        <v>2093</v>
      </c>
    </row>
    <row r="41" spans="1:7" x14ac:dyDescent="0.3">
      <c r="A41" s="293" t="s">
        <v>205</v>
      </c>
      <c r="B41" t="e">
        <f t="shared" si="3"/>
        <v>#VALUE!</v>
      </c>
      <c r="C41" s="366" t="str">
        <f t="shared" si="4"/>
        <v>LOAN於</v>
      </c>
      <c r="D41" t="s">
        <v>1671</v>
      </c>
      <c r="F41" t="e">
        <f t="shared" si="5"/>
        <v>#VALUE!</v>
      </c>
      <c r="G41" t="s">
        <v>2094</v>
      </c>
    </row>
    <row r="42" spans="1:7" x14ac:dyDescent="0.3">
      <c r="A42" s="293" t="s">
        <v>207</v>
      </c>
      <c r="B42" t="e">
        <f t="shared" si="3"/>
        <v>#VALUE!</v>
      </c>
      <c r="C42" s="366" t="str">
        <f t="shared" si="4"/>
        <v>L表[整批</v>
      </c>
      <c r="D42" t="s">
        <v>1674</v>
      </c>
      <c r="F42" t="str">
        <f t="shared" si="5"/>
        <v>L2038</v>
      </c>
      <c r="G42" t="s">
        <v>2095</v>
      </c>
    </row>
    <row r="43" spans="1:7" x14ac:dyDescent="0.3">
      <c r="A43" s="293" t="s">
        <v>212</v>
      </c>
      <c r="B43" t="e">
        <f t="shared" si="3"/>
        <v>#VALUE!</v>
      </c>
      <c r="C43" s="366" t="str">
        <f t="shared" si="4"/>
        <v>LOAN輸</v>
      </c>
      <c r="D43" t="s">
        <v>1676</v>
      </c>
      <c r="F43" t="str">
        <f t="shared" si="5"/>
        <v>L2221</v>
      </c>
      <c r="G43" t="s">
        <v>2096</v>
      </c>
    </row>
    <row r="44" spans="1:7" x14ac:dyDescent="0.3">
      <c r="A44" s="293" t="s">
        <v>215</v>
      </c>
      <c r="B44" t="str">
        <f t="shared" si="3"/>
        <v>連結</v>
      </c>
      <c r="C44" s="366" t="str">
        <f t="shared" si="4"/>
        <v>L4610</v>
      </c>
      <c r="D44" t="s">
        <v>1681</v>
      </c>
      <c r="F44" t="e">
        <f t="shared" si="5"/>
        <v>#VALUE!</v>
      </c>
      <c r="G44" t="s">
        <v>2097</v>
      </c>
    </row>
    <row r="45" spans="1:7" x14ac:dyDescent="0.3">
      <c r="A45" s="293" t="s">
        <v>218</v>
      </c>
      <c r="B45" t="str">
        <f t="shared" si="3"/>
        <v>連結</v>
      </c>
      <c r="C45" s="366" t="str">
        <f t="shared" si="4"/>
        <v>L4060</v>
      </c>
      <c r="D45" t="s">
        <v>1684</v>
      </c>
      <c r="F45" t="e">
        <f t="shared" si="5"/>
        <v>#VALUE!</v>
      </c>
      <c r="G45" t="s">
        <v>2098</v>
      </c>
    </row>
    <row r="46" spans="1:7" x14ac:dyDescent="0.3">
      <c r="A46" s="293" t="s">
        <v>221</v>
      </c>
      <c r="B46" t="e">
        <f t="shared" si="3"/>
        <v>#VALUE!</v>
      </c>
      <c r="C46" s="366" t="str">
        <f t="shared" si="4"/>
        <v>L2911</v>
      </c>
      <c r="D46" t="s">
        <v>1685</v>
      </c>
      <c r="F46" t="e">
        <f t="shared" si="5"/>
        <v>#VALUE!</v>
      </c>
      <c r="G46" t="s">
        <v>2099</v>
      </c>
    </row>
    <row r="47" spans="1:7" x14ac:dyDescent="0.3">
      <c r="A47" s="293" t="s">
        <v>1408</v>
      </c>
      <c r="B47" t="e">
        <f t="shared" si="3"/>
        <v>#VALUE!</v>
      </c>
      <c r="C47" s="366" t="str">
        <f t="shared" si="4"/>
        <v>L2911</v>
      </c>
      <c r="D47" t="s">
        <v>1686</v>
      </c>
      <c r="F47" t="e">
        <f t="shared" si="5"/>
        <v>#VALUE!</v>
      </c>
      <c r="G47" t="s">
        <v>2100</v>
      </c>
    </row>
    <row r="48" spans="1:7" x14ac:dyDescent="0.3">
      <c r="A48" s="293" t="s">
        <v>236</v>
      </c>
      <c r="B48" t="e">
        <f t="shared" si="3"/>
        <v>#VALUE!</v>
      </c>
      <c r="C48" s="366" t="str">
        <f t="shared" si="4"/>
        <v>L1101</v>
      </c>
      <c r="D48" t="s">
        <v>1687</v>
      </c>
      <c r="F48" t="e">
        <f t="shared" si="5"/>
        <v>#VALUE!</v>
      </c>
      <c r="G48" t="s">
        <v>2101</v>
      </c>
    </row>
    <row r="49" spans="1:7" x14ac:dyDescent="0.3">
      <c r="A49" s="293" t="s">
        <v>238</v>
      </c>
      <c r="B49" t="e">
        <f t="shared" si="3"/>
        <v>#VALUE!</v>
      </c>
      <c r="C49" s="366" t="str">
        <f t="shared" si="4"/>
        <v>LOAN輸</v>
      </c>
      <c r="D49" t="s">
        <v>1689</v>
      </c>
      <c r="F49" t="e">
        <f t="shared" si="5"/>
        <v>#VALUE!</v>
      </c>
      <c r="G49" t="s">
        <v>2102</v>
      </c>
    </row>
    <row r="50" spans="1:7" x14ac:dyDescent="0.3">
      <c r="A50" s="293" t="s">
        <v>241</v>
      </c>
      <c r="B50" t="str">
        <f t="shared" si="3"/>
        <v>連結</v>
      </c>
      <c r="C50" s="366" t="str">
        <f t="shared" si="4"/>
        <v>L4610</v>
      </c>
      <c r="D50" t="s">
        <v>1690</v>
      </c>
      <c r="F50" t="e">
        <f t="shared" si="5"/>
        <v>#VALUE!</v>
      </c>
      <c r="G50" t="s">
        <v>2103</v>
      </c>
    </row>
    <row r="51" spans="1:7" x14ac:dyDescent="0.3">
      <c r="A51" s="293" t="s">
        <v>224</v>
      </c>
      <c r="B51" t="e">
        <f t="shared" si="3"/>
        <v>#VALUE!</v>
      </c>
      <c r="C51" s="366" t="str">
        <f t="shared" si="4"/>
        <v>L2017</v>
      </c>
      <c r="D51" t="s">
        <v>1691</v>
      </c>
      <c r="F51" t="str">
        <f t="shared" si="5"/>
        <v>L3005</v>
      </c>
      <c r="G51" t="s">
        <v>2104</v>
      </c>
    </row>
    <row r="52" spans="1:7" x14ac:dyDescent="0.3">
      <c r="A52" s="293" t="s">
        <v>228</v>
      </c>
      <c r="B52" t="e">
        <f t="shared" si="3"/>
        <v>#VALUE!</v>
      </c>
      <c r="C52" s="366" t="str">
        <f t="shared" si="4"/>
        <v>L2038</v>
      </c>
      <c r="D52" t="s">
        <v>1692</v>
      </c>
      <c r="F52" t="e">
        <f t="shared" si="5"/>
        <v>#VALUE!</v>
      </c>
      <c r="G52" t="s">
        <v>2105</v>
      </c>
    </row>
    <row r="53" spans="1:7" x14ac:dyDescent="0.3">
      <c r="A53" s="293" t="s">
        <v>230</v>
      </c>
      <c r="B53" t="e">
        <f t="shared" si="3"/>
        <v>#VALUE!</v>
      </c>
      <c r="C53" s="366" t="str">
        <f t="shared" si="4"/>
        <v>L2038</v>
      </c>
      <c r="D53" t="s">
        <v>1692</v>
      </c>
      <c r="F53" t="str">
        <f t="shared" si="5"/>
        <v>L3220</v>
      </c>
      <c r="G53" t="s">
        <v>2106</v>
      </c>
    </row>
    <row r="54" spans="1:7" x14ac:dyDescent="0.3">
      <c r="A54" s="293" t="s">
        <v>258</v>
      </c>
      <c r="B54" t="e">
        <f t="shared" si="3"/>
        <v>#VALUE!</v>
      </c>
      <c r="C54" s="366" t="str">
        <f t="shared" si="4"/>
        <v>L2038</v>
      </c>
      <c r="D54" t="s">
        <v>1693</v>
      </c>
      <c r="F54" t="e">
        <f t="shared" si="5"/>
        <v>#VALUE!</v>
      </c>
      <c r="G54" t="s">
        <v>2107</v>
      </c>
    </row>
    <row r="55" spans="1:7" x14ac:dyDescent="0.3">
      <c r="A55" s="293" t="s">
        <v>261</v>
      </c>
      <c r="B55" t="e">
        <f t="shared" si="3"/>
        <v>#VALUE!</v>
      </c>
      <c r="C55" s="366" t="str">
        <f t="shared" si="4"/>
        <v>L2035</v>
      </c>
      <c r="D55" t="s">
        <v>1700</v>
      </c>
      <c r="F55" t="e">
        <f t="shared" si="5"/>
        <v>#VALUE!</v>
      </c>
      <c r="G55" t="s">
        <v>2108</v>
      </c>
    </row>
    <row r="56" spans="1:7" x14ac:dyDescent="0.3">
      <c r="A56" s="293" t="s">
        <v>263</v>
      </c>
      <c r="B56" t="e">
        <f t="shared" si="3"/>
        <v>#VALUE!</v>
      </c>
      <c r="C56" s="366" t="str">
        <f t="shared" si="4"/>
        <v>L給案件承</v>
      </c>
      <c r="D56" t="s">
        <v>1705</v>
      </c>
      <c r="F56" t="e">
        <f t="shared" si="5"/>
        <v>#VALUE!</v>
      </c>
      <c r="G56" t="s">
        <v>2109</v>
      </c>
    </row>
    <row r="57" spans="1:7" x14ac:dyDescent="0.3">
      <c r="A57" s="293" t="s">
        <v>271</v>
      </c>
      <c r="B57" t="str">
        <f t="shared" si="3"/>
        <v>連結</v>
      </c>
      <c r="C57" s="366" t="str">
        <f t="shared" si="4"/>
        <v>L2072</v>
      </c>
      <c r="D57" t="s">
        <v>1709</v>
      </c>
      <c r="F57" t="e">
        <f t="shared" si="5"/>
        <v>#VALUE!</v>
      </c>
      <c r="G57" t="s">
        <v>2110</v>
      </c>
    </row>
    <row r="58" spans="1:7" x14ac:dyDescent="0.3">
      <c r="A58" s="293" t="s">
        <v>268</v>
      </c>
      <c r="B58" t="e">
        <f t="shared" si="3"/>
        <v>#VALUE!</v>
      </c>
      <c r="C58" s="366" t="str">
        <f t="shared" si="4"/>
        <v>L6402</v>
      </c>
      <c r="D58" t="s">
        <v>1711</v>
      </c>
      <c r="F58" t="e">
        <f t="shared" si="5"/>
        <v>#VALUE!</v>
      </c>
      <c r="G58" t="s">
        <v>2111</v>
      </c>
    </row>
    <row r="59" spans="1:7" x14ac:dyDescent="0.3">
      <c r="A59" s="293" t="s">
        <v>1430</v>
      </c>
      <c r="B59" t="e">
        <f t="shared" si="3"/>
        <v>#VALUE!</v>
      </c>
      <c r="C59" s="366" t="str">
        <f t="shared" si="4"/>
        <v>L1905</v>
      </c>
      <c r="D59" t="s">
        <v>1716</v>
      </c>
      <c r="F59" t="str">
        <f t="shared" si="5"/>
        <v>L5075</v>
      </c>
      <c r="G59" t="s">
        <v>2112</v>
      </c>
    </row>
    <row r="60" spans="1:7" x14ac:dyDescent="0.3">
      <c r="A60" s="293" t="s">
        <v>1433</v>
      </c>
      <c r="B60" t="e">
        <f t="shared" si="3"/>
        <v>#VALUE!</v>
      </c>
      <c r="C60" s="366" t="e">
        <f t="shared" si="4"/>
        <v>#VALUE!</v>
      </c>
      <c r="D60" t="s">
        <v>1733</v>
      </c>
      <c r="F60" t="str">
        <f t="shared" si="5"/>
        <v>L597A</v>
      </c>
      <c r="G60" t="s">
        <v>2113</v>
      </c>
    </row>
    <row r="61" spans="1:7" x14ac:dyDescent="0.3">
      <c r="A61" s="293" t="s">
        <v>288</v>
      </c>
      <c r="B61" t="e">
        <f t="shared" si="3"/>
        <v>#VALUE!</v>
      </c>
      <c r="C61" s="366" t="str">
        <f t="shared" si="4"/>
        <v>L2154</v>
      </c>
      <c r="D61" t="s">
        <v>1734</v>
      </c>
      <c r="F61" t="e">
        <f t="shared" si="5"/>
        <v>#VALUE!</v>
      </c>
      <c r="G61" t="s">
        <v>2114</v>
      </c>
    </row>
    <row r="62" spans="1:7" x14ac:dyDescent="0.3">
      <c r="A62" s="293" t="s">
        <v>1438</v>
      </c>
      <c r="B62" t="e">
        <f t="shared" si="3"/>
        <v>#VALUE!</v>
      </c>
      <c r="C62" s="366" t="str">
        <f t="shared" si="4"/>
        <v>L檢核結果</v>
      </c>
      <c r="D62" t="s">
        <v>1742</v>
      </c>
      <c r="F62" t="str">
        <f t="shared" si="5"/>
        <v>L6605</v>
      </c>
      <c r="G62" t="s">
        <v>2115</v>
      </c>
    </row>
    <row r="63" spans="1:7" x14ac:dyDescent="0.3">
      <c r="A63" s="293" t="s">
        <v>1441</v>
      </c>
      <c r="B63" t="e">
        <f t="shared" si="3"/>
        <v>#VALUE!</v>
      </c>
      <c r="C63" s="366" t="str">
        <f t="shared" si="4"/>
        <v>L3100</v>
      </c>
      <c r="D63" t="s">
        <v>1744</v>
      </c>
      <c r="F63" t="e">
        <f t="shared" si="5"/>
        <v>#VALUE!</v>
      </c>
      <c r="G63" t="s">
        <v>2116</v>
      </c>
    </row>
    <row r="64" spans="1:7" x14ac:dyDescent="0.3">
      <c r="A64" s="293" t="s">
        <v>1443</v>
      </c>
      <c r="B64" t="e">
        <f t="shared" si="3"/>
        <v>#VALUE!</v>
      </c>
      <c r="C64" s="366" t="str">
        <f t="shared" si="4"/>
        <v>L2060</v>
      </c>
      <c r="D64" t="s">
        <v>1750</v>
      </c>
      <c r="F64" t="str">
        <f t="shared" si="5"/>
        <v>L4703</v>
      </c>
      <c r="G64" t="s">
        <v>2117</v>
      </c>
    </row>
    <row r="65" spans="1:7" x14ac:dyDescent="0.3">
      <c r="A65" s="293" t="s">
        <v>1435</v>
      </c>
      <c r="B65" t="e">
        <f t="shared" si="3"/>
        <v>#VALUE!</v>
      </c>
      <c r="C65" s="366" t="str">
        <f t="shared" si="4"/>
        <v>L2600</v>
      </c>
      <c r="D65" t="s">
        <v>1752</v>
      </c>
      <c r="F65" t="str">
        <f t="shared" si="5"/>
        <v>L4454</v>
      </c>
      <c r="G65" t="s">
        <v>2118</v>
      </c>
    </row>
    <row r="66" spans="1:7" x14ac:dyDescent="0.3">
      <c r="A66" s="293" t="s">
        <v>292</v>
      </c>
      <c r="B66" t="e">
        <f t="shared" si="3"/>
        <v>#VALUE!</v>
      </c>
      <c r="C66" s="366" t="str">
        <f t="shared" si="4"/>
        <v>L3600</v>
      </c>
      <c r="D66" t="s">
        <v>1753</v>
      </c>
      <c r="F66" t="str">
        <f t="shared" si="5"/>
        <v>L3731</v>
      </c>
      <c r="G66" t="s">
        <v>2119</v>
      </c>
    </row>
    <row r="67" spans="1:7" x14ac:dyDescent="0.3">
      <c r="A67" s="293" t="s">
        <v>295</v>
      </c>
      <c r="B67" t="e">
        <f t="shared" ref="B67:B98" si="6">IF(FIND("連結",D67)&gt;0,"連結",FIND("連結",D67))</f>
        <v>#VALUE!</v>
      </c>
      <c r="C67" s="366" t="str">
        <f t="shared" ref="C67:C98" si="7">MID(D67,FIND("L",D67),5)</f>
        <v>L3600</v>
      </c>
      <c r="D67" t="s">
        <v>1754</v>
      </c>
      <c r="F67" t="str">
        <f t="shared" ref="F67:F88" si="8">MID(G67,FIND("L",G67),5)</f>
        <v>L4605</v>
      </c>
      <c r="G67" t="s">
        <v>2120</v>
      </c>
    </row>
    <row r="68" spans="1:7" x14ac:dyDescent="0.3">
      <c r="A68" s="293" t="s">
        <v>297</v>
      </c>
      <c r="B68" t="e">
        <f t="shared" si="6"/>
        <v>#VALUE!</v>
      </c>
      <c r="C68" s="366" t="str">
        <f t="shared" si="7"/>
        <v>L3600</v>
      </c>
      <c r="D68" t="s">
        <v>1755</v>
      </c>
      <c r="F68" t="e">
        <f t="shared" si="8"/>
        <v>#VALUE!</v>
      </c>
      <c r="G68" t="s">
        <v>2121</v>
      </c>
    </row>
    <row r="69" spans="1:7" x14ac:dyDescent="0.3">
      <c r="A69" s="293" t="s">
        <v>301</v>
      </c>
      <c r="B69" t="e">
        <f t="shared" si="6"/>
        <v>#VALUE!</v>
      </c>
      <c r="C69" s="366" t="str">
        <f t="shared" si="7"/>
        <v>L4042</v>
      </c>
      <c r="D69" t="s">
        <v>1757</v>
      </c>
      <c r="F69" t="e">
        <f t="shared" si="8"/>
        <v>#VALUE!</v>
      </c>
      <c r="G69" t="s">
        <v>2122</v>
      </c>
    </row>
    <row r="70" spans="1:7" x14ac:dyDescent="0.3">
      <c r="A70" s="293" t="s">
        <v>305</v>
      </c>
      <c r="B70" t="str">
        <f t="shared" si="6"/>
        <v>連結</v>
      </c>
      <c r="C70" s="366" t="str">
        <f t="shared" si="7"/>
        <v>L3943</v>
      </c>
      <c r="D70" t="s">
        <v>1776</v>
      </c>
      <c r="F70" t="e">
        <f t="shared" si="8"/>
        <v>#VALUE!</v>
      </c>
      <c r="G70" t="s">
        <v>2123</v>
      </c>
    </row>
    <row r="71" spans="1:7" x14ac:dyDescent="0.3">
      <c r="A71" s="293" t="s">
        <v>312</v>
      </c>
      <c r="B71" t="e">
        <f t="shared" si="6"/>
        <v>#VALUE!</v>
      </c>
      <c r="C71" s="366" t="str">
        <f t="shared" si="7"/>
        <v>L3007</v>
      </c>
      <c r="D71" t="s">
        <v>1777</v>
      </c>
      <c r="F71" t="e">
        <f t="shared" si="8"/>
        <v>#VALUE!</v>
      </c>
      <c r="G71" t="s">
        <v>2124</v>
      </c>
    </row>
    <row r="72" spans="1:7" x14ac:dyDescent="0.3">
      <c r="A72" s="293" t="s">
        <v>330</v>
      </c>
      <c r="B72" t="str">
        <f t="shared" si="6"/>
        <v>連結</v>
      </c>
      <c r="C72" s="366" t="str">
        <f t="shared" si="7"/>
        <v>L3943</v>
      </c>
      <c r="D72" t="s">
        <v>1776</v>
      </c>
      <c r="F72" t="e">
        <f t="shared" si="8"/>
        <v>#VALUE!</v>
      </c>
      <c r="G72" t="s">
        <v>2125</v>
      </c>
    </row>
    <row r="73" spans="1:7" x14ac:dyDescent="0.3">
      <c r="A73" s="293" t="s">
        <v>333</v>
      </c>
      <c r="B73" t="str">
        <f t="shared" si="6"/>
        <v>連結</v>
      </c>
      <c r="C73" s="366" t="str">
        <f t="shared" si="7"/>
        <v>L2061</v>
      </c>
      <c r="D73" t="s">
        <v>1779</v>
      </c>
      <c r="F73" t="str">
        <f t="shared" si="8"/>
        <v>L4030</v>
      </c>
      <c r="G73" t="s">
        <v>2126</v>
      </c>
    </row>
    <row r="74" spans="1:7" x14ac:dyDescent="0.3">
      <c r="A74" s="293" t="s">
        <v>369</v>
      </c>
      <c r="B74" t="str">
        <f t="shared" si="6"/>
        <v>連結</v>
      </c>
      <c r="C74" s="366" t="str">
        <f t="shared" si="7"/>
        <v>L4943</v>
      </c>
      <c r="D74" t="s">
        <v>1780</v>
      </c>
      <c r="F74" t="str">
        <f t="shared" si="8"/>
        <v>L6042</v>
      </c>
      <c r="G74" t="s">
        <v>2127</v>
      </c>
    </row>
    <row r="75" spans="1:7" x14ac:dyDescent="0.3">
      <c r="A75" s="293" t="s">
        <v>919</v>
      </c>
      <c r="B75" t="e">
        <f t="shared" si="6"/>
        <v>#VALUE!</v>
      </c>
      <c r="C75" s="366" t="e">
        <f t="shared" si="7"/>
        <v>#VALUE!</v>
      </c>
      <c r="D75" t="s">
        <v>1796</v>
      </c>
      <c r="F75" t="str">
        <f t="shared" si="8"/>
        <v>L1905</v>
      </c>
      <c r="G75" t="s">
        <v>2128</v>
      </c>
    </row>
    <row r="76" spans="1:7" x14ac:dyDescent="0.3">
      <c r="A76" s="293" t="s">
        <v>320</v>
      </c>
      <c r="B76" t="e">
        <f t="shared" si="6"/>
        <v>#VALUE!</v>
      </c>
      <c r="C76" s="366" t="e">
        <f t="shared" si="7"/>
        <v>#VALUE!</v>
      </c>
      <c r="D76" t="s">
        <v>1798</v>
      </c>
      <c r="F76" t="e">
        <f t="shared" si="8"/>
        <v>#VALUE!</v>
      </c>
      <c r="G76" t="s">
        <v>2129</v>
      </c>
    </row>
    <row r="77" spans="1:7" x14ac:dyDescent="0.3">
      <c r="A77" s="293" t="s">
        <v>324</v>
      </c>
      <c r="B77" t="e">
        <f t="shared" si="6"/>
        <v>#VALUE!</v>
      </c>
      <c r="C77" s="366" t="str">
        <f t="shared" si="7"/>
        <v>L後續處理</v>
      </c>
      <c r="D77" t="s">
        <v>1801</v>
      </c>
      <c r="F77" t="str">
        <f t="shared" si="8"/>
        <v>L2222</v>
      </c>
      <c r="G77" t="s">
        <v>2130</v>
      </c>
    </row>
    <row r="78" spans="1:7" x14ac:dyDescent="0.3">
      <c r="A78" s="293" t="s">
        <v>354</v>
      </c>
      <c r="B78" t="e">
        <f t="shared" si="6"/>
        <v>#VALUE!</v>
      </c>
      <c r="C78" s="366" t="str">
        <f t="shared" si="7"/>
        <v>L後續處理</v>
      </c>
      <c r="D78" t="s">
        <v>1801</v>
      </c>
      <c r="F78" t="str">
        <f t="shared" si="8"/>
        <v>L2480</v>
      </c>
      <c r="G78" t="s">
        <v>2131</v>
      </c>
    </row>
    <row r="79" spans="1:7" x14ac:dyDescent="0.3">
      <c r="A79" s="293" t="s">
        <v>357</v>
      </c>
      <c r="B79" t="e">
        <f t="shared" si="6"/>
        <v>#VALUE!</v>
      </c>
      <c r="C79" s="366" t="str">
        <f t="shared" si="7"/>
        <v>LD暫收款</v>
      </c>
      <c r="D79" t="s">
        <v>1812</v>
      </c>
      <c r="F79" t="e">
        <f t="shared" si="8"/>
        <v>#VALUE!</v>
      </c>
      <c r="G79" t="s">
        <v>2132</v>
      </c>
    </row>
    <row r="80" spans="1:7" x14ac:dyDescent="0.3">
      <c r="A80" s="293" t="s">
        <v>362</v>
      </c>
      <c r="B80" t="e">
        <f t="shared" si="6"/>
        <v>#VALUE!</v>
      </c>
      <c r="C80" s="366" t="str">
        <f t="shared" si="7"/>
        <v>LC009</v>
      </c>
      <c r="D80" t="s">
        <v>1816</v>
      </c>
      <c r="F80" t="e">
        <f t="shared" si="8"/>
        <v>#VALUE!</v>
      </c>
      <c r="G80" t="s">
        <v>2133</v>
      </c>
    </row>
    <row r="81" spans="1:7" x14ac:dyDescent="0.3">
      <c r="A81" s="293" t="s">
        <v>337</v>
      </c>
      <c r="B81" t="e">
        <f t="shared" si="6"/>
        <v>#VALUE!</v>
      </c>
      <c r="C81" s="366" t="str">
        <f t="shared" si="7"/>
        <v>L8030</v>
      </c>
      <c r="D81" t="s">
        <v>1818</v>
      </c>
      <c r="F81" t="e">
        <f t="shared" si="8"/>
        <v>#VALUE!</v>
      </c>
      <c r="G81" t="s">
        <v>2134</v>
      </c>
    </row>
    <row r="82" spans="1:7" x14ac:dyDescent="0.3">
      <c r="A82" s="293" t="s">
        <v>340</v>
      </c>
      <c r="B82" t="str">
        <f t="shared" si="6"/>
        <v>連結</v>
      </c>
      <c r="C82" s="366" t="str">
        <f t="shared" si="7"/>
        <v>L6932</v>
      </c>
      <c r="D82" t="s">
        <v>1821</v>
      </c>
      <c r="F82" t="e">
        <f t="shared" si="8"/>
        <v>#VALUE!</v>
      </c>
      <c r="G82" t="s">
        <v>2135</v>
      </c>
    </row>
    <row r="83" spans="1:7" x14ac:dyDescent="0.3">
      <c r="A83" s="293" t="s">
        <v>379</v>
      </c>
      <c r="B83" t="str">
        <f t="shared" si="6"/>
        <v>連結</v>
      </c>
      <c r="C83" s="366" t="str">
        <f t="shared" si="7"/>
        <v>L5960</v>
      </c>
      <c r="D83" t="s">
        <v>1824</v>
      </c>
      <c r="F83" t="e">
        <f t="shared" si="8"/>
        <v>#VALUE!</v>
      </c>
      <c r="G83" t="s">
        <v>2136</v>
      </c>
    </row>
    <row r="84" spans="1:7" x14ac:dyDescent="0.3">
      <c r="A84" s="293" t="s">
        <v>381</v>
      </c>
      <c r="B84" t="str">
        <f t="shared" si="6"/>
        <v>連結</v>
      </c>
      <c r="C84" s="366" t="str">
        <f t="shared" si="7"/>
        <v>L5976</v>
      </c>
      <c r="D84" t="s">
        <v>1826</v>
      </c>
      <c r="F84" t="e">
        <f t="shared" si="8"/>
        <v>#VALUE!</v>
      </c>
      <c r="G84" t="s">
        <v>2137</v>
      </c>
    </row>
    <row r="85" spans="1:7" x14ac:dyDescent="0.3">
      <c r="A85" s="293" t="s">
        <v>387</v>
      </c>
      <c r="B85" t="e">
        <f t="shared" si="6"/>
        <v>#VALUE!</v>
      </c>
      <c r="C85" s="366" t="str">
        <f t="shared" si="7"/>
        <v>L5702</v>
      </c>
      <c r="D85" t="s">
        <v>1828</v>
      </c>
      <c r="F85" t="e">
        <f t="shared" si="8"/>
        <v>#VALUE!</v>
      </c>
      <c r="G85" t="s">
        <v>2138</v>
      </c>
    </row>
    <row r="86" spans="1:7" x14ac:dyDescent="0.3">
      <c r="A86" s="293" t="s">
        <v>389</v>
      </c>
      <c r="B86" t="str">
        <f t="shared" si="6"/>
        <v>連結</v>
      </c>
      <c r="C86" s="366" t="str">
        <f t="shared" si="7"/>
        <v>L5977</v>
      </c>
      <c r="D86" t="s">
        <v>1830</v>
      </c>
      <c r="F86" s="293" t="str">
        <f t="shared" si="8"/>
        <v>L8203</v>
      </c>
      <c r="G86" t="s">
        <v>2221</v>
      </c>
    </row>
    <row r="87" spans="1:7" x14ac:dyDescent="0.3">
      <c r="A87" s="293" t="s">
        <v>391</v>
      </c>
      <c r="B87" t="e">
        <f t="shared" si="6"/>
        <v>#VALUE!</v>
      </c>
      <c r="C87" s="366" t="str">
        <f t="shared" si="7"/>
        <v>L5711</v>
      </c>
      <c r="D87" t="s">
        <v>1831</v>
      </c>
      <c r="F87" s="293" t="str">
        <f t="shared" si="8"/>
        <v>L8204</v>
      </c>
      <c r="G87" t="s">
        <v>2222</v>
      </c>
    </row>
    <row r="88" spans="1:7" x14ac:dyDescent="0.3">
      <c r="A88" s="293" t="s">
        <v>393</v>
      </c>
      <c r="B88" t="e">
        <f t="shared" si="6"/>
        <v>#VALUE!</v>
      </c>
      <c r="C88" s="366" t="str">
        <f t="shared" si="7"/>
        <v>L5711</v>
      </c>
      <c r="D88" t="s">
        <v>1832</v>
      </c>
      <c r="F88" s="293" t="str">
        <f t="shared" si="8"/>
        <v>L5813</v>
      </c>
      <c r="G88" t="s">
        <v>2223</v>
      </c>
    </row>
    <row r="89" spans="1:7" x14ac:dyDescent="0.3">
      <c r="A89" s="293" t="s">
        <v>402</v>
      </c>
      <c r="B89" t="e">
        <f t="shared" si="6"/>
        <v>#VALUE!</v>
      </c>
      <c r="C89" s="366" t="str">
        <f t="shared" si="7"/>
        <v>L6085</v>
      </c>
      <c r="D89" t="s">
        <v>1837</v>
      </c>
    </row>
    <row r="90" spans="1:7" x14ac:dyDescent="0.3">
      <c r="A90" s="293" t="s">
        <v>415</v>
      </c>
      <c r="B90" t="e">
        <f t="shared" si="6"/>
        <v>#VALUE!</v>
      </c>
      <c r="C90" s="366" t="str">
        <f t="shared" si="7"/>
        <v>L4500</v>
      </c>
      <c r="D90" t="s">
        <v>1854</v>
      </c>
    </row>
    <row r="91" spans="1:7" x14ac:dyDescent="0.3">
      <c r="A91" s="293" t="s">
        <v>422</v>
      </c>
      <c r="B91" t="e">
        <f t="shared" si="6"/>
        <v>#VALUE!</v>
      </c>
      <c r="C91" s="366" t="str">
        <f t="shared" si="7"/>
        <v>L4500</v>
      </c>
      <c r="D91" t="s">
        <v>1855</v>
      </c>
    </row>
    <row r="92" spans="1:7" x14ac:dyDescent="0.3">
      <c r="A92" s="293" t="s">
        <v>1426</v>
      </c>
      <c r="B92" t="e">
        <f t="shared" si="6"/>
        <v>#VALUE!</v>
      </c>
      <c r="C92" s="366" t="str">
        <f t="shared" si="7"/>
        <v>L4210</v>
      </c>
      <c r="D92" t="s">
        <v>1859</v>
      </c>
    </row>
    <row r="93" spans="1:7" x14ac:dyDescent="0.3">
      <c r="A93" s="293" t="s">
        <v>425</v>
      </c>
      <c r="B93" t="e">
        <f t="shared" si="6"/>
        <v>#VALUE!</v>
      </c>
      <c r="C93" s="366" t="str">
        <f t="shared" si="7"/>
        <v>L3200</v>
      </c>
      <c r="D93" t="s">
        <v>1869</v>
      </c>
    </row>
    <row r="94" spans="1:7" x14ac:dyDescent="0.3">
      <c r="A94" s="293" t="s">
        <v>427</v>
      </c>
      <c r="B94" t="e">
        <f t="shared" si="6"/>
        <v>#VALUE!</v>
      </c>
      <c r="C94" s="366" t="str">
        <f t="shared" si="7"/>
        <v>L3130</v>
      </c>
      <c r="D94" t="s">
        <v>1872</v>
      </c>
    </row>
    <row r="95" spans="1:7" x14ac:dyDescent="0.3">
      <c r="A95" s="293" t="s">
        <v>713</v>
      </c>
      <c r="B95" t="e">
        <f t="shared" si="6"/>
        <v>#VALUE!</v>
      </c>
      <c r="C95" s="366" t="str">
        <f t="shared" si="7"/>
        <v>L4920</v>
      </c>
      <c r="D95" t="s">
        <v>1884</v>
      </c>
    </row>
    <row r="96" spans="1:7" x14ac:dyDescent="0.3">
      <c r="A96" s="293" t="s">
        <v>429</v>
      </c>
      <c r="B96" t="e">
        <f t="shared" si="6"/>
        <v>#VALUE!</v>
      </c>
      <c r="C96" s="366" t="str">
        <f t="shared" si="7"/>
        <v>L6501</v>
      </c>
      <c r="D96" t="s">
        <v>1889</v>
      </c>
    </row>
    <row r="97" spans="1:4" x14ac:dyDescent="0.3">
      <c r="A97" s="293" t="s">
        <v>433</v>
      </c>
      <c r="B97" t="e">
        <f t="shared" si="6"/>
        <v>#VALUE!</v>
      </c>
      <c r="C97" s="366" t="str">
        <f t="shared" si="7"/>
        <v>L3130</v>
      </c>
      <c r="D97" t="s">
        <v>1895</v>
      </c>
    </row>
    <row r="98" spans="1:4" x14ac:dyDescent="0.3">
      <c r="A98" s="293" t="s">
        <v>436</v>
      </c>
      <c r="B98" t="str">
        <f t="shared" si="6"/>
        <v>連結</v>
      </c>
      <c r="C98" s="366" t="str">
        <f t="shared" si="7"/>
        <v>L8204</v>
      </c>
      <c r="D98" t="s">
        <v>1896</v>
      </c>
    </row>
    <row r="99" spans="1:4" x14ac:dyDescent="0.3">
      <c r="A99" s="293" t="s">
        <v>799</v>
      </c>
      <c r="B99" t="e">
        <f t="shared" ref="B99:B114" si="9">IF(FIND("連結",D99)&gt;0,"連結",FIND("連結",D99))</f>
        <v>#VALUE!</v>
      </c>
      <c r="C99" s="366" t="str">
        <f t="shared" ref="C99:C114" si="10">MID(D99,FIND("L",D99),5)</f>
        <v>L9133</v>
      </c>
      <c r="D99" t="s">
        <v>1927</v>
      </c>
    </row>
    <row r="100" spans="1:4" x14ac:dyDescent="0.3">
      <c r="A100" s="293" t="s">
        <v>444</v>
      </c>
      <c r="B100" t="e">
        <f t="shared" si="9"/>
        <v>#VALUE!</v>
      </c>
      <c r="C100" s="366" t="e">
        <f t="shared" si="10"/>
        <v>#VALUE!</v>
      </c>
      <c r="D100" t="s">
        <v>1929</v>
      </c>
    </row>
    <row r="101" spans="1:4" x14ac:dyDescent="0.3">
      <c r="A101" s="293" t="s">
        <v>448</v>
      </c>
      <c r="B101" t="str">
        <f t="shared" si="9"/>
        <v>連結</v>
      </c>
      <c r="C101" s="366" t="str">
        <f t="shared" si="10"/>
        <v>L2038</v>
      </c>
      <c r="D101" t="s">
        <v>1933</v>
      </c>
    </row>
    <row r="102" spans="1:4" x14ac:dyDescent="0.3">
      <c r="A102" s="293" t="s">
        <v>446</v>
      </c>
      <c r="B102" t="e">
        <f t="shared" si="9"/>
        <v>#VALUE!</v>
      </c>
      <c r="C102" s="366" t="str">
        <f t="shared" si="10"/>
        <v>L4610</v>
      </c>
      <c r="D102" t="s">
        <v>1938</v>
      </c>
    </row>
    <row r="103" spans="1:4" x14ac:dyDescent="0.3">
      <c r="A103" s="293" t="s">
        <v>452</v>
      </c>
      <c r="B103" t="e">
        <f t="shared" si="9"/>
        <v>#VALUE!</v>
      </c>
      <c r="C103" s="366" t="str">
        <f t="shared" si="10"/>
        <v>L4611</v>
      </c>
      <c r="D103" t="s">
        <v>1939</v>
      </c>
    </row>
    <row r="104" spans="1:4" x14ac:dyDescent="0.3">
      <c r="A104" s="293" t="s">
        <v>466</v>
      </c>
      <c r="B104" t="e">
        <f t="shared" si="9"/>
        <v>#VALUE!</v>
      </c>
      <c r="C104" s="366" t="str">
        <f t="shared" si="10"/>
        <v>L4962</v>
      </c>
      <c r="D104" t="s">
        <v>1940</v>
      </c>
    </row>
    <row r="105" spans="1:4" x14ac:dyDescent="0.3">
      <c r="A105" s="293" t="s">
        <v>472</v>
      </c>
      <c r="B105" t="str">
        <f t="shared" si="9"/>
        <v>連結</v>
      </c>
      <c r="C105" s="366" t="str">
        <f t="shared" si="10"/>
        <v>L4961</v>
      </c>
      <c r="D105" t="s">
        <v>1941</v>
      </c>
    </row>
    <row r="106" spans="1:4" x14ac:dyDescent="0.3">
      <c r="A106" s="293" t="s">
        <v>474</v>
      </c>
      <c r="B106" t="e">
        <f t="shared" si="9"/>
        <v>#VALUE!</v>
      </c>
      <c r="C106" s="366" t="str">
        <f t="shared" si="10"/>
        <v>L6301</v>
      </c>
      <c r="D106" t="s">
        <v>1946</v>
      </c>
    </row>
    <row r="107" spans="1:4" x14ac:dyDescent="0.3">
      <c r="A107" s="293" t="s">
        <v>476</v>
      </c>
      <c r="B107" t="e">
        <f t="shared" si="9"/>
        <v>#VALUE!</v>
      </c>
      <c r="C107" s="366" t="str">
        <f t="shared" si="10"/>
        <v>L8204</v>
      </c>
      <c r="D107" t="s">
        <v>1972</v>
      </c>
    </row>
    <row r="108" spans="1:4" x14ac:dyDescent="0.3">
      <c r="A108" s="293" t="s">
        <v>469</v>
      </c>
      <c r="B108" t="e">
        <f t="shared" si="9"/>
        <v>#VALUE!</v>
      </c>
      <c r="C108" s="366" t="e">
        <f t="shared" si="10"/>
        <v>#VALUE!</v>
      </c>
      <c r="D108" t="s">
        <v>1977</v>
      </c>
    </row>
    <row r="109" spans="1:4" x14ac:dyDescent="0.3">
      <c r="A109" s="293" t="s">
        <v>1814</v>
      </c>
      <c r="B109" t="str">
        <f t="shared" si="9"/>
        <v>連結</v>
      </c>
      <c r="C109" s="366" t="str">
        <f t="shared" si="10"/>
        <v>L2017</v>
      </c>
      <c r="D109" t="s">
        <v>1981</v>
      </c>
    </row>
    <row r="110" spans="1:4" x14ac:dyDescent="0.3">
      <c r="A110" s="293" t="s">
        <v>486</v>
      </c>
      <c r="B110" t="str">
        <f t="shared" si="9"/>
        <v>連結</v>
      </c>
      <c r="C110" s="366" t="str">
        <f t="shared" si="10"/>
        <v>L2039</v>
      </c>
      <c r="D110" t="s">
        <v>1982</v>
      </c>
    </row>
    <row r="111" spans="1:4" x14ac:dyDescent="0.3">
      <c r="A111" s="293" t="s">
        <v>490</v>
      </c>
      <c r="B111" t="e">
        <f t="shared" si="9"/>
        <v>#VALUE!</v>
      </c>
      <c r="C111" s="366" t="str">
        <f t="shared" si="10"/>
        <v>L2411</v>
      </c>
      <c r="D111" t="s">
        <v>1985</v>
      </c>
    </row>
    <row r="112" spans="1:4" x14ac:dyDescent="0.3">
      <c r="A112" s="293" t="s">
        <v>484</v>
      </c>
      <c r="B112" t="str">
        <f t="shared" si="9"/>
        <v>連結</v>
      </c>
      <c r="C112" s="366" t="str">
        <f t="shared" si="10"/>
        <v>L190A</v>
      </c>
      <c r="D112" t="s">
        <v>1997</v>
      </c>
    </row>
    <row r="113" spans="1:4" x14ac:dyDescent="0.3">
      <c r="A113" s="293" t="s">
        <v>496</v>
      </c>
      <c r="B113" t="e">
        <f t="shared" si="9"/>
        <v>#VALUE!</v>
      </c>
      <c r="C113" s="366" t="str">
        <f t="shared" si="10"/>
        <v>L5062</v>
      </c>
      <c r="D113" t="s">
        <v>1998</v>
      </c>
    </row>
    <row r="114" spans="1:4" x14ac:dyDescent="0.3">
      <c r="A114" s="293" t="s">
        <v>500</v>
      </c>
      <c r="B114" t="e">
        <f t="shared" si="9"/>
        <v>#VALUE!</v>
      </c>
      <c r="C114" s="366" t="str">
        <f t="shared" si="10"/>
        <v>L2038</v>
      </c>
      <c r="D114" t="s">
        <v>2000</v>
      </c>
    </row>
    <row r="115" spans="1:4" x14ac:dyDescent="0.3">
      <c r="A115" s="293" t="s">
        <v>529</v>
      </c>
    </row>
    <row r="116" spans="1:4" x14ac:dyDescent="0.3">
      <c r="A116" s="293" t="s">
        <v>531</v>
      </c>
    </row>
    <row r="117" spans="1:4" x14ac:dyDescent="0.3">
      <c r="A117" s="293" t="s">
        <v>507</v>
      </c>
    </row>
    <row r="118" spans="1:4" x14ac:dyDescent="0.3">
      <c r="A118" s="293" t="s">
        <v>538</v>
      </c>
    </row>
    <row r="119" spans="1:4" x14ac:dyDescent="0.3">
      <c r="A119" s="293" t="s">
        <v>533</v>
      </c>
    </row>
    <row r="120" spans="1:4" x14ac:dyDescent="0.3">
      <c r="A120" s="293" t="s">
        <v>540</v>
      </c>
    </row>
    <row r="121" spans="1:4" x14ac:dyDescent="0.3">
      <c r="A121" s="293" t="s">
        <v>546</v>
      </c>
    </row>
    <row r="122" spans="1:4" x14ac:dyDescent="0.3">
      <c r="A122" s="293" t="s">
        <v>548</v>
      </c>
    </row>
    <row r="123" spans="1:4" x14ac:dyDescent="0.3">
      <c r="A123" s="293" t="s">
        <v>542</v>
      </c>
    </row>
    <row r="124" spans="1:4" x14ac:dyDescent="0.3">
      <c r="A124" s="293" t="s">
        <v>588</v>
      </c>
    </row>
    <row r="125" spans="1:4" x14ac:dyDescent="0.3">
      <c r="A125" s="293" t="s">
        <v>590</v>
      </c>
    </row>
    <row r="126" spans="1:4" x14ac:dyDescent="0.3">
      <c r="A126" s="293" t="s">
        <v>578</v>
      </c>
    </row>
    <row r="127" spans="1:4" x14ac:dyDescent="0.3">
      <c r="A127" s="293" t="s">
        <v>582</v>
      </c>
    </row>
    <row r="128" spans="1:4" x14ac:dyDescent="0.3">
      <c r="A128" s="293" t="s">
        <v>1124</v>
      </c>
    </row>
    <row r="129" spans="1:1" x14ac:dyDescent="0.3">
      <c r="A129" s="293" t="s">
        <v>612</v>
      </c>
    </row>
    <row r="130" spans="1:1" x14ac:dyDescent="0.3">
      <c r="A130" s="293" t="s">
        <v>620</v>
      </c>
    </row>
    <row r="131" spans="1:1" x14ac:dyDescent="0.3">
      <c r="A131" s="293" t="s">
        <v>622</v>
      </c>
    </row>
    <row r="132" spans="1:1" x14ac:dyDescent="0.3">
      <c r="A132" s="293" t="s">
        <v>629</v>
      </c>
    </row>
    <row r="133" spans="1:1" x14ac:dyDescent="0.3">
      <c r="A133" s="293" t="s">
        <v>637</v>
      </c>
    </row>
    <row r="134" spans="1:1" x14ac:dyDescent="0.3">
      <c r="A134" s="293" t="s">
        <v>635</v>
      </c>
    </row>
    <row r="135" spans="1:1" x14ac:dyDescent="0.3">
      <c r="A135" s="293" t="s">
        <v>640</v>
      </c>
    </row>
    <row r="136" spans="1:1" x14ac:dyDescent="0.3">
      <c r="A136" s="293" t="s">
        <v>792</v>
      </c>
    </row>
    <row r="137" spans="1:1" x14ac:dyDescent="0.3">
      <c r="A137" s="293" t="s">
        <v>375</v>
      </c>
    </row>
    <row r="138" spans="1:1" x14ac:dyDescent="0.3">
      <c r="A138" s="293" t="s">
        <v>732</v>
      </c>
    </row>
    <row r="139" spans="1:1" x14ac:dyDescent="0.3">
      <c r="A139" s="293" t="s">
        <v>708</v>
      </c>
    </row>
    <row r="140" spans="1:1" x14ac:dyDescent="0.3">
      <c r="A140" s="293" t="s">
        <v>647</v>
      </c>
    </row>
    <row r="141" spans="1:1" x14ac:dyDescent="0.3">
      <c r="A141" s="293" t="s">
        <v>675</v>
      </c>
    </row>
    <row r="142" spans="1:1" x14ac:dyDescent="0.3">
      <c r="A142" s="293" t="s">
        <v>679</v>
      </c>
    </row>
    <row r="143" spans="1:1" x14ac:dyDescent="0.3">
      <c r="A143" s="293" t="s">
        <v>654</v>
      </c>
    </row>
    <row r="144" spans="1:1" x14ac:dyDescent="0.3">
      <c r="A144" s="293" t="s">
        <v>683</v>
      </c>
    </row>
    <row r="145" spans="1:1" x14ac:dyDescent="0.3">
      <c r="A145" s="293" t="s">
        <v>685</v>
      </c>
    </row>
    <row r="146" spans="1:1" x14ac:dyDescent="0.3">
      <c r="A146" s="293" t="s">
        <v>957</v>
      </c>
    </row>
    <row r="147" spans="1:1" x14ac:dyDescent="0.3">
      <c r="A147" s="293" t="s">
        <v>703</v>
      </c>
    </row>
    <row r="148" spans="1:1" x14ac:dyDescent="0.3">
      <c r="A148" s="293" t="s">
        <v>1137</v>
      </c>
    </row>
    <row r="149" spans="1:1" x14ac:dyDescent="0.3">
      <c r="A149" s="293" t="s">
        <v>1149</v>
      </c>
    </row>
    <row r="150" spans="1:1" x14ac:dyDescent="0.3">
      <c r="A150" s="293" t="s">
        <v>1151</v>
      </c>
    </row>
    <row r="151" spans="1:1" x14ac:dyDescent="0.3">
      <c r="A151" s="293" t="s">
        <v>1197</v>
      </c>
    </row>
    <row r="152" spans="1:1" x14ac:dyDescent="0.3">
      <c r="A152" s="293" t="s">
        <v>664</v>
      </c>
    </row>
    <row r="153" spans="1:1" x14ac:dyDescent="0.3">
      <c r="A153" s="293" t="s">
        <v>658</v>
      </c>
    </row>
    <row r="154" spans="1:1" x14ac:dyDescent="0.3">
      <c r="A154" s="293" t="s">
        <v>656</v>
      </c>
    </row>
    <row r="155" spans="1:1" x14ac:dyDescent="0.3">
      <c r="A155" s="293" t="s">
        <v>721</v>
      </c>
    </row>
    <row r="156" spans="1:1" x14ac:dyDescent="0.3">
      <c r="A156" s="293" t="s">
        <v>1924</v>
      </c>
    </row>
    <row r="157" spans="1:1" x14ac:dyDescent="0.3">
      <c r="A157" s="293" t="s">
        <v>801</v>
      </c>
    </row>
    <row r="158" spans="1:1" x14ac:dyDescent="0.3">
      <c r="A158" s="293" t="s">
        <v>463</v>
      </c>
    </row>
    <row r="159" spans="1:1" x14ac:dyDescent="0.3">
      <c r="A159" s="293" t="s">
        <v>757</v>
      </c>
    </row>
    <row r="160" spans="1:1" x14ac:dyDescent="0.3">
      <c r="A160" s="293" t="s">
        <v>761</v>
      </c>
    </row>
    <row r="161" spans="1:1" x14ac:dyDescent="0.3">
      <c r="A161" s="293" t="s">
        <v>1473</v>
      </c>
    </row>
    <row r="162" spans="1:1" x14ac:dyDescent="0.3">
      <c r="A162" s="293" t="s">
        <v>842</v>
      </c>
    </row>
    <row r="163" spans="1:1" x14ac:dyDescent="0.3">
      <c r="A163" s="293" t="s">
        <v>844</v>
      </c>
    </row>
    <row r="164" spans="1:1" x14ac:dyDescent="0.3">
      <c r="A164" s="293" t="s">
        <v>827</v>
      </c>
    </row>
    <row r="165" spans="1:1" x14ac:dyDescent="0.3">
      <c r="A165" s="293" t="s">
        <v>829</v>
      </c>
    </row>
    <row r="166" spans="1:1" x14ac:dyDescent="0.3">
      <c r="A166" s="293" t="s">
        <v>836</v>
      </c>
    </row>
    <row r="167" spans="1:1" x14ac:dyDescent="0.3">
      <c r="A167" s="293" t="s">
        <v>831</v>
      </c>
    </row>
    <row r="168" spans="1:1" x14ac:dyDescent="0.3">
      <c r="A168" s="293" t="s">
        <v>840</v>
      </c>
    </row>
    <row r="169" spans="1:1" x14ac:dyDescent="0.3">
      <c r="A169" s="293" t="s">
        <v>875</v>
      </c>
    </row>
    <row r="170" spans="1:1" x14ac:dyDescent="0.3">
      <c r="A170" s="293" t="s">
        <v>669</v>
      </c>
    </row>
    <row r="171" spans="1:1" x14ac:dyDescent="0.3">
      <c r="A171" s="293" t="s">
        <v>672</v>
      </c>
    </row>
    <row r="172" spans="1:1" x14ac:dyDescent="0.3">
      <c r="A172" s="293" t="s">
        <v>809</v>
      </c>
    </row>
    <row r="173" spans="1:1" x14ac:dyDescent="0.3">
      <c r="A173" s="293" t="s">
        <v>866</v>
      </c>
    </row>
    <row r="174" spans="1:1" x14ac:dyDescent="0.3">
      <c r="A174" s="293" t="s">
        <v>880</v>
      </c>
    </row>
    <row r="175" spans="1:1" x14ac:dyDescent="0.3">
      <c r="A175" s="293" t="s">
        <v>883</v>
      </c>
    </row>
    <row r="176" spans="1:1" x14ac:dyDescent="0.3">
      <c r="A176" s="293" t="s">
        <v>885</v>
      </c>
    </row>
    <row r="177" spans="1:1" x14ac:dyDescent="0.3">
      <c r="A177" s="293" t="s">
        <v>887</v>
      </c>
    </row>
    <row r="178" spans="1:1" x14ac:dyDescent="0.3">
      <c r="A178" s="293" t="s">
        <v>891</v>
      </c>
    </row>
    <row r="179" spans="1:1" x14ac:dyDescent="0.3">
      <c r="A179" s="293" t="s">
        <v>895</v>
      </c>
    </row>
    <row r="180" spans="1:1" x14ac:dyDescent="0.3">
      <c r="A180" s="293" t="s">
        <v>899</v>
      </c>
    </row>
    <row r="181" spans="1:1" x14ac:dyDescent="0.3">
      <c r="A181" s="293" t="s">
        <v>903</v>
      </c>
    </row>
    <row r="182" spans="1:1" x14ac:dyDescent="0.3">
      <c r="A182" s="293" t="s">
        <v>907</v>
      </c>
    </row>
    <row r="183" spans="1:1" x14ac:dyDescent="0.3">
      <c r="A183" s="293" t="s">
        <v>893</v>
      </c>
    </row>
    <row r="184" spans="1:1" x14ac:dyDescent="0.3">
      <c r="A184" s="293" t="s">
        <v>897</v>
      </c>
    </row>
    <row r="185" spans="1:1" x14ac:dyDescent="0.3">
      <c r="A185" s="293" t="s">
        <v>901</v>
      </c>
    </row>
    <row r="186" spans="1:1" x14ac:dyDescent="0.3">
      <c r="A186" s="293" t="s">
        <v>905</v>
      </c>
    </row>
    <row r="187" spans="1:1" x14ac:dyDescent="0.3">
      <c r="A187" s="293" t="s">
        <v>909</v>
      </c>
    </row>
    <row r="188" spans="1:1" x14ac:dyDescent="0.3">
      <c r="A188" s="293" t="s">
        <v>911</v>
      </c>
    </row>
    <row r="189" spans="1:1" x14ac:dyDescent="0.3">
      <c r="A189" s="293" t="s">
        <v>976</v>
      </c>
    </row>
    <row r="190" spans="1:1" x14ac:dyDescent="0.3">
      <c r="A190" s="293" t="s">
        <v>980</v>
      </c>
    </row>
    <row r="191" spans="1:1" x14ac:dyDescent="0.3">
      <c r="A191" s="293" t="s">
        <v>992</v>
      </c>
    </row>
    <row r="192" spans="1:1" x14ac:dyDescent="0.3">
      <c r="A192" s="293" t="s">
        <v>994</v>
      </c>
    </row>
    <row r="193" spans="1:1" x14ac:dyDescent="0.3">
      <c r="A193" s="293" t="s">
        <v>939</v>
      </c>
    </row>
    <row r="194" spans="1:1" x14ac:dyDescent="0.3">
      <c r="A194" s="293" t="s">
        <v>945</v>
      </c>
    </row>
    <row r="195" spans="1:1" x14ac:dyDescent="0.3">
      <c r="A195" s="293" t="s">
        <v>952</v>
      </c>
    </row>
    <row r="196" spans="1:1" x14ac:dyDescent="0.3">
      <c r="A196" s="293" t="s">
        <v>953</v>
      </c>
    </row>
    <row r="197" spans="1:1" x14ac:dyDescent="0.3">
      <c r="A197" s="293" t="s">
        <v>943</v>
      </c>
    </row>
    <row r="198" spans="1:1" x14ac:dyDescent="0.3">
      <c r="A198" s="293" t="s">
        <v>965</v>
      </c>
    </row>
    <row r="199" spans="1:1" x14ac:dyDescent="0.3">
      <c r="A199" s="293" t="s">
        <v>961</v>
      </c>
    </row>
    <row r="200" spans="1:1" x14ac:dyDescent="0.3">
      <c r="A200" s="293" t="s">
        <v>963</v>
      </c>
    </row>
    <row r="201" spans="1:1" x14ac:dyDescent="0.3">
      <c r="A201" s="293" t="s">
        <v>967</v>
      </c>
    </row>
    <row r="202" spans="1:1" x14ac:dyDescent="0.3">
      <c r="A202" s="293" t="s">
        <v>933</v>
      </c>
    </row>
    <row r="203" spans="1:1" x14ac:dyDescent="0.3">
      <c r="A203" s="293" t="s">
        <v>973</v>
      </c>
    </row>
    <row r="204" spans="1:1" x14ac:dyDescent="0.3">
      <c r="A204" s="293" t="s">
        <v>982</v>
      </c>
    </row>
    <row r="205" spans="1:1" x14ac:dyDescent="0.3">
      <c r="A205" s="293" t="s">
        <v>986</v>
      </c>
    </row>
    <row r="206" spans="1:1" x14ac:dyDescent="0.3">
      <c r="A206" s="293" t="s">
        <v>988</v>
      </c>
    </row>
    <row r="207" spans="1:1" x14ac:dyDescent="0.3">
      <c r="A207" s="293" t="s">
        <v>1397</v>
      </c>
    </row>
    <row r="208" spans="1:1" x14ac:dyDescent="0.3">
      <c r="A208" s="293" t="s">
        <v>804</v>
      </c>
    </row>
    <row r="209" spans="1:1" x14ac:dyDescent="0.3">
      <c r="A209" s="293" t="s">
        <v>1279</v>
      </c>
    </row>
    <row r="210" spans="1:1" x14ac:dyDescent="0.3">
      <c r="A210" s="293" t="s">
        <v>2732</v>
      </c>
    </row>
    <row r="211" spans="1:1" x14ac:dyDescent="0.3">
      <c r="A211" s="293" t="s">
        <v>1122</v>
      </c>
    </row>
    <row r="212" spans="1:1" x14ac:dyDescent="0.3">
      <c r="A212" s="293" t="s">
        <v>2139</v>
      </c>
    </row>
    <row r="213" spans="1:1" x14ac:dyDescent="0.3">
      <c r="A213" s="293" t="s">
        <v>1066</v>
      </c>
    </row>
    <row r="214" spans="1:1" x14ac:dyDescent="0.3">
      <c r="A214" s="293" t="s">
        <v>1073</v>
      </c>
    </row>
    <row r="215" spans="1:1" x14ac:dyDescent="0.3">
      <c r="A215" s="293" t="s">
        <v>177</v>
      </c>
    </row>
    <row r="216" spans="1:1" x14ac:dyDescent="0.3">
      <c r="A216" s="293" t="s">
        <v>1109</v>
      </c>
    </row>
    <row r="217" spans="1:1" x14ac:dyDescent="0.3">
      <c r="A217" s="293" t="s">
        <v>860</v>
      </c>
    </row>
    <row r="218" spans="1:1" x14ac:dyDescent="0.3">
      <c r="A218" s="293" t="s">
        <v>365</v>
      </c>
    </row>
    <row r="219" spans="1:1" x14ac:dyDescent="0.3">
      <c r="A219" s="293" t="s">
        <v>854</v>
      </c>
    </row>
    <row r="220" spans="1:1" x14ac:dyDescent="0.3">
      <c r="A220" s="293" t="s">
        <v>1105</v>
      </c>
    </row>
    <row r="221" spans="1:1" x14ac:dyDescent="0.3">
      <c r="A221" s="293" t="s">
        <v>161</v>
      </c>
    </row>
    <row r="222" spans="1:1" x14ac:dyDescent="0.3">
      <c r="A222" s="293" t="s">
        <v>2140</v>
      </c>
    </row>
    <row r="223" spans="1:1" x14ac:dyDescent="0.3">
      <c r="A223" s="293" t="s">
        <v>1404</v>
      </c>
    </row>
    <row r="224" spans="1:1" x14ac:dyDescent="0.3">
      <c r="A224" s="293" t="s">
        <v>1132</v>
      </c>
    </row>
    <row r="225" spans="1:1" x14ac:dyDescent="0.3">
      <c r="A225" s="293" t="s">
        <v>502</v>
      </c>
    </row>
    <row r="226" spans="1:1" x14ac:dyDescent="0.3">
      <c r="A226" s="293" t="s">
        <v>525</v>
      </c>
    </row>
    <row r="227" spans="1:1" x14ac:dyDescent="0.3">
      <c r="A227" s="293" t="s">
        <v>625</v>
      </c>
    </row>
    <row r="228" spans="1:1" x14ac:dyDescent="0.3">
      <c r="A228" s="293" t="s">
        <v>710</v>
      </c>
    </row>
    <row r="229" spans="1:1" x14ac:dyDescent="0.3">
      <c r="A229" s="293" t="s">
        <v>442</v>
      </c>
    </row>
    <row r="230" spans="1:1" x14ac:dyDescent="0.3">
      <c r="A230" s="293" t="s">
        <v>454</v>
      </c>
    </row>
    <row r="231" spans="1:1" x14ac:dyDescent="0.3">
      <c r="A231" s="293" t="s">
        <v>913</v>
      </c>
    </row>
    <row r="232" spans="1:1" x14ac:dyDescent="0.3">
      <c r="A232" s="293" t="s">
        <v>916</v>
      </c>
    </row>
    <row r="233" spans="1:1" x14ac:dyDescent="0.3">
      <c r="A233" s="293" t="s">
        <v>1466</v>
      </c>
    </row>
    <row r="234" spans="1:1" x14ac:dyDescent="0.3">
      <c r="A234" s="293" t="s">
        <v>1471</v>
      </c>
    </row>
    <row r="235" spans="1:1" x14ac:dyDescent="0.3">
      <c r="A235" s="293" t="s">
        <v>596</v>
      </c>
    </row>
    <row r="236" spans="1:1" x14ac:dyDescent="0.3">
      <c r="A236" s="293" t="s">
        <v>759</v>
      </c>
    </row>
    <row r="237" spans="1:1" x14ac:dyDescent="0.3">
      <c r="A237" s="293" t="s">
        <v>1103</v>
      </c>
    </row>
    <row r="238" spans="1:1" x14ac:dyDescent="0.3">
      <c r="A238" s="293" t="s">
        <v>869</v>
      </c>
    </row>
    <row r="239" spans="1:1" x14ac:dyDescent="0.3">
      <c r="A239" t="s">
        <v>1372</v>
      </c>
    </row>
    <row r="240" spans="1:1" x14ac:dyDescent="0.3">
      <c r="A240" t="s">
        <v>1376</v>
      </c>
    </row>
    <row r="241" spans="1:1" x14ac:dyDescent="0.3">
      <c r="A241" t="s">
        <v>1380</v>
      </c>
    </row>
    <row r="242" spans="1:1" x14ac:dyDescent="0.3">
      <c r="A242" t="s">
        <v>1378</v>
      </c>
    </row>
    <row r="243" spans="1:1" x14ac:dyDescent="0.3">
      <c r="A243" t="s">
        <v>1382</v>
      </c>
    </row>
    <row r="244" spans="1:1" x14ac:dyDescent="0.3">
      <c r="A244" t="s">
        <v>1384</v>
      </c>
    </row>
    <row r="245" spans="1:1" x14ac:dyDescent="0.3">
      <c r="A245" t="s">
        <v>1364</v>
      </c>
    </row>
    <row r="246" spans="1:1" x14ac:dyDescent="0.3">
      <c r="A246" t="s">
        <v>1367</v>
      </c>
    </row>
    <row r="247" spans="1:1" x14ac:dyDescent="0.3">
      <c r="A247" t="s">
        <v>2927</v>
      </c>
    </row>
  </sheetData>
  <autoFilter ref="A1:G261" xr:uid="{00000000-0009-0000-0000-00000E000000}"/>
  <phoneticPr fontId="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C78"/>
  <sheetViews>
    <sheetView workbookViewId="0">
      <selection sqref="A1:A70"/>
    </sheetView>
  </sheetViews>
  <sheetFormatPr defaultColWidth="8.69921875" defaultRowHeight="17" x14ac:dyDescent="0.3"/>
  <cols>
    <col min="1" max="1" width="8.69921875" style="414" customWidth="1"/>
    <col min="2" max="3" width="9.69921875" style="411" customWidth="1"/>
    <col min="4" max="4" width="9.69921875" style="411" bestFit="1" customWidth="1"/>
    <col min="5" max="5" width="11.09765625" style="411" bestFit="1" customWidth="1"/>
    <col min="6" max="6" width="9.69921875" style="411" bestFit="1" customWidth="1"/>
    <col min="7" max="7" width="11.09765625" style="411" bestFit="1" customWidth="1"/>
    <col min="8" max="16384" width="8.69921875" style="313"/>
  </cols>
  <sheetData>
    <row r="1" spans="1:29" ht="17.5" thickBot="1" x14ac:dyDescent="0.45">
      <c r="A1" s="414" t="s">
        <v>371</v>
      </c>
      <c r="B1" s="418">
        <v>44372</v>
      </c>
      <c r="C1" s="418">
        <v>44379</v>
      </c>
      <c r="D1" s="419">
        <v>44504</v>
      </c>
      <c r="E1" s="410">
        <v>44523</v>
      </c>
      <c r="F1" s="410">
        <v>44533</v>
      </c>
      <c r="G1" s="421" t="s">
        <v>2781</v>
      </c>
    </row>
    <row r="2" spans="1:29" ht="17.5" thickBot="1" x14ac:dyDescent="0.35">
      <c r="A2" s="414" t="s">
        <v>647</v>
      </c>
      <c r="B2" s="416" t="s">
        <v>2778</v>
      </c>
      <c r="C2" s="416" t="s">
        <v>2779</v>
      </c>
      <c r="D2" s="416" t="s">
        <v>371</v>
      </c>
      <c r="E2" s="411" t="s">
        <v>371</v>
      </c>
      <c r="F2" s="411" t="s">
        <v>840</v>
      </c>
      <c r="G2" s="422" t="s">
        <v>2782</v>
      </c>
      <c r="I2" s="313" t="s">
        <v>2147</v>
      </c>
      <c r="L2" s="313" t="s">
        <v>2148</v>
      </c>
      <c r="O2" s="313" t="s">
        <v>1492</v>
      </c>
    </row>
    <row r="3" spans="1:29" x14ac:dyDescent="0.3">
      <c r="A3" s="414" t="s">
        <v>840</v>
      </c>
      <c r="B3" s="416"/>
      <c r="C3" s="421" t="s">
        <v>2784</v>
      </c>
      <c r="D3" s="416" t="s">
        <v>383</v>
      </c>
      <c r="E3" s="411" t="s">
        <v>647</v>
      </c>
      <c r="F3" s="411" t="s">
        <v>829</v>
      </c>
      <c r="G3" s="421" t="s">
        <v>2771</v>
      </c>
      <c r="I3" s="313" t="s">
        <v>2149</v>
      </c>
      <c r="L3" s="313" t="s">
        <v>2150</v>
      </c>
      <c r="O3" s="313" t="s">
        <v>2151</v>
      </c>
    </row>
    <row r="4" spans="1:29" x14ac:dyDescent="0.3">
      <c r="A4" s="414" t="s">
        <v>829</v>
      </c>
      <c r="B4" s="416"/>
      <c r="C4" s="416" t="s">
        <v>2780</v>
      </c>
      <c r="D4" s="416" t="s">
        <v>395</v>
      </c>
      <c r="E4" s="411" t="s">
        <v>440</v>
      </c>
      <c r="F4" s="411" t="s">
        <v>369</v>
      </c>
      <c r="G4" s="421" t="s">
        <v>2783</v>
      </c>
      <c r="I4" s="313" t="s">
        <v>2152</v>
      </c>
      <c r="L4" s="313" t="s">
        <v>2153</v>
      </c>
      <c r="O4" s="313" t="s">
        <v>2154</v>
      </c>
    </row>
    <row r="5" spans="1:29" x14ac:dyDescent="0.3">
      <c r="A5" s="414" t="s">
        <v>383</v>
      </c>
      <c r="B5" s="416"/>
      <c r="C5" s="418"/>
      <c r="D5" s="416" t="s">
        <v>379</v>
      </c>
      <c r="E5" s="412" t="s">
        <v>369</v>
      </c>
      <c r="F5" s="411" t="s">
        <v>405</v>
      </c>
      <c r="G5" s="421" t="s">
        <v>2775</v>
      </c>
      <c r="I5" s="313" t="s">
        <v>2155</v>
      </c>
      <c r="L5" s="313" t="s">
        <v>2156</v>
      </c>
      <c r="O5" s="313" t="s">
        <v>2157</v>
      </c>
    </row>
    <row r="6" spans="1:29" x14ac:dyDescent="0.3">
      <c r="A6" s="414" t="s">
        <v>395</v>
      </c>
      <c r="B6" s="416"/>
      <c r="C6" s="416"/>
      <c r="D6" s="416" t="s">
        <v>391</v>
      </c>
      <c r="E6" s="412" t="s">
        <v>405</v>
      </c>
      <c r="F6" s="411" t="s">
        <v>827</v>
      </c>
      <c r="G6" s="421" t="s">
        <v>2784</v>
      </c>
      <c r="I6" s="313" t="s">
        <v>2158</v>
      </c>
      <c r="L6" s="313" t="s">
        <v>2159</v>
      </c>
    </row>
    <row r="7" spans="1:29" x14ac:dyDescent="0.4">
      <c r="A7" s="414" t="s">
        <v>379</v>
      </c>
      <c r="B7" s="416"/>
      <c r="C7" s="416"/>
      <c r="D7" s="420" t="s">
        <v>369</v>
      </c>
      <c r="E7" s="411" t="s">
        <v>408</v>
      </c>
      <c r="F7" s="411" t="s">
        <v>831</v>
      </c>
      <c r="I7" s="313" t="s">
        <v>2160</v>
      </c>
      <c r="L7" s="313" t="s">
        <v>2161</v>
      </c>
    </row>
    <row r="8" spans="1:29" x14ac:dyDescent="0.4">
      <c r="A8" s="414" t="s">
        <v>391</v>
      </c>
      <c r="B8" s="420"/>
      <c r="C8" s="420"/>
      <c r="D8" s="416" t="s">
        <v>405</v>
      </c>
      <c r="E8" s="411" t="s">
        <v>637</v>
      </c>
      <c r="F8" s="411" t="s">
        <v>825</v>
      </c>
      <c r="I8" s="313" t="s">
        <v>2162</v>
      </c>
      <c r="L8" s="313" t="s">
        <v>2163</v>
      </c>
    </row>
    <row r="9" spans="1:29" x14ac:dyDescent="0.3">
      <c r="A9" s="414" t="s">
        <v>440</v>
      </c>
      <c r="B9" s="416"/>
      <c r="C9" s="416"/>
      <c r="D9" s="416" t="s">
        <v>381</v>
      </c>
      <c r="E9" s="411" t="s">
        <v>679</v>
      </c>
      <c r="F9" s="411" t="s">
        <v>833</v>
      </c>
      <c r="I9" s="313" t="s">
        <v>2164</v>
      </c>
      <c r="L9" s="313" t="s">
        <v>2165</v>
      </c>
    </row>
    <row r="10" spans="1:29" x14ac:dyDescent="0.4">
      <c r="A10" s="414" t="s">
        <v>369</v>
      </c>
      <c r="B10" s="416"/>
      <c r="C10" s="416"/>
      <c r="D10" s="416" t="s">
        <v>393</v>
      </c>
      <c r="E10" s="411" t="s">
        <v>660</v>
      </c>
      <c r="F10" s="413" t="s">
        <v>625</v>
      </c>
      <c r="I10" s="313" t="s">
        <v>2166</v>
      </c>
      <c r="L10" s="313" t="s">
        <v>2167</v>
      </c>
    </row>
    <row r="11" spans="1:29" x14ac:dyDescent="0.3">
      <c r="A11" s="414" t="s">
        <v>405</v>
      </c>
      <c r="B11" s="416"/>
      <c r="C11" s="416"/>
      <c r="D11" s="416" t="s">
        <v>385</v>
      </c>
      <c r="E11" s="411" t="s">
        <v>662</v>
      </c>
      <c r="F11" s="411" t="s">
        <v>629</v>
      </c>
      <c r="I11" s="313" t="s">
        <v>2168</v>
      </c>
      <c r="L11" s="313" t="s">
        <v>2169</v>
      </c>
    </row>
    <row r="12" spans="1:29" x14ac:dyDescent="0.3">
      <c r="A12" s="414" t="s">
        <v>408</v>
      </c>
      <c r="B12" s="416"/>
      <c r="C12" s="416"/>
      <c r="D12" s="416" t="s">
        <v>373</v>
      </c>
      <c r="E12" s="411" t="s">
        <v>645</v>
      </c>
      <c r="F12" s="411" t="s">
        <v>635</v>
      </c>
      <c r="I12" s="313" t="s">
        <v>2170</v>
      </c>
    </row>
    <row r="13" spans="1:29" x14ac:dyDescent="0.3">
      <c r="A13" s="414" t="s">
        <v>637</v>
      </c>
      <c r="B13" s="416"/>
      <c r="C13" s="416"/>
      <c r="D13" s="416" t="s">
        <v>387</v>
      </c>
      <c r="E13" s="411" t="s">
        <v>650</v>
      </c>
      <c r="F13" s="411" t="s">
        <v>633</v>
      </c>
    </row>
    <row r="14" spans="1:29" x14ac:dyDescent="0.3">
      <c r="A14" s="414" t="s">
        <v>679</v>
      </c>
      <c r="B14" s="416"/>
      <c r="C14" s="416"/>
      <c r="D14" s="416" t="s">
        <v>389</v>
      </c>
      <c r="E14" s="411" t="s">
        <v>652</v>
      </c>
      <c r="F14" s="421" t="s">
        <v>640</v>
      </c>
    </row>
    <row r="15" spans="1:29" x14ac:dyDescent="0.3">
      <c r="A15" s="414" t="s">
        <v>660</v>
      </c>
      <c r="B15" s="416"/>
      <c r="C15" s="416"/>
      <c r="D15" s="416" t="s">
        <v>397</v>
      </c>
      <c r="E15" s="411" t="s">
        <v>675</v>
      </c>
      <c r="F15" s="411" t="s">
        <v>442</v>
      </c>
    </row>
    <row r="16" spans="1:29" x14ac:dyDescent="0.4">
      <c r="A16" s="414" t="s">
        <v>662</v>
      </c>
      <c r="B16" s="416"/>
      <c r="C16" s="416"/>
      <c r="D16" s="416"/>
      <c r="E16" s="411" t="s">
        <v>466</v>
      </c>
      <c r="F16" s="416" t="s">
        <v>448</v>
      </c>
      <c r="J16" s="68" t="s">
        <v>625</v>
      </c>
      <c r="K16" s="313" t="s">
        <v>627</v>
      </c>
      <c r="L16" s="313" t="s">
        <v>629</v>
      </c>
      <c r="M16" s="313" t="s">
        <v>631</v>
      </c>
      <c r="N16" s="313" t="s">
        <v>633</v>
      </c>
      <c r="O16" s="313" t="s">
        <v>635</v>
      </c>
      <c r="P16" s="313" t="s">
        <v>640</v>
      </c>
      <c r="Q16" s="313" t="s">
        <v>840</v>
      </c>
      <c r="R16" s="313" t="s">
        <v>829</v>
      </c>
      <c r="S16" s="313" t="s">
        <v>827</v>
      </c>
      <c r="T16" s="313" t="s">
        <v>833</v>
      </c>
      <c r="U16" s="313" t="s">
        <v>836</v>
      </c>
      <c r="V16" s="313" t="s">
        <v>831</v>
      </c>
      <c r="W16" s="313" t="s">
        <v>825</v>
      </c>
      <c r="X16" s="313" t="s">
        <v>838</v>
      </c>
      <c r="Y16" s="313" t="s">
        <v>369</v>
      </c>
      <c r="Z16" s="313" t="s">
        <v>405</v>
      </c>
      <c r="AA16" s="313" t="s">
        <v>442</v>
      </c>
      <c r="AB16" s="313" t="s">
        <v>448</v>
      </c>
      <c r="AC16" s="313" t="s">
        <v>454</v>
      </c>
    </row>
    <row r="17" spans="1:6" x14ac:dyDescent="0.3">
      <c r="A17" s="416" t="s">
        <v>2778</v>
      </c>
      <c r="B17" s="416"/>
      <c r="C17" s="416"/>
      <c r="D17" s="416"/>
      <c r="E17" s="411" t="s">
        <v>472</v>
      </c>
      <c r="F17" s="411" t="s">
        <v>838</v>
      </c>
    </row>
    <row r="18" spans="1:6" x14ac:dyDescent="0.3">
      <c r="A18" s="414" t="s">
        <v>645</v>
      </c>
      <c r="E18" s="411" t="s">
        <v>474</v>
      </c>
      <c r="F18" s="411" t="s">
        <v>836</v>
      </c>
    </row>
    <row r="19" spans="1:6" x14ac:dyDescent="0.3">
      <c r="A19" s="414" t="s">
        <v>650</v>
      </c>
      <c r="E19" s="411" t="s">
        <v>476</v>
      </c>
      <c r="F19" s="411" t="s">
        <v>627</v>
      </c>
    </row>
    <row r="20" spans="1:6" x14ac:dyDescent="0.3">
      <c r="A20" s="414" t="s">
        <v>652</v>
      </c>
      <c r="E20" s="421" t="s">
        <v>664</v>
      </c>
      <c r="F20" s="411" t="s">
        <v>631</v>
      </c>
    </row>
    <row r="21" spans="1:6" x14ac:dyDescent="0.3">
      <c r="A21" s="414" t="s">
        <v>675</v>
      </c>
      <c r="E21" s="411" t="s">
        <v>666</v>
      </c>
      <c r="F21" s="411" t="s">
        <v>454</v>
      </c>
    </row>
    <row r="22" spans="1:6" x14ac:dyDescent="0.3">
      <c r="A22" s="414" t="s">
        <v>827</v>
      </c>
      <c r="E22" s="411" t="s">
        <v>444</v>
      </c>
    </row>
    <row r="23" spans="1:6" x14ac:dyDescent="0.3">
      <c r="A23" s="414" t="s">
        <v>831</v>
      </c>
      <c r="E23" s="411" t="s">
        <v>446</v>
      </c>
    </row>
    <row r="24" spans="1:6" x14ac:dyDescent="0.3">
      <c r="A24" s="414" t="s">
        <v>825</v>
      </c>
      <c r="E24" s="411" t="s">
        <v>450</v>
      </c>
    </row>
    <row r="25" spans="1:6" x14ac:dyDescent="0.3">
      <c r="A25" s="414" t="s">
        <v>833</v>
      </c>
      <c r="E25" s="421" t="s">
        <v>452</v>
      </c>
    </row>
    <row r="26" spans="1:6" x14ac:dyDescent="0.3">
      <c r="A26" s="414" t="s">
        <v>381</v>
      </c>
      <c r="E26" s="411" t="s">
        <v>757</v>
      </c>
    </row>
    <row r="27" spans="1:6" x14ac:dyDescent="0.3">
      <c r="A27" s="414" t="s">
        <v>393</v>
      </c>
      <c r="E27" s="411" t="s">
        <v>759</v>
      </c>
    </row>
    <row r="28" spans="1:6" x14ac:dyDescent="0.3">
      <c r="A28" s="414" t="s">
        <v>385</v>
      </c>
      <c r="E28" s="411" t="s">
        <v>761</v>
      </c>
    </row>
    <row r="29" spans="1:6" x14ac:dyDescent="0.3">
      <c r="A29" s="414" t="s">
        <v>466</v>
      </c>
      <c r="E29" s="411" t="s">
        <v>763</v>
      </c>
    </row>
    <row r="30" spans="1:6" x14ac:dyDescent="0.3">
      <c r="A30" s="414" t="s">
        <v>472</v>
      </c>
      <c r="E30" s="412" t="s">
        <v>442</v>
      </c>
    </row>
    <row r="31" spans="1:6" x14ac:dyDescent="0.3">
      <c r="A31" s="414" t="s">
        <v>474</v>
      </c>
      <c r="E31" s="412" t="s">
        <v>448</v>
      </c>
    </row>
    <row r="32" spans="1:6" x14ac:dyDescent="0.3">
      <c r="A32" s="414" t="s">
        <v>476</v>
      </c>
      <c r="E32" s="411" t="s">
        <v>654</v>
      </c>
    </row>
    <row r="33" spans="1:5" x14ac:dyDescent="0.3">
      <c r="A33" s="414" t="s">
        <v>666</v>
      </c>
      <c r="E33" s="411" t="s">
        <v>677</v>
      </c>
    </row>
    <row r="34" spans="1:5" x14ac:dyDescent="0.4">
      <c r="A34" s="415" t="s">
        <v>625</v>
      </c>
      <c r="E34" s="411" t="s">
        <v>411</v>
      </c>
    </row>
    <row r="35" spans="1:5" x14ac:dyDescent="0.3">
      <c r="A35" s="414" t="s">
        <v>629</v>
      </c>
      <c r="E35" s="411" t="s">
        <v>413</v>
      </c>
    </row>
    <row r="36" spans="1:5" x14ac:dyDescent="0.3">
      <c r="A36" s="414" t="s">
        <v>635</v>
      </c>
      <c r="E36" s="411" t="s">
        <v>656</v>
      </c>
    </row>
    <row r="37" spans="1:5" x14ac:dyDescent="0.3">
      <c r="A37" s="414" t="s">
        <v>633</v>
      </c>
      <c r="E37" s="411" t="s">
        <v>681</v>
      </c>
    </row>
    <row r="38" spans="1:5" x14ac:dyDescent="0.3">
      <c r="A38" s="414" t="s">
        <v>444</v>
      </c>
      <c r="E38" s="411" t="s">
        <v>658</v>
      </c>
    </row>
    <row r="39" spans="1:5" x14ac:dyDescent="0.3">
      <c r="A39" s="414" t="s">
        <v>446</v>
      </c>
      <c r="E39" s="411" t="s">
        <v>469</v>
      </c>
    </row>
    <row r="40" spans="1:5" x14ac:dyDescent="0.3">
      <c r="A40" s="414" t="s">
        <v>450</v>
      </c>
      <c r="E40" s="411" t="s">
        <v>457</v>
      </c>
    </row>
    <row r="41" spans="1:5" x14ac:dyDescent="0.3">
      <c r="A41" s="414" t="s">
        <v>757</v>
      </c>
      <c r="E41" s="411" t="s">
        <v>459</v>
      </c>
    </row>
    <row r="42" spans="1:5" x14ac:dyDescent="0.3">
      <c r="A42" s="414" t="s">
        <v>759</v>
      </c>
      <c r="E42" s="412" t="s">
        <v>454</v>
      </c>
    </row>
    <row r="43" spans="1:5" x14ac:dyDescent="0.3">
      <c r="A43" s="414" t="s">
        <v>761</v>
      </c>
      <c r="E43" s="411" t="s">
        <v>461</v>
      </c>
    </row>
    <row r="44" spans="1:5" x14ac:dyDescent="0.3">
      <c r="A44" s="414" t="s">
        <v>763</v>
      </c>
      <c r="E44" s="411" t="s">
        <v>463</v>
      </c>
    </row>
    <row r="45" spans="1:5" x14ac:dyDescent="0.3">
      <c r="A45" s="414" t="s">
        <v>442</v>
      </c>
      <c r="E45" s="411" t="s">
        <v>765</v>
      </c>
    </row>
    <row r="46" spans="1:5" x14ac:dyDescent="0.3">
      <c r="A46" s="414" t="s">
        <v>448</v>
      </c>
    </row>
    <row r="47" spans="1:5" x14ac:dyDescent="0.3">
      <c r="A47" s="416" t="s">
        <v>2779</v>
      </c>
    </row>
    <row r="48" spans="1:5" x14ac:dyDescent="0.3">
      <c r="A48" s="416" t="s">
        <v>2780</v>
      </c>
    </row>
    <row r="49" spans="1:1" x14ac:dyDescent="0.3">
      <c r="A49" s="414" t="s">
        <v>838</v>
      </c>
    </row>
    <row r="50" spans="1:1" x14ac:dyDescent="0.3">
      <c r="A50" s="414" t="s">
        <v>373</v>
      </c>
    </row>
    <row r="51" spans="1:1" x14ac:dyDescent="0.3">
      <c r="A51" s="414" t="s">
        <v>654</v>
      </c>
    </row>
    <row r="52" spans="1:1" x14ac:dyDescent="0.3">
      <c r="A52" s="414" t="s">
        <v>677</v>
      </c>
    </row>
    <row r="53" spans="1:1" x14ac:dyDescent="0.3">
      <c r="A53" s="414" t="s">
        <v>411</v>
      </c>
    </row>
    <row r="54" spans="1:1" x14ac:dyDescent="0.3">
      <c r="A54" s="414" t="s">
        <v>413</v>
      </c>
    </row>
    <row r="55" spans="1:1" x14ac:dyDescent="0.3">
      <c r="A55" s="414" t="s">
        <v>656</v>
      </c>
    </row>
    <row r="56" spans="1:1" x14ac:dyDescent="0.3">
      <c r="A56" s="414" t="s">
        <v>681</v>
      </c>
    </row>
    <row r="57" spans="1:1" x14ac:dyDescent="0.3">
      <c r="A57" s="414" t="s">
        <v>658</v>
      </c>
    </row>
    <row r="58" spans="1:1" x14ac:dyDescent="0.3">
      <c r="A58" s="414" t="s">
        <v>836</v>
      </c>
    </row>
    <row r="59" spans="1:1" x14ac:dyDescent="0.3">
      <c r="A59" s="414" t="s">
        <v>387</v>
      </c>
    </row>
    <row r="60" spans="1:1" x14ac:dyDescent="0.3">
      <c r="A60" s="414" t="s">
        <v>389</v>
      </c>
    </row>
    <row r="61" spans="1:1" x14ac:dyDescent="0.3">
      <c r="A61" s="414" t="s">
        <v>397</v>
      </c>
    </row>
    <row r="62" spans="1:1" x14ac:dyDescent="0.3">
      <c r="A62" s="414" t="s">
        <v>469</v>
      </c>
    </row>
    <row r="63" spans="1:1" x14ac:dyDescent="0.3">
      <c r="A63" s="414" t="s">
        <v>627</v>
      </c>
    </row>
    <row r="64" spans="1:1" x14ac:dyDescent="0.3">
      <c r="A64" s="414" t="s">
        <v>631</v>
      </c>
    </row>
    <row r="65" spans="1:1" x14ac:dyDescent="0.3">
      <c r="A65" s="414" t="s">
        <v>457</v>
      </c>
    </row>
    <row r="66" spans="1:1" x14ac:dyDescent="0.3">
      <c r="A66" s="414" t="s">
        <v>459</v>
      </c>
    </row>
    <row r="67" spans="1:1" x14ac:dyDescent="0.3">
      <c r="A67" s="414" t="s">
        <v>454</v>
      </c>
    </row>
    <row r="68" spans="1:1" x14ac:dyDescent="0.3">
      <c r="A68" s="414" t="s">
        <v>461</v>
      </c>
    </row>
    <row r="69" spans="1:1" x14ac:dyDescent="0.3">
      <c r="A69" s="414" t="s">
        <v>463</v>
      </c>
    </row>
    <row r="70" spans="1:1" x14ac:dyDescent="0.3">
      <c r="A70" s="414" t="s">
        <v>765</v>
      </c>
    </row>
    <row r="75" spans="1:1" x14ac:dyDescent="0.3">
      <c r="A75" s="417"/>
    </row>
    <row r="76" spans="1:1" x14ac:dyDescent="0.3">
      <c r="A76" s="417"/>
    </row>
    <row r="77" spans="1:1" x14ac:dyDescent="0.3">
      <c r="A77" s="417"/>
    </row>
    <row r="78" spans="1:1" x14ac:dyDescent="0.3">
      <c r="A78" s="417"/>
    </row>
  </sheetData>
  <sortState xmlns:xlrd2="http://schemas.microsoft.com/office/spreadsheetml/2017/richdata2" ref="A1:A81">
    <sortCondition ref="A1:A81"/>
  </sortState>
  <phoneticPr fontId="3" type="noConversion"/>
  <pageMargins left="0.7" right="0.7" top="0.75" bottom="0.75" header="0.3" footer="0.3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3:KT17"/>
  <sheetViews>
    <sheetView topLeftCell="D1" zoomScaleNormal="100" workbookViewId="0">
      <selection activeCell="AA24" sqref="AA24"/>
    </sheetView>
  </sheetViews>
  <sheetFormatPr defaultColWidth="8.69921875" defaultRowHeight="10.5" x14ac:dyDescent="0.25"/>
  <cols>
    <col min="1" max="1" width="12.5" style="295" bestFit="1" customWidth="1"/>
    <col min="2" max="2" width="10.296875" style="295" bestFit="1" customWidth="1"/>
    <col min="3" max="4" width="4.59765625" style="295" bestFit="1" customWidth="1"/>
    <col min="5" max="5" width="6.19921875" style="295" bestFit="1" customWidth="1"/>
    <col min="6" max="6" width="7.796875" style="295" bestFit="1" customWidth="1"/>
    <col min="7" max="7" width="9.796875" style="295" bestFit="1" customWidth="1"/>
    <col min="8" max="9" width="4.59765625" style="295" bestFit="1" customWidth="1"/>
    <col min="10" max="10" width="6.19921875" style="295" bestFit="1" customWidth="1"/>
    <col min="11" max="11" width="7.796875" style="295" bestFit="1" customWidth="1"/>
    <col min="12" max="12" width="9.796875" style="295" bestFit="1" customWidth="1"/>
    <col min="13" max="14" width="4.59765625" style="295" bestFit="1" customWidth="1"/>
    <col min="15" max="15" width="6.19921875" style="295" bestFit="1" customWidth="1"/>
    <col min="16" max="16" width="7.796875" style="295" bestFit="1" customWidth="1"/>
    <col min="17" max="17" width="9.796875" style="295" bestFit="1" customWidth="1"/>
    <col min="18" max="19" width="4.59765625" style="295" bestFit="1" customWidth="1"/>
    <col min="20" max="20" width="6.19921875" style="295" bestFit="1" customWidth="1"/>
    <col min="21" max="21" width="7.796875" style="295" bestFit="1" customWidth="1"/>
    <col min="22" max="22" width="9.796875" style="295" bestFit="1" customWidth="1"/>
    <col min="23" max="24" width="4.59765625" style="295" bestFit="1" customWidth="1"/>
    <col min="25" max="25" width="6.19921875" style="295" bestFit="1" customWidth="1"/>
    <col min="26" max="26" width="7.796875" style="295" bestFit="1" customWidth="1"/>
    <col min="27" max="27" width="9.796875" style="295" bestFit="1" customWidth="1"/>
    <col min="28" max="29" width="4.59765625" style="295" bestFit="1" customWidth="1"/>
    <col min="30" max="30" width="6.19921875" style="295" bestFit="1" customWidth="1"/>
    <col min="31" max="31" width="7.796875" style="295" bestFit="1" customWidth="1"/>
    <col min="32" max="32" width="9.796875" style="295" bestFit="1" customWidth="1"/>
    <col min="33" max="34" width="4.59765625" style="295" bestFit="1" customWidth="1"/>
    <col min="35" max="35" width="6.19921875" style="295" bestFit="1" customWidth="1"/>
    <col min="36" max="36" width="7.796875" style="295" bestFit="1" customWidth="1"/>
    <col min="37" max="37" width="9.796875" style="295" bestFit="1" customWidth="1"/>
    <col min="38" max="39" width="4.59765625" style="295" bestFit="1" customWidth="1"/>
    <col min="40" max="40" width="6.19921875" style="295" bestFit="1" customWidth="1"/>
    <col min="41" max="41" width="7.796875" style="295" bestFit="1" customWidth="1"/>
    <col min="42" max="42" width="9.796875" style="295" bestFit="1" customWidth="1"/>
    <col min="43" max="44" width="4.59765625" style="295" bestFit="1" customWidth="1"/>
    <col min="45" max="45" width="6.19921875" style="295" bestFit="1" customWidth="1"/>
    <col min="46" max="46" width="7.796875" style="295" bestFit="1" customWidth="1"/>
    <col min="47" max="47" width="9.796875" style="295" bestFit="1" customWidth="1"/>
    <col min="48" max="49" width="4.59765625" style="295" bestFit="1" customWidth="1"/>
    <col min="50" max="50" width="6.19921875" style="295" bestFit="1" customWidth="1"/>
    <col min="51" max="51" width="7.796875" style="295" bestFit="1" customWidth="1"/>
    <col min="52" max="52" width="9.796875" style="295" bestFit="1" customWidth="1"/>
    <col min="53" max="54" width="4.59765625" style="295" bestFit="1" customWidth="1"/>
    <col min="55" max="55" width="6.19921875" style="295" bestFit="1" customWidth="1"/>
    <col min="56" max="56" width="7.796875" style="295" bestFit="1" customWidth="1"/>
    <col min="57" max="57" width="8.796875" style="295" bestFit="1" customWidth="1"/>
    <col min="58" max="59" width="4.59765625" style="295" bestFit="1" customWidth="1"/>
    <col min="60" max="60" width="6.19921875" style="295" bestFit="1" customWidth="1"/>
    <col min="61" max="61" width="7.796875" style="295" bestFit="1" customWidth="1"/>
    <col min="62" max="62" width="8.796875" style="295" bestFit="1" customWidth="1"/>
    <col min="63" max="64" width="4.59765625" style="295" bestFit="1" customWidth="1"/>
    <col min="65" max="65" width="6.19921875" style="295" bestFit="1" customWidth="1"/>
    <col min="66" max="66" width="7.796875" style="295" bestFit="1" customWidth="1"/>
    <col min="67" max="67" width="8.796875" style="295" bestFit="1" customWidth="1"/>
    <col min="68" max="69" width="4.59765625" style="295" bestFit="1" customWidth="1"/>
    <col min="70" max="70" width="6.19921875" style="295" bestFit="1" customWidth="1"/>
    <col min="71" max="71" width="7.796875" style="295" bestFit="1" customWidth="1"/>
    <col min="72" max="72" width="8.796875" style="295" bestFit="1" customWidth="1"/>
    <col min="73" max="74" width="4.59765625" style="295" bestFit="1" customWidth="1"/>
    <col min="75" max="75" width="6.19921875" style="295" bestFit="1" customWidth="1"/>
    <col min="76" max="76" width="7.796875" style="295" bestFit="1" customWidth="1"/>
    <col min="77" max="77" width="8.796875" style="295" bestFit="1" customWidth="1"/>
    <col min="78" max="79" width="4.59765625" style="295" bestFit="1" customWidth="1"/>
    <col min="80" max="80" width="6.19921875" style="295" bestFit="1" customWidth="1"/>
    <col min="81" max="81" width="7.796875" style="295" bestFit="1" customWidth="1"/>
    <col min="82" max="82" width="9.796875" style="295" bestFit="1" customWidth="1"/>
    <col min="83" max="84" width="4.59765625" style="295" bestFit="1" customWidth="1"/>
    <col min="85" max="85" width="6.19921875" style="295" bestFit="1" customWidth="1"/>
    <col min="86" max="86" width="7.796875" style="295" bestFit="1" customWidth="1"/>
    <col min="87" max="87" width="10.8984375" style="295" bestFit="1" customWidth="1"/>
    <col min="88" max="89" width="4.59765625" style="295" bestFit="1" customWidth="1"/>
    <col min="90" max="90" width="6.19921875" style="295" bestFit="1" customWidth="1"/>
    <col min="91" max="91" width="7.796875" style="295" bestFit="1" customWidth="1"/>
    <col min="92" max="92" width="9.796875" style="295" bestFit="1" customWidth="1"/>
    <col min="93" max="94" width="4.59765625" style="295" bestFit="1" customWidth="1"/>
    <col min="95" max="95" width="6.19921875" style="295" bestFit="1" customWidth="1"/>
    <col min="96" max="96" width="7.796875" style="295" bestFit="1" customWidth="1"/>
    <col min="97" max="97" width="9.796875" style="295" bestFit="1" customWidth="1"/>
    <col min="98" max="99" width="4.59765625" style="295" bestFit="1" customWidth="1"/>
    <col min="100" max="100" width="6.19921875" style="295" bestFit="1" customWidth="1"/>
    <col min="101" max="101" width="7.796875" style="295" bestFit="1" customWidth="1"/>
    <col min="102" max="102" width="9.796875" style="295" bestFit="1" customWidth="1"/>
    <col min="103" max="104" width="4.59765625" style="295" bestFit="1" customWidth="1"/>
    <col min="105" max="105" width="6.19921875" style="295" bestFit="1" customWidth="1"/>
    <col min="106" max="106" width="7.796875" style="295" bestFit="1" customWidth="1"/>
    <col min="107" max="107" width="9.796875" style="295" bestFit="1" customWidth="1"/>
    <col min="108" max="109" width="4.59765625" style="295" bestFit="1" customWidth="1"/>
    <col min="110" max="110" width="6.19921875" style="295" bestFit="1" customWidth="1"/>
    <col min="111" max="111" width="7.796875" style="295" bestFit="1" customWidth="1"/>
    <col min="112" max="112" width="9.796875" style="295" bestFit="1" customWidth="1"/>
    <col min="113" max="114" width="4.59765625" style="295" bestFit="1" customWidth="1"/>
    <col min="115" max="115" width="6.19921875" style="295" bestFit="1" customWidth="1"/>
    <col min="116" max="116" width="7.796875" style="295" bestFit="1" customWidth="1"/>
    <col min="117" max="117" width="9.796875" style="295" bestFit="1" customWidth="1"/>
    <col min="118" max="119" width="4.59765625" style="295" bestFit="1" customWidth="1"/>
    <col min="120" max="120" width="6.19921875" style="295" bestFit="1" customWidth="1"/>
    <col min="121" max="121" width="7.796875" style="295" bestFit="1" customWidth="1"/>
    <col min="122" max="122" width="9.796875" style="295" bestFit="1" customWidth="1"/>
    <col min="123" max="124" width="4.59765625" style="295" bestFit="1" customWidth="1"/>
    <col min="125" max="125" width="6.19921875" style="295" bestFit="1" customWidth="1"/>
    <col min="126" max="126" width="7.796875" style="295" bestFit="1" customWidth="1"/>
    <col min="127" max="127" width="10.8984375" style="295" bestFit="1" customWidth="1"/>
    <col min="128" max="129" width="4.59765625" style="295" bestFit="1" customWidth="1"/>
    <col min="130" max="130" width="6.19921875" style="295" bestFit="1" customWidth="1"/>
    <col min="131" max="131" width="7.796875" style="295" bestFit="1" customWidth="1"/>
    <col min="132" max="132" width="10.8984375" style="295" bestFit="1" customWidth="1"/>
    <col min="133" max="134" width="4.59765625" style="295" bestFit="1" customWidth="1"/>
    <col min="135" max="135" width="6.19921875" style="295" bestFit="1" customWidth="1"/>
    <col min="136" max="136" width="7.796875" style="295" bestFit="1" customWidth="1"/>
    <col min="137" max="137" width="9.796875" style="295" bestFit="1" customWidth="1"/>
    <col min="138" max="139" width="4.59765625" style="295" bestFit="1" customWidth="1"/>
    <col min="140" max="140" width="6.19921875" style="295" bestFit="1" customWidth="1"/>
    <col min="141" max="141" width="7.796875" style="295" bestFit="1" customWidth="1"/>
    <col min="142" max="142" width="9.796875" style="295" bestFit="1" customWidth="1"/>
    <col min="143" max="144" width="4.59765625" style="295" bestFit="1" customWidth="1"/>
    <col min="145" max="145" width="6.19921875" style="295" bestFit="1" customWidth="1"/>
    <col min="146" max="146" width="7.796875" style="295" bestFit="1" customWidth="1"/>
    <col min="147" max="147" width="9.796875" style="295" bestFit="1" customWidth="1"/>
    <col min="148" max="149" width="4.59765625" style="295" bestFit="1" customWidth="1"/>
    <col min="150" max="150" width="6.19921875" style="295" bestFit="1" customWidth="1"/>
    <col min="151" max="151" width="7.796875" style="295" bestFit="1" customWidth="1"/>
    <col min="152" max="152" width="9.796875" style="295" bestFit="1" customWidth="1"/>
    <col min="153" max="154" width="4.59765625" style="295" bestFit="1" customWidth="1"/>
    <col min="155" max="155" width="6.19921875" style="295" bestFit="1" customWidth="1"/>
    <col min="156" max="156" width="7.796875" style="295" bestFit="1" customWidth="1"/>
    <col min="157" max="157" width="10.8984375" style="295" bestFit="1" customWidth="1"/>
    <col min="158" max="159" width="4.59765625" style="295" bestFit="1" customWidth="1"/>
    <col min="160" max="160" width="6.19921875" style="295" bestFit="1" customWidth="1"/>
    <col min="161" max="161" width="7.796875" style="295" bestFit="1" customWidth="1"/>
    <col min="162" max="162" width="9.796875" style="295" bestFit="1" customWidth="1"/>
    <col min="163" max="164" width="4.59765625" style="295" bestFit="1" customWidth="1"/>
    <col min="165" max="165" width="6.19921875" style="295" bestFit="1" customWidth="1"/>
    <col min="166" max="166" width="7.796875" style="295" bestFit="1" customWidth="1"/>
    <col min="167" max="167" width="9.796875" style="295" bestFit="1" customWidth="1"/>
    <col min="168" max="169" width="4.59765625" style="295" bestFit="1" customWidth="1"/>
    <col min="170" max="170" width="6.19921875" style="295" bestFit="1" customWidth="1"/>
    <col min="171" max="171" width="7.796875" style="295" bestFit="1" customWidth="1"/>
    <col min="172" max="172" width="10.8984375" style="295" bestFit="1" customWidth="1"/>
    <col min="173" max="174" width="4.59765625" style="295" bestFit="1" customWidth="1"/>
    <col min="175" max="175" width="6.19921875" style="295" bestFit="1" customWidth="1"/>
    <col min="176" max="176" width="7.796875" style="295" bestFit="1" customWidth="1"/>
    <col min="177" max="177" width="10.8984375" style="295" bestFit="1" customWidth="1"/>
    <col min="178" max="179" width="4.59765625" style="295" bestFit="1" customWidth="1"/>
    <col min="180" max="180" width="6.19921875" style="295" bestFit="1" customWidth="1"/>
    <col min="181" max="181" width="7.796875" style="295" bestFit="1" customWidth="1"/>
    <col min="182" max="182" width="10.8984375" style="295" bestFit="1" customWidth="1"/>
    <col min="183" max="184" width="4.59765625" style="295" bestFit="1" customWidth="1"/>
    <col min="185" max="185" width="6.19921875" style="295" bestFit="1" customWidth="1"/>
    <col min="186" max="186" width="7.796875" style="295" bestFit="1" customWidth="1"/>
    <col min="187" max="187" width="10.8984375" style="295" bestFit="1" customWidth="1"/>
    <col min="188" max="189" width="4.59765625" style="295" bestFit="1" customWidth="1"/>
    <col min="190" max="190" width="6.19921875" style="295" bestFit="1" customWidth="1"/>
    <col min="191" max="191" width="7.796875" style="295" bestFit="1" customWidth="1"/>
    <col min="192" max="192" width="10.8984375" style="295" bestFit="1" customWidth="1"/>
    <col min="193" max="194" width="4.59765625" style="295" bestFit="1" customWidth="1"/>
    <col min="195" max="195" width="6.19921875" style="295" bestFit="1" customWidth="1"/>
    <col min="196" max="196" width="7.796875" style="295" bestFit="1" customWidth="1"/>
    <col min="197" max="197" width="10.8984375" style="295" bestFit="1" customWidth="1"/>
    <col min="198" max="199" width="4.59765625" style="295" bestFit="1" customWidth="1"/>
    <col min="200" max="200" width="6.19921875" style="295" bestFit="1" customWidth="1"/>
    <col min="201" max="201" width="7.796875" style="295" bestFit="1" customWidth="1"/>
    <col min="202" max="202" width="10.8984375" style="295" bestFit="1" customWidth="1"/>
    <col min="203" max="204" width="4.59765625" style="295" bestFit="1" customWidth="1"/>
    <col min="205" max="205" width="6.19921875" style="295" bestFit="1" customWidth="1"/>
    <col min="206" max="206" width="7.796875" style="295" bestFit="1" customWidth="1"/>
    <col min="207" max="207" width="10.8984375" style="295" bestFit="1" customWidth="1"/>
    <col min="208" max="209" width="4.59765625" style="295" bestFit="1" customWidth="1"/>
    <col min="210" max="210" width="6.19921875" style="295" bestFit="1" customWidth="1"/>
    <col min="211" max="211" width="7.796875" style="295" bestFit="1" customWidth="1"/>
    <col min="212" max="212" width="9.796875" style="295" bestFit="1" customWidth="1"/>
    <col min="213" max="214" width="4.59765625" style="295" bestFit="1" customWidth="1"/>
    <col min="215" max="215" width="6.19921875" style="295" bestFit="1" customWidth="1"/>
    <col min="216" max="216" width="7.796875" style="295" bestFit="1" customWidth="1"/>
    <col min="217" max="217" width="10.8984375" style="295" bestFit="1" customWidth="1"/>
    <col min="218" max="219" width="4.59765625" style="295" bestFit="1" customWidth="1"/>
    <col min="220" max="220" width="6.19921875" style="295" bestFit="1" customWidth="1"/>
    <col min="221" max="221" width="7.796875" style="295" bestFit="1" customWidth="1"/>
    <col min="222" max="222" width="9.796875" style="295" bestFit="1" customWidth="1"/>
    <col min="223" max="224" width="4.59765625" style="295" bestFit="1" customWidth="1"/>
    <col min="225" max="225" width="6.19921875" style="295" bestFit="1" customWidth="1"/>
    <col min="226" max="226" width="7.796875" style="295" bestFit="1" customWidth="1"/>
    <col min="227" max="227" width="10.8984375" style="295" bestFit="1" customWidth="1"/>
    <col min="228" max="229" width="4.59765625" style="295" bestFit="1" customWidth="1"/>
    <col min="230" max="230" width="6.19921875" style="295" bestFit="1" customWidth="1"/>
    <col min="231" max="231" width="7.796875" style="295" bestFit="1" customWidth="1"/>
    <col min="232" max="232" width="9.796875" style="295" bestFit="1" customWidth="1"/>
    <col min="233" max="234" width="4.59765625" style="295" bestFit="1" customWidth="1"/>
    <col min="235" max="235" width="6.19921875" style="295" bestFit="1" customWidth="1"/>
    <col min="236" max="236" width="7.796875" style="295" bestFit="1" customWidth="1"/>
    <col min="237" max="237" width="9.796875" style="295" bestFit="1" customWidth="1"/>
    <col min="238" max="239" width="4.59765625" style="295" bestFit="1" customWidth="1"/>
    <col min="240" max="240" width="6.19921875" style="295" bestFit="1" customWidth="1"/>
    <col min="241" max="241" width="7.796875" style="295" bestFit="1" customWidth="1"/>
    <col min="242" max="242" width="9.796875" style="295" bestFit="1" customWidth="1"/>
    <col min="243" max="244" width="4.59765625" style="295" bestFit="1" customWidth="1"/>
    <col min="245" max="245" width="6.19921875" style="295" bestFit="1" customWidth="1"/>
    <col min="246" max="246" width="7.796875" style="295" bestFit="1" customWidth="1"/>
    <col min="247" max="247" width="9.796875" style="295" bestFit="1" customWidth="1"/>
    <col min="248" max="249" width="4.59765625" style="295" bestFit="1" customWidth="1"/>
    <col min="250" max="250" width="6.19921875" style="295" bestFit="1" customWidth="1"/>
    <col min="251" max="251" width="7.796875" style="295" bestFit="1" customWidth="1"/>
    <col min="252" max="252" width="9.796875" style="295" bestFit="1" customWidth="1"/>
    <col min="253" max="254" width="4.59765625" style="295" bestFit="1" customWidth="1"/>
    <col min="255" max="255" width="6.19921875" style="295" bestFit="1" customWidth="1"/>
    <col min="256" max="256" width="7.796875" style="295" bestFit="1" customWidth="1"/>
    <col min="257" max="257" width="10.8984375" style="295" bestFit="1" customWidth="1"/>
    <col min="258" max="259" width="4.59765625" style="295" bestFit="1" customWidth="1"/>
    <col min="260" max="260" width="6.19921875" style="295" bestFit="1" customWidth="1"/>
    <col min="261" max="261" width="7.796875" style="295" bestFit="1" customWidth="1"/>
    <col min="262" max="262" width="10.8984375" style="295" bestFit="1" customWidth="1"/>
    <col min="263" max="264" width="4.59765625" style="295" bestFit="1" customWidth="1"/>
    <col min="265" max="265" width="6.19921875" style="295" bestFit="1" customWidth="1"/>
    <col min="266" max="266" width="7.796875" style="295" bestFit="1" customWidth="1"/>
    <col min="267" max="267" width="10.8984375" style="295" bestFit="1" customWidth="1"/>
    <col min="268" max="269" width="4.59765625" style="295" bestFit="1" customWidth="1"/>
    <col min="270" max="270" width="6.19921875" style="295" bestFit="1" customWidth="1"/>
    <col min="271" max="271" width="7.796875" style="295" bestFit="1" customWidth="1"/>
    <col min="272" max="272" width="10.8984375" style="295" bestFit="1" customWidth="1"/>
    <col min="273" max="274" width="4.59765625" style="295" bestFit="1" customWidth="1"/>
    <col min="275" max="275" width="6.19921875" style="295" bestFit="1" customWidth="1"/>
    <col min="276" max="276" width="7.796875" style="295" bestFit="1" customWidth="1"/>
    <col min="277" max="277" width="10.8984375" style="295" bestFit="1" customWidth="1"/>
    <col min="278" max="279" width="4.59765625" style="295" bestFit="1" customWidth="1"/>
    <col min="280" max="280" width="6.19921875" style="295" bestFit="1" customWidth="1"/>
    <col min="281" max="281" width="7.796875" style="295" bestFit="1" customWidth="1"/>
    <col min="282" max="282" width="10.8984375" style="295" bestFit="1" customWidth="1"/>
    <col min="283" max="284" width="4.59765625" style="295" bestFit="1" customWidth="1"/>
    <col min="285" max="285" width="6.19921875" style="295" bestFit="1" customWidth="1"/>
    <col min="286" max="286" width="7.796875" style="295" bestFit="1" customWidth="1"/>
    <col min="287" max="287" width="9.796875" style="295" bestFit="1" customWidth="1"/>
    <col min="288" max="289" width="4.59765625" style="295" bestFit="1" customWidth="1"/>
    <col min="290" max="290" width="6.19921875" style="295" bestFit="1" customWidth="1"/>
    <col min="291" max="291" width="7.796875" style="295" bestFit="1" customWidth="1"/>
    <col min="292" max="292" width="5.796875" style="295" bestFit="1" customWidth="1"/>
    <col min="293" max="294" width="4.59765625" style="295" bestFit="1" customWidth="1"/>
    <col min="295" max="295" width="6.19921875" style="295" bestFit="1" customWidth="1"/>
    <col min="296" max="296" width="7.796875" style="295" bestFit="1" customWidth="1"/>
    <col min="297" max="299" width="9.796875" style="295" bestFit="1" customWidth="1"/>
    <col min="300" max="300" width="11.5" style="295" bestFit="1" customWidth="1"/>
    <col min="301" max="301" width="13.296875" style="295" bestFit="1" customWidth="1"/>
    <col min="302" max="304" width="9.69921875" style="295" bestFit="1" customWidth="1"/>
    <col min="305" max="305" width="11.5" style="295" bestFit="1" customWidth="1"/>
    <col min="306" max="306" width="13.19921875" style="295" bestFit="1" customWidth="1"/>
    <col min="307" max="16384" width="8.69921875" style="295"/>
  </cols>
  <sheetData>
    <row r="3" spans="1:306" ht="14.5" customHeight="1" x14ac:dyDescent="0.3">
      <c r="B3" s="286" t="s">
        <v>2224</v>
      </c>
      <c r="KP3"/>
      <c r="KQ3"/>
      <c r="KR3"/>
      <c r="KS3"/>
      <c r="KT3"/>
    </row>
    <row r="4" spans="1:306" ht="14.5" customHeight="1" x14ac:dyDescent="0.3">
      <c r="B4" s="615">
        <v>44399</v>
      </c>
      <c r="G4" s="615">
        <v>44403</v>
      </c>
      <c r="L4" s="615">
        <v>44461</v>
      </c>
      <c r="Q4" s="615">
        <v>44404</v>
      </c>
      <c r="V4" s="615">
        <v>44431</v>
      </c>
      <c r="AA4" s="615">
        <v>44432</v>
      </c>
      <c r="AF4" s="615">
        <v>44433</v>
      </c>
      <c r="AK4" s="615">
        <v>44434</v>
      </c>
      <c r="AP4" s="615">
        <v>44435</v>
      </c>
      <c r="AU4" s="615">
        <v>44438</v>
      </c>
      <c r="AZ4" s="615">
        <v>44439</v>
      </c>
      <c r="BE4" s="615">
        <v>44440</v>
      </c>
      <c r="BJ4" s="615">
        <v>44441</v>
      </c>
      <c r="BO4" s="615">
        <v>44442</v>
      </c>
      <c r="BT4" s="615">
        <v>44447</v>
      </c>
      <c r="BY4" s="615">
        <v>44448</v>
      </c>
      <c r="CD4" s="615">
        <v>44452</v>
      </c>
      <c r="CI4" s="615">
        <v>44481</v>
      </c>
      <c r="CN4" s="615">
        <v>44453</v>
      </c>
      <c r="CS4" s="615">
        <v>44455</v>
      </c>
      <c r="CX4" s="615">
        <v>44456</v>
      </c>
      <c r="DC4" s="615">
        <v>44462</v>
      </c>
      <c r="DH4" s="615">
        <v>44467</v>
      </c>
      <c r="DM4" s="615">
        <v>44463</v>
      </c>
      <c r="DR4" s="615">
        <v>44466</v>
      </c>
      <c r="DW4" s="615">
        <v>44515</v>
      </c>
      <c r="EB4" s="615">
        <v>44516</v>
      </c>
      <c r="EG4" s="615">
        <v>44468</v>
      </c>
      <c r="EL4" s="615">
        <v>44469</v>
      </c>
      <c r="EQ4" s="615">
        <v>44473</v>
      </c>
      <c r="EV4" s="615">
        <v>44470</v>
      </c>
      <c r="FA4" s="615">
        <v>44491</v>
      </c>
      <c r="FF4" s="615">
        <v>44474</v>
      </c>
      <c r="FK4" s="615">
        <v>44475</v>
      </c>
      <c r="FP4" s="615">
        <v>44482</v>
      </c>
      <c r="FU4" s="615">
        <v>44487</v>
      </c>
      <c r="FZ4" s="615">
        <v>44488</v>
      </c>
      <c r="GE4" s="615">
        <v>44490</v>
      </c>
      <c r="GJ4" s="615">
        <v>44489</v>
      </c>
      <c r="GO4" s="615">
        <v>44494</v>
      </c>
      <c r="GT4" s="615">
        <v>44496</v>
      </c>
      <c r="GY4" s="615">
        <v>44497</v>
      </c>
      <c r="HD4" s="615">
        <v>44502</v>
      </c>
      <c r="HI4" s="615">
        <v>44524</v>
      </c>
      <c r="HN4" s="615">
        <v>44503</v>
      </c>
      <c r="HS4" s="615">
        <v>44498</v>
      </c>
      <c r="HX4" s="615">
        <v>44504</v>
      </c>
      <c r="IC4" s="615">
        <v>44505</v>
      </c>
      <c r="IH4" s="615">
        <v>44396</v>
      </c>
      <c r="IM4" s="615">
        <v>44397</v>
      </c>
      <c r="IR4" s="615">
        <v>44398</v>
      </c>
      <c r="IW4" s="615">
        <v>44518</v>
      </c>
      <c r="JB4" s="615">
        <v>44517</v>
      </c>
      <c r="JG4" s="615">
        <v>44523</v>
      </c>
      <c r="JL4" s="615">
        <v>44519</v>
      </c>
      <c r="JQ4" s="615">
        <v>44529</v>
      </c>
      <c r="JV4" s="615">
        <v>44530</v>
      </c>
      <c r="KA4" s="615">
        <v>44533</v>
      </c>
      <c r="KF4" s="295" t="s">
        <v>99</v>
      </c>
      <c r="KK4" s="296" t="s">
        <v>2225</v>
      </c>
      <c r="KL4" s="296" t="s">
        <v>2226</v>
      </c>
      <c r="KM4" s="296" t="s">
        <v>2227</v>
      </c>
      <c r="KN4" s="296" t="s">
        <v>2228</v>
      </c>
      <c r="KO4" s="296" t="s">
        <v>2229</v>
      </c>
      <c r="KP4"/>
      <c r="KQ4"/>
      <c r="KR4"/>
      <c r="KS4"/>
      <c r="KT4"/>
    </row>
    <row r="5" spans="1:306" ht="14.5" customHeight="1" x14ac:dyDescent="0.3">
      <c r="A5" s="286" t="s">
        <v>86</v>
      </c>
      <c r="B5" s="295" t="s">
        <v>2230</v>
      </c>
      <c r="C5" s="295" t="s">
        <v>2231</v>
      </c>
      <c r="D5" s="295" t="s">
        <v>2232</v>
      </c>
      <c r="E5" s="295" t="s">
        <v>2233</v>
      </c>
      <c r="F5" s="295" t="s">
        <v>2234</v>
      </c>
      <c r="G5" s="295" t="s">
        <v>2230</v>
      </c>
      <c r="H5" s="295" t="s">
        <v>2231</v>
      </c>
      <c r="I5" s="295" t="s">
        <v>2232</v>
      </c>
      <c r="J5" s="295" t="s">
        <v>2233</v>
      </c>
      <c r="K5" s="295" t="s">
        <v>2234</v>
      </c>
      <c r="L5" s="295" t="s">
        <v>2230</v>
      </c>
      <c r="M5" s="295" t="s">
        <v>2231</v>
      </c>
      <c r="N5" s="295" t="s">
        <v>2232</v>
      </c>
      <c r="O5" s="295" t="s">
        <v>2233</v>
      </c>
      <c r="P5" s="295" t="s">
        <v>2234</v>
      </c>
      <c r="Q5" s="295" t="s">
        <v>2230</v>
      </c>
      <c r="R5" s="295" t="s">
        <v>2231</v>
      </c>
      <c r="S5" s="295" t="s">
        <v>2232</v>
      </c>
      <c r="T5" s="295" t="s">
        <v>2233</v>
      </c>
      <c r="U5" s="295" t="s">
        <v>2234</v>
      </c>
      <c r="V5" s="295" t="s">
        <v>2230</v>
      </c>
      <c r="W5" s="295" t="s">
        <v>2231</v>
      </c>
      <c r="X5" s="295" t="s">
        <v>2232</v>
      </c>
      <c r="Y5" s="295" t="s">
        <v>2233</v>
      </c>
      <c r="Z5" s="295" t="s">
        <v>2234</v>
      </c>
      <c r="AA5" s="295" t="s">
        <v>2230</v>
      </c>
      <c r="AB5" s="295" t="s">
        <v>2231</v>
      </c>
      <c r="AC5" s="295" t="s">
        <v>2232</v>
      </c>
      <c r="AD5" s="295" t="s">
        <v>2233</v>
      </c>
      <c r="AE5" s="295" t="s">
        <v>2234</v>
      </c>
      <c r="AF5" s="295" t="s">
        <v>2230</v>
      </c>
      <c r="AG5" s="295" t="s">
        <v>2231</v>
      </c>
      <c r="AH5" s="295" t="s">
        <v>2232</v>
      </c>
      <c r="AI5" s="295" t="s">
        <v>2233</v>
      </c>
      <c r="AJ5" s="295" t="s">
        <v>2234</v>
      </c>
      <c r="AK5" s="295" t="s">
        <v>2230</v>
      </c>
      <c r="AL5" s="295" t="s">
        <v>2231</v>
      </c>
      <c r="AM5" s="295" t="s">
        <v>2232</v>
      </c>
      <c r="AN5" s="295" t="s">
        <v>2233</v>
      </c>
      <c r="AO5" s="295" t="s">
        <v>2234</v>
      </c>
      <c r="AP5" s="295" t="s">
        <v>2230</v>
      </c>
      <c r="AQ5" s="295" t="s">
        <v>2231</v>
      </c>
      <c r="AR5" s="295" t="s">
        <v>2232</v>
      </c>
      <c r="AS5" s="295" t="s">
        <v>2233</v>
      </c>
      <c r="AT5" s="295" t="s">
        <v>2234</v>
      </c>
      <c r="AU5" s="295" t="s">
        <v>2230</v>
      </c>
      <c r="AV5" s="295" t="s">
        <v>2231</v>
      </c>
      <c r="AW5" s="295" t="s">
        <v>2232</v>
      </c>
      <c r="AX5" s="295" t="s">
        <v>2233</v>
      </c>
      <c r="AY5" s="295" t="s">
        <v>2234</v>
      </c>
      <c r="AZ5" s="295" t="s">
        <v>2230</v>
      </c>
      <c r="BA5" s="295" t="s">
        <v>2231</v>
      </c>
      <c r="BB5" s="295" t="s">
        <v>2232</v>
      </c>
      <c r="BC5" s="295" t="s">
        <v>2233</v>
      </c>
      <c r="BD5" s="295" t="s">
        <v>2234</v>
      </c>
      <c r="BE5" s="295" t="s">
        <v>2230</v>
      </c>
      <c r="BF5" s="295" t="s">
        <v>2231</v>
      </c>
      <c r="BG5" s="295" t="s">
        <v>2232</v>
      </c>
      <c r="BH5" s="295" t="s">
        <v>2233</v>
      </c>
      <c r="BI5" s="295" t="s">
        <v>2234</v>
      </c>
      <c r="BJ5" s="295" t="s">
        <v>2230</v>
      </c>
      <c r="BK5" s="295" t="s">
        <v>2231</v>
      </c>
      <c r="BL5" s="295" t="s">
        <v>2232</v>
      </c>
      <c r="BM5" s="295" t="s">
        <v>2233</v>
      </c>
      <c r="BN5" s="295" t="s">
        <v>2234</v>
      </c>
      <c r="BO5" s="295" t="s">
        <v>2230</v>
      </c>
      <c r="BP5" s="295" t="s">
        <v>2231</v>
      </c>
      <c r="BQ5" s="295" t="s">
        <v>2232</v>
      </c>
      <c r="BR5" s="295" t="s">
        <v>2233</v>
      </c>
      <c r="BS5" s="295" t="s">
        <v>2234</v>
      </c>
      <c r="BT5" s="295" t="s">
        <v>2230</v>
      </c>
      <c r="BU5" s="295" t="s">
        <v>2231</v>
      </c>
      <c r="BV5" s="295" t="s">
        <v>2232</v>
      </c>
      <c r="BW5" s="295" t="s">
        <v>2233</v>
      </c>
      <c r="BX5" s="295" t="s">
        <v>2234</v>
      </c>
      <c r="BY5" s="295" t="s">
        <v>2230</v>
      </c>
      <c r="BZ5" s="295" t="s">
        <v>2231</v>
      </c>
      <c r="CA5" s="295" t="s">
        <v>2232</v>
      </c>
      <c r="CB5" s="295" t="s">
        <v>2233</v>
      </c>
      <c r="CC5" s="295" t="s">
        <v>2234</v>
      </c>
      <c r="CD5" s="295" t="s">
        <v>2230</v>
      </c>
      <c r="CE5" s="295" t="s">
        <v>2231</v>
      </c>
      <c r="CF5" s="295" t="s">
        <v>2232</v>
      </c>
      <c r="CG5" s="295" t="s">
        <v>2233</v>
      </c>
      <c r="CH5" s="295" t="s">
        <v>2234</v>
      </c>
      <c r="CI5" s="295" t="s">
        <v>2230</v>
      </c>
      <c r="CJ5" s="295" t="s">
        <v>2231</v>
      </c>
      <c r="CK5" s="295" t="s">
        <v>2232</v>
      </c>
      <c r="CL5" s="295" t="s">
        <v>2233</v>
      </c>
      <c r="CM5" s="295" t="s">
        <v>2234</v>
      </c>
      <c r="CN5" s="295" t="s">
        <v>2230</v>
      </c>
      <c r="CO5" s="295" t="s">
        <v>2231</v>
      </c>
      <c r="CP5" s="295" t="s">
        <v>2232</v>
      </c>
      <c r="CQ5" s="295" t="s">
        <v>2233</v>
      </c>
      <c r="CR5" s="295" t="s">
        <v>2234</v>
      </c>
      <c r="CS5" s="295" t="s">
        <v>2230</v>
      </c>
      <c r="CT5" s="295" t="s">
        <v>2231</v>
      </c>
      <c r="CU5" s="295" t="s">
        <v>2232</v>
      </c>
      <c r="CV5" s="295" t="s">
        <v>2233</v>
      </c>
      <c r="CW5" s="295" t="s">
        <v>2234</v>
      </c>
      <c r="CX5" s="295" t="s">
        <v>2230</v>
      </c>
      <c r="CY5" s="295" t="s">
        <v>2231</v>
      </c>
      <c r="CZ5" s="295" t="s">
        <v>2232</v>
      </c>
      <c r="DA5" s="295" t="s">
        <v>2233</v>
      </c>
      <c r="DB5" s="295" t="s">
        <v>2234</v>
      </c>
      <c r="DC5" s="295" t="s">
        <v>2230</v>
      </c>
      <c r="DD5" s="295" t="s">
        <v>2231</v>
      </c>
      <c r="DE5" s="295" t="s">
        <v>2232</v>
      </c>
      <c r="DF5" s="295" t="s">
        <v>2233</v>
      </c>
      <c r="DG5" s="295" t="s">
        <v>2234</v>
      </c>
      <c r="DH5" s="295" t="s">
        <v>2230</v>
      </c>
      <c r="DI5" s="295" t="s">
        <v>2231</v>
      </c>
      <c r="DJ5" s="295" t="s">
        <v>2232</v>
      </c>
      <c r="DK5" s="295" t="s">
        <v>2233</v>
      </c>
      <c r="DL5" s="295" t="s">
        <v>2234</v>
      </c>
      <c r="DM5" s="295" t="s">
        <v>2230</v>
      </c>
      <c r="DN5" s="295" t="s">
        <v>2231</v>
      </c>
      <c r="DO5" s="295" t="s">
        <v>2232</v>
      </c>
      <c r="DP5" s="295" t="s">
        <v>2233</v>
      </c>
      <c r="DQ5" s="295" t="s">
        <v>2234</v>
      </c>
      <c r="DR5" s="295" t="s">
        <v>2230</v>
      </c>
      <c r="DS5" s="295" t="s">
        <v>2231</v>
      </c>
      <c r="DT5" s="295" t="s">
        <v>2232</v>
      </c>
      <c r="DU5" s="295" t="s">
        <v>2233</v>
      </c>
      <c r="DV5" s="295" t="s">
        <v>2234</v>
      </c>
      <c r="DW5" s="295" t="s">
        <v>2230</v>
      </c>
      <c r="DX5" s="295" t="s">
        <v>2231</v>
      </c>
      <c r="DY5" s="295" t="s">
        <v>2232</v>
      </c>
      <c r="DZ5" s="295" t="s">
        <v>2233</v>
      </c>
      <c r="EA5" s="295" t="s">
        <v>2234</v>
      </c>
      <c r="EB5" s="295" t="s">
        <v>2230</v>
      </c>
      <c r="EC5" s="295" t="s">
        <v>2231</v>
      </c>
      <c r="ED5" s="295" t="s">
        <v>2232</v>
      </c>
      <c r="EE5" s="295" t="s">
        <v>2233</v>
      </c>
      <c r="EF5" s="295" t="s">
        <v>2234</v>
      </c>
      <c r="EG5" s="295" t="s">
        <v>2230</v>
      </c>
      <c r="EH5" s="295" t="s">
        <v>2231</v>
      </c>
      <c r="EI5" s="295" t="s">
        <v>2232</v>
      </c>
      <c r="EJ5" s="295" t="s">
        <v>2233</v>
      </c>
      <c r="EK5" s="295" t="s">
        <v>2234</v>
      </c>
      <c r="EL5" s="295" t="s">
        <v>2230</v>
      </c>
      <c r="EM5" s="295" t="s">
        <v>2231</v>
      </c>
      <c r="EN5" s="295" t="s">
        <v>2232</v>
      </c>
      <c r="EO5" s="295" t="s">
        <v>2233</v>
      </c>
      <c r="EP5" s="295" t="s">
        <v>2234</v>
      </c>
      <c r="EQ5" s="295" t="s">
        <v>2230</v>
      </c>
      <c r="ER5" s="295" t="s">
        <v>2231</v>
      </c>
      <c r="ES5" s="295" t="s">
        <v>2232</v>
      </c>
      <c r="ET5" s="295" t="s">
        <v>2233</v>
      </c>
      <c r="EU5" s="295" t="s">
        <v>2234</v>
      </c>
      <c r="EV5" s="295" t="s">
        <v>2230</v>
      </c>
      <c r="EW5" s="295" t="s">
        <v>2231</v>
      </c>
      <c r="EX5" s="295" t="s">
        <v>2232</v>
      </c>
      <c r="EY5" s="295" t="s">
        <v>2233</v>
      </c>
      <c r="EZ5" s="295" t="s">
        <v>2234</v>
      </c>
      <c r="FA5" s="295" t="s">
        <v>2230</v>
      </c>
      <c r="FB5" s="295" t="s">
        <v>2231</v>
      </c>
      <c r="FC5" s="295" t="s">
        <v>2232</v>
      </c>
      <c r="FD5" s="295" t="s">
        <v>2233</v>
      </c>
      <c r="FE5" s="295" t="s">
        <v>2234</v>
      </c>
      <c r="FF5" s="295" t="s">
        <v>2230</v>
      </c>
      <c r="FG5" s="295" t="s">
        <v>2231</v>
      </c>
      <c r="FH5" s="295" t="s">
        <v>2232</v>
      </c>
      <c r="FI5" s="295" t="s">
        <v>2233</v>
      </c>
      <c r="FJ5" s="295" t="s">
        <v>2234</v>
      </c>
      <c r="FK5" s="295" t="s">
        <v>2230</v>
      </c>
      <c r="FL5" s="295" t="s">
        <v>2231</v>
      </c>
      <c r="FM5" s="295" t="s">
        <v>2232</v>
      </c>
      <c r="FN5" s="295" t="s">
        <v>2233</v>
      </c>
      <c r="FO5" s="295" t="s">
        <v>2234</v>
      </c>
      <c r="FP5" s="295" t="s">
        <v>2230</v>
      </c>
      <c r="FQ5" s="295" t="s">
        <v>2231</v>
      </c>
      <c r="FR5" s="295" t="s">
        <v>2232</v>
      </c>
      <c r="FS5" s="295" t="s">
        <v>2233</v>
      </c>
      <c r="FT5" s="295" t="s">
        <v>2234</v>
      </c>
      <c r="FU5" s="295" t="s">
        <v>2230</v>
      </c>
      <c r="FV5" s="295" t="s">
        <v>2231</v>
      </c>
      <c r="FW5" s="295" t="s">
        <v>2232</v>
      </c>
      <c r="FX5" s="295" t="s">
        <v>2233</v>
      </c>
      <c r="FY5" s="295" t="s">
        <v>2234</v>
      </c>
      <c r="FZ5" s="295" t="s">
        <v>2230</v>
      </c>
      <c r="GA5" s="295" t="s">
        <v>2231</v>
      </c>
      <c r="GB5" s="295" t="s">
        <v>2232</v>
      </c>
      <c r="GC5" s="295" t="s">
        <v>2233</v>
      </c>
      <c r="GD5" s="295" t="s">
        <v>2234</v>
      </c>
      <c r="GE5" s="295" t="s">
        <v>2230</v>
      </c>
      <c r="GF5" s="295" t="s">
        <v>2231</v>
      </c>
      <c r="GG5" s="295" t="s">
        <v>2232</v>
      </c>
      <c r="GH5" s="295" t="s">
        <v>2233</v>
      </c>
      <c r="GI5" s="295" t="s">
        <v>2234</v>
      </c>
      <c r="GJ5" s="295" t="s">
        <v>2230</v>
      </c>
      <c r="GK5" s="295" t="s">
        <v>2231</v>
      </c>
      <c r="GL5" s="295" t="s">
        <v>2232</v>
      </c>
      <c r="GM5" s="295" t="s">
        <v>2233</v>
      </c>
      <c r="GN5" s="295" t="s">
        <v>2234</v>
      </c>
      <c r="GO5" s="295" t="s">
        <v>2230</v>
      </c>
      <c r="GP5" s="295" t="s">
        <v>2231</v>
      </c>
      <c r="GQ5" s="295" t="s">
        <v>2232</v>
      </c>
      <c r="GR5" s="295" t="s">
        <v>2233</v>
      </c>
      <c r="GS5" s="295" t="s">
        <v>2234</v>
      </c>
      <c r="GT5" s="295" t="s">
        <v>2230</v>
      </c>
      <c r="GU5" s="295" t="s">
        <v>2231</v>
      </c>
      <c r="GV5" s="295" t="s">
        <v>2232</v>
      </c>
      <c r="GW5" s="295" t="s">
        <v>2233</v>
      </c>
      <c r="GX5" s="295" t="s">
        <v>2234</v>
      </c>
      <c r="GY5" s="295" t="s">
        <v>2230</v>
      </c>
      <c r="GZ5" s="295" t="s">
        <v>2231</v>
      </c>
      <c r="HA5" s="295" t="s">
        <v>2232</v>
      </c>
      <c r="HB5" s="295" t="s">
        <v>2233</v>
      </c>
      <c r="HC5" s="295" t="s">
        <v>2234</v>
      </c>
      <c r="HD5" s="295" t="s">
        <v>2230</v>
      </c>
      <c r="HE5" s="295" t="s">
        <v>2231</v>
      </c>
      <c r="HF5" s="295" t="s">
        <v>2232</v>
      </c>
      <c r="HG5" s="295" t="s">
        <v>2233</v>
      </c>
      <c r="HH5" s="295" t="s">
        <v>2234</v>
      </c>
      <c r="HI5" s="295" t="s">
        <v>2230</v>
      </c>
      <c r="HJ5" s="295" t="s">
        <v>2231</v>
      </c>
      <c r="HK5" s="295" t="s">
        <v>2232</v>
      </c>
      <c r="HL5" s="295" t="s">
        <v>2233</v>
      </c>
      <c r="HM5" s="295" t="s">
        <v>2234</v>
      </c>
      <c r="HN5" s="295" t="s">
        <v>2230</v>
      </c>
      <c r="HO5" s="295" t="s">
        <v>2231</v>
      </c>
      <c r="HP5" s="295" t="s">
        <v>2232</v>
      </c>
      <c r="HQ5" s="295" t="s">
        <v>2233</v>
      </c>
      <c r="HR5" s="295" t="s">
        <v>2234</v>
      </c>
      <c r="HS5" s="295" t="s">
        <v>2230</v>
      </c>
      <c r="HT5" s="295" t="s">
        <v>2231</v>
      </c>
      <c r="HU5" s="295" t="s">
        <v>2232</v>
      </c>
      <c r="HV5" s="295" t="s">
        <v>2233</v>
      </c>
      <c r="HW5" s="295" t="s">
        <v>2234</v>
      </c>
      <c r="HX5" s="295" t="s">
        <v>2230</v>
      </c>
      <c r="HY5" s="295" t="s">
        <v>2231</v>
      </c>
      <c r="HZ5" s="295" t="s">
        <v>2232</v>
      </c>
      <c r="IA5" s="295" t="s">
        <v>2233</v>
      </c>
      <c r="IB5" s="295" t="s">
        <v>2234</v>
      </c>
      <c r="IC5" s="295" t="s">
        <v>2230</v>
      </c>
      <c r="ID5" s="295" t="s">
        <v>2231</v>
      </c>
      <c r="IE5" s="295" t="s">
        <v>2232</v>
      </c>
      <c r="IF5" s="295" t="s">
        <v>2233</v>
      </c>
      <c r="IG5" s="295" t="s">
        <v>2234</v>
      </c>
      <c r="IH5" s="295" t="s">
        <v>2230</v>
      </c>
      <c r="II5" s="295" t="s">
        <v>2231</v>
      </c>
      <c r="IJ5" s="295" t="s">
        <v>2232</v>
      </c>
      <c r="IK5" s="295" t="s">
        <v>2233</v>
      </c>
      <c r="IL5" s="295" t="s">
        <v>2234</v>
      </c>
      <c r="IM5" s="295" t="s">
        <v>2230</v>
      </c>
      <c r="IN5" s="295" t="s">
        <v>2231</v>
      </c>
      <c r="IO5" s="295" t="s">
        <v>2232</v>
      </c>
      <c r="IP5" s="295" t="s">
        <v>2233</v>
      </c>
      <c r="IQ5" s="295" t="s">
        <v>2234</v>
      </c>
      <c r="IR5" s="295" t="s">
        <v>2230</v>
      </c>
      <c r="IS5" s="295" t="s">
        <v>2231</v>
      </c>
      <c r="IT5" s="295" t="s">
        <v>2232</v>
      </c>
      <c r="IU5" s="295" t="s">
        <v>2233</v>
      </c>
      <c r="IV5" s="295" t="s">
        <v>2234</v>
      </c>
      <c r="IW5" s="295" t="s">
        <v>2230</v>
      </c>
      <c r="IX5" s="295" t="s">
        <v>2231</v>
      </c>
      <c r="IY5" s="295" t="s">
        <v>2232</v>
      </c>
      <c r="IZ5" s="295" t="s">
        <v>2233</v>
      </c>
      <c r="JA5" s="295" t="s">
        <v>2234</v>
      </c>
      <c r="JB5" s="295" t="s">
        <v>2230</v>
      </c>
      <c r="JC5" s="295" t="s">
        <v>2231</v>
      </c>
      <c r="JD5" s="295" t="s">
        <v>2232</v>
      </c>
      <c r="JE5" s="295" t="s">
        <v>2233</v>
      </c>
      <c r="JF5" s="295" t="s">
        <v>2234</v>
      </c>
      <c r="JG5" s="295" t="s">
        <v>2230</v>
      </c>
      <c r="JH5" s="295" t="s">
        <v>2231</v>
      </c>
      <c r="JI5" s="295" t="s">
        <v>2232</v>
      </c>
      <c r="JJ5" s="295" t="s">
        <v>2233</v>
      </c>
      <c r="JK5" s="295" t="s">
        <v>2234</v>
      </c>
      <c r="JL5" s="295" t="s">
        <v>2230</v>
      </c>
      <c r="JM5" s="295" t="s">
        <v>2231</v>
      </c>
      <c r="JN5" s="295" t="s">
        <v>2232</v>
      </c>
      <c r="JO5" s="295" t="s">
        <v>2233</v>
      </c>
      <c r="JP5" s="295" t="s">
        <v>2234</v>
      </c>
      <c r="JQ5" s="295" t="s">
        <v>2230</v>
      </c>
      <c r="JR5" s="295" t="s">
        <v>2231</v>
      </c>
      <c r="JS5" s="295" t="s">
        <v>2232</v>
      </c>
      <c r="JT5" s="295" t="s">
        <v>2233</v>
      </c>
      <c r="JU5" s="295" t="s">
        <v>2234</v>
      </c>
      <c r="JV5" s="295" t="s">
        <v>2230</v>
      </c>
      <c r="JW5" s="295" t="s">
        <v>2231</v>
      </c>
      <c r="JX5" s="295" t="s">
        <v>2232</v>
      </c>
      <c r="JY5" s="295" t="s">
        <v>2233</v>
      </c>
      <c r="JZ5" s="295" t="s">
        <v>2234</v>
      </c>
      <c r="KA5" s="295" t="s">
        <v>2230</v>
      </c>
      <c r="KB5" s="295" t="s">
        <v>2231</v>
      </c>
      <c r="KC5" s="295" t="s">
        <v>2232</v>
      </c>
      <c r="KD5" s="295" t="s">
        <v>2233</v>
      </c>
      <c r="KE5" s="295" t="s">
        <v>2234</v>
      </c>
      <c r="KF5" s="295" t="s">
        <v>2230</v>
      </c>
      <c r="KG5" s="295" t="s">
        <v>2231</v>
      </c>
      <c r="KH5" s="295" t="s">
        <v>2232</v>
      </c>
      <c r="KI5" s="295" t="s">
        <v>2233</v>
      </c>
      <c r="KJ5" s="295" t="s">
        <v>2234</v>
      </c>
      <c r="KK5" s="296"/>
      <c r="KL5" s="296"/>
      <c r="KM5" s="296"/>
      <c r="KN5" s="296"/>
      <c r="KO5" s="296"/>
      <c r="KP5"/>
      <c r="KQ5"/>
      <c r="KR5"/>
      <c r="KS5"/>
      <c r="KT5"/>
    </row>
    <row r="6" spans="1:306" ht="14.5" customHeight="1" x14ac:dyDescent="0.3">
      <c r="A6" s="287" t="s">
        <v>90</v>
      </c>
      <c r="B6" s="403">
        <v>8</v>
      </c>
      <c r="C6" s="403">
        <v>8</v>
      </c>
      <c r="D6" s="403">
        <v>8</v>
      </c>
      <c r="E6" s="403">
        <v>8</v>
      </c>
      <c r="F6" s="403">
        <v>8</v>
      </c>
      <c r="G6" s="403">
        <v>4</v>
      </c>
      <c r="H6" s="403">
        <v>4</v>
      </c>
      <c r="I6" s="403">
        <v>4</v>
      </c>
      <c r="J6" s="403">
        <v>4</v>
      </c>
      <c r="K6" s="403">
        <v>4</v>
      </c>
      <c r="L6" s="403">
        <v>3</v>
      </c>
      <c r="M6" s="403">
        <v>3</v>
      </c>
      <c r="N6" s="403">
        <v>3</v>
      </c>
      <c r="O6" s="403">
        <v>3</v>
      </c>
      <c r="P6" s="403">
        <v>3</v>
      </c>
      <c r="Q6" s="403"/>
      <c r="R6" s="403"/>
      <c r="S6" s="403"/>
      <c r="T6" s="403"/>
      <c r="U6" s="403"/>
      <c r="V6" s="403"/>
      <c r="W6" s="403"/>
      <c r="X6" s="403"/>
      <c r="Y6" s="403"/>
      <c r="Z6" s="403"/>
      <c r="AA6" s="403"/>
      <c r="AB6" s="403"/>
      <c r="AC6" s="403"/>
      <c r="AD6" s="403"/>
      <c r="AE6" s="403"/>
      <c r="AF6" s="403"/>
      <c r="AG6" s="403"/>
      <c r="AH6" s="403"/>
      <c r="AI6" s="403"/>
      <c r="AJ6" s="403"/>
      <c r="AK6" s="403"/>
      <c r="AL6" s="403"/>
      <c r="AM6" s="403"/>
      <c r="AN6" s="403"/>
      <c r="AO6" s="403"/>
      <c r="AP6" s="403"/>
      <c r="AQ6" s="403"/>
      <c r="AR6" s="403"/>
      <c r="AS6" s="403"/>
      <c r="AT6" s="403"/>
      <c r="AU6" s="403"/>
      <c r="AV6" s="403"/>
      <c r="AW6" s="403"/>
      <c r="AX6" s="403"/>
      <c r="AY6" s="403"/>
      <c r="AZ6" s="403"/>
      <c r="BA6" s="403"/>
      <c r="BB6" s="403"/>
      <c r="BC6" s="403"/>
      <c r="BD6" s="403"/>
      <c r="BE6" s="403"/>
      <c r="BF6" s="403"/>
      <c r="BG6" s="403"/>
      <c r="BH6" s="403"/>
      <c r="BI6" s="403"/>
      <c r="BJ6" s="403"/>
      <c r="BK6" s="403"/>
      <c r="BL6" s="403"/>
      <c r="BM6" s="403"/>
      <c r="BN6" s="403"/>
      <c r="BO6" s="403"/>
      <c r="BP6" s="403"/>
      <c r="BQ6" s="403"/>
      <c r="BR6" s="403"/>
      <c r="BS6" s="403"/>
      <c r="BT6" s="403"/>
      <c r="BU6" s="403"/>
      <c r="BV6" s="403"/>
      <c r="BW6" s="403"/>
      <c r="BX6" s="403"/>
      <c r="BY6" s="403"/>
      <c r="BZ6" s="403"/>
      <c r="CA6" s="403"/>
      <c r="CB6" s="403"/>
      <c r="CC6" s="403"/>
      <c r="CD6" s="403"/>
      <c r="CE6" s="403"/>
      <c r="CF6" s="403"/>
      <c r="CG6" s="403"/>
      <c r="CH6" s="403"/>
      <c r="CI6" s="403"/>
      <c r="CJ6" s="403"/>
      <c r="CK6" s="403"/>
      <c r="CL6" s="403"/>
      <c r="CM6" s="403"/>
      <c r="CN6" s="403"/>
      <c r="CO6" s="403"/>
      <c r="CP6" s="403"/>
      <c r="CQ6" s="403"/>
      <c r="CR6" s="403"/>
      <c r="CS6" s="403"/>
      <c r="CT6" s="403"/>
      <c r="CU6" s="403"/>
      <c r="CV6" s="403"/>
      <c r="CW6" s="403"/>
      <c r="CX6" s="403"/>
      <c r="CY6" s="403"/>
      <c r="CZ6" s="403"/>
      <c r="DA6" s="403"/>
      <c r="DB6" s="403"/>
      <c r="DC6" s="403"/>
      <c r="DD6" s="403"/>
      <c r="DE6" s="403"/>
      <c r="DF6" s="403"/>
      <c r="DG6" s="403"/>
      <c r="DH6" s="403"/>
      <c r="DI6" s="403"/>
      <c r="DJ6" s="403"/>
      <c r="DK6" s="403"/>
      <c r="DL6" s="403"/>
      <c r="DM6" s="403"/>
      <c r="DN6" s="403"/>
      <c r="DO6" s="403"/>
      <c r="DP6" s="403"/>
      <c r="DQ6" s="403"/>
      <c r="DR6" s="403"/>
      <c r="DS6" s="403"/>
      <c r="DT6" s="403"/>
      <c r="DU6" s="403"/>
      <c r="DV6" s="403"/>
      <c r="DW6" s="403"/>
      <c r="DX6" s="403"/>
      <c r="DY6" s="403"/>
      <c r="DZ6" s="403"/>
      <c r="EA6" s="403"/>
      <c r="EB6" s="403"/>
      <c r="EC6" s="403"/>
      <c r="ED6" s="403"/>
      <c r="EE6" s="403"/>
      <c r="EF6" s="403"/>
      <c r="EG6" s="403"/>
      <c r="EH6" s="403"/>
      <c r="EI6" s="403"/>
      <c r="EJ6" s="403"/>
      <c r="EK6" s="403"/>
      <c r="EL6" s="403"/>
      <c r="EM6" s="403"/>
      <c r="EN6" s="403"/>
      <c r="EO6" s="403"/>
      <c r="EP6" s="403"/>
      <c r="EQ6" s="403"/>
      <c r="ER6" s="403"/>
      <c r="ES6" s="403"/>
      <c r="ET6" s="403"/>
      <c r="EU6" s="403"/>
      <c r="EV6" s="403"/>
      <c r="EW6" s="403"/>
      <c r="EX6" s="403"/>
      <c r="EY6" s="403"/>
      <c r="EZ6" s="403"/>
      <c r="FA6" s="403"/>
      <c r="FB6" s="403"/>
      <c r="FC6" s="403"/>
      <c r="FD6" s="403"/>
      <c r="FE6" s="403"/>
      <c r="FF6" s="403"/>
      <c r="FG6" s="403"/>
      <c r="FH6" s="403"/>
      <c r="FI6" s="403"/>
      <c r="FJ6" s="403"/>
      <c r="FK6" s="403"/>
      <c r="FL6" s="403"/>
      <c r="FM6" s="403"/>
      <c r="FN6" s="403"/>
      <c r="FO6" s="403"/>
      <c r="FP6" s="403"/>
      <c r="FQ6" s="403"/>
      <c r="FR6" s="403"/>
      <c r="FS6" s="403"/>
      <c r="FT6" s="403"/>
      <c r="FU6" s="403"/>
      <c r="FV6" s="403"/>
      <c r="FW6" s="403"/>
      <c r="FX6" s="403"/>
      <c r="FY6" s="403"/>
      <c r="FZ6" s="403"/>
      <c r="GA6" s="403"/>
      <c r="GB6" s="403"/>
      <c r="GC6" s="403"/>
      <c r="GD6" s="403"/>
      <c r="GE6" s="403"/>
      <c r="GF6" s="403"/>
      <c r="GG6" s="403"/>
      <c r="GH6" s="403"/>
      <c r="GI6" s="403"/>
      <c r="GJ6" s="403"/>
      <c r="GK6" s="403"/>
      <c r="GL6" s="403"/>
      <c r="GM6" s="403"/>
      <c r="GN6" s="403"/>
      <c r="GO6" s="403"/>
      <c r="GP6" s="403"/>
      <c r="GQ6" s="403"/>
      <c r="GR6" s="403"/>
      <c r="GS6" s="403"/>
      <c r="GT6" s="403"/>
      <c r="GU6" s="403"/>
      <c r="GV6" s="403"/>
      <c r="GW6" s="403"/>
      <c r="GX6" s="403"/>
      <c r="GY6" s="403"/>
      <c r="GZ6" s="403"/>
      <c r="HA6" s="403"/>
      <c r="HB6" s="403"/>
      <c r="HC6" s="403"/>
      <c r="HD6" s="403"/>
      <c r="HE6" s="403"/>
      <c r="HF6" s="403"/>
      <c r="HG6" s="403"/>
      <c r="HH6" s="403"/>
      <c r="HI6" s="403"/>
      <c r="HJ6" s="403"/>
      <c r="HK6" s="403"/>
      <c r="HL6" s="403"/>
      <c r="HM6" s="403"/>
      <c r="HN6" s="403"/>
      <c r="HO6" s="403"/>
      <c r="HP6" s="403"/>
      <c r="HQ6" s="403"/>
      <c r="HR6" s="403"/>
      <c r="HS6" s="403"/>
      <c r="HT6" s="403"/>
      <c r="HU6" s="403"/>
      <c r="HV6" s="403"/>
      <c r="HW6" s="403"/>
      <c r="HX6" s="403"/>
      <c r="HY6" s="403"/>
      <c r="HZ6" s="403"/>
      <c r="IA6" s="403"/>
      <c r="IB6" s="403"/>
      <c r="IC6" s="403"/>
      <c r="ID6" s="403"/>
      <c r="IE6" s="403"/>
      <c r="IF6" s="403"/>
      <c r="IG6" s="403"/>
      <c r="IH6" s="403"/>
      <c r="II6" s="403"/>
      <c r="IJ6" s="403"/>
      <c r="IK6" s="403"/>
      <c r="IL6" s="403"/>
      <c r="IM6" s="403"/>
      <c r="IN6" s="403"/>
      <c r="IO6" s="403"/>
      <c r="IP6" s="403"/>
      <c r="IQ6" s="403"/>
      <c r="IR6" s="403"/>
      <c r="IS6" s="403"/>
      <c r="IT6" s="403"/>
      <c r="IU6" s="403"/>
      <c r="IV6" s="403"/>
      <c r="IW6" s="403"/>
      <c r="IX6" s="403"/>
      <c r="IY6" s="403"/>
      <c r="IZ6" s="403"/>
      <c r="JA6" s="403"/>
      <c r="JB6" s="403"/>
      <c r="JC6" s="403"/>
      <c r="JD6" s="403"/>
      <c r="JE6" s="403"/>
      <c r="JF6" s="403"/>
      <c r="JG6" s="403"/>
      <c r="JH6" s="403"/>
      <c r="JI6" s="403"/>
      <c r="JJ6" s="403"/>
      <c r="JK6" s="403"/>
      <c r="JL6" s="403"/>
      <c r="JM6" s="403"/>
      <c r="JN6" s="403"/>
      <c r="JO6" s="403"/>
      <c r="JP6" s="403"/>
      <c r="JQ6" s="403"/>
      <c r="JR6" s="403"/>
      <c r="JS6" s="403"/>
      <c r="JT6" s="403"/>
      <c r="JU6" s="403"/>
      <c r="JV6" s="403"/>
      <c r="JW6" s="403"/>
      <c r="JX6" s="403"/>
      <c r="JY6" s="403"/>
      <c r="JZ6" s="403"/>
      <c r="KA6" s="403"/>
      <c r="KB6" s="403"/>
      <c r="KC6" s="403"/>
      <c r="KD6" s="403"/>
      <c r="KE6" s="403"/>
      <c r="KF6" s="403"/>
      <c r="KG6" s="403"/>
      <c r="KH6" s="403"/>
      <c r="KI6" s="403"/>
      <c r="KJ6" s="403"/>
      <c r="KK6" s="403">
        <v>15</v>
      </c>
      <c r="KL6" s="403">
        <v>15</v>
      </c>
      <c r="KM6" s="404">
        <v>15</v>
      </c>
      <c r="KN6" s="403">
        <v>15</v>
      </c>
      <c r="KO6" s="403">
        <v>15</v>
      </c>
      <c r="KP6"/>
      <c r="KQ6"/>
      <c r="KR6"/>
      <c r="KS6"/>
      <c r="KT6"/>
    </row>
    <row r="7" spans="1:306" ht="14.5" customHeight="1" x14ac:dyDescent="0.3">
      <c r="A7" s="287" t="s">
        <v>91</v>
      </c>
      <c r="B7" s="403"/>
      <c r="C7" s="403"/>
      <c r="D7" s="403"/>
      <c r="E7" s="403"/>
      <c r="F7" s="403"/>
      <c r="G7" s="403">
        <v>5</v>
      </c>
      <c r="H7" s="403">
        <v>5</v>
      </c>
      <c r="I7" s="403">
        <v>5</v>
      </c>
      <c r="J7" s="403">
        <v>5</v>
      </c>
      <c r="K7" s="403">
        <v>5</v>
      </c>
      <c r="L7" s="403"/>
      <c r="M7" s="403"/>
      <c r="N7" s="403"/>
      <c r="O7" s="403"/>
      <c r="P7" s="403"/>
      <c r="Q7" s="403">
        <v>10</v>
      </c>
      <c r="R7" s="403">
        <v>10</v>
      </c>
      <c r="S7" s="403">
        <v>10</v>
      </c>
      <c r="T7" s="403">
        <v>10</v>
      </c>
      <c r="U7" s="403">
        <v>10</v>
      </c>
      <c r="V7" s="403">
        <v>9</v>
      </c>
      <c r="W7" s="403">
        <v>9</v>
      </c>
      <c r="X7" s="403">
        <v>9</v>
      </c>
      <c r="Y7" s="403">
        <v>9</v>
      </c>
      <c r="Z7" s="403">
        <v>9</v>
      </c>
      <c r="AA7" s="403">
        <v>6</v>
      </c>
      <c r="AB7" s="403">
        <v>6</v>
      </c>
      <c r="AC7" s="403">
        <v>6</v>
      </c>
      <c r="AD7" s="403">
        <v>6</v>
      </c>
      <c r="AE7" s="403">
        <v>6</v>
      </c>
      <c r="AF7" s="403">
        <v>4</v>
      </c>
      <c r="AG7" s="403">
        <v>4</v>
      </c>
      <c r="AH7" s="403">
        <v>4</v>
      </c>
      <c r="AI7" s="403">
        <v>4</v>
      </c>
      <c r="AJ7" s="403">
        <v>4</v>
      </c>
      <c r="AK7" s="403">
        <v>4</v>
      </c>
      <c r="AL7" s="403">
        <v>4</v>
      </c>
      <c r="AM7" s="403">
        <v>4</v>
      </c>
      <c r="AN7" s="403">
        <v>4</v>
      </c>
      <c r="AO7" s="403">
        <v>4</v>
      </c>
      <c r="AP7" s="403">
        <v>4</v>
      </c>
      <c r="AQ7" s="403">
        <v>4</v>
      </c>
      <c r="AR7" s="403">
        <v>4</v>
      </c>
      <c r="AS7" s="403">
        <v>4</v>
      </c>
      <c r="AT7" s="403">
        <v>4</v>
      </c>
      <c r="AU7" s="403"/>
      <c r="AV7" s="403"/>
      <c r="AW7" s="403"/>
      <c r="AX7" s="403"/>
      <c r="AY7" s="403"/>
      <c r="AZ7" s="403"/>
      <c r="BA7" s="403"/>
      <c r="BB7" s="403"/>
      <c r="BC7" s="403"/>
      <c r="BD7" s="403"/>
      <c r="BE7" s="403"/>
      <c r="BF7" s="403"/>
      <c r="BG7" s="403"/>
      <c r="BH7" s="403"/>
      <c r="BI7" s="403"/>
      <c r="BJ7" s="403">
        <v>4</v>
      </c>
      <c r="BK7" s="403">
        <v>4</v>
      </c>
      <c r="BL7" s="403">
        <v>4</v>
      </c>
      <c r="BM7" s="403">
        <v>4</v>
      </c>
      <c r="BN7" s="403">
        <v>4</v>
      </c>
      <c r="BO7" s="403"/>
      <c r="BP7" s="403"/>
      <c r="BQ7" s="403"/>
      <c r="BR7" s="403"/>
      <c r="BS7" s="403"/>
      <c r="BT7" s="403"/>
      <c r="BU7" s="403"/>
      <c r="BV7" s="403"/>
      <c r="BW7" s="403"/>
      <c r="BX7" s="403"/>
      <c r="BY7" s="403"/>
      <c r="BZ7" s="403"/>
      <c r="CA7" s="403"/>
      <c r="CB7" s="403"/>
      <c r="CC7" s="403"/>
      <c r="CD7" s="403"/>
      <c r="CE7" s="403"/>
      <c r="CF7" s="403"/>
      <c r="CG7" s="403"/>
      <c r="CH7" s="403"/>
      <c r="CI7" s="403"/>
      <c r="CJ7" s="403"/>
      <c r="CK7" s="403"/>
      <c r="CL7" s="403"/>
      <c r="CM7" s="403"/>
      <c r="CN7" s="403">
        <v>3</v>
      </c>
      <c r="CO7" s="403">
        <v>3</v>
      </c>
      <c r="CP7" s="403">
        <v>3</v>
      </c>
      <c r="CQ7" s="403">
        <v>3</v>
      </c>
      <c r="CR7" s="403">
        <v>3</v>
      </c>
      <c r="CS7" s="403"/>
      <c r="CT7" s="403"/>
      <c r="CU7" s="403"/>
      <c r="CV7" s="403"/>
      <c r="CW7" s="403"/>
      <c r="CX7" s="403"/>
      <c r="CY7" s="403"/>
      <c r="CZ7" s="403"/>
      <c r="DA7" s="403"/>
      <c r="DB7" s="403"/>
      <c r="DC7" s="403"/>
      <c r="DD7" s="403"/>
      <c r="DE7" s="403"/>
      <c r="DF7" s="403"/>
      <c r="DG7" s="403"/>
      <c r="DH7" s="403"/>
      <c r="DI7" s="403"/>
      <c r="DJ7" s="403"/>
      <c r="DK7" s="403"/>
      <c r="DL7" s="403"/>
      <c r="DM7" s="403"/>
      <c r="DN7" s="403"/>
      <c r="DO7" s="403"/>
      <c r="DP7" s="403"/>
      <c r="DQ7" s="403"/>
      <c r="DR7" s="403"/>
      <c r="DS7" s="403"/>
      <c r="DT7" s="403"/>
      <c r="DU7" s="403"/>
      <c r="DV7" s="403"/>
      <c r="DW7" s="403"/>
      <c r="DX7" s="403"/>
      <c r="DY7" s="403"/>
      <c r="DZ7" s="403"/>
      <c r="EA7" s="403"/>
      <c r="EB7" s="403"/>
      <c r="EC7" s="403"/>
      <c r="ED7" s="403"/>
      <c r="EE7" s="403"/>
      <c r="EF7" s="403"/>
      <c r="EG7" s="403"/>
      <c r="EH7" s="403"/>
      <c r="EI7" s="403"/>
      <c r="EJ7" s="403"/>
      <c r="EK7" s="403"/>
      <c r="EL7" s="403"/>
      <c r="EM7" s="403"/>
      <c r="EN7" s="403"/>
      <c r="EO7" s="403"/>
      <c r="EP7" s="403"/>
      <c r="EQ7" s="403"/>
      <c r="ER7" s="403"/>
      <c r="ES7" s="403"/>
      <c r="ET7" s="403"/>
      <c r="EU7" s="403"/>
      <c r="EV7" s="403"/>
      <c r="EW7" s="403"/>
      <c r="EX7" s="403"/>
      <c r="EY7" s="403"/>
      <c r="EZ7" s="403"/>
      <c r="FA7" s="403">
        <v>6</v>
      </c>
      <c r="FB7" s="403">
        <v>6</v>
      </c>
      <c r="FC7" s="403">
        <v>6</v>
      </c>
      <c r="FD7" s="403">
        <v>6</v>
      </c>
      <c r="FE7" s="403">
        <v>6</v>
      </c>
      <c r="FF7" s="403"/>
      <c r="FG7" s="403"/>
      <c r="FH7" s="403"/>
      <c r="FI7" s="403"/>
      <c r="FJ7" s="403"/>
      <c r="FK7" s="403">
        <v>1</v>
      </c>
      <c r="FL7" s="403">
        <v>1</v>
      </c>
      <c r="FM7" s="403">
        <v>1</v>
      </c>
      <c r="FN7" s="403">
        <v>1</v>
      </c>
      <c r="FO7" s="403">
        <v>1</v>
      </c>
      <c r="FP7" s="403">
        <v>5</v>
      </c>
      <c r="FQ7" s="403">
        <v>5</v>
      </c>
      <c r="FR7" s="403">
        <v>5</v>
      </c>
      <c r="FS7" s="403">
        <v>5</v>
      </c>
      <c r="FT7" s="403">
        <v>5</v>
      </c>
      <c r="FU7" s="403">
        <v>4</v>
      </c>
      <c r="FV7" s="403">
        <v>4</v>
      </c>
      <c r="FW7" s="403">
        <v>4</v>
      </c>
      <c r="FX7" s="403">
        <v>4</v>
      </c>
      <c r="FY7" s="403">
        <v>4</v>
      </c>
      <c r="FZ7" s="403"/>
      <c r="GA7" s="403"/>
      <c r="GB7" s="403"/>
      <c r="GC7" s="403"/>
      <c r="GD7" s="403"/>
      <c r="GE7" s="403"/>
      <c r="GF7" s="403"/>
      <c r="GG7" s="403"/>
      <c r="GH7" s="403"/>
      <c r="GI7" s="403"/>
      <c r="GJ7" s="403"/>
      <c r="GK7" s="403"/>
      <c r="GL7" s="403"/>
      <c r="GM7" s="403"/>
      <c r="GN7" s="403"/>
      <c r="GO7" s="403">
        <v>14</v>
      </c>
      <c r="GP7" s="403">
        <v>14</v>
      </c>
      <c r="GQ7" s="403">
        <v>14</v>
      </c>
      <c r="GR7" s="403">
        <v>14</v>
      </c>
      <c r="GS7" s="403">
        <v>14</v>
      </c>
      <c r="GT7" s="403"/>
      <c r="GU7" s="403"/>
      <c r="GV7" s="403"/>
      <c r="GW7" s="403"/>
      <c r="GX7" s="403"/>
      <c r="GY7" s="403"/>
      <c r="GZ7" s="403"/>
      <c r="HA7" s="403"/>
      <c r="HB7" s="403"/>
      <c r="HC7" s="403"/>
      <c r="HD7" s="403"/>
      <c r="HE7" s="403"/>
      <c r="HF7" s="403"/>
      <c r="HG7" s="403"/>
      <c r="HH7" s="403"/>
      <c r="HI7" s="403"/>
      <c r="HJ7" s="403"/>
      <c r="HK7" s="403"/>
      <c r="HL7" s="403"/>
      <c r="HM7" s="403"/>
      <c r="HN7" s="403"/>
      <c r="HO7" s="403"/>
      <c r="HP7" s="403"/>
      <c r="HQ7" s="403"/>
      <c r="HR7" s="403"/>
      <c r="HS7" s="403"/>
      <c r="HT7" s="403"/>
      <c r="HU7" s="403"/>
      <c r="HV7" s="403"/>
      <c r="HW7" s="403"/>
      <c r="HX7" s="403"/>
      <c r="HY7" s="403"/>
      <c r="HZ7" s="403"/>
      <c r="IA7" s="403"/>
      <c r="IB7" s="403"/>
      <c r="IC7" s="403"/>
      <c r="ID7" s="403"/>
      <c r="IE7" s="403"/>
      <c r="IF7" s="403"/>
      <c r="IG7" s="403"/>
      <c r="IH7" s="403"/>
      <c r="II7" s="403"/>
      <c r="IJ7" s="403"/>
      <c r="IK7" s="403"/>
      <c r="IL7" s="403"/>
      <c r="IM7" s="403"/>
      <c r="IN7" s="403"/>
      <c r="IO7" s="403"/>
      <c r="IP7" s="403"/>
      <c r="IQ7" s="403"/>
      <c r="IR7" s="403"/>
      <c r="IS7" s="403"/>
      <c r="IT7" s="403"/>
      <c r="IU7" s="403"/>
      <c r="IV7" s="403"/>
      <c r="IW7" s="403"/>
      <c r="IX7" s="403"/>
      <c r="IY7" s="403"/>
      <c r="IZ7" s="403"/>
      <c r="JA7" s="403"/>
      <c r="JB7" s="403"/>
      <c r="JC7" s="403"/>
      <c r="JD7" s="403"/>
      <c r="JE7" s="403"/>
      <c r="JF7" s="403"/>
      <c r="JG7" s="403"/>
      <c r="JH7" s="403"/>
      <c r="JI7" s="403"/>
      <c r="JJ7" s="403"/>
      <c r="JK7" s="403"/>
      <c r="JL7" s="403"/>
      <c r="JM7" s="403"/>
      <c r="JN7" s="403"/>
      <c r="JO7" s="403"/>
      <c r="JP7" s="403"/>
      <c r="JQ7" s="403"/>
      <c r="JR7" s="403"/>
      <c r="JS7" s="403"/>
      <c r="JT7" s="403"/>
      <c r="JU7" s="403"/>
      <c r="JV7" s="403"/>
      <c r="JW7" s="403"/>
      <c r="JX7" s="403"/>
      <c r="JY7" s="403"/>
      <c r="JZ7" s="403"/>
      <c r="KA7" s="403"/>
      <c r="KB7" s="403"/>
      <c r="KC7" s="403"/>
      <c r="KD7" s="403"/>
      <c r="KE7" s="403"/>
      <c r="KF7" s="403"/>
      <c r="KG7" s="403"/>
      <c r="KH7" s="403"/>
      <c r="KI7" s="403"/>
      <c r="KJ7" s="403"/>
      <c r="KK7" s="403">
        <v>79</v>
      </c>
      <c r="KL7" s="403">
        <v>79</v>
      </c>
      <c r="KM7" s="404">
        <v>79</v>
      </c>
      <c r="KN7" s="403">
        <v>79</v>
      </c>
      <c r="KO7" s="403">
        <v>79</v>
      </c>
      <c r="KP7"/>
      <c r="KQ7"/>
      <c r="KR7"/>
      <c r="KS7"/>
      <c r="KT7"/>
    </row>
    <row r="8" spans="1:306" ht="14.5" customHeight="1" x14ac:dyDescent="0.3">
      <c r="A8" s="287" t="s">
        <v>92</v>
      </c>
      <c r="B8" s="403"/>
      <c r="C8" s="403"/>
      <c r="D8" s="403"/>
      <c r="E8" s="403"/>
      <c r="F8" s="403"/>
      <c r="G8" s="403"/>
      <c r="H8" s="403"/>
      <c r="I8" s="403"/>
      <c r="J8" s="403"/>
      <c r="K8" s="403"/>
      <c r="L8" s="403"/>
      <c r="M8" s="403"/>
      <c r="N8" s="403"/>
      <c r="O8" s="403"/>
      <c r="P8" s="403"/>
      <c r="Q8" s="403"/>
      <c r="R8" s="403"/>
      <c r="S8" s="403"/>
      <c r="T8" s="403"/>
      <c r="U8" s="403"/>
      <c r="V8" s="403"/>
      <c r="W8" s="403"/>
      <c r="X8" s="403"/>
      <c r="Y8" s="403"/>
      <c r="Z8" s="403"/>
      <c r="AA8" s="403"/>
      <c r="AB8" s="403"/>
      <c r="AC8" s="403"/>
      <c r="AD8" s="403"/>
      <c r="AE8" s="403"/>
      <c r="AF8" s="403"/>
      <c r="AG8" s="403"/>
      <c r="AH8" s="403"/>
      <c r="AI8" s="403"/>
      <c r="AJ8" s="403"/>
      <c r="AK8" s="403"/>
      <c r="AL8" s="403"/>
      <c r="AM8" s="403"/>
      <c r="AN8" s="403"/>
      <c r="AO8" s="403"/>
      <c r="AP8" s="403"/>
      <c r="AQ8" s="403"/>
      <c r="AR8" s="403"/>
      <c r="AS8" s="403"/>
      <c r="AT8" s="403"/>
      <c r="AU8" s="403">
        <v>1</v>
      </c>
      <c r="AV8" s="403">
        <v>1</v>
      </c>
      <c r="AW8" s="403">
        <v>1</v>
      </c>
      <c r="AX8" s="403">
        <v>1</v>
      </c>
      <c r="AY8" s="403">
        <v>1</v>
      </c>
      <c r="AZ8" s="403">
        <v>3</v>
      </c>
      <c r="BA8" s="403">
        <v>3</v>
      </c>
      <c r="BB8" s="403">
        <v>3</v>
      </c>
      <c r="BC8" s="403">
        <v>3</v>
      </c>
      <c r="BD8" s="403">
        <v>3</v>
      </c>
      <c r="BE8" s="403">
        <v>3</v>
      </c>
      <c r="BF8" s="403">
        <v>3</v>
      </c>
      <c r="BG8" s="403">
        <v>3</v>
      </c>
      <c r="BH8" s="403">
        <v>3</v>
      </c>
      <c r="BI8" s="403">
        <v>3</v>
      </c>
      <c r="BJ8" s="403">
        <v>1</v>
      </c>
      <c r="BK8" s="403">
        <v>1</v>
      </c>
      <c r="BL8" s="403">
        <v>1</v>
      </c>
      <c r="BM8" s="403">
        <v>1</v>
      </c>
      <c r="BN8" s="403">
        <v>1</v>
      </c>
      <c r="BO8" s="403">
        <v>5</v>
      </c>
      <c r="BP8" s="403">
        <v>5</v>
      </c>
      <c r="BQ8" s="403">
        <v>5</v>
      </c>
      <c r="BR8" s="403">
        <v>5</v>
      </c>
      <c r="BS8" s="403">
        <v>5</v>
      </c>
      <c r="BT8" s="403"/>
      <c r="BU8" s="403"/>
      <c r="BV8" s="403"/>
      <c r="BW8" s="403"/>
      <c r="BX8" s="403"/>
      <c r="BY8" s="403"/>
      <c r="BZ8" s="403"/>
      <c r="CA8" s="403"/>
      <c r="CB8" s="403"/>
      <c r="CC8" s="403"/>
      <c r="CD8" s="403">
        <v>5</v>
      </c>
      <c r="CE8" s="403">
        <v>5</v>
      </c>
      <c r="CF8" s="403">
        <v>5</v>
      </c>
      <c r="CG8" s="403">
        <v>5</v>
      </c>
      <c r="CH8" s="403">
        <v>5</v>
      </c>
      <c r="CI8" s="403"/>
      <c r="CJ8" s="403"/>
      <c r="CK8" s="403"/>
      <c r="CL8" s="403"/>
      <c r="CM8" s="403"/>
      <c r="CN8" s="403"/>
      <c r="CO8" s="403"/>
      <c r="CP8" s="403"/>
      <c r="CQ8" s="403"/>
      <c r="CR8" s="403"/>
      <c r="CS8" s="403"/>
      <c r="CT8" s="403"/>
      <c r="CU8" s="403"/>
      <c r="CV8" s="403"/>
      <c r="CW8" s="403"/>
      <c r="CX8" s="403"/>
      <c r="CY8" s="403"/>
      <c r="CZ8" s="403"/>
      <c r="DA8" s="403"/>
      <c r="DB8" s="403"/>
      <c r="DC8" s="403"/>
      <c r="DD8" s="403"/>
      <c r="DE8" s="403"/>
      <c r="DF8" s="403"/>
      <c r="DG8" s="403"/>
      <c r="DH8" s="403"/>
      <c r="DI8" s="403"/>
      <c r="DJ8" s="403"/>
      <c r="DK8" s="403"/>
      <c r="DL8" s="403"/>
      <c r="DM8" s="403"/>
      <c r="DN8" s="403"/>
      <c r="DO8" s="403"/>
      <c r="DP8" s="403"/>
      <c r="DQ8" s="403"/>
      <c r="DR8" s="403"/>
      <c r="DS8" s="403"/>
      <c r="DT8" s="403"/>
      <c r="DU8" s="403"/>
      <c r="DV8" s="403"/>
      <c r="DW8" s="403"/>
      <c r="DX8" s="403"/>
      <c r="DY8" s="403"/>
      <c r="DZ8" s="403"/>
      <c r="EA8" s="403"/>
      <c r="EB8" s="403"/>
      <c r="EC8" s="403"/>
      <c r="ED8" s="403"/>
      <c r="EE8" s="403"/>
      <c r="EF8" s="403"/>
      <c r="EG8" s="403"/>
      <c r="EH8" s="403"/>
      <c r="EI8" s="403"/>
      <c r="EJ8" s="403"/>
      <c r="EK8" s="403"/>
      <c r="EL8" s="403"/>
      <c r="EM8" s="403"/>
      <c r="EN8" s="403"/>
      <c r="EO8" s="403"/>
      <c r="EP8" s="403"/>
      <c r="EQ8" s="403"/>
      <c r="ER8" s="403"/>
      <c r="ES8" s="403"/>
      <c r="ET8" s="403"/>
      <c r="EU8" s="403"/>
      <c r="EV8" s="403"/>
      <c r="EW8" s="403"/>
      <c r="EX8" s="403"/>
      <c r="EY8" s="403"/>
      <c r="EZ8" s="403"/>
      <c r="FA8" s="403">
        <v>3</v>
      </c>
      <c r="FB8" s="403">
        <v>3</v>
      </c>
      <c r="FC8" s="403">
        <v>3</v>
      </c>
      <c r="FD8" s="403">
        <v>3</v>
      </c>
      <c r="FE8" s="403">
        <v>3</v>
      </c>
      <c r="FF8" s="403"/>
      <c r="FG8" s="403"/>
      <c r="FH8" s="403"/>
      <c r="FI8" s="403"/>
      <c r="FJ8" s="403"/>
      <c r="FK8" s="403">
        <v>16</v>
      </c>
      <c r="FL8" s="403">
        <v>16</v>
      </c>
      <c r="FM8" s="403">
        <v>16</v>
      </c>
      <c r="FN8" s="403">
        <v>16</v>
      </c>
      <c r="FO8" s="403">
        <v>16</v>
      </c>
      <c r="FP8" s="403"/>
      <c r="FQ8" s="403"/>
      <c r="FR8" s="403"/>
      <c r="FS8" s="403"/>
      <c r="FT8" s="403"/>
      <c r="FU8" s="403">
        <v>1</v>
      </c>
      <c r="FV8" s="403">
        <v>1</v>
      </c>
      <c r="FW8" s="403">
        <v>1</v>
      </c>
      <c r="FX8" s="403">
        <v>1</v>
      </c>
      <c r="FY8" s="403">
        <v>1</v>
      </c>
      <c r="FZ8" s="403"/>
      <c r="GA8" s="403"/>
      <c r="GB8" s="403"/>
      <c r="GC8" s="403"/>
      <c r="GD8" s="403"/>
      <c r="GE8" s="403"/>
      <c r="GF8" s="403"/>
      <c r="GG8" s="403"/>
      <c r="GH8" s="403"/>
      <c r="GI8" s="403"/>
      <c r="GJ8" s="403"/>
      <c r="GK8" s="403"/>
      <c r="GL8" s="403"/>
      <c r="GM8" s="403"/>
      <c r="GN8" s="403"/>
      <c r="GO8" s="403"/>
      <c r="GP8" s="403"/>
      <c r="GQ8" s="403"/>
      <c r="GR8" s="403"/>
      <c r="GS8" s="403"/>
      <c r="GT8" s="403"/>
      <c r="GU8" s="403"/>
      <c r="GV8" s="403"/>
      <c r="GW8" s="403"/>
      <c r="GX8" s="403"/>
      <c r="GY8" s="403"/>
      <c r="GZ8" s="403"/>
      <c r="HA8" s="403"/>
      <c r="HB8" s="403"/>
      <c r="HC8" s="403"/>
      <c r="HD8" s="403"/>
      <c r="HE8" s="403"/>
      <c r="HF8" s="403"/>
      <c r="HG8" s="403"/>
      <c r="HH8" s="403"/>
      <c r="HI8" s="403"/>
      <c r="HJ8" s="403"/>
      <c r="HK8" s="403"/>
      <c r="HL8" s="403"/>
      <c r="HM8" s="403"/>
      <c r="HN8" s="403"/>
      <c r="HO8" s="403"/>
      <c r="HP8" s="403"/>
      <c r="HQ8" s="403"/>
      <c r="HR8" s="403"/>
      <c r="HS8" s="403"/>
      <c r="HT8" s="403"/>
      <c r="HU8" s="403"/>
      <c r="HV8" s="403"/>
      <c r="HW8" s="403"/>
      <c r="HX8" s="403"/>
      <c r="HY8" s="403"/>
      <c r="HZ8" s="403"/>
      <c r="IA8" s="403"/>
      <c r="IB8" s="403"/>
      <c r="IC8" s="403"/>
      <c r="ID8" s="403"/>
      <c r="IE8" s="403"/>
      <c r="IF8" s="403"/>
      <c r="IG8" s="403"/>
      <c r="IH8" s="403"/>
      <c r="II8" s="403"/>
      <c r="IJ8" s="403"/>
      <c r="IK8" s="403"/>
      <c r="IL8" s="403"/>
      <c r="IM8" s="403"/>
      <c r="IN8" s="403"/>
      <c r="IO8" s="403"/>
      <c r="IP8" s="403"/>
      <c r="IQ8" s="403"/>
      <c r="IR8" s="403"/>
      <c r="IS8" s="403"/>
      <c r="IT8" s="403"/>
      <c r="IU8" s="403"/>
      <c r="IV8" s="403"/>
      <c r="IW8" s="403"/>
      <c r="IX8" s="403"/>
      <c r="IY8" s="403"/>
      <c r="IZ8" s="403"/>
      <c r="JA8" s="403"/>
      <c r="JB8" s="403"/>
      <c r="JC8" s="403"/>
      <c r="JD8" s="403"/>
      <c r="JE8" s="403"/>
      <c r="JF8" s="403"/>
      <c r="JG8" s="403"/>
      <c r="JH8" s="403"/>
      <c r="JI8" s="403"/>
      <c r="JJ8" s="403"/>
      <c r="JK8" s="403"/>
      <c r="JL8" s="403"/>
      <c r="JM8" s="403"/>
      <c r="JN8" s="403"/>
      <c r="JO8" s="403"/>
      <c r="JP8" s="403"/>
      <c r="JQ8" s="403"/>
      <c r="JR8" s="403"/>
      <c r="JS8" s="403"/>
      <c r="JT8" s="403"/>
      <c r="JU8" s="403"/>
      <c r="JV8" s="403"/>
      <c r="JW8" s="403"/>
      <c r="JX8" s="403"/>
      <c r="JY8" s="403"/>
      <c r="JZ8" s="403"/>
      <c r="KA8" s="403"/>
      <c r="KB8" s="403"/>
      <c r="KC8" s="403"/>
      <c r="KD8" s="403"/>
      <c r="KE8" s="403"/>
      <c r="KF8" s="403"/>
      <c r="KG8" s="403"/>
      <c r="KH8" s="403"/>
      <c r="KI8" s="403"/>
      <c r="KJ8" s="403"/>
      <c r="KK8" s="403">
        <v>38</v>
      </c>
      <c r="KL8" s="403">
        <v>38</v>
      </c>
      <c r="KM8" s="404">
        <v>38</v>
      </c>
      <c r="KN8" s="403">
        <v>38</v>
      </c>
      <c r="KO8" s="403">
        <v>38</v>
      </c>
      <c r="KP8"/>
      <c r="KQ8"/>
      <c r="KR8"/>
      <c r="KS8"/>
      <c r="KT8"/>
    </row>
    <row r="9" spans="1:306" ht="14.5" customHeight="1" x14ac:dyDescent="0.3">
      <c r="A9" s="287" t="s">
        <v>93</v>
      </c>
      <c r="B9" s="403"/>
      <c r="C9" s="403"/>
      <c r="D9" s="403"/>
      <c r="E9" s="403"/>
      <c r="F9" s="403"/>
      <c r="G9" s="403"/>
      <c r="H9" s="403"/>
      <c r="I9" s="403"/>
      <c r="J9" s="403"/>
      <c r="K9" s="403"/>
      <c r="L9" s="403"/>
      <c r="M9" s="403"/>
      <c r="N9" s="403"/>
      <c r="O9" s="403"/>
      <c r="P9" s="403"/>
      <c r="Q9" s="403"/>
      <c r="R9" s="403"/>
      <c r="S9" s="403"/>
      <c r="T9" s="403"/>
      <c r="U9" s="403"/>
      <c r="V9" s="403"/>
      <c r="W9" s="403"/>
      <c r="X9" s="403"/>
      <c r="Y9" s="403"/>
      <c r="Z9" s="403"/>
      <c r="AA9" s="403"/>
      <c r="AB9" s="403"/>
      <c r="AC9" s="403"/>
      <c r="AD9" s="403"/>
      <c r="AE9" s="403"/>
      <c r="AF9" s="403"/>
      <c r="AG9" s="403"/>
      <c r="AH9" s="403"/>
      <c r="AI9" s="403"/>
      <c r="AJ9" s="403"/>
      <c r="AK9" s="403"/>
      <c r="AL9" s="403"/>
      <c r="AM9" s="403"/>
      <c r="AN9" s="403"/>
      <c r="AO9" s="403"/>
      <c r="AP9" s="403"/>
      <c r="AQ9" s="403"/>
      <c r="AR9" s="403"/>
      <c r="AS9" s="403"/>
      <c r="AT9" s="403"/>
      <c r="AU9" s="403">
        <v>3</v>
      </c>
      <c r="AV9" s="403">
        <v>3</v>
      </c>
      <c r="AW9" s="403">
        <v>3</v>
      </c>
      <c r="AX9" s="403">
        <v>3</v>
      </c>
      <c r="AY9" s="403">
        <v>3</v>
      </c>
      <c r="AZ9" s="403"/>
      <c r="BA9" s="403"/>
      <c r="BB9" s="403"/>
      <c r="BC9" s="403"/>
      <c r="BD9" s="403"/>
      <c r="BE9" s="403"/>
      <c r="BF9" s="403"/>
      <c r="BG9" s="403"/>
      <c r="BH9" s="403"/>
      <c r="BI9" s="403"/>
      <c r="BJ9" s="403"/>
      <c r="BK9" s="403"/>
      <c r="BL9" s="403"/>
      <c r="BM9" s="403"/>
      <c r="BN9" s="403"/>
      <c r="BO9" s="403"/>
      <c r="BP9" s="403"/>
      <c r="BQ9" s="403"/>
      <c r="BR9" s="403"/>
      <c r="BS9" s="403"/>
      <c r="BT9" s="403">
        <v>6</v>
      </c>
      <c r="BU9" s="403">
        <v>6</v>
      </c>
      <c r="BV9" s="403">
        <v>6</v>
      </c>
      <c r="BW9" s="403">
        <v>6</v>
      </c>
      <c r="BX9" s="403">
        <v>6</v>
      </c>
      <c r="BY9" s="403">
        <v>4</v>
      </c>
      <c r="BZ9" s="403">
        <v>4</v>
      </c>
      <c r="CA9" s="403">
        <v>4</v>
      </c>
      <c r="CB9" s="403">
        <v>4</v>
      </c>
      <c r="CC9" s="403">
        <v>4</v>
      </c>
      <c r="CD9" s="403">
        <v>1</v>
      </c>
      <c r="CE9" s="403">
        <v>1</v>
      </c>
      <c r="CF9" s="403">
        <v>1</v>
      </c>
      <c r="CG9" s="403">
        <v>1</v>
      </c>
      <c r="CH9" s="403">
        <v>1</v>
      </c>
      <c r="CI9" s="403">
        <v>4</v>
      </c>
      <c r="CJ9" s="403">
        <v>4</v>
      </c>
      <c r="CK9" s="403">
        <v>4</v>
      </c>
      <c r="CL9" s="403">
        <v>4</v>
      </c>
      <c r="CM9" s="403">
        <v>4</v>
      </c>
      <c r="CN9" s="403"/>
      <c r="CO9" s="403"/>
      <c r="CP9" s="403"/>
      <c r="CQ9" s="403"/>
      <c r="CR9" s="403"/>
      <c r="CS9" s="403">
        <v>12</v>
      </c>
      <c r="CT9" s="403">
        <v>12</v>
      </c>
      <c r="CU9" s="403">
        <v>12</v>
      </c>
      <c r="CV9" s="403">
        <v>12</v>
      </c>
      <c r="CW9" s="403">
        <v>12</v>
      </c>
      <c r="CX9" s="403">
        <v>5</v>
      </c>
      <c r="CY9" s="403">
        <v>5</v>
      </c>
      <c r="CZ9" s="403">
        <v>5</v>
      </c>
      <c r="DA9" s="403">
        <v>5</v>
      </c>
      <c r="DB9" s="403">
        <v>5</v>
      </c>
      <c r="DC9" s="403"/>
      <c r="DD9" s="403"/>
      <c r="DE9" s="403"/>
      <c r="DF9" s="403"/>
      <c r="DG9" s="403"/>
      <c r="DH9" s="403"/>
      <c r="DI9" s="403"/>
      <c r="DJ9" s="403"/>
      <c r="DK9" s="403"/>
      <c r="DL9" s="403"/>
      <c r="DM9" s="403"/>
      <c r="DN9" s="403"/>
      <c r="DO9" s="403"/>
      <c r="DP9" s="403"/>
      <c r="DQ9" s="403"/>
      <c r="DR9" s="403"/>
      <c r="DS9" s="403"/>
      <c r="DT9" s="403"/>
      <c r="DU9" s="403"/>
      <c r="DV9" s="403"/>
      <c r="DW9" s="403"/>
      <c r="DX9" s="403"/>
      <c r="DY9" s="403"/>
      <c r="DZ9" s="403"/>
      <c r="EA9" s="403"/>
      <c r="EB9" s="403"/>
      <c r="EC9" s="403"/>
      <c r="ED9" s="403"/>
      <c r="EE9" s="403"/>
      <c r="EF9" s="403"/>
      <c r="EG9" s="403">
        <v>6</v>
      </c>
      <c r="EH9" s="403">
        <v>6</v>
      </c>
      <c r="EI9" s="403">
        <v>6</v>
      </c>
      <c r="EJ9" s="403">
        <v>6</v>
      </c>
      <c r="EK9" s="403">
        <v>6</v>
      </c>
      <c r="EL9" s="403">
        <v>11</v>
      </c>
      <c r="EM9" s="403">
        <v>11</v>
      </c>
      <c r="EN9" s="403">
        <v>11</v>
      </c>
      <c r="EO9" s="403">
        <v>11</v>
      </c>
      <c r="EP9" s="403">
        <v>11</v>
      </c>
      <c r="EQ9" s="403">
        <v>2</v>
      </c>
      <c r="ER9" s="403">
        <v>2</v>
      </c>
      <c r="ES9" s="403">
        <v>2</v>
      </c>
      <c r="ET9" s="403">
        <v>2</v>
      </c>
      <c r="EU9" s="403">
        <v>2</v>
      </c>
      <c r="EV9" s="403">
        <v>1</v>
      </c>
      <c r="EW9" s="403">
        <v>1</v>
      </c>
      <c r="EX9" s="403">
        <v>1</v>
      </c>
      <c r="EY9" s="403">
        <v>1</v>
      </c>
      <c r="EZ9" s="403">
        <v>1</v>
      </c>
      <c r="FA9" s="403"/>
      <c r="FB9" s="403"/>
      <c r="FC9" s="403"/>
      <c r="FD9" s="403"/>
      <c r="FE9" s="403"/>
      <c r="FF9" s="403">
        <v>7</v>
      </c>
      <c r="FG9" s="403">
        <v>7</v>
      </c>
      <c r="FH9" s="403">
        <v>7</v>
      </c>
      <c r="FI9" s="403">
        <v>7</v>
      </c>
      <c r="FJ9" s="403">
        <v>7</v>
      </c>
      <c r="FK9" s="403"/>
      <c r="FL9" s="403"/>
      <c r="FM9" s="403"/>
      <c r="FN9" s="403"/>
      <c r="FO9" s="403"/>
      <c r="FP9" s="403"/>
      <c r="FQ9" s="403"/>
      <c r="FR9" s="403"/>
      <c r="FS9" s="403"/>
      <c r="FT9" s="403"/>
      <c r="FU9" s="403"/>
      <c r="FV9" s="403"/>
      <c r="FW9" s="403"/>
      <c r="FX9" s="403"/>
      <c r="FY9" s="403"/>
      <c r="FZ9" s="403">
        <v>5</v>
      </c>
      <c r="GA9" s="403">
        <v>5</v>
      </c>
      <c r="GB9" s="403">
        <v>5</v>
      </c>
      <c r="GC9" s="403">
        <v>5</v>
      </c>
      <c r="GD9" s="403">
        <v>5</v>
      </c>
      <c r="GE9" s="403">
        <v>8</v>
      </c>
      <c r="GF9" s="403">
        <v>8</v>
      </c>
      <c r="GG9" s="403">
        <v>8</v>
      </c>
      <c r="GH9" s="403">
        <v>8</v>
      </c>
      <c r="GI9" s="403">
        <v>8</v>
      </c>
      <c r="GJ9" s="403"/>
      <c r="GK9" s="403"/>
      <c r="GL9" s="403"/>
      <c r="GM9" s="403"/>
      <c r="GN9" s="403"/>
      <c r="GO9" s="403"/>
      <c r="GP9" s="403"/>
      <c r="GQ9" s="403"/>
      <c r="GR9" s="403"/>
      <c r="GS9" s="403"/>
      <c r="GT9" s="403"/>
      <c r="GU9" s="403"/>
      <c r="GV9" s="403"/>
      <c r="GW9" s="403"/>
      <c r="GX9" s="403"/>
      <c r="GY9" s="403"/>
      <c r="GZ9" s="403"/>
      <c r="HA9" s="403"/>
      <c r="HB9" s="403"/>
      <c r="HC9" s="403"/>
      <c r="HD9" s="403"/>
      <c r="HE9" s="403"/>
      <c r="HF9" s="403"/>
      <c r="HG9" s="403"/>
      <c r="HH9" s="403"/>
      <c r="HI9" s="403"/>
      <c r="HJ9" s="403"/>
      <c r="HK9" s="403"/>
      <c r="HL9" s="403"/>
      <c r="HM9" s="403"/>
      <c r="HN9" s="403"/>
      <c r="HO9" s="403"/>
      <c r="HP9" s="403"/>
      <c r="HQ9" s="403"/>
      <c r="HR9" s="403"/>
      <c r="HS9" s="403"/>
      <c r="HT9" s="403"/>
      <c r="HU9" s="403"/>
      <c r="HV9" s="403"/>
      <c r="HW9" s="403"/>
      <c r="HX9" s="403"/>
      <c r="HY9" s="403"/>
      <c r="HZ9" s="403"/>
      <c r="IA9" s="403"/>
      <c r="IB9" s="403"/>
      <c r="IC9" s="403"/>
      <c r="ID9" s="403"/>
      <c r="IE9" s="403"/>
      <c r="IF9" s="403"/>
      <c r="IG9" s="403"/>
      <c r="IH9" s="403"/>
      <c r="II9" s="403"/>
      <c r="IJ9" s="403"/>
      <c r="IK9" s="403"/>
      <c r="IL9" s="403"/>
      <c r="IM9" s="403"/>
      <c r="IN9" s="403"/>
      <c r="IO9" s="403"/>
      <c r="IP9" s="403"/>
      <c r="IQ9" s="403"/>
      <c r="IR9" s="403"/>
      <c r="IS9" s="403"/>
      <c r="IT9" s="403"/>
      <c r="IU9" s="403"/>
      <c r="IV9" s="403"/>
      <c r="IW9" s="403"/>
      <c r="IX9" s="403"/>
      <c r="IY9" s="403"/>
      <c r="IZ9" s="403"/>
      <c r="JA9" s="403"/>
      <c r="JB9" s="403"/>
      <c r="JC9" s="403"/>
      <c r="JD9" s="403"/>
      <c r="JE9" s="403"/>
      <c r="JF9" s="403"/>
      <c r="JG9" s="403"/>
      <c r="JH9" s="403"/>
      <c r="JI9" s="403"/>
      <c r="JJ9" s="403"/>
      <c r="JK9" s="403"/>
      <c r="JL9" s="403"/>
      <c r="JM9" s="403"/>
      <c r="JN9" s="403"/>
      <c r="JO9" s="403"/>
      <c r="JP9" s="403"/>
      <c r="JQ9" s="403"/>
      <c r="JR9" s="403"/>
      <c r="JS9" s="403"/>
      <c r="JT9" s="403"/>
      <c r="JU9" s="403"/>
      <c r="JV9" s="403"/>
      <c r="JW9" s="403"/>
      <c r="JX9" s="403"/>
      <c r="JY9" s="403"/>
      <c r="JZ9" s="403"/>
      <c r="KA9" s="403"/>
      <c r="KB9" s="403"/>
      <c r="KC9" s="403"/>
      <c r="KD9" s="403"/>
      <c r="KE9" s="403"/>
      <c r="KF9" s="403"/>
      <c r="KG9" s="403"/>
      <c r="KH9" s="403"/>
      <c r="KI9" s="403"/>
      <c r="KJ9" s="403"/>
      <c r="KK9" s="403">
        <v>75</v>
      </c>
      <c r="KL9" s="403">
        <v>75</v>
      </c>
      <c r="KM9" s="404">
        <v>75</v>
      </c>
      <c r="KN9" s="403">
        <v>75</v>
      </c>
      <c r="KO9" s="403">
        <v>75</v>
      </c>
      <c r="KP9"/>
      <c r="KQ9"/>
      <c r="KR9"/>
      <c r="KS9"/>
      <c r="KT9"/>
    </row>
    <row r="10" spans="1:306" ht="14.5" customHeight="1" x14ac:dyDescent="0.3">
      <c r="A10" s="287" t="s">
        <v>94</v>
      </c>
      <c r="B10" s="403"/>
      <c r="C10" s="403"/>
      <c r="D10" s="403"/>
      <c r="E10" s="403"/>
      <c r="F10" s="403"/>
      <c r="G10" s="403"/>
      <c r="H10" s="403"/>
      <c r="I10" s="403"/>
      <c r="J10" s="403"/>
      <c r="K10" s="403"/>
      <c r="L10" s="403"/>
      <c r="M10" s="403"/>
      <c r="N10" s="403"/>
      <c r="O10" s="403"/>
      <c r="P10" s="403"/>
      <c r="Q10" s="403"/>
      <c r="R10" s="403"/>
      <c r="S10" s="403"/>
      <c r="T10" s="403"/>
      <c r="U10" s="403"/>
      <c r="V10" s="403"/>
      <c r="W10" s="403"/>
      <c r="X10" s="403"/>
      <c r="Y10" s="403"/>
      <c r="Z10" s="403"/>
      <c r="AA10" s="403"/>
      <c r="AB10" s="403"/>
      <c r="AC10" s="403"/>
      <c r="AD10" s="403"/>
      <c r="AE10" s="403"/>
      <c r="AF10" s="403"/>
      <c r="AG10" s="403"/>
      <c r="AH10" s="403"/>
      <c r="AI10" s="403"/>
      <c r="AJ10" s="403"/>
      <c r="AK10" s="403"/>
      <c r="AL10" s="403"/>
      <c r="AM10" s="403"/>
      <c r="AN10" s="403"/>
      <c r="AO10" s="403"/>
      <c r="AP10" s="403"/>
      <c r="AQ10" s="403"/>
      <c r="AR10" s="403"/>
      <c r="AS10" s="403"/>
      <c r="AT10" s="403"/>
      <c r="AU10" s="403"/>
      <c r="AV10" s="403"/>
      <c r="AW10" s="403"/>
      <c r="AX10" s="403"/>
      <c r="AY10" s="403"/>
      <c r="AZ10" s="403"/>
      <c r="BA10" s="403"/>
      <c r="BB10" s="403"/>
      <c r="BC10" s="403"/>
      <c r="BD10" s="403"/>
      <c r="BE10" s="403"/>
      <c r="BF10" s="403"/>
      <c r="BG10" s="403"/>
      <c r="BH10" s="403"/>
      <c r="BI10" s="403"/>
      <c r="BJ10" s="403"/>
      <c r="BK10" s="403"/>
      <c r="BL10" s="403"/>
      <c r="BM10" s="403"/>
      <c r="BN10" s="403"/>
      <c r="BO10" s="403"/>
      <c r="BP10" s="403"/>
      <c r="BQ10" s="403"/>
      <c r="BR10" s="403"/>
      <c r="BS10" s="403"/>
      <c r="BT10" s="403"/>
      <c r="BU10" s="403"/>
      <c r="BV10" s="403"/>
      <c r="BW10" s="403"/>
      <c r="BX10" s="403"/>
      <c r="BY10" s="403"/>
      <c r="BZ10" s="403"/>
      <c r="CA10" s="403"/>
      <c r="CB10" s="403"/>
      <c r="CC10" s="403"/>
      <c r="CD10" s="403"/>
      <c r="CE10" s="403"/>
      <c r="CF10" s="403"/>
      <c r="CG10" s="403"/>
      <c r="CH10" s="403"/>
      <c r="CI10" s="403"/>
      <c r="CJ10" s="403"/>
      <c r="CK10" s="403"/>
      <c r="CL10" s="403"/>
      <c r="CM10" s="403"/>
      <c r="CN10" s="403"/>
      <c r="CO10" s="403"/>
      <c r="CP10" s="403"/>
      <c r="CQ10" s="403"/>
      <c r="CR10" s="403"/>
      <c r="CS10" s="403"/>
      <c r="CT10" s="403"/>
      <c r="CU10" s="403"/>
      <c r="CV10" s="403"/>
      <c r="CW10" s="403"/>
      <c r="CX10" s="403"/>
      <c r="CY10" s="403"/>
      <c r="CZ10" s="403"/>
      <c r="DA10" s="403"/>
      <c r="DB10" s="403"/>
      <c r="DC10" s="403">
        <v>6</v>
      </c>
      <c r="DD10" s="403">
        <v>6</v>
      </c>
      <c r="DE10" s="403">
        <v>6</v>
      </c>
      <c r="DF10" s="403">
        <v>6</v>
      </c>
      <c r="DG10" s="403">
        <v>6</v>
      </c>
      <c r="DH10" s="403">
        <v>4</v>
      </c>
      <c r="DI10" s="403">
        <v>4</v>
      </c>
      <c r="DJ10" s="403">
        <v>4</v>
      </c>
      <c r="DK10" s="403">
        <v>4</v>
      </c>
      <c r="DL10" s="403">
        <v>4</v>
      </c>
      <c r="DM10" s="403">
        <v>8</v>
      </c>
      <c r="DN10" s="403">
        <v>8</v>
      </c>
      <c r="DO10" s="403">
        <v>8</v>
      </c>
      <c r="DP10" s="403">
        <v>8</v>
      </c>
      <c r="DQ10" s="403">
        <v>8</v>
      </c>
      <c r="DR10" s="403">
        <v>8</v>
      </c>
      <c r="DS10" s="403">
        <v>8</v>
      </c>
      <c r="DT10" s="403">
        <v>8</v>
      </c>
      <c r="DU10" s="403">
        <v>8</v>
      </c>
      <c r="DV10" s="403">
        <v>8</v>
      </c>
      <c r="DW10" s="403"/>
      <c r="DX10" s="403"/>
      <c r="DY10" s="403"/>
      <c r="DZ10" s="403"/>
      <c r="EA10" s="403"/>
      <c r="EB10" s="403"/>
      <c r="EC10" s="403"/>
      <c r="ED10" s="403"/>
      <c r="EE10" s="403"/>
      <c r="EF10" s="403"/>
      <c r="EG10" s="403"/>
      <c r="EH10" s="403"/>
      <c r="EI10" s="403"/>
      <c r="EJ10" s="403"/>
      <c r="EK10" s="403"/>
      <c r="EL10" s="403"/>
      <c r="EM10" s="403"/>
      <c r="EN10" s="403"/>
      <c r="EO10" s="403"/>
      <c r="EP10" s="403"/>
      <c r="EQ10" s="403"/>
      <c r="ER10" s="403"/>
      <c r="ES10" s="403"/>
      <c r="ET10" s="403"/>
      <c r="EU10" s="403"/>
      <c r="EV10" s="403"/>
      <c r="EW10" s="403"/>
      <c r="EX10" s="403"/>
      <c r="EY10" s="403"/>
      <c r="EZ10" s="403"/>
      <c r="FA10" s="403"/>
      <c r="FB10" s="403"/>
      <c r="FC10" s="403"/>
      <c r="FD10" s="403"/>
      <c r="FE10" s="403"/>
      <c r="FF10" s="403"/>
      <c r="FG10" s="403"/>
      <c r="FH10" s="403"/>
      <c r="FI10" s="403"/>
      <c r="FJ10" s="403"/>
      <c r="FK10" s="403"/>
      <c r="FL10" s="403"/>
      <c r="FM10" s="403"/>
      <c r="FN10" s="403"/>
      <c r="FO10" s="403"/>
      <c r="FP10" s="403"/>
      <c r="FQ10" s="403"/>
      <c r="FR10" s="403"/>
      <c r="FS10" s="403"/>
      <c r="FT10" s="403"/>
      <c r="FU10" s="403"/>
      <c r="FV10" s="403"/>
      <c r="FW10" s="403"/>
      <c r="FX10" s="403"/>
      <c r="FY10" s="403"/>
      <c r="FZ10" s="403"/>
      <c r="GA10" s="403"/>
      <c r="GB10" s="403"/>
      <c r="GC10" s="403"/>
      <c r="GD10" s="403"/>
      <c r="GE10" s="403"/>
      <c r="GF10" s="403"/>
      <c r="GG10" s="403"/>
      <c r="GH10" s="403"/>
      <c r="GI10" s="403"/>
      <c r="GJ10" s="403"/>
      <c r="GK10" s="403"/>
      <c r="GL10" s="403"/>
      <c r="GM10" s="403"/>
      <c r="GN10" s="403"/>
      <c r="GO10" s="403"/>
      <c r="GP10" s="403"/>
      <c r="GQ10" s="403"/>
      <c r="GR10" s="403"/>
      <c r="GS10" s="403"/>
      <c r="GT10" s="403">
        <v>8</v>
      </c>
      <c r="GU10" s="403">
        <v>8</v>
      </c>
      <c r="GV10" s="403">
        <v>8</v>
      </c>
      <c r="GW10" s="403">
        <v>8</v>
      </c>
      <c r="GX10" s="403">
        <v>8</v>
      </c>
      <c r="GY10" s="403">
        <v>7</v>
      </c>
      <c r="GZ10" s="403">
        <v>7</v>
      </c>
      <c r="HA10" s="403">
        <v>7</v>
      </c>
      <c r="HB10" s="403">
        <v>7</v>
      </c>
      <c r="HC10" s="403">
        <v>7</v>
      </c>
      <c r="HD10" s="403"/>
      <c r="HE10" s="403"/>
      <c r="HF10" s="403"/>
      <c r="HG10" s="403"/>
      <c r="HH10" s="403"/>
      <c r="HI10" s="403">
        <v>3</v>
      </c>
      <c r="HJ10" s="403">
        <v>3</v>
      </c>
      <c r="HK10" s="403">
        <v>3</v>
      </c>
      <c r="HL10" s="403">
        <v>3</v>
      </c>
      <c r="HM10" s="403">
        <v>3</v>
      </c>
      <c r="HN10" s="403">
        <v>4</v>
      </c>
      <c r="HO10" s="403">
        <v>4</v>
      </c>
      <c r="HP10" s="403">
        <v>4</v>
      </c>
      <c r="HQ10" s="403">
        <v>4</v>
      </c>
      <c r="HR10" s="403">
        <v>4</v>
      </c>
      <c r="HS10" s="403"/>
      <c r="HT10" s="403"/>
      <c r="HU10" s="403"/>
      <c r="HV10" s="403"/>
      <c r="HW10" s="403"/>
      <c r="HX10" s="403">
        <v>7</v>
      </c>
      <c r="HY10" s="403">
        <v>7</v>
      </c>
      <c r="HZ10" s="403">
        <v>7</v>
      </c>
      <c r="IA10" s="403">
        <v>7</v>
      </c>
      <c r="IB10" s="403">
        <v>7</v>
      </c>
      <c r="IC10" s="403">
        <v>5</v>
      </c>
      <c r="ID10" s="403">
        <v>5</v>
      </c>
      <c r="IE10" s="403">
        <v>5</v>
      </c>
      <c r="IF10" s="403">
        <v>5</v>
      </c>
      <c r="IG10" s="403">
        <v>5</v>
      </c>
      <c r="IH10" s="403">
        <v>5</v>
      </c>
      <c r="II10" s="403">
        <v>5</v>
      </c>
      <c r="IJ10" s="403">
        <v>4</v>
      </c>
      <c r="IK10" s="403">
        <v>5</v>
      </c>
      <c r="IL10" s="403">
        <v>5</v>
      </c>
      <c r="IM10" s="403">
        <v>5</v>
      </c>
      <c r="IN10" s="403">
        <v>5</v>
      </c>
      <c r="IO10" s="403">
        <v>4</v>
      </c>
      <c r="IP10" s="403">
        <v>5</v>
      </c>
      <c r="IQ10" s="403">
        <v>5</v>
      </c>
      <c r="IR10" s="403"/>
      <c r="IS10" s="403"/>
      <c r="IT10" s="403"/>
      <c r="IU10" s="403"/>
      <c r="IV10" s="403"/>
      <c r="IW10" s="403">
        <v>8</v>
      </c>
      <c r="IX10" s="403">
        <v>8</v>
      </c>
      <c r="IY10" s="403">
        <v>5</v>
      </c>
      <c r="IZ10" s="403">
        <v>8</v>
      </c>
      <c r="JA10" s="403">
        <v>8</v>
      </c>
      <c r="JB10" s="403">
        <v>1</v>
      </c>
      <c r="JC10" s="403">
        <v>1</v>
      </c>
      <c r="JD10" s="403">
        <v>1</v>
      </c>
      <c r="JE10" s="403">
        <v>1</v>
      </c>
      <c r="JF10" s="403">
        <v>1</v>
      </c>
      <c r="JG10" s="403">
        <v>3</v>
      </c>
      <c r="JH10" s="403">
        <v>3</v>
      </c>
      <c r="JI10" s="403">
        <v>3</v>
      </c>
      <c r="JJ10" s="403">
        <v>3</v>
      </c>
      <c r="JK10" s="403">
        <v>3</v>
      </c>
      <c r="JL10" s="403">
        <v>5</v>
      </c>
      <c r="JM10" s="403">
        <v>5</v>
      </c>
      <c r="JN10" s="403">
        <v>5</v>
      </c>
      <c r="JO10" s="403">
        <v>5</v>
      </c>
      <c r="JP10" s="403">
        <v>5</v>
      </c>
      <c r="JQ10" s="403"/>
      <c r="JR10" s="403"/>
      <c r="JS10" s="403"/>
      <c r="JT10" s="403"/>
      <c r="JU10" s="403"/>
      <c r="JV10" s="403"/>
      <c r="JW10" s="403"/>
      <c r="JX10" s="403"/>
      <c r="JY10" s="403"/>
      <c r="JZ10" s="403"/>
      <c r="KA10" s="403"/>
      <c r="KB10" s="403"/>
      <c r="KC10" s="403"/>
      <c r="KD10" s="403"/>
      <c r="KE10" s="403"/>
      <c r="KF10" s="403"/>
      <c r="KG10" s="403"/>
      <c r="KH10" s="403"/>
      <c r="KI10" s="403"/>
      <c r="KJ10" s="403"/>
      <c r="KK10" s="403">
        <v>87</v>
      </c>
      <c r="KL10" s="403">
        <v>87</v>
      </c>
      <c r="KM10" s="404">
        <v>82</v>
      </c>
      <c r="KN10" s="403">
        <v>87</v>
      </c>
      <c r="KO10" s="403">
        <v>87</v>
      </c>
      <c r="KP10"/>
      <c r="KQ10"/>
      <c r="KR10"/>
      <c r="KS10"/>
      <c r="KT10"/>
    </row>
    <row r="11" spans="1:306" ht="14.5" customHeight="1" x14ac:dyDescent="0.3">
      <c r="A11" s="287" t="s">
        <v>95</v>
      </c>
      <c r="B11" s="403">
        <v>1</v>
      </c>
      <c r="C11" s="403">
        <v>1</v>
      </c>
      <c r="D11" s="403">
        <v>1</v>
      </c>
      <c r="E11" s="403">
        <v>1</v>
      </c>
      <c r="F11" s="403">
        <v>1</v>
      </c>
      <c r="G11" s="403"/>
      <c r="H11" s="403"/>
      <c r="I11" s="403"/>
      <c r="J11" s="403"/>
      <c r="K11" s="403"/>
      <c r="L11" s="403"/>
      <c r="M11" s="403"/>
      <c r="N11" s="403"/>
      <c r="O11" s="403"/>
      <c r="P11" s="403"/>
      <c r="Q11" s="403">
        <v>2</v>
      </c>
      <c r="R11" s="403">
        <v>2</v>
      </c>
      <c r="S11" s="403">
        <v>2</v>
      </c>
      <c r="T11" s="403">
        <v>2</v>
      </c>
      <c r="U11" s="403">
        <v>2</v>
      </c>
      <c r="V11" s="403"/>
      <c r="W11" s="403"/>
      <c r="X11" s="403"/>
      <c r="Y11" s="403"/>
      <c r="Z11" s="403"/>
      <c r="AA11" s="403"/>
      <c r="AB11" s="403"/>
      <c r="AC11" s="403"/>
      <c r="AD11" s="403"/>
      <c r="AE11" s="403"/>
      <c r="AF11" s="403">
        <v>2</v>
      </c>
      <c r="AG11" s="403">
        <v>2</v>
      </c>
      <c r="AH11" s="403">
        <v>2</v>
      </c>
      <c r="AI11" s="403">
        <v>2</v>
      </c>
      <c r="AJ11" s="403">
        <v>2</v>
      </c>
      <c r="AK11" s="403"/>
      <c r="AL11" s="403"/>
      <c r="AM11" s="403"/>
      <c r="AN11" s="403"/>
      <c r="AO11" s="403"/>
      <c r="AP11" s="403"/>
      <c r="AQ11" s="403"/>
      <c r="AR11" s="403"/>
      <c r="AS11" s="403"/>
      <c r="AT11" s="403"/>
      <c r="AU11" s="403"/>
      <c r="AV11" s="403"/>
      <c r="AW11" s="403"/>
      <c r="AX11" s="403"/>
      <c r="AY11" s="403"/>
      <c r="AZ11" s="403">
        <v>1</v>
      </c>
      <c r="BA11" s="403">
        <v>1</v>
      </c>
      <c r="BB11" s="403">
        <v>1</v>
      </c>
      <c r="BC11" s="403">
        <v>1</v>
      </c>
      <c r="BD11" s="403">
        <v>1</v>
      </c>
      <c r="BE11" s="403"/>
      <c r="BF11" s="403"/>
      <c r="BG11" s="403"/>
      <c r="BH11" s="403"/>
      <c r="BI11" s="403"/>
      <c r="BJ11" s="403">
        <v>2</v>
      </c>
      <c r="BK11" s="403">
        <v>2</v>
      </c>
      <c r="BL11" s="403">
        <v>2</v>
      </c>
      <c r="BM11" s="403">
        <v>2</v>
      </c>
      <c r="BN11" s="403">
        <v>2</v>
      </c>
      <c r="BO11" s="403"/>
      <c r="BP11" s="403"/>
      <c r="BQ11" s="403"/>
      <c r="BR11" s="403"/>
      <c r="BS11" s="403"/>
      <c r="BT11" s="403">
        <v>1</v>
      </c>
      <c r="BU11" s="403">
        <v>1</v>
      </c>
      <c r="BV11" s="403">
        <v>1</v>
      </c>
      <c r="BW11" s="403">
        <v>1</v>
      </c>
      <c r="BX11" s="403">
        <v>1</v>
      </c>
      <c r="BY11" s="403"/>
      <c r="BZ11" s="403"/>
      <c r="CA11" s="403"/>
      <c r="CB11" s="403"/>
      <c r="CC11" s="403"/>
      <c r="CD11" s="403">
        <v>1</v>
      </c>
      <c r="CE11" s="403">
        <v>1</v>
      </c>
      <c r="CF11" s="403">
        <v>1</v>
      </c>
      <c r="CG11" s="403">
        <v>1</v>
      </c>
      <c r="CH11" s="403">
        <v>1</v>
      </c>
      <c r="CI11" s="403"/>
      <c r="CJ11" s="403"/>
      <c r="CK11" s="403"/>
      <c r="CL11" s="403"/>
      <c r="CM11" s="403"/>
      <c r="CN11" s="403"/>
      <c r="CO11" s="403"/>
      <c r="CP11" s="403"/>
      <c r="CQ11" s="403"/>
      <c r="CR11" s="403"/>
      <c r="CS11" s="403"/>
      <c r="CT11" s="403"/>
      <c r="CU11" s="403"/>
      <c r="CV11" s="403"/>
      <c r="CW11" s="403"/>
      <c r="CX11" s="403"/>
      <c r="CY11" s="403"/>
      <c r="CZ11" s="403"/>
      <c r="DA11" s="403"/>
      <c r="DB11" s="403"/>
      <c r="DC11" s="403"/>
      <c r="DD11" s="403"/>
      <c r="DE11" s="403"/>
      <c r="DF11" s="403"/>
      <c r="DG11" s="403"/>
      <c r="DH11" s="403"/>
      <c r="DI11" s="403"/>
      <c r="DJ11" s="403"/>
      <c r="DK11" s="403"/>
      <c r="DL11" s="403"/>
      <c r="DM11" s="403"/>
      <c r="DN11" s="403"/>
      <c r="DO11" s="403"/>
      <c r="DP11" s="403"/>
      <c r="DQ11" s="403"/>
      <c r="DR11" s="403"/>
      <c r="DS11" s="403"/>
      <c r="DT11" s="403"/>
      <c r="DU11" s="403"/>
      <c r="DV11" s="403"/>
      <c r="DW11" s="403">
        <v>13</v>
      </c>
      <c r="DX11" s="403">
        <v>13</v>
      </c>
      <c r="DY11" s="403">
        <v>13</v>
      </c>
      <c r="DZ11" s="403">
        <v>13</v>
      </c>
      <c r="EA11" s="403">
        <v>13</v>
      </c>
      <c r="EB11" s="403">
        <v>22</v>
      </c>
      <c r="EC11" s="403">
        <v>22</v>
      </c>
      <c r="ED11" s="403">
        <v>22</v>
      </c>
      <c r="EE11" s="403">
        <v>22</v>
      </c>
      <c r="EF11" s="403">
        <v>22</v>
      </c>
      <c r="EG11" s="403"/>
      <c r="EH11" s="403"/>
      <c r="EI11" s="403"/>
      <c r="EJ11" s="403"/>
      <c r="EK11" s="403"/>
      <c r="EL11" s="403"/>
      <c r="EM11" s="403"/>
      <c r="EN11" s="403"/>
      <c r="EO11" s="403"/>
      <c r="EP11" s="403"/>
      <c r="EQ11" s="403"/>
      <c r="ER11" s="403"/>
      <c r="ES11" s="403"/>
      <c r="ET11" s="403"/>
      <c r="EU11" s="403"/>
      <c r="EV11" s="403"/>
      <c r="EW11" s="403"/>
      <c r="EX11" s="403"/>
      <c r="EY11" s="403"/>
      <c r="EZ11" s="403"/>
      <c r="FA11" s="403"/>
      <c r="FB11" s="403"/>
      <c r="FC11" s="403"/>
      <c r="FD11" s="403"/>
      <c r="FE11" s="403"/>
      <c r="FF11" s="403"/>
      <c r="FG11" s="403"/>
      <c r="FH11" s="403"/>
      <c r="FI11" s="403"/>
      <c r="FJ11" s="403"/>
      <c r="FK11" s="403">
        <v>1</v>
      </c>
      <c r="FL11" s="403">
        <v>1</v>
      </c>
      <c r="FM11" s="403">
        <v>1</v>
      </c>
      <c r="FN11" s="403">
        <v>1</v>
      </c>
      <c r="FO11" s="403">
        <v>1</v>
      </c>
      <c r="FP11" s="403"/>
      <c r="FQ11" s="403"/>
      <c r="FR11" s="403"/>
      <c r="FS11" s="403"/>
      <c r="FT11" s="403"/>
      <c r="FU11" s="403">
        <v>10</v>
      </c>
      <c r="FV11" s="403">
        <v>10</v>
      </c>
      <c r="FW11" s="403">
        <v>10</v>
      </c>
      <c r="FX11" s="403">
        <v>10</v>
      </c>
      <c r="FY11" s="403">
        <v>10</v>
      </c>
      <c r="FZ11" s="403">
        <v>3</v>
      </c>
      <c r="GA11" s="403">
        <v>3</v>
      </c>
      <c r="GB11" s="403">
        <v>3</v>
      </c>
      <c r="GC11" s="403">
        <v>3</v>
      </c>
      <c r="GD11" s="403">
        <v>3</v>
      </c>
      <c r="GE11" s="403"/>
      <c r="GF11" s="403"/>
      <c r="GG11" s="403"/>
      <c r="GH11" s="403"/>
      <c r="GI11" s="403"/>
      <c r="GJ11" s="403">
        <v>4</v>
      </c>
      <c r="GK11" s="403">
        <v>4</v>
      </c>
      <c r="GL11" s="403">
        <v>4</v>
      </c>
      <c r="GM11" s="403">
        <v>4</v>
      </c>
      <c r="GN11" s="403">
        <v>4</v>
      </c>
      <c r="GO11" s="403"/>
      <c r="GP11" s="403"/>
      <c r="GQ11" s="403"/>
      <c r="GR11" s="403"/>
      <c r="GS11" s="403"/>
      <c r="GT11" s="403"/>
      <c r="GU11" s="403"/>
      <c r="GV11" s="403"/>
      <c r="GW11" s="403"/>
      <c r="GX11" s="403"/>
      <c r="GY11" s="403"/>
      <c r="GZ11" s="403"/>
      <c r="HA11" s="403"/>
      <c r="HB11" s="403"/>
      <c r="HC11" s="403"/>
      <c r="HD11" s="403"/>
      <c r="HE11" s="403"/>
      <c r="HF11" s="403"/>
      <c r="HG11" s="403"/>
      <c r="HH11" s="403"/>
      <c r="HI11" s="403"/>
      <c r="HJ11" s="403"/>
      <c r="HK11" s="403"/>
      <c r="HL11" s="403"/>
      <c r="HM11" s="403"/>
      <c r="HN11" s="403"/>
      <c r="HO11" s="403"/>
      <c r="HP11" s="403"/>
      <c r="HQ11" s="403"/>
      <c r="HR11" s="403"/>
      <c r="HS11" s="403"/>
      <c r="HT11" s="403"/>
      <c r="HU11" s="403"/>
      <c r="HV11" s="403"/>
      <c r="HW11" s="403"/>
      <c r="HX11" s="403"/>
      <c r="HY11" s="403"/>
      <c r="HZ11" s="403"/>
      <c r="IA11" s="403"/>
      <c r="IB11" s="403"/>
      <c r="IC11" s="403"/>
      <c r="ID11" s="403"/>
      <c r="IE11" s="403"/>
      <c r="IF11" s="403"/>
      <c r="IG11" s="403"/>
      <c r="IH11" s="403">
        <v>2</v>
      </c>
      <c r="II11" s="403">
        <v>2</v>
      </c>
      <c r="IJ11" s="403">
        <v>2</v>
      </c>
      <c r="IK11" s="403">
        <v>2</v>
      </c>
      <c r="IL11" s="403">
        <v>2</v>
      </c>
      <c r="IM11" s="403">
        <v>9</v>
      </c>
      <c r="IN11" s="403">
        <v>9</v>
      </c>
      <c r="IO11" s="403">
        <v>4</v>
      </c>
      <c r="IP11" s="403">
        <v>9</v>
      </c>
      <c r="IQ11" s="403">
        <v>9</v>
      </c>
      <c r="IR11" s="403">
        <v>4</v>
      </c>
      <c r="IS11" s="403">
        <v>4</v>
      </c>
      <c r="IT11" s="403">
        <v>4</v>
      </c>
      <c r="IU11" s="403">
        <v>4</v>
      </c>
      <c r="IV11" s="403">
        <v>4</v>
      </c>
      <c r="IW11" s="403"/>
      <c r="IX11" s="403"/>
      <c r="IY11" s="403"/>
      <c r="IZ11" s="403"/>
      <c r="JA11" s="403"/>
      <c r="JB11" s="403"/>
      <c r="JC11" s="403"/>
      <c r="JD11" s="403"/>
      <c r="JE11" s="403"/>
      <c r="JF11" s="403"/>
      <c r="JG11" s="403"/>
      <c r="JH11" s="403"/>
      <c r="JI11" s="403"/>
      <c r="JJ11" s="403"/>
      <c r="JK11" s="403"/>
      <c r="JL11" s="403"/>
      <c r="JM11" s="403"/>
      <c r="JN11" s="403"/>
      <c r="JO11" s="403"/>
      <c r="JP11" s="403"/>
      <c r="JQ11" s="403">
        <v>17</v>
      </c>
      <c r="JR11" s="403">
        <v>17</v>
      </c>
      <c r="JS11" s="403">
        <v>13</v>
      </c>
      <c r="JT11" s="403">
        <v>17</v>
      </c>
      <c r="JU11" s="403">
        <v>17</v>
      </c>
      <c r="JV11" s="403"/>
      <c r="JW11" s="403"/>
      <c r="JX11" s="403"/>
      <c r="JY11" s="403"/>
      <c r="JZ11" s="403"/>
      <c r="KA11" s="403"/>
      <c r="KB11" s="403"/>
      <c r="KC11" s="403"/>
      <c r="KD11" s="403"/>
      <c r="KE11" s="403"/>
      <c r="KF11" s="403"/>
      <c r="KG11" s="403"/>
      <c r="KH11" s="403"/>
      <c r="KI11" s="403"/>
      <c r="KJ11" s="403"/>
      <c r="KK11" s="403">
        <v>95</v>
      </c>
      <c r="KL11" s="403">
        <v>95</v>
      </c>
      <c r="KM11" s="404">
        <v>86</v>
      </c>
      <c r="KN11" s="403">
        <v>95</v>
      </c>
      <c r="KO11" s="403">
        <v>95</v>
      </c>
      <c r="KP11"/>
      <c r="KQ11"/>
      <c r="KR11"/>
      <c r="KS11"/>
      <c r="KT11"/>
    </row>
    <row r="12" spans="1:306" ht="14.5" customHeight="1" x14ac:dyDescent="0.3">
      <c r="A12" s="287" t="s">
        <v>97</v>
      </c>
      <c r="B12" s="403"/>
      <c r="C12" s="403"/>
      <c r="D12" s="403"/>
      <c r="E12" s="403"/>
      <c r="F12" s="403"/>
      <c r="G12" s="403"/>
      <c r="H12" s="403"/>
      <c r="I12" s="403"/>
      <c r="J12" s="403"/>
      <c r="K12" s="403"/>
      <c r="L12" s="403"/>
      <c r="M12" s="403"/>
      <c r="N12" s="403"/>
      <c r="O12" s="403"/>
      <c r="P12" s="403"/>
      <c r="Q12" s="403"/>
      <c r="R12" s="403"/>
      <c r="S12" s="403"/>
      <c r="T12" s="403"/>
      <c r="U12" s="403"/>
      <c r="V12" s="403"/>
      <c r="W12" s="403"/>
      <c r="X12" s="403"/>
      <c r="Y12" s="403"/>
      <c r="Z12" s="403"/>
      <c r="AA12" s="403"/>
      <c r="AB12" s="403"/>
      <c r="AC12" s="403"/>
      <c r="AD12" s="403"/>
      <c r="AE12" s="403"/>
      <c r="AF12" s="403"/>
      <c r="AG12" s="403"/>
      <c r="AH12" s="403"/>
      <c r="AI12" s="403"/>
      <c r="AJ12" s="403"/>
      <c r="AK12" s="403"/>
      <c r="AL12" s="403"/>
      <c r="AM12" s="403"/>
      <c r="AN12" s="403"/>
      <c r="AO12" s="403"/>
      <c r="AP12" s="403"/>
      <c r="AQ12" s="403"/>
      <c r="AR12" s="403"/>
      <c r="AS12" s="403"/>
      <c r="AT12" s="403"/>
      <c r="AU12" s="403"/>
      <c r="AV12" s="403"/>
      <c r="AW12" s="403"/>
      <c r="AX12" s="403"/>
      <c r="AY12" s="403"/>
      <c r="AZ12" s="403"/>
      <c r="BA12" s="403"/>
      <c r="BB12" s="403"/>
      <c r="BC12" s="403"/>
      <c r="BD12" s="403"/>
      <c r="BE12" s="403"/>
      <c r="BF12" s="403"/>
      <c r="BG12" s="403"/>
      <c r="BH12" s="403"/>
      <c r="BI12" s="403"/>
      <c r="BJ12" s="403"/>
      <c r="BK12" s="403"/>
      <c r="BL12" s="403"/>
      <c r="BM12" s="403"/>
      <c r="BN12" s="403"/>
      <c r="BO12" s="403"/>
      <c r="BP12" s="403"/>
      <c r="BQ12" s="403"/>
      <c r="BR12" s="403"/>
      <c r="BS12" s="403"/>
      <c r="BT12" s="403"/>
      <c r="BU12" s="403"/>
      <c r="BV12" s="403"/>
      <c r="BW12" s="403"/>
      <c r="BX12" s="403"/>
      <c r="BY12" s="403"/>
      <c r="BZ12" s="403"/>
      <c r="CA12" s="403"/>
      <c r="CB12" s="403"/>
      <c r="CC12" s="403"/>
      <c r="CD12" s="403"/>
      <c r="CE12" s="403"/>
      <c r="CF12" s="403"/>
      <c r="CG12" s="403"/>
      <c r="CH12" s="403"/>
      <c r="CI12" s="403"/>
      <c r="CJ12" s="403"/>
      <c r="CK12" s="403"/>
      <c r="CL12" s="403"/>
      <c r="CM12" s="403"/>
      <c r="CN12" s="403"/>
      <c r="CO12" s="403"/>
      <c r="CP12" s="403"/>
      <c r="CQ12" s="403"/>
      <c r="CR12" s="403"/>
      <c r="CS12" s="403"/>
      <c r="CT12" s="403"/>
      <c r="CU12" s="403"/>
      <c r="CV12" s="403"/>
      <c r="CW12" s="403"/>
      <c r="CX12" s="403"/>
      <c r="CY12" s="403"/>
      <c r="CZ12" s="403"/>
      <c r="DA12" s="403"/>
      <c r="DB12" s="403"/>
      <c r="DC12" s="403"/>
      <c r="DD12" s="403"/>
      <c r="DE12" s="403"/>
      <c r="DF12" s="403"/>
      <c r="DG12" s="403"/>
      <c r="DH12" s="403"/>
      <c r="DI12" s="403"/>
      <c r="DJ12" s="403"/>
      <c r="DK12" s="403"/>
      <c r="DL12" s="403"/>
      <c r="DM12" s="403"/>
      <c r="DN12" s="403"/>
      <c r="DO12" s="403"/>
      <c r="DP12" s="403"/>
      <c r="DQ12" s="403"/>
      <c r="DR12" s="403"/>
      <c r="DS12" s="403"/>
      <c r="DT12" s="403"/>
      <c r="DU12" s="403"/>
      <c r="DV12" s="403"/>
      <c r="DW12" s="403">
        <v>31</v>
      </c>
      <c r="DX12" s="403">
        <v>31</v>
      </c>
      <c r="DY12" s="403">
        <v>31</v>
      </c>
      <c r="DZ12" s="403">
        <v>31</v>
      </c>
      <c r="EA12" s="403">
        <v>31</v>
      </c>
      <c r="EB12" s="403">
        <v>21</v>
      </c>
      <c r="EC12" s="403">
        <v>21</v>
      </c>
      <c r="ED12" s="403">
        <v>21</v>
      </c>
      <c r="EE12" s="403">
        <v>21</v>
      </c>
      <c r="EF12" s="403">
        <v>21</v>
      </c>
      <c r="EG12" s="403"/>
      <c r="EH12" s="403"/>
      <c r="EI12" s="403"/>
      <c r="EJ12" s="403"/>
      <c r="EK12" s="403"/>
      <c r="EL12" s="403"/>
      <c r="EM12" s="403"/>
      <c r="EN12" s="403"/>
      <c r="EO12" s="403"/>
      <c r="EP12" s="403"/>
      <c r="EQ12" s="403"/>
      <c r="ER12" s="403"/>
      <c r="ES12" s="403"/>
      <c r="ET12" s="403"/>
      <c r="EU12" s="403"/>
      <c r="EV12" s="403"/>
      <c r="EW12" s="403"/>
      <c r="EX12" s="403"/>
      <c r="EY12" s="403"/>
      <c r="EZ12" s="403"/>
      <c r="FA12" s="403"/>
      <c r="FB12" s="403"/>
      <c r="FC12" s="403"/>
      <c r="FD12" s="403"/>
      <c r="FE12" s="403"/>
      <c r="FF12" s="403"/>
      <c r="FG12" s="403"/>
      <c r="FH12" s="403"/>
      <c r="FI12" s="403"/>
      <c r="FJ12" s="403"/>
      <c r="FK12" s="403"/>
      <c r="FL12" s="403"/>
      <c r="FM12" s="403"/>
      <c r="FN12" s="403"/>
      <c r="FO12" s="403"/>
      <c r="FP12" s="403"/>
      <c r="FQ12" s="403"/>
      <c r="FR12" s="403"/>
      <c r="FS12" s="403"/>
      <c r="FT12" s="403"/>
      <c r="FU12" s="403"/>
      <c r="FV12" s="403"/>
      <c r="FW12" s="403"/>
      <c r="FX12" s="403"/>
      <c r="FY12" s="403"/>
      <c r="FZ12" s="403"/>
      <c r="GA12" s="403"/>
      <c r="GB12" s="403"/>
      <c r="GC12" s="403"/>
      <c r="GD12" s="403"/>
      <c r="GE12" s="403"/>
      <c r="GF12" s="403"/>
      <c r="GG12" s="403"/>
      <c r="GH12" s="403"/>
      <c r="GI12" s="403"/>
      <c r="GJ12" s="403"/>
      <c r="GK12" s="403"/>
      <c r="GL12" s="403"/>
      <c r="GM12" s="403"/>
      <c r="GN12" s="403"/>
      <c r="GO12" s="403"/>
      <c r="GP12" s="403"/>
      <c r="GQ12" s="403"/>
      <c r="GR12" s="403"/>
      <c r="GS12" s="403"/>
      <c r="GT12" s="403"/>
      <c r="GU12" s="403"/>
      <c r="GV12" s="403"/>
      <c r="GW12" s="403"/>
      <c r="GX12" s="403"/>
      <c r="GY12" s="403"/>
      <c r="GZ12" s="403"/>
      <c r="HA12" s="403"/>
      <c r="HB12" s="403"/>
      <c r="HC12" s="403"/>
      <c r="HD12" s="403">
        <v>2</v>
      </c>
      <c r="HE12" s="403">
        <v>2</v>
      </c>
      <c r="HF12" s="403">
        <v>2</v>
      </c>
      <c r="HG12" s="403">
        <v>2</v>
      </c>
      <c r="HH12" s="403">
        <v>2</v>
      </c>
      <c r="HI12" s="403">
        <v>11</v>
      </c>
      <c r="HJ12" s="403">
        <v>11</v>
      </c>
      <c r="HK12" s="403">
        <v>11</v>
      </c>
      <c r="HL12" s="403">
        <v>11</v>
      </c>
      <c r="HM12" s="403">
        <v>11</v>
      </c>
      <c r="HN12" s="403">
        <v>1</v>
      </c>
      <c r="HO12" s="403">
        <v>1</v>
      </c>
      <c r="HP12" s="403">
        <v>1</v>
      </c>
      <c r="HQ12" s="403">
        <v>1</v>
      </c>
      <c r="HR12" s="403">
        <v>1</v>
      </c>
      <c r="HS12" s="403">
        <v>10</v>
      </c>
      <c r="HT12" s="403">
        <v>10</v>
      </c>
      <c r="HU12" s="403">
        <v>10</v>
      </c>
      <c r="HV12" s="403">
        <v>10</v>
      </c>
      <c r="HW12" s="403">
        <v>10</v>
      </c>
      <c r="HX12" s="403"/>
      <c r="HY12" s="403"/>
      <c r="HZ12" s="403"/>
      <c r="IA12" s="403"/>
      <c r="IB12" s="403"/>
      <c r="IC12" s="403"/>
      <c r="ID12" s="403"/>
      <c r="IE12" s="403"/>
      <c r="IF12" s="403"/>
      <c r="IG12" s="403"/>
      <c r="IH12" s="403"/>
      <c r="II12" s="403"/>
      <c r="IJ12" s="403"/>
      <c r="IK12" s="403"/>
      <c r="IL12" s="403"/>
      <c r="IM12" s="403"/>
      <c r="IN12" s="403"/>
      <c r="IO12" s="403"/>
      <c r="IP12" s="403"/>
      <c r="IQ12" s="403"/>
      <c r="IR12" s="403"/>
      <c r="IS12" s="403"/>
      <c r="IT12" s="403"/>
      <c r="IU12" s="403"/>
      <c r="IV12" s="403"/>
      <c r="IW12" s="403">
        <v>30</v>
      </c>
      <c r="IX12" s="403">
        <v>30</v>
      </c>
      <c r="IY12" s="403">
        <v>30</v>
      </c>
      <c r="IZ12" s="403">
        <v>30</v>
      </c>
      <c r="JA12" s="403">
        <v>30</v>
      </c>
      <c r="JB12" s="403">
        <v>12</v>
      </c>
      <c r="JC12" s="403">
        <v>12</v>
      </c>
      <c r="JD12" s="403">
        <v>12</v>
      </c>
      <c r="JE12" s="403">
        <v>12</v>
      </c>
      <c r="JF12" s="403">
        <v>12</v>
      </c>
      <c r="JG12" s="403"/>
      <c r="JH12" s="403"/>
      <c r="JI12" s="403"/>
      <c r="JJ12" s="403"/>
      <c r="JK12" s="403"/>
      <c r="JL12" s="403">
        <v>18</v>
      </c>
      <c r="JM12" s="403">
        <v>18</v>
      </c>
      <c r="JN12" s="403">
        <v>18</v>
      </c>
      <c r="JO12" s="403">
        <v>18</v>
      </c>
      <c r="JP12" s="403">
        <v>18</v>
      </c>
      <c r="JQ12" s="403"/>
      <c r="JR12" s="403"/>
      <c r="JS12" s="403"/>
      <c r="JT12" s="403"/>
      <c r="JU12" s="403"/>
      <c r="JV12" s="403"/>
      <c r="JW12" s="403"/>
      <c r="JX12" s="403"/>
      <c r="JY12" s="403"/>
      <c r="JZ12" s="403"/>
      <c r="KA12" s="403"/>
      <c r="KB12" s="403"/>
      <c r="KC12" s="403"/>
      <c r="KD12" s="403"/>
      <c r="KE12" s="403"/>
      <c r="KF12" s="403"/>
      <c r="KG12" s="403"/>
      <c r="KH12" s="403"/>
      <c r="KI12" s="403"/>
      <c r="KJ12" s="403"/>
      <c r="KK12" s="403">
        <v>136</v>
      </c>
      <c r="KL12" s="403">
        <v>136</v>
      </c>
      <c r="KM12" s="404">
        <v>136</v>
      </c>
      <c r="KN12" s="403">
        <v>136</v>
      </c>
      <c r="KO12" s="403">
        <v>136</v>
      </c>
      <c r="KP12"/>
      <c r="KQ12"/>
      <c r="KR12"/>
      <c r="KS12"/>
      <c r="KT12"/>
    </row>
    <row r="13" spans="1:306" ht="14.5" customHeight="1" x14ac:dyDescent="0.3">
      <c r="A13" s="287" t="s">
        <v>98</v>
      </c>
      <c r="B13" s="403"/>
      <c r="C13" s="403"/>
      <c r="D13" s="403"/>
      <c r="E13" s="403"/>
      <c r="F13" s="403"/>
      <c r="G13" s="403"/>
      <c r="H13" s="403"/>
      <c r="I13" s="403"/>
      <c r="J13" s="403"/>
      <c r="K13" s="403"/>
      <c r="L13" s="403"/>
      <c r="M13" s="403"/>
      <c r="N13" s="403"/>
      <c r="O13" s="403"/>
      <c r="P13" s="403"/>
      <c r="Q13" s="403"/>
      <c r="R13" s="403"/>
      <c r="S13" s="403"/>
      <c r="T13" s="403"/>
      <c r="U13" s="403"/>
      <c r="V13" s="403"/>
      <c r="W13" s="403"/>
      <c r="X13" s="403"/>
      <c r="Y13" s="403"/>
      <c r="Z13" s="403"/>
      <c r="AA13" s="403"/>
      <c r="AB13" s="403"/>
      <c r="AC13" s="403"/>
      <c r="AD13" s="403"/>
      <c r="AE13" s="403"/>
      <c r="AF13" s="403"/>
      <c r="AG13" s="403"/>
      <c r="AH13" s="403"/>
      <c r="AI13" s="403"/>
      <c r="AJ13" s="403"/>
      <c r="AK13" s="403"/>
      <c r="AL13" s="403"/>
      <c r="AM13" s="403"/>
      <c r="AN13" s="403"/>
      <c r="AO13" s="403"/>
      <c r="AP13" s="403"/>
      <c r="AQ13" s="403"/>
      <c r="AR13" s="403"/>
      <c r="AS13" s="403"/>
      <c r="AT13" s="403"/>
      <c r="AU13" s="403">
        <v>1</v>
      </c>
      <c r="AV13" s="403">
        <v>1</v>
      </c>
      <c r="AW13" s="403">
        <v>1</v>
      </c>
      <c r="AX13" s="403">
        <v>1</v>
      </c>
      <c r="AY13" s="403">
        <v>1</v>
      </c>
      <c r="AZ13" s="403"/>
      <c r="BA13" s="403"/>
      <c r="BB13" s="403"/>
      <c r="BC13" s="403"/>
      <c r="BD13" s="403"/>
      <c r="BE13" s="403"/>
      <c r="BF13" s="403"/>
      <c r="BG13" s="403"/>
      <c r="BH13" s="403"/>
      <c r="BI13" s="403"/>
      <c r="BJ13" s="403"/>
      <c r="BK13" s="403"/>
      <c r="BL13" s="403"/>
      <c r="BM13" s="403"/>
      <c r="BN13" s="403"/>
      <c r="BO13" s="403"/>
      <c r="BP13" s="403"/>
      <c r="BQ13" s="403"/>
      <c r="BR13" s="403"/>
      <c r="BS13" s="403"/>
      <c r="BT13" s="403"/>
      <c r="BU13" s="403"/>
      <c r="BV13" s="403"/>
      <c r="BW13" s="403"/>
      <c r="BX13" s="403"/>
      <c r="BY13" s="403"/>
      <c r="BZ13" s="403"/>
      <c r="CA13" s="403"/>
      <c r="CB13" s="403"/>
      <c r="CC13" s="403"/>
      <c r="CD13" s="403"/>
      <c r="CE13" s="403"/>
      <c r="CF13" s="403"/>
      <c r="CG13" s="403"/>
      <c r="CH13" s="403"/>
      <c r="CI13" s="403"/>
      <c r="CJ13" s="403"/>
      <c r="CK13" s="403"/>
      <c r="CL13" s="403"/>
      <c r="CM13" s="403"/>
      <c r="CN13" s="403"/>
      <c r="CO13" s="403"/>
      <c r="CP13" s="403"/>
      <c r="CQ13" s="403"/>
      <c r="CR13" s="403"/>
      <c r="CS13" s="403"/>
      <c r="CT13" s="403"/>
      <c r="CU13" s="403"/>
      <c r="CV13" s="403"/>
      <c r="CW13" s="403"/>
      <c r="CX13" s="403"/>
      <c r="CY13" s="403"/>
      <c r="CZ13" s="403"/>
      <c r="DA13" s="403"/>
      <c r="DB13" s="403"/>
      <c r="DC13" s="403"/>
      <c r="DD13" s="403"/>
      <c r="DE13" s="403"/>
      <c r="DF13" s="403"/>
      <c r="DG13" s="403"/>
      <c r="DH13" s="403"/>
      <c r="DI13" s="403"/>
      <c r="DJ13" s="403"/>
      <c r="DK13" s="403"/>
      <c r="DL13" s="403"/>
      <c r="DM13" s="403"/>
      <c r="DN13" s="403"/>
      <c r="DO13" s="403"/>
      <c r="DP13" s="403"/>
      <c r="DQ13" s="403"/>
      <c r="DR13" s="403"/>
      <c r="DS13" s="403"/>
      <c r="DT13" s="403"/>
      <c r="DU13" s="403"/>
      <c r="DV13" s="403"/>
      <c r="DW13" s="403"/>
      <c r="DX13" s="403"/>
      <c r="DY13" s="403"/>
      <c r="DZ13" s="403"/>
      <c r="EA13" s="403"/>
      <c r="EB13" s="403"/>
      <c r="EC13" s="403"/>
      <c r="ED13" s="403"/>
      <c r="EE13" s="403"/>
      <c r="EF13" s="403"/>
      <c r="EG13" s="403"/>
      <c r="EH13" s="403"/>
      <c r="EI13" s="403"/>
      <c r="EJ13" s="403"/>
      <c r="EK13" s="403"/>
      <c r="EL13" s="403"/>
      <c r="EM13" s="403"/>
      <c r="EN13" s="403"/>
      <c r="EO13" s="403"/>
      <c r="EP13" s="403"/>
      <c r="EQ13" s="403"/>
      <c r="ER13" s="403"/>
      <c r="ES13" s="403"/>
      <c r="ET13" s="403"/>
      <c r="EU13" s="403"/>
      <c r="EV13" s="403"/>
      <c r="EW13" s="403"/>
      <c r="EX13" s="403"/>
      <c r="EY13" s="403"/>
      <c r="EZ13" s="403"/>
      <c r="FA13" s="403"/>
      <c r="FB13" s="403"/>
      <c r="FC13" s="403"/>
      <c r="FD13" s="403"/>
      <c r="FE13" s="403"/>
      <c r="FF13" s="403"/>
      <c r="FG13" s="403"/>
      <c r="FH13" s="403"/>
      <c r="FI13" s="403"/>
      <c r="FJ13" s="403"/>
      <c r="FK13" s="403"/>
      <c r="FL13" s="403"/>
      <c r="FM13" s="403"/>
      <c r="FN13" s="403"/>
      <c r="FO13" s="403"/>
      <c r="FP13" s="403"/>
      <c r="FQ13" s="403"/>
      <c r="FR13" s="403"/>
      <c r="FS13" s="403"/>
      <c r="FT13" s="403"/>
      <c r="FU13" s="403"/>
      <c r="FV13" s="403"/>
      <c r="FW13" s="403"/>
      <c r="FX13" s="403"/>
      <c r="FY13" s="403"/>
      <c r="FZ13" s="403"/>
      <c r="GA13" s="403"/>
      <c r="GB13" s="403"/>
      <c r="GC13" s="403"/>
      <c r="GD13" s="403"/>
      <c r="GE13" s="403"/>
      <c r="GF13" s="403"/>
      <c r="GG13" s="403"/>
      <c r="GH13" s="403"/>
      <c r="GI13" s="403"/>
      <c r="GJ13" s="403"/>
      <c r="GK13" s="403"/>
      <c r="GL13" s="403"/>
      <c r="GM13" s="403"/>
      <c r="GN13" s="403"/>
      <c r="GO13" s="403"/>
      <c r="GP13" s="403"/>
      <c r="GQ13" s="403"/>
      <c r="GR13" s="403"/>
      <c r="GS13" s="403"/>
      <c r="GT13" s="403"/>
      <c r="GU13" s="403"/>
      <c r="GV13" s="403"/>
      <c r="GW13" s="403"/>
      <c r="GX13" s="403"/>
      <c r="GY13" s="403"/>
      <c r="GZ13" s="403"/>
      <c r="HA13" s="403"/>
      <c r="HB13" s="403"/>
      <c r="HC13" s="403"/>
      <c r="HD13" s="403"/>
      <c r="HE13" s="403"/>
      <c r="HF13" s="403"/>
      <c r="HG13" s="403"/>
      <c r="HH13" s="403"/>
      <c r="HI13" s="403"/>
      <c r="HJ13" s="403"/>
      <c r="HK13" s="403"/>
      <c r="HL13" s="403"/>
      <c r="HM13" s="403"/>
      <c r="HN13" s="403"/>
      <c r="HO13" s="403"/>
      <c r="HP13" s="403"/>
      <c r="HQ13" s="403"/>
      <c r="HR13" s="403"/>
      <c r="HS13" s="403"/>
      <c r="HT13" s="403"/>
      <c r="HU13" s="403"/>
      <c r="HV13" s="403"/>
      <c r="HW13" s="403"/>
      <c r="HX13" s="403"/>
      <c r="HY13" s="403"/>
      <c r="HZ13" s="403"/>
      <c r="IA13" s="403"/>
      <c r="IB13" s="403"/>
      <c r="IC13" s="403"/>
      <c r="ID13" s="403"/>
      <c r="IE13" s="403"/>
      <c r="IF13" s="403"/>
      <c r="IG13" s="403"/>
      <c r="IH13" s="403"/>
      <c r="II13" s="403"/>
      <c r="IJ13" s="403"/>
      <c r="IK13" s="403"/>
      <c r="IL13" s="403"/>
      <c r="IM13" s="403"/>
      <c r="IN13" s="403"/>
      <c r="IO13" s="403"/>
      <c r="IP13" s="403"/>
      <c r="IQ13" s="403"/>
      <c r="IR13" s="403"/>
      <c r="IS13" s="403"/>
      <c r="IT13" s="403"/>
      <c r="IU13" s="403"/>
      <c r="IV13" s="403"/>
      <c r="IW13" s="403"/>
      <c r="IX13" s="403"/>
      <c r="IY13" s="403"/>
      <c r="IZ13" s="403"/>
      <c r="JA13" s="403"/>
      <c r="JB13" s="403"/>
      <c r="JC13" s="403"/>
      <c r="JD13" s="403"/>
      <c r="JE13" s="403"/>
      <c r="JF13" s="403"/>
      <c r="JG13" s="403"/>
      <c r="JH13" s="403"/>
      <c r="JI13" s="403"/>
      <c r="JJ13" s="403"/>
      <c r="JK13" s="403"/>
      <c r="JL13" s="403"/>
      <c r="JM13" s="403"/>
      <c r="JN13" s="403"/>
      <c r="JO13" s="403"/>
      <c r="JP13" s="403"/>
      <c r="JQ13" s="403"/>
      <c r="JR13" s="403"/>
      <c r="JS13" s="403"/>
      <c r="JT13" s="403"/>
      <c r="JU13" s="403"/>
      <c r="JV13" s="403"/>
      <c r="JW13" s="403"/>
      <c r="JX13" s="403"/>
      <c r="JY13" s="403"/>
      <c r="JZ13" s="403"/>
      <c r="KA13" s="403"/>
      <c r="KB13" s="403"/>
      <c r="KC13" s="403"/>
      <c r="KD13" s="403"/>
      <c r="KE13" s="403"/>
      <c r="KF13" s="403"/>
      <c r="KG13" s="403"/>
      <c r="KH13" s="403"/>
      <c r="KI13" s="403"/>
      <c r="KJ13" s="403"/>
      <c r="KK13" s="403">
        <v>1</v>
      </c>
      <c r="KL13" s="403">
        <v>1</v>
      </c>
      <c r="KM13" s="404">
        <v>1</v>
      </c>
      <c r="KN13" s="403">
        <v>1</v>
      </c>
      <c r="KO13" s="403">
        <v>1</v>
      </c>
      <c r="KP13"/>
      <c r="KQ13"/>
      <c r="KR13"/>
      <c r="KS13"/>
      <c r="KT13"/>
    </row>
    <row r="14" spans="1:306" ht="14.5" customHeight="1" x14ac:dyDescent="0.3">
      <c r="A14" s="287" t="s">
        <v>99</v>
      </c>
      <c r="B14" s="403"/>
      <c r="C14" s="403"/>
      <c r="D14" s="403"/>
      <c r="E14" s="403"/>
      <c r="F14" s="403"/>
      <c r="G14" s="403"/>
      <c r="H14" s="403"/>
      <c r="I14" s="403"/>
      <c r="J14" s="403"/>
      <c r="K14" s="403"/>
      <c r="L14" s="403"/>
      <c r="M14" s="403"/>
      <c r="N14" s="403"/>
      <c r="O14" s="403"/>
      <c r="P14" s="403"/>
      <c r="Q14" s="403"/>
      <c r="R14" s="403"/>
      <c r="S14" s="403"/>
      <c r="T14" s="403"/>
      <c r="U14" s="403"/>
      <c r="V14" s="403"/>
      <c r="W14" s="403"/>
      <c r="X14" s="403"/>
      <c r="Y14" s="403"/>
      <c r="Z14" s="403"/>
      <c r="AA14" s="403"/>
      <c r="AB14" s="403"/>
      <c r="AC14" s="403"/>
      <c r="AD14" s="403"/>
      <c r="AE14" s="403"/>
      <c r="AF14" s="403"/>
      <c r="AG14" s="403"/>
      <c r="AH14" s="403"/>
      <c r="AI14" s="403"/>
      <c r="AJ14" s="403"/>
      <c r="AK14" s="403"/>
      <c r="AL14" s="403"/>
      <c r="AM14" s="403"/>
      <c r="AN14" s="403"/>
      <c r="AO14" s="403"/>
      <c r="AP14" s="403"/>
      <c r="AQ14" s="403"/>
      <c r="AR14" s="403"/>
      <c r="AS14" s="403"/>
      <c r="AT14" s="403"/>
      <c r="AU14" s="403"/>
      <c r="AV14" s="403"/>
      <c r="AW14" s="403"/>
      <c r="AX14" s="403"/>
      <c r="AY14" s="403"/>
      <c r="AZ14" s="403"/>
      <c r="BA14" s="403"/>
      <c r="BB14" s="403"/>
      <c r="BC14" s="403"/>
      <c r="BD14" s="403"/>
      <c r="BE14" s="403"/>
      <c r="BF14" s="403"/>
      <c r="BG14" s="403"/>
      <c r="BH14" s="403"/>
      <c r="BI14" s="403"/>
      <c r="BJ14" s="403"/>
      <c r="BK14" s="403"/>
      <c r="BL14" s="403"/>
      <c r="BM14" s="403"/>
      <c r="BN14" s="403"/>
      <c r="BO14" s="403"/>
      <c r="BP14" s="403"/>
      <c r="BQ14" s="403"/>
      <c r="BR14" s="403"/>
      <c r="BS14" s="403"/>
      <c r="BT14" s="403"/>
      <c r="BU14" s="403"/>
      <c r="BV14" s="403"/>
      <c r="BW14" s="403"/>
      <c r="BX14" s="403"/>
      <c r="BY14" s="403"/>
      <c r="BZ14" s="403"/>
      <c r="CA14" s="403"/>
      <c r="CB14" s="403"/>
      <c r="CC14" s="403"/>
      <c r="CD14" s="403"/>
      <c r="CE14" s="403"/>
      <c r="CF14" s="403"/>
      <c r="CG14" s="403"/>
      <c r="CH14" s="403"/>
      <c r="CI14" s="403"/>
      <c r="CJ14" s="403"/>
      <c r="CK14" s="403"/>
      <c r="CL14" s="403"/>
      <c r="CM14" s="403"/>
      <c r="CN14" s="403"/>
      <c r="CO14" s="403"/>
      <c r="CP14" s="403"/>
      <c r="CQ14" s="403"/>
      <c r="CR14" s="403"/>
      <c r="CS14" s="403"/>
      <c r="CT14" s="403"/>
      <c r="CU14" s="403"/>
      <c r="CV14" s="403"/>
      <c r="CW14" s="403"/>
      <c r="CX14" s="403"/>
      <c r="CY14" s="403"/>
      <c r="CZ14" s="403"/>
      <c r="DA14" s="403"/>
      <c r="DB14" s="403"/>
      <c r="DC14" s="403"/>
      <c r="DD14" s="403"/>
      <c r="DE14" s="403"/>
      <c r="DF14" s="403"/>
      <c r="DG14" s="403"/>
      <c r="DH14" s="403"/>
      <c r="DI14" s="403"/>
      <c r="DJ14" s="403"/>
      <c r="DK14" s="403"/>
      <c r="DL14" s="403"/>
      <c r="DM14" s="403"/>
      <c r="DN14" s="403"/>
      <c r="DO14" s="403"/>
      <c r="DP14" s="403"/>
      <c r="DQ14" s="403"/>
      <c r="DR14" s="403"/>
      <c r="DS14" s="403"/>
      <c r="DT14" s="403"/>
      <c r="DU14" s="403"/>
      <c r="DV14" s="403"/>
      <c r="DW14" s="403"/>
      <c r="DX14" s="403"/>
      <c r="DY14" s="403"/>
      <c r="DZ14" s="403"/>
      <c r="EA14" s="403"/>
      <c r="EB14" s="403"/>
      <c r="EC14" s="403"/>
      <c r="ED14" s="403"/>
      <c r="EE14" s="403"/>
      <c r="EF14" s="403"/>
      <c r="EG14" s="403"/>
      <c r="EH14" s="403"/>
      <c r="EI14" s="403"/>
      <c r="EJ14" s="403"/>
      <c r="EK14" s="403"/>
      <c r="EL14" s="403"/>
      <c r="EM14" s="403"/>
      <c r="EN14" s="403"/>
      <c r="EO14" s="403"/>
      <c r="EP14" s="403"/>
      <c r="EQ14" s="403"/>
      <c r="ER14" s="403"/>
      <c r="ES14" s="403"/>
      <c r="ET14" s="403"/>
      <c r="EU14" s="403"/>
      <c r="EV14" s="403"/>
      <c r="EW14" s="403"/>
      <c r="EX14" s="403"/>
      <c r="EY14" s="403"/>
      <c r="EZ14" s="403"/>
      <c r="FA14" s="403"/>
      <c r="FB14" s="403"/>
      <c r="FC14" s="403"/>
      <c r="FD14" s="403"/>
      <c r="FE14" s="403"/>
      <c r="FF14" s="403"/>
      <c r="FG14" s="403"/>
      <c r="FH14" s="403"/>
      <c r="FI14" s="403"/>
      <c r="FJ14" s="403"/>
      <c r="FK14" s="403"/>
      <c r="FL14" s="403"/>
      <c r="FM14" s="403"/>
      <c r="FN14" s="403"/>
      <c r="FO14" s="403"/>
      <c r="FP14" s="403"/>
      <c r="FQ14" s="403"/>
      <c r="FR14" s="403"/>
      <c r="FS14" s="403"/>
      <c r="FT14" s="403"/>
      <c r="FU14" s="403"/>
      <c r="FV14" s="403"/>
      <c r="FW14" s="403"/>
      <c r="FX14" s="403"/>
      <c r="FY14" s="403"/>
      <c r="FZ14" s="403"/>
      <c r="GA14" s="403"/>
      <c r="GB14" s="403"/>
      <c r="GC14" s="403"/>
      <c r="GD14" s="403"/>
      <c r="GE14" s="403"/>
      <c r="GF14" s="403"/>
      <c r="GG14" s="403"/>
      <c r="GH14" s="403"/>
      <c r="GI14" s="403"/>
      <c r="GJ14" s="403"/>
      <c r="GK14" s="403"/>
      <c r="GL14" s="403"/>
      <c r="GM14" s="403"/>
      <c r="GN14" s="403"/>
      <c r="GO14" s="403"/>
      <c r="GP14" s="403"/>
      <c r="GQ14" s="403"/>
      <c r="GR14" s="403"/>
      <c r="GS14" s="403"/>
      <c r="GT14" s="403"/>
      <c r="GU14" s="403"/>
      <c r="GV14" s="403"/>
      <c r="GW14" s="403"/>
      <c r="GX14" s="403"/>
      <c r="GY14" s="403"/>
      <c r="GZ14" s="403"/>
      <c r="HA14" s="403"/>
      <c r="HB14" s="403"/>
      <c r="HC14" s="403"/>
      <c r="HD14" s="403"/>
      <c r="HE14" s="403"/>
      <c r="HF14" s="403"/>
      <c r="HG14" s="403"/>
      <c r="HH14" s="403"/>
      <c r="HI14" s="403"/>
      <c r="HJ14" s="403"/>
      <c r="HK14" s="403"/>
      <c r="HL14" s="403"/>
      <c r="HM14" s="403"/>
      <c r="HN14" s="403"/>
      <c r="HO14" s="403"/>
      <c r="HP14" s="403"/>
      <c r="HQ14" s="403"/>
      <c r="HR14" s="403"/>
      <c r="HS14" s="403"/>
      <c r="HT14" s="403"/>
      <c r="HU14" s="403"/>
      <c r="HV14" s="403"/>
      <c r="HW14" s="403"/>
      <c r="HX14" s="403"/>
      <c r="HY14" s="403"/>
      <c r="HZ14" s="403"/>
      <c r="IA14" s="403"/>
      <c r="IB14" s="403"/>
      <c r="IC14" s="403"/>
      <c r="ID14" s="403"/>
      <c r="IE14" s="403"/>
      <c r="IF14" s="403"/>
      <c r="IG14" s="403"/>
      <c r="IH14" s="403"/>
      <c r="II14" s="403"/>
      <c r="IJ14" s="403"/>
      <c r="IK14" s="403"/>
      <c r="IL14" s="403"/>
      <c r="IM14" s="403"/>
      <c r="IN14" s="403"/>
      <c r="IO14" s="403"/>
      <c r="IP14" s="403"/>
      <c r="IQ14" s="403"/>
      <c r="IR14" s="403"/>
      <c r="IS14" s="403"/>
      <c r="IT14" s="403"/>
      <c r="IU14" s="403"/>
      <c r="IV14" s="403"/>
      <c r="IW14" s="403"/>
      <c r="IX14" s="403"/>
      <c r="IY14" s="403"/>
      <c r="IZ14" s="403"/>
      <c r="JA14" s="403"/>
      <c r="JB14" s="403"/>
      <c r="JC14" s="403"/>
      <c r="JD14" s="403"/>
      <c r="JE14" s="403"/>
      <c r="JF14" s="403"/>
      <c r="JG14" s="403"/>
      <c r="JH14" s="403"/>
      <c r="JI14" s="403"/>
      <c r="JJ14" s="403"/>
      <c r="JK14" s="403"/>
      <c r="JL14" s="403"/>
      <c r="JM14" s="403"/>
      <c r="JN14" s="403"/>
      <c r="JO14" s="403"/>
      <c r="JP14" s="403"/>
      <c r="JQ14" s="403"/>
      <c r="JR14" s="403"/>
      <c r="JS14" s="403"/>
      <c r="JT14" s="403"/>
      <c r="JU14" s="403"/>
      <c r="JV14" s="403"/>
      <c r="JW14" s="403"/>
      <c r="JX14" s="403"/>
      <c r="JY14" s="403"/>
      <c r="JZ14" s="403"/>
      <c r="KA14" s="403"/>
      <c r="KB14" s="403"/>
      <c r="KC14" s="403"/>
      <c r="KD14" s="403"/>
      <c r="KE14" s="403"/>
      <c r="KF14" s="403"/>
      <c r="KG14" s="403"/>
      <c r="KH14" s="403"/>
      <c r="KI14" s="403"/>
      <c r="KJ14" s="403"/>
      <c r="KK14" s="403"/>
      <c r="KL14" s="403"/>
      <c r="KM14" s="404"/>
      <c r="KN14" s="403"/>
      <c r="KO14" s="403"/>
      <c r="KP14"/>
      <c r="KQ14"/>
      <c r="KR14"/>
      <c r="KS14"/>
      <c r="KT14"/>
    </row>
    <row r="15" spans="1:306" ht="14.5" customHeight="1" x14ac:dyDescent="0.3">
      <c r="A15" s="287" t="s">
        <v>96</v>
      </c>
      <c r="B15" s="403"/>
      <c r="C15" s="403"/>
      <c r="D15" s="403"/>
      <c r="E15" s="403"/>
      <c r="F15" s="403"/>
      <c r="G15" s="403"/>
      <c r="H15" s="403"/>
      <c r="I15" s="403"/>
      <c r="J15" s="403"/>
      <c r="K15" s="403"/>
      <c r="L15" s="403"/>
      <c r="M15" s="403"/>
      <c r="N15" s="403"/>
      <c r="O15" s="403"/>
      <c r="P15" s="403"/>
      <c r="Q15" s="403"/>
      <c r="R15" s="403"/>
      <c r="S15" s="403"/>
      <c r="T15" s="403"/>
      <c r="U15" s="403"/>
      <c r="V15" s="403"/>
      <c r="W15" s="403"/>
      <c r="X15" s="403"/>
      <c r="Y15" s="403"/>
      <c r="Z15" s="403"/>
      <c r="AA15" s="403"/>
      <c r="AB15" s="403"/>
      <c r="AC15" s="403"/>
      <c r="AD15" s="403"/>
      <c r="AE15" s="403"/>
      <c r="AF15" s="403"/>
      <c r="AG15" s="403"/>
      <c r="AH15" s="403"/>
      <c r="AI15" s="403"/>
      <c r="AJ15" s="403"/>
      <c r="AK15" s="403"/>
      <c r="AL15" s="403"/>
      <c r="AM15" s="403"/>
      <c r="AN15" s="403"/>
      <c r="AO15" s="403"/>
      <c r="AP15" s="403"/>
      <c r="AQ15" s="403"/>
      <c r="AR15" s="403"/>
      <c r="AS15" s="403"/>
      <c r="AT15" s="403"/>
      <c r="AU15" s="403"/>
      <c r="AV15" s="403"/>
      <c r="AW15" s="403"/>
      <c r="AX15" s="403"/>
      <c r="AY15" s="403"/>
      <c r="AZ15" s="403"/>
      <c r="BA15" s="403"/>
      <c r="BB15" s="403"/>
      <c r="BC15" s="403"/>
      <c r="BD15" s="403"/>
      <c r="BE15" s="403"/>
      <c r="BF15" s="403"/>
      <c r="BG15" s="403"/>
      <c r="BH15" s="403"/>
      <c r="BI15" s="403"/>
      <c r="BJ15" s="403"/>
      <c r="BK15" s="403"/>
      <c r="BL15" s="403"/>
      <c r="BM15" s="403"/>
      <c r="BN15" s="403"/>
      <c r="BO15" s="403"/>
      <c r="BP15" s="403"/>
      <c r="BQ15" s="403"/>
      <c r="BR15" s="403"/>
      <c r="BS15" s="403"/>
      <c r="BT15" s="403"/>
      <c r="BU15" s="403"/>
      <c r="BV15" s="403"/>
      <c r="BW15" s="403"/>
      <c r="BX15" s="403"/>
      <c r="BY15" s="403"/>
      <c r="BZ15" s="403"/>
      <c r="CA15" s="403"/>
      <c r="CB15" s="403"/>
      <c r="CC15" s="403"/>
      <c r="CD15" s="403"/>
      <c r="CE15" s="403"/>
      <c r="CF15" s="403"/>
      <c r="CG15" s="403"/>
      <c r="CH15" s="403"/>
      <c r="CI15" s="403"/>
      <c r="CJ15" s="403"/>
      <c r="CK15" s="403"/>
      <c r="CL15" s="403"/>
      <c r="CM15" s="403"/>
      <c r="CN15" s="403"/>
      <c r="CO15" s="403"/>
      <c r="CP15" s="403"/>
      <c r="CQ15" s="403"/>
      <c r="CR15" s="403"/>
      <c r="CS15" s="403"/>
      <c r="CT15" s="403"/>
      <c r="CU15" s="403"/>
      <c r="CV15" s="403"/>
      <c r="CW15" s="403"/>
      <c r="CX15" s="403"/>
      <c r="CY15" s="403"/>
      <c r="CZ15" s="403"/>
      <c r="DA15" s="403"/>
      <c r="DB15" s="403"/>
      <c r="DC15" s="403"/>
      <c r="DD15" s="403"/>
      <c r="DE15" s="403"/>
      <c r="DF15" s="403"/>
      <c r="DG15" s="403"/>
      <c r="DH15" s="403"/>
      <c r="DI15" s="403"/>
      <c r="DJ15" s="403"/>
      <c r="DK15" s="403"/>
      <c r="DL15" s="403"/>
      <c r="DM15" s="403"/>
      <c r="DN15" s="403"/>
      <c r="DO15" s="403"/>
      <c r="DP15" s="403"/>
      <c r="DQ15" s="403"/>
      <c r="DR15" s="403"/>
      <c r="DS15" s="403"/>
      <c r="DT15" s="403"/>
      <c r="DU15" s="403"/>
      <c r="DV15" s="403"/>
      <c r="DW15" s="403"/>
      <c r="DX15" s="403"/>
      <c r="DY15" s="403"/>
      <c r="DZ15" s="403"/>
      <c r="EA15" s="403"/>
      <c r="EB15" s="403"/>
      <c r="EC15" s="403"/>
      <c r="ED15" s="403"/>
      <c r="EE15" s="403"/>
      <c r="EF15" s="403"/>
      <c r="EG15" s="403"/>
      <c r="EH15" s="403"/>
      <c r="EI15" s="403"/>
      <c r="EJ15" s="403"/>
      <c r="EK15" s="403"/>
      <c r="EL15" s="403"/>
      <c r="EM15" s="403"/>
      <c r="EN15" s="403"/>
      <c r="EO15" s="403"/>
      <c r="EP15" s="403"/>
      <c r="EQ15" s="403"/>
      <c r="ER15" s="403"/>
      <c r="ES15" s="403"/>
      <c r="ET15" s="403"/>
      <c r="EU15" s="403"/>
      <c r="EV15" s="403"/>
      <c r="EW15" s="403"/>
      <c r="EX15" s="403"/>
      <c r="EY15" s="403"/>
      <c r="EZ15" s="403"/>
      <c r="FA15" s="403"/>
      <c r="FB15" s="403"/>
      <c r="FC15" s="403"/>
      <c r="FD15" s="403"/>
      <c r="FE15" s="403"/>
      <c r="FF15" s="403"/>
      <c r="FG15" s="403"/>
      <c r="FH15" s="403"/>
      <c r="FI15" s="403"/>
      <c r="FJ15" s="403"/>
      <c r="FK15" s="403"/>
      <c r="FL15" s="403"/>
      <c r="FM15" s="403"/>
      <c r="FN15" s="403"/>
      <c r="FO15" s="403"/>
      <c r="FP15" s="403"/>
      <c r="FQ15" s="403"/>
      <c r="FR15" s="403"/>
      <c r="FS15" s="403"/>
      <c r="FT15" s="403"/>
      <c r="FU15" s="403"/>
      <c r="FV15" s="403"/>
      <c r="FW15" s="403"/>
      <c r="FX15" s="403"/>
      <c r="FY15" s="403"/>
      <c r="FZ15" s="403"/>
      <c r="GA15" s="403"/>
      <c r="GB15" s="403"/>
      <c r="GC15" s="403"/>
      <c r="GD15" s="403"/>
      <c r="GE15" s="403"/>
      <c r="GF15" s="403"/>
      <c r="GG15" s="403"/>
      <c r="GH15" s="403"/>
      <c r="GI15" s="403"/>
      <c r="GJ15" s="403"/>
      <c r="GK15" s="403"/>
      <c r="GL15" s="403"/>
      <c r="GM15" s="403"/>
      <c r="GN15" s="403"/>
      <c r="GO15" s="403"/>
      <c r="GP15" s="403"/>
      <c r="GQ15" s="403"/>
      <c r="GR15" s="403"/>
      <c r="GS15" s="403"/>
      <c r="GT15" s="403"/>
      <c r="GU15" s="403"/>
      <c r="GV15" s="403"/>
      <c r="GW15" s="403"/>
      <c r="GX15" s="403"/>
      <c r="GY15" s="403"/>
      <c r="GZ15" s="403"/>
      <c r="HA15" s="403"/>
      <c r="HB15" s="403"/>
      <c r="HC15" s="403"/>
      <c r="HD15" s="403"/>
      <c r="HE15" s="403"/>
      <c r="HF15" s="403"/>
      <c r="HG15" s="403"/>
      <c r="HH15" s="403"/>
      <c r="HI15" s="403">
        <v>1</v>
      </c>
      <c r="HJ15" s="403">
        <v>1</v>
      </c>
      <c r="HK15" s="403">
        <v>1</v>
      </c>
      <c r="HL15" s="403">
        <v>1</v>
      </c>
      <c r="HM15" s="403">
        <v>1</v>
      </c>
      <c r="HN15" s="403"/>
      <c r="HO15" s="403"/>
      <c r="HP15" s="403"/>
      <c r="HQ15" s="403"/>
      <c r="HR15" s="403"/>
      <c r="HS15" s="403"/>
      <c r="HT15" s="403"/>
      <c r="HU15" s="403"/>
      <c r="HV15" s="403"/>
      <c r="HW15" s="403"/>
      <c r="HX15" s="403"/>
      <c r="HY15" s="403"/>
      <c r="HZ15" s="403"/>
      <c r="IA15" s="403"/>
      <c r="IB15" s="403"/>
      <c r="IC15" s="403"/>
      <c r="ID15" s="403"/>
      <c r="IE15" s="403"/>
      <c r="IF15" s="403"/>
      <c r="IG15" s="403"/>
      <c r="IH15" s="403"/>
      <c r="II15" s="403"/>
      <c r="IJ15" s="403"/>
      <c r="IK15" s="403"/>
      <c r="IL15" s="403"/>
      <c r="IM15" s="403"/>
      <c r="IN15" s="403"/>
      <c r="IO15" s="403"/>
      <c r="IP15" s="403"/>
      <c r="IQ15" s="403"/>
      <c r="IR15" s="403"/>
      <c r="IS15" s="403"/>
      <c r="IT15" s="403"/>
      <c r="IU15" s="403"/>
      <c r="IV15" s="403"/>
      <c r="IW15" s="403"/>
      <c r="IX15" s="403"/>
      <c r="IY15" s="403"/>
      <c r="IZ15" s="403"/>
      <c r="JA15" s="403"/>
      <c r="JB15" s="403"/>
      <c r="JC15" s="403"/>
      <c r="JD15" s="403"/>
      <c r="JE15" s="403"/>
      <c r="JF15" s="403"/>
      <c r="JG15" s="403"/>
      <c r="JH15" s="403"/>
      <c r="JI15" s="403"/>
      <c r="JJ15" s="403"/>
      <c r="JK15" s="403"/>
      <c r="JL15" s="403"/>
      <c r="JM15" s="403"/>
      <c r="JN15" s="403"/>
      <c r="JO15" s="403"/>
      <c r="JP15" s="403"/>
      <c r="JQ15" s="403"/>
      <c r="JR15" s="403"/>
      <c r="JS15" s="403"/>
      <c r="JT15" s="403"/>
      <c r="JU15" s="403"/>
      <c r="JV15" s="403">
        <v>9</v>
      </c>
      <c r="JW15" s="403">
        <v>9</v>
      </c>
      <c r="JX15" s="403">
        <v>9</v>
      </c>
      <c r="JY15" s="403">
        <v>9</v>
      </c>
      <c r="JZ15" s="403">
        <v>9</v>
      </c>
      <c r="KA15" s="403"/>
      <c r="KB15" s="403"/>
      <c r="KC15" s="403"/>
      <c r="KD15" s="403"/>
      <c r="KE15" s="403"/>
      <c r="KF15" s="403"/>
      <c r="KG15" s="403"/>
      <c r="KH15" s="403"/>
      <c r="KI15" s="403"/>
      <c r="KJ15" s="403"/>
      <c r="KK15" s="403">
        <v>10</v>
      </c>
      <c r="KL15" s="403">
        <v>10</v>
      </c>
      <c r="KM15" s="404">
        <v>10</v>
      </c>
      <c r="KN15" s="403">
        <v>10</v>
      </c>
      <c r="KO15" s="403">
        <v>10</v>
      </c>
      <c r="KP15"/>
      <c r="KQ15"/>
      <c r="KR15"/>
      <c r="KS15"/>
      <c r="KT15"/>
    </row>
    <row r="16" spans="1:306" ht="14.5" x14ac:dyDescent="0.3">
      <c r="A16" s="287" t="s">
        <v>2880</v>
      </c>
      <c r="B16" s="403"/>
      <c r="C16" s="403"/>
      <c r="D16" s="403"/>
      <c r="E16" s="403"/>
      <c r="F16" s="403"/>
      <c r="G16" s="403"/>
      <c r="H16" s="403"/>
      <c r="I16" s="403"/>
      <c r="J16" s="403"/>
      <c r="K16" s="403"/>
      <c r="L16" s="403"/>
      <c r="M16" s="403"/>
      <c r="N16" s="403"/>
      <c r="O16" s="403"/>
      <c r="P16" s="403"/>
      <c r="Q16" s="403"/>
      <c r="R16" s="403"/>
      <c r="S16" s="403"/>
      <c r="T16" s="403"/>
      <c r="U16" s="403"/>
      <c r="V16" s="403"/>
      <c r="W16" s="403"/>
      <c r="X16" s="403"/>
      <c r="Y16" s="403"/>
      <c r="Z16" s="403"/>
      <c r="AA16" s="403"/>
      <c r="AB16" s="403"/>
      <c r="AC16" s="403"/>
      <c r="AD16" s="403"/>
      <c r="AE16" s="403"/>
      <c r="AF16" s="403"/>
      <c r="AG16" s="403"/>
      <c r="AH16" s="403"/>
      <c r="AI16" s="403"/>
      <c r="AJ16" s="403"/>
      <c r="AK16" s="403"/>
      <c r="AL16" s="403"/>
      <c r="AM16" s="403"/>
      <c r="AN16" s="403"/>
      <c r="AO16" s="403"/>
      <c r="AP16" s="403"/>
      <c r="AQ16" s="403"/>
      <c r="AR16" s="403"/>
      <c r="AS16" s="403"/>
      <c r="AT16" s="403"/>
      <c r="AU16" s="403"/>
      <c r="AV16" s="403"/>
      <c r="AW16" s="403"/>
      <c r="AX16" s="403"/>
      <c r="AY16" s="403"/>
      <c r="AZ16" s="403"/>
      <c r="BA16" s="403"/>
      <c r="BB16" s="403"/>
      <c r="BC16" s="403"/>
      <c r="BD16" s="403"/>
      <c r="BE16" s="403"/>
      <c r="BF16" s="403"/>
      <c r="BG16" s="403"/>
      <c r="BH16" s="403"/>
      <c r="BI16" s="403"/>
      <c r="BJ16" s="403"/>
      <c r="BK16" s="403"/>
      <c r="BL16" s="403"/>
      <c r="BM16" s="403"/>
      <c r="BN16" s="403"/>
      <c r="BO16" s="403"/>
      <c r="BP16" s="403"/>
      <c r="BQ16" s="403"/>
      <c r="BR16" s="403"/>
      <c r="BS16" s="403"/>
      <c r="BT16" s="403"/>
      <c r="BU16" s="403"/>
      <c r="BV16" s="403"/>
      <c r="BW16" s="403"/>
      <c r="BX16" s="403"/>
      <c r="BY16" s="403"/>
      <c r="BZ16" s="403"/>
      <c r="CA16" s="403"/>
      <c r="CB16" s="403"/>
      <c r="CC16" s="403"/>
      <c r="CD16" s="403"/>
      <c r="CE16" s="403"/>
      <c r="CF16" s="403"/>
      <c r="CG16" s="403"/>
      <c r="CH16" s="403"/>
      <c r="CI16" s="403"/>
      <c r="CJ16" s="403"/>
      <c r="CK16" s="403"/>
      <c r="CL16" s="403"/>
      <c r="CM16" s="403"/>
      <c r="CN16" s="403"/>
      <c r="CO16" s="403"/>
      <c r="CP16" s="403"/>
      <c r="CQ16" s="403"/>
      <c r="CR16" s="403"/>
      <c r="CS16" s="403"/>
      <c r="CT16" s="403"/>
      <c r="CU16" s="403"/>
      <c r="CV16" s="403"/>
      <c r="CW16" s="403"/>
      <c r="CX16" s="403"/>
      <c r="CY16" s="403"/>
      <c r="CZ16" s="403"/>
      <c r="DA16" s="403"/>
      <c r="DB16" s="403"/>
      <c r="DC16" s="403"/>
      <c r="DD16" s="403"/>
      <c r="DE16" s="403"/>
      <c r="DF16" s="403"/>
      <c r="DG16" s="403"/>
      <c r="DH16" s="403"/>
      <c r="DI16" s="403"/>
      <c r="DJ16" s="403"/>
      <c r="DK16" s="403"/>
      <c r="DL16" s="403"/>
      <c r="DM16" s="403"/>
      <c r="DN16" s="403"/>
      <c r="DO16" s="403"/>
      <c r="DP16" s="403"/>
      <c r="DQ16" s="403"/>
      <c r="DR16" s="403"/>
      <c r="DS16" s="403"/>
      <c r="DT16" s="403"/>
      <c r="DU16" s="403"/>
      <c r="DV16" s="403"/>
      <c r="DW16" s="403"/>
      <c r="DX16" s="403"/>
      <c r="DY16" s="403"/>
      <c r="DZ16" s="403"/>
      <c r="EA16" s="403"/>
      <c r="EB16" s="403"/>
      <c r="EC16" s="403"/>
      <c r="ED16" s="403"/>
      <c r="EE16" s="403"/>
      <c r="EF16" s="403"/>
      <c r="EG16" s="403"/>
      <c r="EH16" s="403"/>
      <c r="EI16" s="403"/>
      <c r="EJ16" s="403"/>
      <c r="EK16" s="403"/>
      <c r="EL16" s="403"/>
      <c r="EM16" s="403"/>
      <c r="EN16" s="403"/>
      <c r="EO16" s="403"/>
      <c r="EP16" s="403"/>
      <c r="EQ16" s="403"/>
      <c r="ER16" s="403"/>
      <c r="ES16" s="403"/>
      <c r="ET16" s="403"/>
      <c r="EU16" s="403"/>
      <c r="EV16" s="403"/>
      <c r="EW16" s="403"/>
      <c r="EX16" s="403"/>
      <c r="EY16" s="403"/>
      <c r="EZ16" s="403"/>
      <c r="FA16" s="403"/>
      <c r="FB16" s="403"/>
      <c r="FC16" s="403"/>
      <c r="FD16" s="403"/>
      <c r="FE16" s="403"/>
      <c r="FF16" s="403"/>
      <c r="FG16" s="403"/>
      <c r="FH16" s="403"/>
      <c r="FI16" s="403"/>
      <c r="FJ16" s="403"/>
      <c r="FK16" s="403"/>
      <c r="FL16" s="403"/>
      <c r="FM16" s="403"/>
      <c r="FN16" s="403"/>
      <c r="FO16" s="403"/>
      <c r="FP16" s="403"/>
      <c r="FQ16" s="403"/>
      <c r="FR16" s="403"/>
      <c r="FS16" s="403"/>
      <c r="FT16" s="403"/>
      <c r="FU16" s="403"/>
      <c r="FV16" s="403"/>
      <c r="FW16" s="403"/>
      <c r="FX16" s="403"/>
      <c r="FY16" s="403"/>
      <c r="FZ16" s="403"/>
      <c r="GA16" s="403"/>
      <c r="GB16" s="403"/>
      <c r="GC16" s="403"/>
      <c r="GD16" s="403"/>
      <c r="GE16" s="403"/>
      <c r="GF16" s="403"/>
      <c r="GG16" s="403"/>
      <c r="GH16" s="403"/>
      <c r="GI16" s="403"/>
      <c r="GJ16" s="403"/>
      <c r="GK16" s="403"/>
      <c r="GL16" s="403"/>
      <c r="GM16" s="403"/>
      <c r="GN16" s="403"/>
      <c r="GO16" s="403"/>
      <c r="GP16" s="403"/>
      <c r="GQ16" s="403"/>
      <c r="GR16" s="403"/>
      <c r="GS16" s="403"/>
      <c r="GT16" s="403"/>
      <c r="GU16" s="403"/>
      <c r="GV16" s="403"/>
      <c r="GW16" s="403"/>
      <c r="GX16" s="403"/>
      <c r="GY16" s="403"/>
      <c r="GZ16" s="403"/>
      <c r="HA16" s="403"/>
      <c r="HB16" s="403"/>
      <c r="HC16" s="403"/>
      <c r="HD16" s="403"/>
      <c r="HE16" s="403"/>
      <c r="HF16" s="403"/>
      <c r="HG16" s="403"/>
      <c r="HH16" s="403"/>
      <c r="HI16" s="403"/>
      <c r="HJ16" s="403"/>
      <c r="HK16" s="403"/>
      <c r="HL16" s="403"/>
      <c r="HM16" s="403"/>
      <c r="HN16" s="403"/>
      <c r="HO16" s="403"/>
      <c r="HP16" s="403"/>
      <c r="HQ16" s="403"/>
      <c r="HR16" s="403"/>
      <c r="HS16" s="403"/>
      <c r="HT16" s="403"/>
      <c r="HU16" s="403"/>
      <c r="HV16" s="403"/>
      <c r="HW16" s="403"/>
      <c r="HX16" s="403"/>
      <c r="HY16" s="403"/>
      <c r="HZ16" s="403"/>
      <c r="IA16" s="403"/>
      <c r="IB16" s="403"/>
      <c r="IC16" s="403"/>
      <c r="ID16" s="403"/>
      <c r="IE16" s="403"/>
      <c r="IF16" s="403"/>
      <c r="IG16" s="403"/>
      <c r="IH16" s="403"/>
      <c r="II16" s="403"/>
      <c r="IJ16" s="403"/>
      <c r="IK16" s="403"/>
      <c r="IL16" s="403"/>
      <c r="IM16" s="403"/>
      <c r="IN16" s="403"/>
      <c r="IO16" s="403"/>
      <c r="IP16" s="403"/>
      <c r="IQ16" s="403"/>
      <c r="IR16" s="403"/>
      <c r="IS16" s="403"/>
      <c r="IT16" s="403"/>
      <c r="IU16" s="403"/>
      <c r="IV16" s="403"/>
      <c r="IW16" s="403"/>
      <c r="IX16" s="403"/>
      <c r="IY16" s="403"/>
      <c r="IZ16" s="403"/>
      <c r="JA16" s="403"/>
      <c r="JB16" s="403"/>
      <c r="JC16" s="403"/>
      <c r="JD16" s="403"/>
      <c r="JE16" s="403"/>
      <c r="JF16" s="403"/>
      <c r="JG16" s="403"/>
      <c r="JH16" s="403"/>
      <c r="JI16" s="403"/>
      <c r="JJ16" s="403"/>
      <c r="JK16" s="403"/>
      <c r="JL16" s="403"/>
      <c r="JM16" s="403"/>
      <c r="JN16" s="403"/>
      <c r="JO16" s="403"/>
      <c r="JP16" s="403"/>
      <c r="JQ16" s="403"/>
      <c r="JR16" s="403"/>
      <c r="JS16" s="403"/>
      <c r="JT16" s="403"/>
      <c r="JU16" s="403"/>
      <c r="JV16" s="403"/>
      <c r="JW16" s="403"/>
      <c r="JX16" s="403"/>
      <c r="JY16" s="403"/>
      <c r="JZ16" s="403"/>
      <c r="KA16" s="403">
        <v>12</v>
      </c>
      <c r="KB16" s="403">
        <v>12</v>
      </c>
      <c r="KC16" s="403">
        <v>12</v>
      </c>
      <c r="KD16" s="403">
        <v>12</v>
      </c>
      <c r="KE16" s="403">
        <v>12</v>
      </c>
      <c r="KF16" s="403"/>
      <c r="KG16" s="403"/>
      <c r="KH16" s="403"/>
      <c r="KI16" s="403"/>
      <c r="KJ16" s="403"/>
      <c r="KK16" s="403">
        <v>12</v>
      </c>
      <c r="KL16" s="403">
        <v>12</v>
      </c>
      <c r="KM16" s="404">
        <v>12</v>
      </c>
      <c r="KN16" s="403">
        <v>12</v>
      </c>
      <c r="KO16" s="403">
        <v>12</v>
      </c>
      <c r="KP16"/>
      <c r="KQ16"/>
      <c r="KR16"/>
      <c r="KS16"/>
      <c r="KT16"/>
    </row>
    <row r="17" spans="1:306" ht="14.5" x14ac:dyDescent="0.3">
      <c r="A17" s="287" t="s">
        <v>58</v>
      </c>
      <c r="B17" s="403">
        <v>9</v>
      </c>
      <c r="C17" s="403">
        <v>9</v>
      </c>
      <c r="D17" s="403">
        <v>9</v>
      </c>
      <c r="E17" s="403">
        <v>9</v>
      </c>
      <c r="F17" s="403">
        <v>9</v>
      </c>
      <c r="G17" s="403">
        <v>9</v>
      </c>
      <c r="H17" s="403">
        <v>9</v>
      </c>
      <c r="I17" s="403">
        <v>9</v>
      </c>
      <c r="J17" s="403">
        <v>9</v>
      </c>
      <c r="K17" s="403">
        <v>9</v>
      </c>
      <c r="L17" s="403">
        <v>3</v>
      </c>
      <c r="M17" s="403">
        <v>3</v>
      </c>
      <c r="N17" s="403">
        <v>3</v>
      </c>
      <c r="O17" s="403">
        <v>3</v>
      </c>
      <c r="P17" s="403">
        <v>3</v>
      </c>
      <c r="Q17" s="403">
        <v>12</v>
      </c>
      <c r="R17" s="403">
        <v>12</v>
      </c>
      <c r="S17" s="403">
        <v>12</v>
      </c>
      <c r="T17" s="403">
        <v>12</v>
      </c>
      <c r="U17" s="403">
        <v>12</v>
      </c>
      <c r="V17" s="403">
        <v>9</v>
      </c>
      <c r="W17" s="403">
        <v>9</v>
      </c>
      <c r="X17" s="403">
        <v>9</v>
      </c>
      <c r="Y17" s="403">
        <v>9</v>
      </c>
      <c r="Z17" s="403">
        <v>9</v>
      </c>
      <c r="AA17" s="403">
        <v>6</v>
      </c>
      <c r="AB17" s="403">
        <v>6</v>
      </c>
      <c r="AC17" s="403">
        <v>6</v>
      </c>
      <c r="AD17" s="403">
        <v>6</v>
      </c>
      <c r="AE17" s="403">
        <v>6</v>
      </c>
      <c r="AF17" s="403">
        <v>6</v>
      </c>
      <c r="AG17" s="403">
        <v>6</v>
      </c>
      <c r="AH17" s="403">
        <v>6</v>
      </c>
      <c r="AI17" s="403">
        <v>6</v>
      </c>
      <c r="AJ17" s="403">
        <v>6</v>
      </c>
      <c r="AK17" s="403">
        <v>4</v>
      </c>
      <c r="AL17" s="403">
        <v>4</v>
      </c>
      <c r="AM17" s="403">
        <v>4</v>
      </c>
      <c r="AN17" s="403">
        <v>4</v>
      </c>
      <c r="AO17" s="403">
        <v>4</v>
      </c>
      <c r="AP17" s="403">
        <v>4</v>
      </c>
      <c r="AQ17" s="403">
        <v>4</v>
      </c>
      <c r="AR17" s="403">
        <v>4</v>
      </c>
      <c r="AS17" s="403">
        <v>4</v>
      </c>
      <c r="AT17" s="403">
        <v>4</v>
      </c>
      <c r="AU17" s="403">
        <v>5</v>
      </c>
      <c r="AV17" s="403">
        <v>5</v>
      </c>
      <c r="AW17" s="403">
        <v>5</v>
      </c>
      <c r="AX17" s="403">
        <v>5</v>
      </c>
      <c r="AY17" s="403">
        <v>5</v>
      </c>
      <c r="AZ17" s="403">
        <v>4</v>
      </c>
      <c r="BA17" s="403">
        <v>4</v>
      </c>
      <c r="BB17" s="403">
        <v>4</v>
      </c>
      <c r="BC17" s="403">
        <v>4</v>
      </c>
      <c r="BD17" s="403">
        <v>4</v>
      </c>
      <c r="BE17" s="403">
        <v>3</v>
      </c>
      <c r="BF17" s="403">
        <v>3</v>
      </c>
      <c r="BG17" s="403">
        <v>3</v>
      </c>
      <c r="BH17" s="403">
        <v>3</v>
      </c>
      <c r="BI17" s="403">
        <v>3</v>
      </c>
      <c r="BJ17" s="403">
        <v>7</v>
      </c>
      <c r="BK17" s="403">
        <v>7</v>
      </c>
      <c r="BL17" s="403">
        <v>7</v>
      </c>
      <c r="BM17" s="403">
        <v>7</v>
      </c>
      <c r="BN17" s="403">
        <v>7</v>
      </c>
      <c r="BO17" s="403">
        <v>5</v>
      </c>
      <c r="BP17" s="403">
        <v>5</v>
      </c>
      <c r="BQ17" s="403">
        <v>5</v>
      </c>
      <c r="BR17" s="403">
        <v>5</v>
      </c>
      <c r="BS17" s="403">
        <v>5</v>
      </c>
      <c r="BT17" s="403">
        <v>7</v>
      </c>
      <c r="BU17" s="403">
        <v>7</v>
      </c>
      <c r="BV17" s="403">
        <v>7</v>
      </c>
      <c r="BW17" s="403">
        <v>7</v>
      </c>
      <c r="BX17" s="403">
        <v>7</v>
      </c>
      <c r="BY17" s="403">
        <v>4</v>
      </c>
      <c r="BZ17" s="403">
        <v>4</v>
      </c>
      <c r="CA17" s="403">
        <v>4</v>
      </c>
      <c r="CB17" s="403">
        <v>4</v>
      </c>
      <c r="CC17" s="403">
        <v>4</v>
      </c>
      <c r="CD17" s="403">
        <v>7</v>
      </c>
      <c r="CE17" s="403">
        <v>7</v>
      </c>
      <c r="CF17" s="403">
        <v>7</v>
      </c>
      <c r="CG17" s="403">
        <v>7</v>
      </c>
      <c r="CH17" s="403">
        <v>7</v>
      </c>
      <c r="CI17" s="403">
        <v>4</v>
      </c>
      <c r="CJ17" s="403">
        <v>4</v>
      </c>
      <c r="CK17" s="403">
        <v>4</v>
      </c>
      <c r="CL17" s="403">
        <v>4</v>
      </c>
      <c r="CM17" s="403">
        <v>4</v>
      </c>
      <c r="CN17" s="403">
        <v>3</v>
      </c>
      <c r="CO17" s="403">
        <v>3</v>
      </c>
      <c r="CP17" s="403">
        <v>3</v>
      </c>
      <c r="CQ17" s="403">
        <v>3</v>
      </c>
      <c r="CR17" s="403">
        <v>3</v>
      </c>
      <c r="CS17" s="403">
        <v>12</v>
      </c>
      <c r="CT17" s="403">
        <v>12</v>
      </c>
      <c r="CU17" s="403">
        <v>12</v>
      </c>
      <c r="CV17" s="403">
        <v>12</v>
      </c>
      <c r="CW17" s="403">
        <v>12</v>
      </c>
      <c r="CX17" s="403">
        <v>5</v>
      </c>
      <c r="CY17" s="403">
        <v>5</v>
      </c>
      <c r="CZ17" s="403">
        <v>5</v>
      </c>
      <c r="DA17" s="403">
        <v>5</v>
      </c>
      <c r="DB17" s="403">
        <v>5</v>
      </c>
      <c r="DC17" s="403">
        <v>6</v>
      </c>
      <c r="DD17" s="403">
        <v>6</v>
      </c>
      <c r="DE17" s="403">
        <v>6</v>
      </c>
      <c r="DF17" s="403">
        <v>6</v>
      </c>
      <c r="DG17" s="403">
        <v>6</v>
      </c>
      <c r="DH17" s="403">
        <v>4</v>
      </c>
      <c r="DI17" s="403">
        <v>4</v>
      </c>
      <c r="DJ17" s="403">
        <v>4</v>
      </c>
      <c r="DK17" s="403">
        <v>4</v>
      </c>
      <c r="DL17" s="403">
        <v>4</v>
      </c>
      <c r="DM17" s="403">
        <v>8</v>
      </c>
      <c r="DN17" s="403">
        <v>8</v>
      </c>
      <c r="DO17" s="403">
        <v>8</v>
      </c>
      <c r="DP17" s="403">
        <v>8</v>
      </c>
      <c r="DQ17" s="403">
        <v>8</v>
      </c>
      <c r="DR17" s="403">
        <v>8</v>
      </c>
      <c r="DS17" s="403">
        <v>8</v>
      </c>
      <c r="DT17" s="403">
        <v>8</v>
      </c>
      <c r="DU17" s="403">
        <v>8</v>
      </c>
      <c r="DV17" s="403">
        <v>8</v>
      </c>
      <c r="DW17" s="403">
        <v>44</v>
      </c>
      <c r="DX17" s="403">
        <v>44</v>
      </c>
      <c r="DY17" s="403">
        <v>44</v>
      </c>
      <c r="DZ17" s="403">
        <v>44</v>
      </c>
      <c r="EA17" s="403">
        <v>44</v>
      </c>
      <c r="EB17" s="403">
        <v>43</v>
      </c>
      <c r="EC17" s="403">
        <v>43</v>
      </c>
      <c r="ED17" s="403">
        <v>43</v>
      </c>
      <c r="EE17" s="403">
        <v>43</v>
      </c>
      <c r="EF17" s="403">
        <v>43</v>
      </c>
      <c r="EG17" s="403">
        <v>6</v>
      </c>
      <c r="EH17" s="403">
        <v>6</v>
      </c>
      <c r="EI17" s="403">
        <v>6</v>
      </c>
      <c r="EJ17" s="403">
        <v>6</v>
      </c>
      <c r="EK17" s="403">
        <v>6</v>
      </c>
      <c r="EL17" s="403">
        <v>11</v>
      </c>
      <c r="EM17" s="403">
        <v>11</v>
      </c>
      <c r="EN17" s="403">
        <v>11</v>
      </c>
      <c r="EO17" s="403">
        <v>11</v>
      </c>
      <c r="EP17" s="403">
        <v>11</v>
      </c>
      <c r="EQ17" s="403">
        <v>2</v>
      </c>
      <c r="ER17" s="403">
        <v>2</v>
      </c>
      <c r="ES17" s="403">
        <v>2</v>
      </c>
      <c r="ET17" s="403">
        <v>2</v>
      </c>
      <c r="EU17" s="403">
        <v>2</v>
      </c>
      <c r="EV17" s="403">
        <v>1</v>
      </c>
      <c r="EW17" s="403">
        <v>1</v>
      </c>
      <c r="EX17" s="403">
        <v>1</v>
      </c>
      <c r="EY17" s="403">
        <v>1</v>
      </c>
      <c r="EZ17" s="403">
        <v>1</v>
      </c>
      <c r="FA17" s="403">
        <v>9</v>
      </c>
      <c r="FB17" s="403">
        <v>9</v>
      </c>
      <c r="FC17" s="403">
        <v>9</v>
      </c>
      <c r="FD17" s="403">
        <v>9</v>
      </c>
      <c r="FE17" s="403">
        <v>9</v>
      </c>
      <c r="FF17" s="403">
        <v>7</v>
      </c>
      <c r="FG17" s="403">
        <v>7</v>
      </c>
      <c r="FH17" s="403">
        <v>7</v>
      </c>
      <c r="FI17" s="403">
        <v>7</v>
      </c>
      <c r="FJ17" s="403">
        <v>7</v>
      </c>
      <c r="FK17" s="403">
        <v>18</v>
      </c>
      <c r="FL17" s="403">
        <v>18</v>
      </c>
      <c r="FM17" s="403">
        <v>18</v>
      </c>
      <c r="FN17" s="403">
        <v>18</v>
      </c>
      <c r="FO17" s="403">
        <v>18</v>
      </c>
      <c r="FP17" s="403">
        <v>5</v>
      </c>
      <c r="FQ17" s="403">
        <v>5</v>
      </c>
      <c r="FR17" s="403">
        <v>5</v>
      </c>
      <c r="FS17" s="403">
        <v>5</v>
      </c>
      <c r="FT17" s="403">
        <v>5</v>
      </c>
      <c r="FU17" s="403">
        <v>15</v>
      </c>
      <c r="FV17" s="403">
        <v>15</v>
      </c>
      <c r="FW17" s="403">
        <v>15</v>
      </c>
      <c r="FX17" s="403">
        <v>15</v>
      </c>
      <c r="FY17" s="403">
        <v>15</v>
      </c>
      <c r="FZ17" s="403">
        <v>8</v>
      </c>
      <c r="GA17" s="403">
        <v>8</v>
      </c>
      <c r="GB17" s="403">
        <v>8</v>
      </c>
      <c r="GC17" s="403">
        <v>8</v>
      </c>
      <c r="GD17" s="403">
        <v>8</v>
      </c>
      <c r="GE17" s="403">
        <v>8</v>
      </c>
      <c r="GF17" s="403">
        <v>8</v>
      </c>
      <c r="GG17" s="403">
        <v>8</v>
      </c>
      <c r="GH17" s="403">
        <v>8</v>
      </c>
      <c r="GI17" s="403">
        <v>8</v>
      </c>
      <c r="GJ17" s="403">
        <v>4</v>
      </c>
      <c r="GK17" s="403">
        <v>4</v>
      </c>
      <c r="GL17" s="403">
        <v>4</v>
      </c>
      <c r="GM17" s="403">
        <v>4</v>
      </c>
      <c r="GN17" s="403">
        <v>4</v>
      </c>
      <c r="GO17" s="403">
        <v>14</v>
      </c>
      <c r="GP17" s="403">
        <v>14</v>
      </c>
      <c r="GQ17" s="403">
        <v>14</v>
      </c>
      <c r="GR17" s="403">
        <v>14</v>
      </c>
      <c r="GS17" s="403">
        <v>14</v>
      </c>
      <c r="GT17" s="403">
        <v>8</v>
      </c>
      <c r="GU17" s="403">
        <v>8</v>
      </c>
      <c r="GV17" s="403">
        <v>8</v>
      </c>
      <c r="GW17" s="403">
        <v>8</v>
      </c>
      <c r="GX17" s="403">
        <v>8</v>
      </c>
      <c r="GY17" s="403">
        <v>7</v>
      </c>
      <c r="GZ17" s="403">
        <v>7</v>
      </c>
      <c r="HA17" s="403">
        <v>7</v>
      </c>
      <c r="HB17" s="403">
        <v>7</v>
      </c>
      <c r="HC17" s="403">
        <v>7</v>
      </c>
      <c r="HD17" s="403">
        <v>2</v>
      </c>
      <c r="HE17" s="403">
        <v>2</v>
      </c>
      <c r="HF17" s="403">
        <v>2</v>
      </c>
      <c r="HG17" s="403">
        <v>2</v>
      </c>
      <c r="HH17" s="403">
        <v>2</v>
      </c>
      <c r="HI17" s="403">
        <v>15</v>
      </c>
      <c r="HJ17" s="403">
        <v>15</v>
      </c>
      <c r="HK17" s="403">
        <v>15</v>
      </c>
      <c r="HL17" s="403">
        <v>15</v>
      </c>
      <c r="HM17" s="403">
        <v>15</v>
      </c>
      <c r="HN17" s="403">
        <v>5</v>
      </c>
      <c r="HO17" s="403">
        <v>5</v>
      </c>
      <c r="HP17" s="403">
        <v>5</v>
      </c>
      <c r="HQ17" s="403">
        <v>5</v>
      </c>
      <c r="HR17" s="403">
        <v>5</v>
      </c>
      <c r="HS17" s="403">
        <v>10</v>
      </c>
      <c r="HT17" s="403">
        <v>10</v>
      </c>
      <c r="HU17" s="403">
        <v>10</v>
      </c>
      <c r="HV17" s="403">
        <v>10</v>
      </c>
      <c r="HW17" s="403">
        <v>10</v>
      </c>
      <c r="HX17" s="403">
        <v>7</v>
      </c>
      <c r="HY17" s="403">
        <v>7</v>
      </c>
      <c r="HZ17" s="403">
        <v>7</v>
      </c>
      <c r="IA17" s="403">
        <v>7</v>
      </c>
      <c r="IB17" s="403">
        <v>7</v>
      </c>
      <c r="IC17" s="403">
        <v>5</v>
      </c>
      <c r="ID17" s="403">
        <v>5</v>
      </c>
      <c r="IE17" s="403">
        <v>5</v>
      </c>
      <c r="IF17" s="403">
        <v>5</v>
      </c>
      <c r="IG17" s="403">
        <v>5</v>
      </c>
      <c r="IH17" s="403">
        <v>7</v>
      </c>
      <c r="II17" s="403">
        <v>7</v>
      </c>
      <c r="IJ17" s="403">
        <v>6</v>
      </c>
      <c r="IK17" s="403">
        <v>7</v>
      </c>
      <c r="IL17" s="403">
        <v>7</v>
      </c>
      <c r="IM17" s="403">
        <v>14</v>
      </c>
      <c r="IN17" s="403">
        <v>14</v>
      </c>
      <c r="IO17" s="403">
        <v>8</v>
      </c>
      <c r="IP17" s="403">
        <v>14</v>
      </c>
      <c r="IQ17" s="403">
        <v>14</v>
      </c>
      <c r="IR17" s="403">
        <v>4</v>
      </c>
      <c r="IS17" s="403">
        <v>4</v>
      </c>
      <c r="IT17" s="403">
        <v>4</v>
      </c>
      <c r="IU17" s="403">
        <v>4</v>
      </c>
      <c r="IV17" s="403">
        <v>4</v>
      </c>
      <c r="IW17" s="403">
        <v>38</v>
      </c>
      <c r="IX17" s="403">
        <v>38</v>
      </c>
      <c r="IY17" s="403">
        <v>35</v>
      </c>
      <c r="IZ17" s="403">
        <v>38</v>
      </c>
      <c r="JA17" s="403">
        <v>38</v>
      </c>
      <c r="JB17" s="403">
        <v>13</v>
      </c>
      <c r="JC17" s="403">
        <v>13</v>
      </c>
      <c r="JD17" s="403">
        <v>13</v>
      </c>
      <c r="JE17" s="403">
        <v>13</v>
      </c>
      <c r="JF17" s="403">
        <v>13</v>
      </c>
      <c r="JG17" s="403">
        <v>3</v>
      </c>
      <c r="JH17" s="403">
        <v>3</v>
      </c>
      <c r="JI17" s="403">
        <v>3</v>
      </c>
      <c r="JJ17" s="403">
        <v>3</v>
      </c>
      <c r="JK17" s="403">
        <v>3</v>
      </c>
      <c r="JL17" s="403">
        <v>23</v>
      </c>
      <c r="JM17" s="403">
        <v>23</v>
      </c>
      <c r="JN17" s="403">
        <v>23</v>
      </c>
      <c r="JO17" s="403">
        <v>23</v>
      </c>
      <c r="JP17" s="403">
        <v>23</v>
      </c>
      <c r="JQ17" s="403">
        <v>17</v>
      </c>
      <c r="JR17" s="403">
        <v>17</v>
      </c>
      <c r="JS17" s="403">
        <v>13</v>
      </c>
      <c r="JT17" s="403">
        <v>17</v>
      </c>
      <c r="JU17" s="403">
        <v>17</v>
      </c>
      <c r="JV17" s="403">
        <v>9</v>
      </c>
      <c r="JW17" s="403">
        <v>9</v>
      </c>
      <c r="JX17" s="403">
        <v>9</v>
      </c>
      <c r="JY17" s="403">
        <v>9</v>
      </c>
      <c r="JZ17" s="403">
        <v>9</v>
      </c>
      <c r="KA17" s="403">
        <v>12</v>
      </c>
      <c r="KB17" s="403">
        <v>12</v>
      </c>
      <c r="KC17" s="403">
        <v>12</v>
      </c>
      <c r="KD17" s="403">
        <v>12</v>
      </c>
      <c r="KE17" s="403">
        <v>12</v>
      </c>
      <c r="KF17" s="403"/>
      <c r="KG17" s="403"/>
      <c r="KH17" s="403"/>
      <c r="KI17" s="403"/>
      <c r="KJ17" s="403"/>
      <c r="KK17" s="403">
        <v>548</v>
      </c>
      <c r="KL17" s="403">
        <v>548</v>
      </c>
      <c r="KM17" s="404">
        <v>534</v>
      </c>
      <c r="KN17" s="403">
        <v>548</v>
      </c>
      <c r="KO17" s="403">
        <v>548</v>
      </c>
      <c r="KP17"/>
      <c r="KQ17"/>
      <c r="KR17"/>
      <c r="KS17"/>
      <c r="KT17"/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2"/>
  <sheetViews>
    <sheetView workbookViewId="0">
      <selection activeCell="C2" sqref="C2"/>
    </sheetView>
  </sheetViews>
  <sheetFormatPr defaultColWidth="9" defaultRowHeight="14.5" x14ac:dyDescent="0.3"/>
  <cols>
    <col min="1" max="1" width="12.3984375" style="166" bestFit="1" customWidth="1"/>
    <col min="2" max="2" width="12.3984375" style="166" customWidth="1"/>
    <col min="3" max="3" width="15.69921875" style="166" bestFit="1" customWidth="1"/>
    <col min="4" max="4" width="3.69921875" style="166" bestFit="1" customWidth="1"/>
    <col min="5" max="5" width="30.3984375" style="166" bestFit="1" customWidth="1"/>
    <col min="6" max="6" width="9.59765625" style="166" bestFit="1" customWidth="1"/>
    <col min="7" max="10" width="9" style="166" customWidth="1"/>
    <col min="11" max="16384" width="9" style="166"/>
  </cols>
  <sheetData>
    <row r="1" spans="1:6" s="122" customFormat="1" ht="16.5" customHeight="1" x14ac:dyDescent="0.3">
      <c r="A1" s="119" t="s">
        <v>1480</v>
      </c>
      <c r="B1" s="119" t="s">
        <v>1476</v>
      </c>
      <c r="C1" s="119" t="s">
        <v>1477</v>
      </c>
      <c r="D1" s="120" t="s">
        <v>2235</v>
      </c>
      <c r="E1" s="119" t="s">
        <v>2172</v>
      </c>
      <c r="F1" s="119" t="s">
        <v>1483</v>
      </c>
    </row>
    <row r="2" spans="1:6" x14ac:dyDescent="0.3">
      <c r="A2" s="164">
        <v>44467</v>
      </c>
      <c r="B2" s="167" t="s">
        <v>607</v>
      </c>
      <c r="C2" s="164" t="str">
        <f>VLOOKUP(B2,URS確認!$E:$F,2,FALSE)</f>
        <v>行庫資料維護</v>
      </c>
      <c r="D2" s="165">
        <v>1</v>
      </c>
      <c r="E2" s="166" t="s">
        <v>2236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3"/>
  <sheetViews>
    <sheetView zoomScale="85" zoomScaleNormal="85" workbookViewId="0">
      <selection activeCell="C35" sqref="C35"/>
    </sheetView>
  </sheetViews>
  <sheetFormatPr defaultColWidth="9" defaultRowHeight="15.5" x14ac:dyDescent="0.35"/>
  <cols>
    <col min="1" max="1" width="9" style="7" customWidth="1"/>
    <col min="2" max="2" width="26.3984375" style="6" customWidth="1"/>
    <col min="3" max="3" width="106.19921875" style="6" customWidth="1"/>
    <col min="4" max="7" width="9" style="6" customWidth="1"/>
    <col min="8" max="16384" width="9" style="6"/>
  </cols>
  <sheetData>
    <row r="1" spans="1:3" s="7" customFormat="1" x14ac:dyDescent="0.35">
      <c r="A1" s="41" t="s">
        <v>2237</v>
      </c>
      <c r="B1" s="41" t="s">
        <v>2142</v>
      </c>
      <c r="C1" s="41" t="s">
        <v>2238</v>
      </c>
    </row>
    <row r="2" spans="1:3" ht="126" customHeight="1" x14ac:dyDescent="0.35">
      <c r="A2" s="9">
        <v>1</v>
      </c>
      <c r="B2" s="8" t="s">
        <v>2239</v>
      </c>
      <c r="C2" s="40" t="s">
        <v>2240</v>
      </c>
    </row>
    <row r="3" spans="1:3" x14ac:dyDescent="0.35">
      <c r="A3" s="7">
        <v>2</v>
      </c>
      <c r="B3" s="6" t="s">
        <v>2241</v>
      </c>
      <c r="C3" s="6" t="s">
        <v>2242</v>
      </c>
    </row>
  </sheetData>
  <phoneticPr fontId="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3"/>
  <sheetViews>
    <sheetView zoomScale="130" zoomScaleNormal="130" workbookViewId="0">
      <selection activeCell="A3" sqref="A3"/>
    </sheetView>
  </sheetViews>
  <sheetFormatPr defaultRowHeight="14.5" x14ac:dyDescent="0.3"/>
  <cols>
    <col min="1" max="1" width="122.3984375" style="293" customWidth="1"/>
  </cols>
  <sheetData>
    <row r="1" spans="1:1" ht="110.25" customHeight="1" x14ac:dyDescent="0.35">
      <c r="A1" s="3" t="s">
        <v>2243</v>
      </c>
    </row>
    <row r="3" spans="1:1" x14ac:dyDescent="0.3">
      <c r="A3" s="10" t="s">
        <v>2244</v>
      </c>
    </row>
  </sheetData>
  <phoneticPr fontId="3" type="noConversion"/>
  <hyperlinks>
    <hyperlink ref="A3" r:id="rId1" xr:uid="{00000000-0004-0000-1300-000000000000}"/>
  </hyperlinks>
  <pageMargins left="0.7" right="0.7" top="0.75" bottom="0.75" header="0.3" footer="0.3"/>
  <pageSetup paperSize="9" orientation="portrait" horizontalDpi="0" verticalDpi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58"/>
  <sheetViews>
    <sheetView topLeftCell="A8" zoomScaleNormal="100" workbookViewId="0">
      <selection activeCell="B37" sqref="B37"/>
    </sheetView>
  </sheetViews>
  <sheetFormatPr defaultRowHeight="14.5" x14ac:dyDescent="0.3"/>
  <cols>
    <col min="1" max="1" width="10.59765625" style="293" bestFit="1" customWidth="1"/>
    <col min="2" max="3" width="32.69921875" style="293" customWidth="1"/>
    <col min="4" max="4" width="12.69921875" style="293" customWidth="1"/>
    <col min="5" max="5" width="18.09765625" style="293" customWidth="1"/>
    <col min="6" max="6" width="12.19921875" style="293" customWidth="1"/>
    <col min="7" max="7" width="15.8984375" style="293" bestFit="1" customWidth="1"/>
    <col min="8" max="8" width="22.69921875" style="293" customWidth="1"/>
  </cols>
  <sheetData>
    <row r="1" spans="1:8" ht="37.5" customHeight="1" thickBot="1" x14ac:dyDescent="0.35">
      <c r="A1" s="11" t="s">
        <v>2245</v>
      </c>
      <c r="B1" s="12"/>
      <c r="C1" s="88">
        <v>44393</v>
      </c>
      <c r="D1" s="12"/>
      <c r="E1" s="12"/>
      <c r="G1" s="11"/>
      <c r="H1" s="12"/>
    </row>
    <row r="2" spans="1:8" ht="24" customHeight="1" x14ac:dyDescent="0.3">
      <c r="A2" s="15" t="s">
        <v>2246</v>
      </c>
      <c r="B2" s="15" t="s">
        <v>2247</v>
      </c>
      <c r="C2" s="15" t="s">
        <v>2248</v>
      </c>
      <c r="D2" s="15">
        <v>7001</v>
      </c>
      <c r="E2" s="15" t="s">
        <v>2249</v>
      </c>
      <c r="F2" s="13" t="s">
        <v>2215</v>
      </c>
      <c r="G2" s="14"/>
      <c r="H2" s="16"/>
    </row>
    <row r="3" spans="1:8" ht="24" customHeight="1" x14ac:dyDescent="0.3">
      <c r="A3" s="18" t="s">
        <v>2250</v>
      </c>
      <c r="B3" s="18" t="s">
        <v>2251</v>
      </c>
      <c r="C3" s="18" t="s">
        <v>2252</v>
      </c>
      <c r="D3" s="18">
        <v>7180</v>
      </c>
      <c r="E3" s="18" t="s">
        <v>2249</v>
      </c>
      <c r="F3" s="17" t="s">
        <v>2215</v>
      </c>
      <c r="G3" s="36" t="s">
        <v>226</v>
      </c>
      <c r="H3" s="19"/>
    </row>
    <row r="4" spans="1:8" ht="24" customHeight="1" x14ac:dyDescent="0.3">
      <c r="A4" s="22" t="s">
        <v>23</v>
      </c>
      <c r="B4" s="22" t="s">
        <v>2253</v>
      </c>
      <c r="C4" s="22" t="s">
        <v>2254</v>
      </c>
      <c r="D4" s="22">
        <v>7083</v>
      </c>
      <c r="E4" s="22" t="s">
        <v>2249</v>
      </c>
      <c r="F4" s="20" t="s">
        <v>2215</v>
      </c>
      <c r="G4" s="21" t="s">
        <v>1429</v>
      </c>
      <c r="H4" s="23"/>
    </row>
    <row r="5" spans="1:8" ht="24" customHeight="1" x14ac:dyDescent="0.3">
      <c r="A5" s="22" t="s">
        <v>22</v>
      </c>
      <c r="B5" s="22" t="s">
        <v>2253</v>
      </c>
      <c r="C5" s="22" t="s">
        <v>2255</v>
      </c>
      <c r="D5" s="22">
        <v>7084</v>
      </c>
      <c r="E5" s="22" t="s">
        <v>2249</v>
      </c>
      <c r="F5" s="20" t="s">
        <v>2215</v>
      </c>
      <c r="G5" s="21" t="s">
        <v>1429</v>
      </c>
      <c r="H5" s="23"/>
    </row>
    <row r="6" spans="1:8" ht="24" customHeight="1" x14ac:dyDescent="0.3">
      <c r="A6" s="22" t="s">
        <v>11</v>
      </c>
      <c r="B6" s="22" t="s">
        <v>2253</v>
      </c>
      <c r="C6" s="22" t="s">
        <v>2256</v>
      </c>
      <c r="D6" s="22">
        <v>7085</v>
      </c>
      <c r="E6" s="22" t="s">
        <v>2249</v>
      </c>
      <c r="F6" s="20" t="s">
        <v>2215</v>
      </c>
      <c r="G6" s="21" t="s">
        <v>1429</v>
      </c>
      <c r="H6" s="23"/>
    </row>
    <row r="7" spans="1:8" ht="24" customHeight="1" x14ac:dyDescent="0.3">
      <c r="A7" s="22" t="s">
        <v>24</v>
      </c>
      <c r="B7" s="22" t="s">
        <v>2253</v>
      </c>
      <c r="C7" s="22" t="s">
        <v>2257</v>
      </c>
      <c r="D7" s="22">
        <v>7086</v>
      </c>
      <c r="E7" s="22" t="s">
        <v>2249</v>
      </c>
      <c r="F7" s="20" t="s">
        <v>2215</v>
      </c>
      <c r="G7" s="21" t="s">
        <v>1429</v>
      </c>
      <c r="H7" s="23"/>
    </row>
    <row r="8" spans="1:8" ht="24" customHeight="1" x14ac:dyDescent="0.3">
      <c r="A8" s="22" t="s">
        <v>18</v>
      </c>
      <c r="B8" s="22" t="s">
        <v>2253</v>
      </c>
      <c r="C8" s="22" t="s">
        <v>2258</v>
      </c>
      <c r="D8" s="22">
        <v>7088</v>
      </c>
      <c r="E8" s="22" t="s">
        <v>2249</v>
      </c>
      <c r="F8" s="20" t="s">
        <v>2215</v>
      </c>
      <c r="G8" s="21" t="s">
        <v>1429</v>
      </c>
      <c r="H8" s="23"/>
    </row>
    <row r="9" spans="1:8" ht="24" customHeight="1" x14ac:dyDescent="0.3">
      <c r="A9" s="57" t="s">
        <v>172</v>
      </c>
      <c r="B9" s="22" t="s">
        <v>2259</v>
      </c>
      <c r="C9" s="22" t="s">
        <v>2260</v>
      </c>
      <c r="D9" s="22">
        <v>7090</v>
      </c>
      <c r="E9" s="22" t="s">
        <v>2249</v>
      </c>
      <c r="F9" s="20" t="s">
        <v>2215</v>
      </c>
      <c r="G9" s="21" t="s">
        <v>1429</v>
      </c>
      <c r="H9" s="23"/>
    </row>
    <row r="10" spans="1:8" ht="24" customHeight="1" x14ac:dyDescent="0.3">
      <c r="A10" s="26" t="s">
        <v>535</v>
      </c>
      <c r="B10" s="26" t="s">
        <v>2261</v>
      </c>
      <c r="C10" s="26" t="s">
        <v>2262</v>
      </c>
      <c r="D10" s="26">
        <v>7051</v>
      </c>
      <c r="E10" s="26" t="s">
        <v>2249</v>
      </c>
      <c r="F10" s="24" t="s">
        <v>2215</v>
      </c>
      <c r="G10" s="25" t="s">
        <v>1465</v>
      </c>
      <c r="H10" s="27"/>
    </row>
    <row r="11" spans="1:8" ht="24" customHeight="1" x14ac:dyDescent="0.3">
      <c r="A11" s="26" t="s">
        <v>13</v>
      </c>
      <c r="B11" s="26" t="s">
        <v>2263</v>
      </c>
      <c r="C11" s="26" t="s">
        <v>2264</v>
      </c>
      <c r="D11" s="26">
        <v>7052</v>
      </c>
      <c r="E11" s="26" t="s">
        <v>2249</v>
      </c>
      <c r="F11" s="24" t="s">
        <v>2215</v>
      </c>
      <c r="G11" s="25" t="s">
        <v>1465</v>
      </c>
      <c r="H11" s="27"/>
    </row>
    <row r="12" spans="1:8" ht="24" customHeight="1" x14ac:dyDescent="0.3">
      <c r="A12" s="26" t="s">
        <v>20</v>
      </c>
      <c r="B12" s="26" t="s">
        <v>2265</v>
      </c>
      <c r="C12" s="26" t="s">
        <v>2266</v>
      </c>
      <c r="D12" s="26">
        <v>7181</v>
      </c>
      <c r="E12" s="26" t="s">
        <v>2249</v>
      </c>
      <c r="F12" s="24" t="s">
        <v>2215</v>
      </c>
      <c r="G12" s="25" t="s">
        <v>1465</v>
      </c>
      <c r="H12" s="27"/>
    </row>
    <row r="13" spans="1:8" ht="24" customHeight="1" x14ac:dyDescent="0.3">
      <c r="A13" s="26" t="s">
        <v>27</v>
      </c>
      <c r="B13" s="26" t="s">
        <v>2265</v>
      </c>
      <c r="C13" s="26" t="s">
        <v>2267</v>
      </c>
      <c r="D13" s="26">
        <v>7182</v>
      </c>
      <c r="E13" s="26" t="s">
        <v>2249</v>
      </c>
      <c r="F13" s="24" t="s">
        <v>2215</v>
      </c>
      <c r="G13" s="25" t="s">
        <v>1465</v>
      </c>
      <c r="H13" s="27"/>
    </row>
    <row r="14" spans="1:8" ht="24" customHeight="1" x14ac:dyDescent="0.3">
      <c r="A14" s="26" t="s">
        <v>15</v>
      </c>
      <c r="B14" s="26" t="s">
        <v>2268</v>
      </c>
      <c r="C14" s="26" t="s">
        <v>2269</v>
      </c>
      <c r="D14" s="26">
        <v>7183</v>
      </c>
      <c r="E14" s="26" t="s">
        <v>2249</v>
      </c>
      <c r="F14" s="24" t="s">
        <v>2215</v>
      </c>
      <c r="G14" s="25" t="s">
        <v>1465</v>
      </c>
      <c r="H14" s="27"/>
    </row>
    <row r="15" spans="1:8" ht="24" hidden="1" customHeight="1" x14ac:dyDescent="0.3">
      <c r="A15" s="26" t="s">
        <v>2270</v>
      </c>
      <c r="B15" s="26" t="s">
        <v>2271</v>
      </c>
      <c r="C15" s="26" t="e">
        <v>#N/A</v>
      </c>
      <c r="D15" s="26">
        <v>7301</v>
      </c>
      <c r="E15" s="26" t="s">
        <v>2249</v>
      </c>
      <c r="F15" s="24" t="s">
        <v>2215</v>
      </c>
      <c r="G15" s="25" t="s">
        <v>1465</v>
      </c>
      <c r="H15" s="27" t="s">
        <v>2272</v>
      </c>
    </row>
    <row r="16" spans="1:8" ht="24" hidden="1" customHeight="1" x14ac:dyDescent="0.3">
      <c r="A16" s="26" t="s">
        <v>2273</v>
      </c>
      <c r="B16" s="26" t="s">
        <v>2274</v>
      </c>
      <c r="C16" s="26" t="e">
        <v>#N/A</v>
      </c>
      <c r="D16" s="26">
        <v>7305</v>
      </c>
      <c r="E16" s="26" t="s">
        <v>2249</v>
      </c>
      <c r="F16" s="24" t="s">
        <v>2215</v>
      </c>
      <c r="G16" s="25" t="s">
        <v>1465</v>
      </c>
      <c r="H16" s="27" t="s">
        <v>2275</v>
      </c>
    </row>
    <row r="17" spans="1:8" ht="24" hidden="1" customHeight="1" x14ac:dyDescent="0.3">
      <c r="A17" s="26" t="s">
        <v>2276</v>
      </c>
      <c r="B17" s="26" t="s">
        <v>2274</v>
      </c>
      <c r="C17" s="26" t="e">
        <v>#N/A</v>
      </c>
      <c r="D17" s="26">
        <v>7306</v>
      </c>
      <c r="E17" s="26" t="s">
        <v>2249</v>
      </c>
      <c r="F17" s="24" t="s">
        <v>2215</v>
      </c>
      <c r="G17" s="25" t="s">
        <v>1465</v>
      </c>
      <c r="H17" s="27" t="s">
        <v>2277</v>
      </c>
    </row>
    <row r="18" spans="1:8" ht="24" hidden="1" customHeight="1" x14ac:dyDescent="0.3">
      <c r="A18" s="26" t="s">
        <v>2278</v>
      </c>
      <c r="B18" s="26" t="s">
        <v>2271</v>
      </c>
      <c r="C18" s="26" t="e">
        <v>#N/A</v>
      </c>
      <c r="D18" s="26">
        <v>7311</v>
      </c>
      <c r="E18" s="26" t="s">
        <v>2249</v>
      </c>
      <c r="F18" s="24" t="s">
        <v>2215</v>
      </c>
      <c r="G18" s="25" t="s">
        <v>1465</v>
      </c>
      <c r="H18" s="27" t="s">
        <v>2279</v>
      </c>
    </row>
    <row r="19" spans="1:8" ht="24" hidden="1" customHeight="1" x14ac:dyDescent="0.3">
      <c r="A19" s="26" t="s">
        <v>2280</v>
      </c>
      <c r="B19" s="26" t="s">
        <v>2274</v>
      </c>
      <c r="C19" s="26" t="e">
        <v>#N/A</v>
      </c>
      <c r="D19" s="26">
        <v>7312</v>
      </c>
      <c r="E19" s="26" t="s">
        <v>2249</v>
      </c>
      <c r="F19" s="24" t="s">
        <v>2215</v>
      </c>
      <c r="G19" s="25" t="s">
        <v>1465</v>
      </c>
      <c r="H19" s="27" t="s">
        <v>2281</v>
      </c>
    </row>
    <row r="20" spans="1:8" ht="24" hidden="1" customHeight="1" x14ac:dyDescent="0.3">
      <c r="A20" s="26" t="s">
        <v>2282</v>
      </c>
      <c r="B20" s="26" t="s">
        <v>2283</v>
      </c>
      <c r="C20" s="26" t="e">
        <v>#N/A</v>
      </c>
      <c r="D20" s="26" t="s">
        <v>2284</v>
      </c>
      <c r="E20" s="26"/>
      <c r="F20" s="24" t="s">
        <v>2215</v>
      </c>
      <c r="G20" s="25" t="s">
        <v>1465</v>
      </c>
      <c r="H20" s="27" t="s">
        <v>2285</v>
      </c>
    </row>
    <row r="21" spans="1:8" ht="24" hidden="1" customHeight="1" x14ac:dyDescent="0.3">
      <c r="A21" s="26" t="s">
        <v>2286</v>
      </c>
      <c r="B21" s="26" t="s">
        <v>2287</v>
      </c>
      <c r="C21" s="26" t="e">
        <v>#N/A</v>
      </c>
      <c r="D21" s="26" t="s">
        <v>2288</v>
      </c>
      <c r="E21" s="26"/>
      <c r="F21" s="24" t="s">
        <v>2215</v>
      </c>
      <c r="G21" s="25" t="s">
        <v>1465</v>
      </c>
      <c r="H21" s="27" t="s">
        <v>2289</v>
      </c>
    </row>
    <row r="22" spans="1:8" ht="24" hidden="1" customHeight="1" x14ac:dyDescent="0.3">
      <c r="A22" s="26" t="s">
        <v>2290</v>
      </c>
      <c r="B22" s="26" t="s">
        <v>2287</v>
      </c>
      <c r="C22" s="26" t="e">
        <v>#N/A</v>
      </c>
      <c r="D22" s="26" t="s">
        <v>2291</v>
      </c>
      <c r="E22" s="26"/>
      <c r="F22" s="24" t="s">
        <v>2215</v>
      </c>
      <c r="G22" s="25" t="s">
        <v>1465</v>
      </c>
      <c r="H22" s="27" t="s">
        <v>2292</v>
      </c>
    </row>
    <row r="23" spans="1:8" ht="24" hidden="1" customHeight="1" x14ac:dyDescent="0.3">
      <c r="A23" s="26" t="s">
        <v>2293</v>
      </c>
      <c r="B23" s="26" t="s">
        <v>2283</v>
      </c>
      <c r="C23" s="26" t="e">
        <v>#N/A</v>
      </c>
      <c r="D23" s="26" t="s">
        <v>2294</v>
      </c>
      <c r="E23" s="26"/>
      <c r="F23" s="24" t="s">
        <v>2215</v>
      </c>
      <c r="G23" s="25" t="s">
        <v>1465</v>
      </c>
      <c r="H23" s="27" t="s">
        <v>2295</v>
      </c>
    </row>
    <row r="24" spans="1:8" ht="24" hidden="1" customHeight="1" x14ac:dyDescent="0.3">
      <c r="A24" s="26" t="s">
        <v>2296</v>
      </c>
      <c r="B24" s="26" t="s">
        <v>2271</v>
      </c>
      <c r="C24" s="26" t="e">
        <v>#N/A</v>
      </c>
      <c r="D24" s="26" t="s">
        <v>2294</v>
      </c>
      <c r="E24" s="26"/>
      <c r="F24" s="24" t="s">
        <v>2215</v>
      </c>
      <c r="G24" s="25" t="s">
        <v>1465</v>
      </c>
      <c r="H24" s="27" t="s">
        <v>2297</v>
      </c>
    </row>
    <row r="25" spans="1:8" ht="24" hidden="1" customHeight="1" x14ac:dyDescent="0.3">
      <c r="A25" s="26" t="s">
        <v>2298</v>
      </c>
      <c r="B25" s="26" t="s">
        <v>2283</v>
      </c>
      <c r="C25" s="26" t="e">
        <v>#N/A</v>
      </c>
      <c r="D25" s="26" t="s">
        <v>2299</v>
      </c>
      <c r="E25" s="26"/>
      <c r="F25" s="24" t="s">
        <v>2215</v>
      </c>
      <c r="G25" s="25" t="s">
        <v>1465</v>
      </c>
      <c r="H25" s="27" t="s">
        <v>2300</v>
      </c>
    </row>
    <row r="26" spans="1:8" ht="24" hidden="1" customHeight="1" x14ac:dyDescent="0.3">
      <c r="A26" s="26" t="s">
        <v>2301</v>
      </c>
      <c r="B26" s="26" t="s">
        <v>2283</v>
      </c>
      <c r="C26" s="26" t="e">
        <v>#N/A</v>
      </c>
      <c r="D26" s="26" t="s">
        <v>2302</v>
      </c>
      <c r="E26" s="26"/>
      <c r="F26" s="24" t="s">
        <v>2215</v>
      </c>
      <c r="G26" s="25" t="s">
        <v>1465</v>
      </c>
      <c r="H26" s="27" t="s">
        <v>2303</v>
      </c>
    </row>
    <row r="27" spans="1:8" ht="24" hidden="1" customHeight="1" x14ac:dyDescent="0.3">
      <c r="A27" s="26" t="s">
        <v>2304</v>
      </c>
      <c r="B27" s="26" t="s">
        <v>2283</v>
      </c>
      <c r="C27" s="26" t="e">
        <v>#N/A</v>
      </c>
      <c r="D27" s="26" t="s">
        <v>2305</v>
      </c>
      <c r="E27" s="26"/>
      <c r="F27" s="24" t="s">
        <v>2215</v>
      </c>
      <c r="G27" s="25" t="s">
        <v>1465</v>
      </c>
      <c r="H27" s="27" t="s">
        <v>2306</v>
      </c>
    </row>
    <row r="28" spans="1:8" ht="24" hidden="1" customHeight="1" x14ac:dyDescent="0.3">
      <c r="A28" s="26" t="s">
        <v>2307</v>
      </c>
      <c r="B28" s="26" t="s">
        <v>2271</v>
      </c>
      <c r="C28" s="26" t="e">
        <v>#N/A</v>
      </c>
      <c r="D28" s="26" t="s">
        <v>2305</v>
      </c>
      <c r="E28" s="26"/>
      <c r="F28" s="24" t="s">
        <v>2215</v>
      </c>
      <c r="G28" s="25" t="s">
        <v>1465</v>
      </c>
      <c r="H28" s="27" t="s">
        <v>2308</v>
      </c>
    </row>
    <row r="29" spans="1:8" ht="24" hidden="1" customHeight="1" x14ac:dyDescent="0.3">
      <c r="A29" s="26" t="s">
        <v>2309</v>
      </c>
      <c r="B29" s="26" t="s">
        <v>2283</v>
      </c>
      <c r="C29" s="26" t="e">
        <v>#N/A</v>
      </c>
      <c r="D29" s="26" t="s">
        <v>2310</v>
      </c>
      <c r="E29" s="26"/>
      <c r="F29" s="24" t="s">
        <v>2215</v>
      </c>
      <c r="G29" s="25" t="s">
        <v>1465</v>
      </c>
      <c r="H29" s="27" t="s">
        <v>2311</v>
      </c>
    </row>
    <row r="30" spans="1:8" ht="24" hidden="1" customHeight="1" x14ac:dyDescent="0.3">
      <c r="A30" s="26" t="s">
        <v>2312</v>
      </c>
      <c r="B30" s="26" t="s">
        <v>2274</v>
      </c>
      <c r="C30" s="26" t="e">
        <v>#N/A</v>
      </c>
      <c r="D30" s="26" t="s">
        <v>2305</v>
      </c>
      <c r="E30" s="26"/>
      <c r="F30" s="24" t="s">
        <v>2215</v>
      </c>
      <c r="G30" s="25" t="s">
        <v>1465</v>
      </c>
      <c r="H30" s="27" t="s">
        <v>2313</v>
      </c>
    </row>
    <row r="31" spans="1:8" ht="24" customHeight="1" x14ac:dyDescent="0.3">
      <c r="A31" s="22" t="s">
        <v>2314</v>
      </c>
      <c r="B31" s="22" t="s">
        <v>2315</v>
      </c>
      <c r="C31" s="22" t="s">
        <v>2316</v>
      </c>
      <c r="D31" s="22">
        <v>7070</v>
      </c>
      <c r="E31" s="22" t="s">
        <v>2249</v>
      </c>
      <c r="F31" s="20" t="s">
        <v>2215</v>
      </c>
      <c r="G31" s="21" t="s">
        <v>1006</v>
      </c>
      <c r="H31" s="23"/>
    </row>
    <row r="32" spans="1:8" ht="24" customHeight="1" x14ac:dyDescent="0.3">
      <c r="A32" s="22" t="s">
        <v>21</v>
      </c>
      <c r="B32" s="22" t="s">
        <v>2317</v>
      </c>
      <c r="C32" s="22" t="s">
        <v>2318</v>
      </c>
      <c r="D32" s="22">
        <v>7075</v>
      </c>
      <c r="E32" s="22" t="s">
        <v>2249</v>
      </c>
      <c r="F32" s="20" t="s">
        <v>2215</v>
      </c>
      <c r="G32" s="21" t="s">
        <v>1006</v>
      </c>
      <c r="H32" s="23"/>
    </row>
    <row r="33" spans="1:8" ht="24" customHeight="1" x14ac:dyDescent="0.3">
      <c r="A33" s="22" t="s">
        <v>25</v>
      </c>
      <c r="B33" s="22" t="s">
        <v>2319</v>
      </c>
      <c r="C33" s="22" t="s">
        <v>2320</v>
      </c>
      <c r="D33" s="22">
        <v>7076</v>
      </c>
      <c r="E33" s="22" t="s">
        <v>2249</v>
      </c>
      <c r="F33" s="20" t="s">
        <v>2215</v>
      </c>
      <c r="G33" s="21" t="s">
        <v>1006</v>
      </c>
      <c r="H33" s="23"/>
    </row>
    <row r="34" spans="1:8" ht="24" customHeight="1" x14ac:dyDescent="0.3">
      <c r="A34" s="22" t="s">
        <v>14</v>
      </c>
      <c r="B34" s="22" t="s">
        <v>2321</v>
      </c>
      <c r="C34" s="22" t="s">
        <v>2322</v>
      </c>
      <c r="D34" s="22">
        <v>7077</v>
      </c>
      <c r="E34" s="22" t="s">
        <v>2249</v>
      </c>
      <c r="F34" s="20" t="s">
        <v>2215</v>
      </c>
      <c r="G34" s="21" t="s">
        <v>1006</v>
      </c>
      <c r="H34" s="23"/>
    </row>
    <row r="35" spans="1:8" ht="24" hidden="1" customHeight="1" x14ac:dyDescent="0.3">
      <c r="A35" s="22" t="s">
        <v>2323</v>
      </c>
      <c r="B35" s="22" t="s">
        <v>2319</v>
      </c>
      <c r="C35" s="22" t="e">
        <v>#N/A</v>
      </c>
      <c r="D35" s="22" t="s">
        <v>2324</v>
      </c>
      <c r="E35" s="22"/>
      <c r="F35" s="20" t="s">
        <v>2215</v>
      </c>
      <c r="G35" s="21" t="s">
        <v>1006</v>
      </c>
      <c r="H35" s="23" t="s">
        <v>2292</v>
      </c>
    </row>
    <row r="36" spans="1:8" ht="24" hidden="1" customHeight="1" x14ac:dyDescent="0.3">
      <c r="A36" s="22" t="s">
        <v>2325</v>
      </c>
      <c r="B36" s="22" t="s">
        <v>2319</v>
      </c>
      <c r="C36" s="22" t="e">
        <v>#N/A</v>
      </c>
      <c r="D36" s="22" t="s">
        <v>2326</v>
      </c>
      <c r="E36" s="22"/>
      <c r="F36" s="20" t="s">
        <v>2215</v>
      </c>
      <c r="G36" s="21" t="s">
        <v>1006</v>
      </c>
      <c r="H36" s="23" t="s">
        <v>2327</v>
      </c>
    </row>
    <row r="37" spans="1:8" ht="24" customHeight="1" x14ac:dyDescent="0.3">
      <c r="A37" s="30" t="s">
        <v>2328</v>
      </c>
      <c r="B37" s="30" t="s">
        <v>2329</v>
      </c>
      <c r="C37" s="30" t="s">
        <v>2330</v>
      </c>
      <c r="D37" s="30">
        <v>7060</v>
      </c>
      <c r="E37" s="30" t="s">
        <v>2249</v>
      </c>
      <c r="F37" s="28" t="s">
        <v>2215</v>
      </c>
      <c r="G37" s="29" t="s">
        <v>2331</v>
      </c>
      <c r="H37" s="31"/>
    </row>
    <row r="38" spans="1:8" ht="24" customHeight="1" x14ac:dyDescent="0.3">
      <c r="A38" s="30" t="s">
        <v>235</v>
      </c>
      <c r="B38" s="30" t="s">
        <v>2332</v>
      </c>
      <c r="C38" s="30" t="s">
        <v>2333</v>
      </c>
      <c r="D38" s="30">
        <v>7062</v>
      </c>
      <c r="E38" s="30" t="s">
        <v>2249</v>
      </c>
      <c r="F38" s="28" t="s">
        <v>2215</v>
      </c>
      <c r="G38" s="29" t="s">
        <v>2331</v>
      </c>
      <c r="H38" s="31"/>
    </row>
    <row r="39" spans="1:8" ht="24" hidden="1" customHeight="1" x14ac:dyDescent="0.3">
      <c r="A39" s="30" t="s">
        <v>2334</v>
      </c>
      <c r="B39" s="30" t="s">
        <v>2335</v>
      </c>
      <c r="C39" s="30" t="e">
        <v>#N/A</v>
      </c>
      <c r="D39" s="30">
        <v>7065</v>
      </c>
      <c r="E39" s="30" t="s">
        <v>2249</v>
      </c>
      <c r="F39" s="28" t="s">
        <v>2215</v>
      </c>
      <c r="G39" s="29" t="s">
        <v>2331</v>
      </c>
      <c r="H39" s="31"/>
    </row>
    <row r="40" spans="1:8" ht="24" customHeight="1" x14ac:dyDescent="0.3">
      <c r="A40" s="30" t="s">
        <v>28</v>
      </c>
      <c r="B40" s="30" t="s">
        <v>2335</v>
      </c>
      <c r="C40" s="30" t="s">
        <v>2336</v>
      </c>
      <c r="D40" s="30">
        <v>7066</v>
      </c>
      <c r="E40" s="30" t="s">
        <v>2249</v>
      </c>
      <c r="F40" s="28" t="s">
        <v>2215</v>
      </c>
      <c r="G40" s="29" t="s">
        <v>2331</v>
      </c>
      <c r="H40" s="31"/>
    </row>
    <row r="41" spans="1:8" ht="24" customHeight="1" x14ac:dyDescent="0.3">
      <c r="A41" s="30" t="s">
        <v>26</v>
      </c>
      <c r="B41" s="30" t="s">
        <v>2337</v>
      </c>
      <c r="C41" s="30" t="s">
        <v>2338</v>
      </c>
      <c r="D41" s="30">
        <v>7067</v>
      </c>
      <c r="E41" s="30" t="s">
        <v>2249</v>
      </c>
      <c r="F41" s="28" t="s">
        <v>2215</v>
      </c>
      <c r="G41" s="29" t="s">
        <v>2331</v>
      </c>
      <c r="H41" s="31"/>
    </row>
    <row r="42" spans="1:8" ht="24" hidden="1" customHeight="1" x14ac:dyDescent="0.3">
      <c r="A42" s="30" t="s">
        <v>2339</v>
      </c>
      <c r="B42" s="30" t="s">
        <v>2265</v>
      </c>
      <c r="C42" s="30" t="e">
        <v>#N/A</v>
      </c>
      <c r="D42" s="30">
        <v>7270</v>
      </c>
      <c r="E42" s="30" t="s">
        <v>2249</v>
      </c>
      <c r="F42" s="28" t="s">
        <v>2215</v>
      </c>
      <c r="G42" s="29" t="s">
        <v>2331</v>
      </c>
      <c r="H42" s="31"/>
    </row>
    <row r="43" spans="1:8" ht="24" hidden="1" customHeight="1" x14ac:dyDescent="0.3">
      <c r="A43" s="30" t="s">
        <v>2340</v>
      </c>
      <c r="B43" s="30" t="s">
        <v>2341</v>
      </c>
      <c r="C43" s="30" t="e">
        <v>#N/A</v>
      </c>
      <c r="D43" s="30">
        <v>7271</v>
      </c>
      <c r="E43" s="30" t="s">
        <v>2249</v>
      </c>
      <c r="F43" s="28" t="s">
        <v>2215</v>
      </c>
      <c r="G43" s="29" t="s">
        <v>2331</v>
      </c>
      <c r="H43" s="31"/>
    </row>
    <row r="44" spans="1:8" ht="24" hidden="1" customHeight="1" x14ac:dyDescent="0.3">
      <c r="A44" s="30" t="s">
        <v>2342</v>
      </c>
      <c r="B44" s="30" t="s">
        <v>2343</v>
      </c>
      <c r="C44" s="30" t="e">
        <v>#N/A</v>
      </c>
      <c r="D44" s="30">
        <v>7273</v>
      </c>
      <c r="E44" s="30" t="s">
        <v>2249</v>
      </c>
      <c r="F44" s="28" t="s">
        <v>2215</v>
      </c>
      <c r="G44" s="29" t="s">
        <v>2331</v>
      </c>
      <c r="H44" s="31"/>
    </row>
    <row r="45" spans="1:8" ht="24" hidden="1" customHeight="1" x14ac:dyDescent="0.3">
      <c r="A45" s="30" t="s">
        <v>2344</v>
      </c>
      <c r="B45" s="30" t="s">
        <v>2345</v>
      </c>
      <c r="C45" s="30" t="e">
        <v>#N/A</v>
      </c>
      <c r="D45" s="30">
        <v>7275</v>
      </c>
      <c r="E45" s="30" t="s">
        <v>2249</v>
      </c>
      <c r="F45" s="28" t="s">
        <v>2215</v>
      </c>
      <c r="G45" s="29" t="s">
        <v>2331</v>
      </c>
      <c r="H45" s="31"/>
    </row>
    <row r="46" spans="1:8" ht="24" hidden="1" customHeight="1" x14ac:dyDescent="0.3">
      <c r="A46" s="30" t="s">
        <v>2346</v>
      </c>
      <c r="B46" s="30" t="s">
        <v>2337</v>
      </c>
      <c r="C46" s="30" t="e">
        <v>#N/A</v>
      </c>
      <c r="D46" s="30">
        <v>7276</v>
      </c>
      <c r="E46" s="30" t="s">
        <v>2249</v>
      </c>
      <c r="F46" s="28" t="s">
        <v>2215</v>
      </c>
      <c r="G46" s="29" t="s">
        <v>2331</v>
      </c>
      <c r="H46" s="31"/>
    </row>
    <row r="47" spans="1:8" ht="24" hidden="1" customHeight="1" x14ac:dyDescent="0.3">
      <c r="A47" s="30" t="s">
        <v>2347</v>
      </c>
      <c r="B47" s="30" t="s">
        <v>2348</v>
      </c>
      <c r="C47" s="30" t="e">
        <v>#N/A</v>
      </c>
      <c r="D47" s="30">
        <v>7277</v>
      </c>
      <c r="E47" s="30" t="s">
        <v>2249</v>
      </c>
      <c r="F47" s="28" t="s">
        <v>2215</v>
      </c>
      <c r="G47" s="29" t="s">
        <v>2331</v>
      </c>
      <c r="H47" s="31"/>
    </row>
    <row r="48" spans="1:8" ht="24" hidden="1" customHeight="1" x14ac:dyDescent="0.3">
      <c r="A48" s="30" t="s">
        <v>567</v>
      </c>
      <c r="B48" s="30" t="s">
        <v>2349</v>
      </c>
      <c r="C48" s="30" t="e">
        <v>#N/A</v>
      </c>
      <c r="D48" s="30">
        <v>7279</v>
      </c>
      <c r="E48" s="30" t="s">
        <v>2249</v>
      </c>
      <c r="F48" s="28" t="s">
        <v>2215</v>
      </c>
      <c r="G48" s="29" t="s">
        <v>2331</v>
      </c>
      <c r="H48" s="31"/>
    </row>
    <row r="49" spans="1:8" ht="24" hidden="1" customHeight="1" x14ac:dyDescent="0.3">
      <c r="A49" s="30" t="s">
        <v>2350</v>
      </c>
      <c r="B49" s="30" t="s">
        <v>2348</v>
      </c>
      <c r="C49" s="30" t="e">
        <v>#N/A</v>
      </c>
      <c r="D49" s="30" t="s">
        <v>2351</v>
      </c>
      <c r="E49" s="30"/>
      <c r="F49" s="28" t="s">
        <v>2215</v>
      </c>
      <c r="G49" s="29" t="s">
        <v>2331</v>
      </c>
      <c r="H49" s="31" t="s">
        <v>2352</v>
      </c>
    </row>
    <row r="50" spans="1:8" ht="24" hidden="1" customHeight="1" x14ac:dyDescent="0.3">
      <c r="A50" s="30" t="s">
        <v>2353</v>
      </c>
      <c r="B50" s="30" t="s">
        <v>2354</v>
      </c>
      <c r="C50" s="30" t="e">
        <v>#N/A</v>
      </c>
      <c r="D50" s="30" t="s">
        <v>2355</v>
      </c>
      <c r="E50" s="30"/>
      <c r="F50" s="28" t="s">
        <v>2215</v>
      </c>
      <c r="G50" s="29" t="s">
        <v>2331</v>
      </c>
      <c r="H50" s="31" t="s">
        <v>2289</v>
      </c>
    </row>
    <row r="51" spans="1:8" ht="24" hidden="1" customHeight="1" x14ac:dyDescent="0.3">
      <c r="A51" s="30" t="s">
        <v>2356</v>
      </c>
      <c r="B51" s="30" t="s">
        <v>2341</v>
      </c>
      <c r="C51" s="30" t="e">
        <v>#N/A</v>
      </c>
      <c r="D51" s="30" t="s">
        <v>2357</v>
      </c>
      <c r="E51" s="30"/>
      <c r="F51" s="28" t="s">
        <v>2215</v>
      </c>
      <c r="G51" s="29" t="s">
        <v>2331</v>
      </c>
      <c r="H51" s="31" t="s">
        <v>2292</v>
      </c>
    </row>
    <row r="52" spans="1:8" ht="24" hidden="1" customHeight="1" x14ac:dyDescent="0.3">
      <c r="A52" s="30" t="s">
        <v>2358</v>
      </c>
      <c r="B52" s="30" t="s">
        <v>2343</v>
      </c>
      <c r="C52" s="30" t="e">
        <v>#N/A</v>
      </c>
      <c r="D52" s="30" t="s">
        <v>2355</v>
      </c>
      <c r="E52" s="30"/>
      <c r="F52" s="28" t="s">
        <v>2215</v>
      </c>
      <c r="G52" s="29" t="s">
        <v>2331</v>
      </c>
      <c r="H52" s="31" t="s">
        <v>2289</v>
      </c>
    </row>
    <row r="53" spans="1:8" ht="24" hidden="1" customHeight="1" x14ac:dyDescent="0.3">
      <c r="A53" s="30" t="s">
        <v>2359</v>
      </c>
      <c r="B53" s="30" t="s">
        <v>2345</v>
      </c>
      <c r="C53" s="30" t="e">
        <v>#N/A</v>
      </c>
      <c r="D53" s="30" t="s">
        <v>2360</v>
      </c>
      <c r="E53" s="30"/>
      <c r="F53" s="28" t="s">
        <v>2215</v>
      </c>
      <c r="G53" s="29" t="s">
        <v>2331</v>
      </c>
      <c r="H53" s="31" t="s">
        <v>2361</v>
      </c>
    </row>
    <row r="54" spans="1:8" ht="24" hidden="1" customHeight="1" x14ac:dyDescent="0.3">
      <c r="A54" s="30" t="s">
        <v>2362</v>
      </c>
      <c r="B54" s="30" t="s">
        <v>2345</v>
      </c>
      <c r="C54" s="30" t="e">
        <v>#N/A</v>
      </c>
      <c r="D54" s="30" t="s">
        <v>2357</v>
      </c>
      <c r="E54" s="30"/>
      <c r="F54" s="28" t="s">
        <v>2215</v>
      </c>
      <c r="G54" s="29" t="s">
        <v>2331</v>
      </c>
      <c r="H54" s="31" t="s">
        <v>2292</v>
      </c>
    </row>
    <row r="55" spans="1:8" ht="24" hidden="1" customHeight="1" x14ac:dyDescent="0.3">
      <c r="A55" s="30" t="s">
        <v>2363</v>
      </c>
      <c r="B55" s="30" t="s">
        <v>2345</v>
      </c>
      <c r="C55" s="30" t="e">
        <v>#N/A</v>
      </c>
      <c r="D55" s="30" t="s">
        <v>2355</v>
      </c>
      <c r="E55" s="30"/>
      <c r="F55" s="28" t="s">
        <v>2215</v>
      </c>
      <c r="G55" s="29" t="s">
        <v>2331</v>
      </c>
      <c r="H55" s="31" t="s">
        <v>2289</v>
      </c>
    </row>
    <row r="56" spans="1:8" ht="24" hidden="1" customHeight="1" x14ac:dyDescent="0.3">
      <c r="A56" s="30" t="s">
        <v>2364</v>
      </c>
      <c r="B56" s="30" t="s">
        <v>2265</v>
      </c>
      <c r="C56" s="30" t="e">
        <v>#N/A</v>
      </c>
      <c r="D56" s="30" t="s">
        <v>2355</v>
      </c>
      <c r="E56" s="30"/>
      <c r="F56" s="28" t="s">
        <v>2215</v>
      </c>
      <c r="G56" s="29" t="s">
        <v>2331</v>
      </c>
      <c r="H56" s="31" t="s">
        <v>2289</v>
      </c>
    </row>
    <row r="57" spans="1:8" ht="24" hidden="1" customHeight="1" thickBot="1" x14ac:dyDescent="0.35">
      <c r="A57" s="34" t="s">
        <v>2365</v>
      </c>
      <c r="B57" s="34" t="s">
        <v>2345</v>
      </c>
      <c r="C57" s="34" t="e">
        <v>#N/A</v>
      </c>
      <c r="D57" s="34" t="s">
        <v>2366</v>
      </c>
      <c r="E57" s="34"/>
      <c r="F57" s="32" t="s">
        <v>2215</v>
      </c>
      <c r="G57" s="33" t="s">
        <v>2331</v>
      </c>
      <c r="H57" s="35" t="s">
        <v>2327</v>
      </c>
    </row>
    <row r="58" spans="1:8" ht="15.5" customHeight="1" x14ac:dyDescent="0.3">
      <c r="A58" s="12"/>
      <c r="B58" s="12"/>
      <c r="C58" s="12"/>
      <c r="D58" s="12"/>
      <c r="E58" s="12"/>
      <c r="F58" s="12"/>
      <c r="G58" s="12"/>
      <c r="H58" s="12"/>
    </row>
  </sheetData>
  <phoneticPr fontId="3" type="noConversion"/>
  <printOptions horizontalCentered="1"/>
  <pageMargins left="0.31496062992125978" right="0.31496062992125978" top="0.74803149606299213" bottom="0.74803149606299213" header="0.31496062992125978" footer="0.31496062992125978"/>
  <pageSetup paperSize="9" scale="81" orientation="portrait" horizontalDpi="429496729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K51"/>
  <sheetViews>
    <sheetView workbookViewId="0">
      <selection activeCell="F15" sqref="F15"/>
    </sheetView>
  </sheetViews>
  <sheetFormatPr defaultColWidth="8.69921875" defaultRowHeight="14.5" x14ac:dyDescent="0.35"/>
  <cols>
    <col min="1" max="1" width="17" style="294" bestFit="1" customWidth="1"/>
    <col min="2" max="2" width="9.8984375" style="294" bestFit="1" customWidth="1"/>
    <col min="3" max="3" width="5.796875" style="294" bestFit="1" customWidth="1"/>
    <col min="4" max="4" width="10" style="294" bestFit="1" customWidth="1"/>
    <col min="5" max="5" width="5.796875" style="294" bestFit="1" customWidth="1"/>
    <col min="6" max="6" width="10.09765625" style="294" bestFit="1" customWidth="1"/>
    <col min="7" max="7" width="5.796875" style="294" bestFit="1" customWidth="1"/>
    <col min="8" max="8" width="9.796875" style="294" bestFit="1" customWidth="1"/>
    <col min="9" max="9" width="5.796875" style="294" bestFit="1" customWidth="1"/>
    <col min="10" max="10" width="10" style="294" bestFit="1" customWidth="1"/>
    <col min="11" max="11" width="5.796875" style="294" bestFit="1" customWidth="1"/>
    <col min="12" max="12" width="10.19921875" style="294" bestFit="1" customWidth="1"/>
    <col min="13" max="13" width="5.796875" style="294" bestFit="1" customWidth="1"/>
    <col min="14" max="14" width="10" style="294" bestFit="1" customWidth="1"/>
    <col min="15" max="15" width="5.796875" style="294" bestFit="1" customWidth="1"/>
    <col min="16" max="16" width="10.19921875" style="294" bestFit="1" customWidth="1"/>
    <col min="17" max="17" width="5.796875" style="294" bestFit="1" customWidth="1"/>
    <col min="18" max="18" width="10" style="294" bestFit="1" customWidth="1"/>
    <col min="19" max="19" width="5.796875" style="294" bestFit="1" customWidth="1"/>
    <col min="20" max="20" width="10.09765625" style="294" bestFit="1" customWidth="1"/>
    <col min="21" max="21" width="5.796875" style="294" bestFit="1" customWidth="1"/>
    <col min="22" max="22" width="9.59765625" style="294" bestFit="1" customWidth="1"/>
    <col min="23" max="23" width="5.796875" style="294" bestFit="1" customWidth="1"/>
    <col min="24" max="24" width="8.59765625" style="294" bestFit="1" customWidth="1"/>
    <col min="25" max="25" width="5.796875" style="294" bestFit="1" customWidth="1"/>
    <col min="26" max="26" width="9" style="294" bestFit="1" customWidth="1"/>
    <col min="27" max="27" width="5.796875" style="294" bestFit="1" customWidth="1"/>
    <col min="28" max="28" width="8.8984375" style="294" bestFit="1" customWidth="1"/>
    <col min="29" max="29" width="5.796875" style="294" bestFit="1" customWidth="1"/>
    <col min="30" max="30" width="9.09765625" style="294" bestFit="1" customWidth="1"/>
    <col min="31" max="31" width="5.796875" style="294" bestFit="1" customWidth="1"/>
    <col min="32" max="32" width="9.09765625" style="294" bestFit="1" customWidth="1"/>
    <col min="33" max="33" width="5.796875" style="294" bestFit="1" customWidth="1"/>
    <col min="34" max="34" width="9.59765625" style="294" bestFit="1" customWidth="1"/>
    <col min="35" max="35" width="5.796875" style="294" bestFit="1" customWidth="1"/>
    <col min="36" max="36" width="10.3984375" style="294" bestFit="1" customWidth="1"/>
    <col min="37" max="37" width="5.796875" style="294" bestFit="1" customWidth="1"/>
    <col min="38" max="38" width="9.796875" style="294" bestFit="1" customWidth="1"/>
    <col min="39" max="39" width="5.796875" style="294" bestFit="1" customWidth="1"/>
    <col min="40" max="40" width="9.796875" style="294" bestFit="1" customWidth="1"/>
    <col min="41" max="41" width="5.796875" style="294" bestFit="1" customWidth="1"/>
    <col min="42" max="42" width="9.59765625" style="294" bestFit="1" customWidth="1"/>
    <col min="43" max="43" width="5.796875" style="294" bestFit="1" customWidth="1"/>
    <col min="44" max="44" width="10" style="294" bestFit="1" customWidth="1"/>
    <col min="45" max="45" width="5.796875" style="294" bestFit="1" customWidth="1"/>
    <col min="46" max="46" width="10.19921875" style="294" bestFit="1" customWidth="1"/>
    <col min="47" max="47" width="5.796875" style="294" bestFit="1" customWidth="1"/>
    <col min="48" max="48" width="10.19921875" style="294" bestFit="1" customWidth="1"/>
    <col min="49" max="49" width="5.796875" style="294" bestFit="1" customWidth="1"/>
    <col min="50" max="50" width="10" style="294" bestFit="1" customWidth="1"/>
    <col min="51" max="51" width="5.796875" style="294" bestFit="1" customWidth="1"/>
    <col min="52" max="52" width="9.796875" style="294" bestFit="1" customWidth="1"/>
    <col min="53" max="53" width="5.796875" style="294" bestFit="1" customWidth="1"/>
    <col min="54" max="54" width="10" style="294" bestFit="1" customWidth="1"/>
    <col min="55" max="55" width="5.796875" style="294" bestFit="1" customWidth="1"/>
    <col min="56" max="56" width="10.19921875" style="294" bestFit="1" customWidth="1"/>
    <col min="57" max="57" width="5.796875" style="294" bestFit="1" customWidth="1"/>
    <col min="58" max="58" width="10.09765625" style="294" bestFit="1" customWidth="1"/>
    <col min="59" max="59" width="5.796875" style="294" bestFit="1" customWidth="1"/>
    <col min="60" max="60" width="9.796875" style="294" bestFit="1" customWidth="1"/>
    <col min="61" max="61" width="5.796875" style="294" bestFit="1" customWidth="1"/>
    <col min="62" max="62" width="9.296875" style="294" bestFit="1" customWidth="1"/>
    <col min="63" max="63" width="5.796875" style="294" bestFit="1" customWidth="1"/>
    <col min="64" max="64" width="10.8984375" style="294" bestFit="1" customWidth="1"/>
    <col min="65" max="65" width="5.796875" style="294" bestFit="1" customWidth="1"/>
    <col min="66" max="66" width="9.59765625" style="294" bestFit="1" customWidth="1"/>
    <col min="67" max="67" width="5.796875" style="294" bestFit="1" customWidth="1"/>
    <col min="68" max="68" width="9.796875" style="294" bestFit="1" customWidth="1"/>
    <col min="69" max="69" width="5.796875" style="294" bestFit="1" customWidth="1"/>
    <col min="70" max="70" width="10.296875" style="294" bestFit="1" customWidth="1"/>
    <col min="71" max="71" width="5.796875" style="294" bestFit="1" customWidth="1"/>
    <col min="72" max="72" width="10.5" style="294" bestFit="1" customWidth="1"/>
    <col min="73" max="73" width="5.796875" style="294" bestFit="1" customWidth="1"/>
    <col min="74" max="74" width="10.5" style="294" bestFit="1" customWidth="1"/>
    <col min="75" max="75" width="5.796875" style="294" bestFit="1" customWidth="1"/>
    <col min="76" max="76" width="10.3984375" style="294" bestFit="1" customWidth="1"/>
    <col min="77" max="77" width="5.796875" style="294" bestFit="1" customWidth="1"/>
    <col min="78" max="78" width="11" style="294" bestFit="1" customWidth="1"/>
    <col min="79" max="79" width="5.796875" style="294" bestFit="1" customWidth="1"/>
    <col min="80" max="80" width="10.796875" style="294" bestFit="1" customWidth="1"/>
    <col min="81" max="81" width="5.796875" style="294" bestFit="1" customWidth="1"/>
    <col min="82" max="82" width="10.796875" style="294" bestFit="1" customWidth="1"/>
    <col min="83" max="83" width="5.796875" style="294" bestFit="1" customWidth="1"/>
    <col min="84" max="84" width="11" style="294" bestFit="1" customWidth="1"/>
    <col min="85" max="85" width="5.796875" style="294" bestFit="1" customWidth="1"/>
    <col min="86" max="86" width="9.19921875" style="294" bestFit="1" customWidth="1"/>
    <col min="87" max="87" width="5.796875" style="294" bestFit="1" customWidth="1"/>
    <col min="88" max="88" width="10.3984375" style="294" bestFit="1" customWidth="1"/>
    <col min="89" max="89" width="5.796875" style="294" bestFit="1" customWidth="1"/>
    <col min="90" max="90" width="9.09765625" style="294" bestFit="1" customWidth="1"/>
    <col min="91" max="91" width="5.796875" style="294" bestFit="1" customWidth="1"/>
    <col min="92" max="92" width="11" style="294" bestFit="1" customWidth="1"/>
    <col min="93" max="93" width="5.796875" style="294" bestFit="1" customWidth="1"/>
    <col min="94" max="94" width="9.296875" style="294" bestFit="1" customWidth="1"/>
    <col min="95" max="95" width="5.796875" style="294" bestFit="1" customWidth="1"/>
    <col min="96" max="96" width="9.09765625" style="294" bestFit="1" customWidth="1"/>
    <col min="97" max="97" width="5.796875" style="294" bestFit="1" customWidth="1"/>
    <col min="98" max="98" width="9.59765625" style="294" bestFit="1" customWidth="1"/>
    <col min="99" max="99" width="5.796875" style="294" bestFit="1" customWidth="1"/>
    <col min="100" max="100" width="10" style="294" bestFit="1" customWidth="1"/>
    <col min="101" max="101" width="5.796875" style="294" bestFit="1" customWidth="1"/>
    <col min="102" max="102" width="9.5" style="294" bestFit="1" customWidth="1"/>
    <col min="103" max="103" width="5.796875" style="294" bestFit="1" customWidth="1"/>
    <col min="104" max="104" width="10" style="294" bestFit="1" customWidth="1"/>
    <col min="105" max="105" width="5.796875" style="294" bestFit="1" customWidth="1"/>
    <col min="106" max="106" width="9.796875" style="294" bestFit="1" customWidth="1"/>
    <col min="107" max="107" width="5.796875" style="294" bestFit="1" customWidth="1"/>
    <col min="108" max="108" width="10.19921875" style="294" bestFit="1" customWidth="1"/>
    <col min="109" max="109" width="5.796875" style="294" bestFit="1" customWidth="1"/>
    <col min="110" max="110" width="10" style="294" bestFit="1" customWidth="1"/>
    <col min="111" max="111" width="5.796875" style="294" bestFit="1" customWidth="1"/>
    <col min="112" max="112" width="10.3984375" style="294" bestFit="1" customWidth="1"/>
    <col min="113" max="113" width="5.796875" style="294" bestFit="1" customWidth="1"/>
    <col min="114" max="115" width="13.19921875" style="294" bestFit="1" customWidth="1"/>
    <col min="116" max="16384" width="8.69921875" style="294"/>
  </cols>
  <sheetData>
    <row r="1" spans="1:61" x14ac:dyDescent="0.35">
      <c r="A1" s="368" t="s">
        <v>2367</v>
      </c>
      <c r="B1" s="51"/>
      <c r="C1" s="51"/>
      <c r="D1" s="51"/>
      <c r="E1" s="51"/>
      <c r="F1" s="38" t="str">
        <f>B39</f>
        <v>展示</v>
      </c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</row>
    <row r="2" spans="1:61" s="369" customFormat="1" x14ac:dyDescent="0.35">
      <c r="A2" s="370" t="s">
        <v>2368</v>
      </c>
      <c r="B2" s="371" t="s">
        <v>2369</v>
      </c>
      <c r="C2" s="372"/>
      <c r="D2" s="373"/>
      <c r="E2" s="373"/>
      <c r="F2" s="374">
        <v>44396</v>
      </c>
      <c r="G2" s="374"/>
      <c r="H2" s="374">
        <f t="shared" ref="H2:H12" si="0">D40</f>
        <v>44403</v>
      </c>
      <c r="I2" s="374"/>
      <c r="J2" s="374">
        <f t="shared" ref="J2:J12" si="1">F40</f>
        <v>44461</v>
      </c>
      <c r="K2" s="374"/>
      <c r="L2" s="374">
        <f t="shared" ref="L2:L12" si="2">H40</f>
        <v>44404</v>
      </c>
      <c r="M2" s="374"/>
      <c r="N2" s="374">
        <f t="shared" ref="N2:N12" si="3">J40</f>
        <v>44431</v>
      </c>
      <c r="O2" s="374"/>
      <c r="P2" s="374">
        <f t="shared" ref="P2:P12" si="4">L40</f>
        <v>44432</v>
      </c>
      <c r="Q2" s="374"/>
      <c r="R2" s="374">
        <f t="shared" ref="R2:R12" si="5">N40</f>
        <v>44433</v>
      </c>
      <c r="S2" s="374"/>
      <c r="T2" s="374">
        <f t="shared" ref="T2:T12" si="6">P40</f>
        <v>44434</v>
      </c>
      <c r="U2" s="374"/>
      <c r="V2" s="374">
        <f t="shared" ref="V2:V12" si="7">R40</f>
        <v>44435</v>
      </c>
      <c r="W2" s="374"/>
      <c r="X2" s="374">
        <f t="shared" ref="X2:X12" si="8">T40</f>
        <v>44438</v>
      </c>
      <c r="Y2" s="374"/>
      <c r="Z2" s="374">
        <f t="shared" ref="Z2:Z12" si="9">V40</f>
        <v>44439</v>
      </c>
      <c r="AA2" s="374"/>
      <c r="AB2" s="374">
        <f t="shared" ref="AB2:AB12" si="10">X40</f>
        <v>44440</v>
      </c>
      <c r="AC2" s="374"/>
      <c r="AD2" s="374">
        <f t="shared" ref="AD2:AD12" si="11">Z40</f>
        <v>44441</v>
      </c>
      <c r="AE2" s="374"/>
      <c r="AF2" s="374">
        <f t="shared" ref="AF2:AF12" si="12">AB40</f>
        <v>44442</v>
      </c>
      <c r="AG2" s="374"/>
      <c r="AH2" s="374">
        <f t="shared" ref="AH2:AH12" si="13">AD40</f>
        <v>44447</v>
      </c>
      <c r="AI2" s="374"/>
      <c r="AJ2" s="374">
        <f t="shared" ref="AJ2:AJ12" si="14">AF40</f>
        <v>44448</v>
      </c>
      <c r="AK2" s="374"/>
      <c r="AL2" s="374">
        <f t="shared" ref="AL2:AL12" si="15">AH40</f>
        <v>44452</v>
      </c>
      <c r="AM2" s="374"/>
      <c r="AN2" s="374">
        <f t="shared" ref="AN2:AN12" si="16">AJ40</f>
        <v>44481</v>
      </c>
      <c r="AO2" s="374"/>
      <c r="AP2" s="374">
        <f t="shared" ref="AP2:AP12" si="17">AL40</f>
        <v>44453</v>
      </c>
      <c r="AQ2" s="374"/>
      <c r="AR2" s="374">
        <f t="shared" ref="AR2:AR12" si="18">AN40</f>
        <v>44455</v>
      </c>
      <c r="AS2" s="374"/>
      <c r="AT2" s="374">
        <f t="shared" ref="AT2:AT12" si="19">AP40</f>
        <v>44456</v>
      </c>
      <c r="AU2" s="374"/>
      <c r="AV2" s="374">
        <f t="shared" ref="AV2:AV12" si="20">AR40</f>
        <v>44462</v>
      </c>
      <c r="AW2" s="374"/>
      <c r="AX2" s="374">
        <f t="shared" ref="AX2:AX12" si="21">AT40</f>
        <v>44467</v>
      </c>
      <c r="AY2" s="374"/>
      <c r="AZ2" s="374">
        <f t="shared" ref="AZ2:AZ12" si="22">AV40</f>
        <v>44463</v>
      </c>
      <c r="BA2" s="374"/>
      <c r="BB2" s="374">
        <f t="shared" ref="BB2:BB12" si="23">AX40</f>
        <v>44466</v>
      </c>
      <c r="BC2" s="374"/>
      <c r="BD2" s="374">
        <f t="shared" ref="BD2:BD12" si="24">AZ40</f>
        <v>44515</v>
      </c>
      <c r="BE2" s="374"/>
      <c r="BF2" s="374">
        <f t="shared" ref="BF2:BF12" si="25">BB40</f>
        <v>44516</v>
      </c>
      <c r="BG2" s="374"/>
      <c r="BH2" s="374">
        <f t="shared" ref="BH2:BH12" si="26">BD40</f>
        <v>44468</v>
      </c>
      <c r="BI2" s="374"/>
    </row>
    <row r="3" spans="1:61" x14ac:dyDescent="0.35">
      <c r="A3" s="50" t="str">
        <f t="shared" ref="A3:A12" si="27">A41</f>
        <v>業務大類</v>
      </c>
      <c r="B3" s="50" t="s">
        <v>2230</v>
      </c>
      <c r="C3" s="50" t="s">
        <v>71</v>
      </c>
      <c r="D3" s="50" t="s">
        <v>2231</v>
      </c>
      <c r="E3" s="50" t="s">
        <v>2370</v>
      </c>
      <c r="F3" s="38" t="str">
        <f t="shared" ref="F3:F12" si="28">B41</f>
        <v>預計</v>
      </c>
      <c r="G3" s="38" t="str">
        <f t="shared" ref="G3:G12" si="29">C41</f>
        <v>實際</v>
      </c>
      <c r="H3" s="38" t="str">
        <f t="shared" si="0"/>
        <v>預計</v>
      </c>
      <c r="I3" s="38" t="str">
        <f t="shared" ref="I3:I12" si="30">E41</f>
        <v>實際</v>
      </c>
      <c r="J3" s="38" t="str">
        <f t="shared" si="1"/>
        <v>預計</v>
      </c>
      <c r="K3" s="38" t="str">
        <f t="shared" ref="K3:K12" si="31">G41</f>
        <v>實際</v>
      </c>
      <c r="L3" s="38" t="str">
        <f t="shared" si="2"/>
        <v>預計</v>
      </c>
      <c r="M3" s="38" t="str">
        <f t="shared" ref="M3:M12" si="32">I41</f>
        <v>實際</v>
      </c>
      <c r="N3" s="38" t="str">
        <f t="shared" si="3"/>
        <v>預計</v>
      </c>
      <c r="O3" s="38" t="str">
        <f t="shared" ref="O3:O12" si="33">K41</f>
        <v>實際</v>
      </c>
      <c r="P3" s="38" t="str">
        <f t="shared" si="4"/>
        <v>預計</v>
      </c>
      <c r="Q3" s="38" t="str">
        <f t="shared" ref="Q3:Q12" si="34">M41</f>
        <v>實際</v>
      </c>
      <c r="R3" s="38" t="str">
        <f t="shared" si="5"/>
        <v>預計</v>
      </c>
      <c r="S3" s="38" t="str">
        <f t="shared" ref="S3:S12" si="35">O41</f>
        <v>實際</v>
      </c>
      <c r="T3" s="38" t="str">
        <f t="shared" si="6"/>
        <v>預計</v>
      </c>
      <c r="U3" s="38" t="str">
        <f t="shared" ref="U3:U12" si="36">Q41</f>
        <v>實際</v>
      </c>
      <c r="V3" s="38" t="str">
        <f t="shared" si="7"/>
        <v>預計</v>
      </c>
      <c r="W3" s="38" t="str">
        <f t="shared" ref="W3:W12" si="37">S41</f>
        <v>實際</v>
      </c>
      <c r="X3" s="38" t="str">
        <f t="shared" si="8"/>
        <v>預計</v>
      </c>
      <c r="Y3" s="38" t="str">
        <f t="shared" ref="Y3:Y12" si="38">U41</f>
        <v>實際</v>
      </c>
      <c r="Z3" s="38" t="str">
        <f t="shared" si="9"/>
        <v>預計</v>
      </c>
      <c r="AA3" s="38" t="str">
        <f t="shared" ref="AA3:AA12" si="39">W41</f>
        <v>實際</v>
      </c>
      <c r="AB3" s="38" t="str">
        <f t="shared" si="10"/>
        <v>預計</v>
      </c>
      <c r="AC3" s="38" t="str">
        <f t="shared" ref="AC3:AC12" si="40">Y41</f>
        <v>實際</v>
      </c>
      <c r="AD3" s="38" t="str">
        <f t="shared" si="11"/>
        <v>預計</v>
      </c>
      <c r="AE3" s="38" t="str">
        <f t="shared" ref="AE3:AE12" si="41">AA41</f>
        <v>實際</v>
      </c>
      <c r="AF3" s="38" t="str">
        <f t="shared" si="12"/>
        <v>預計</v>
      </c>
      <c r="AG3" s="38" t="str">
        <f t="shared" ref="AG3:AG12" si="42">AC41</f>
        <v>實際</v>
      </c>
      <c r="AH3" s="38" t="str">
        <f t="shared" si="13"/>
        <v>預計</v>
      </c>
      <c r="AI3" s="38" t="str">
        <f t="shared" ref="AI3:AI12" si="43">AE41</f>
        <v>實際</v>
      </c>
      <c r="AJ3" s="38" t="str">
        <f t="shared" si="14"/>
        <v>預計</v>
      </c>
      <c r="AK3" s="38" t="str">
        <f t="shared" ref="AK3:AK12" si="44">AG41</f>
        <v>實際</v>
      </c>
      <c r="AL3" s="38" t="str">
        <f t="shared" si="15"/>
        <v>預計</v>
      </c>
      <c r="AM3" s="38" t="str">
        <f t="shared" ref="AM3:AM12" si="45">AI41</f>
        <v>實際</v>
      </c>
      <c r="AN3" s="38" t="str">
        <f t="shared" si="16"/>
        <v>預計</v>
      </c>
      <c r="AO3" s="38" t="str">
        <f t="shared" ref="AO3:AO12" si="46">AK41</f>
        <v>實際</v>
      </c>
      <c r="AP3" s="38" t="str">
        <f t="shared" si="17"/>
        <v>預計</v>
      </c>
      <c r="AQ3" s="38" t="str">
        <f t="shared" ref="AQ3:AQ12" si="47">AM41</f>
        <v>實際</v>
      </c>
      <c r="AR3" s="38" t="str">
        <f t="shared" si="18"/>
        <v>預計</v>
      </c>
      <c r="AS3" s="38" t="str">
        <f t="shared" ref="AS3:AS12" si="48">AO41</f>
        <v>實際</v>
      </c>
      <c r="AT3" s="38" t="str">
        <f t="shared" si="19"/>
        <v>預計</v>
      </c>
      <c r="AU3" s="38" t="str">
        <f t="shared" ref="AU3:AU12" si="49">AQ41</f>
        <v>實際</v>
      </c>
      <c r="AV3" s="38" t="str">
        <f t="shared" si="20"/>
        <v>預計</v>
      </c>
      <c r="AW3" s="38" t="str">
        <f t="shared" ref="AW3:AW12" si="50">AS41</f>
        <v>實際</v>
      </c>
      <c r="AX3" s="38" t="str">
        <f t="shared" si="21"/>
        <v>預計</v>
      </c>
      <c r="AY3" s="38" t="str">
        <f t="shared" ref="AY3:AY12" si="51">AU41</f>
        <v>實際</v>
      </c>
      <c r="AZ3" s="38" t="str">
        <f t="shared" si="22"/>
        <v>預計</v>
      </c>
      <c r="BA3" s="38" t="str">
        <f t="shared" ref="BA3:BA12" si="52">AW41</f>
        <v>實際</v>
      </c>
      <c r="BB3" s="38" t="str">
        <f t="shared" si="23"/>
        <v>預計</v>
      </c>
      <c r="BC3" s="38" t="str">
        <f t="shared" ref="BC3:BC12" si="53">AY41</f>
        <v>實際</v>
      </c>
      <c r="BD3" s="38" t="str">
        <f t="shared" si="24"/>
        <v>預計</v>
      </c>
      <c r="BE3" s="38" t="str">
        <f t="shared" ref="BE3:BE12" si="54">BA41</f>
        <v>實際</v>
      </c>
      <c r="BF3" s="38" t="str">
        <f t="shared" si="25"/>
        <v>預計</v>
      </c>
      <c r="BG3" s="38" t="str">
        <f t="shared" ref="BG3:BG12" si="55">BC41</f>
        <v>實際</v>
      </c>
      <c r="BH3" s="38" t="str">
        <f t="shared" si="26"/>
        <v>預計</v>
      </c>
      <c r="BI3" s="38" t="str">
        <f t="shared" ref="BI3:BI12" si="56">BE41</f>
        <v>實際</v>
      </c>
    </row>
    <row r="4" spans="1:61" x14ac:dyDescent="0.35">
      <c r="A4" s="51" t="str">
        <f t="shared" si="27"/>
        <v>1.顧客管理作業</v>
      </c>
      <c r="B4" s="51">
        <f t="shared" ref="B4:B12" si="57">BF42</f>
        <v>0</v>
      </c>
      <c r="C4" s="51">
        <f t="shared" ref="C4:C12" si="58">SUM(F4,H4,J4,L4,N4,P4,R4,T4,V4,X4,Z4,AB4,AD4,AF4,AH4,AJ4,AL4,AN4,AP4,AR4,AT4,AV4,AX4,AZ4,BB4)</f>
        <v>15</v>
      </c>
      <c r="D4" s="51">
        <f t="shared" ref="D4:D12" si="59">SUM(G4,I4,K4,M4,O4,Q4,S4,U4,W4,Y4,AA4,AC4,AE4,AG4,AI4,AK4,AM4,AO4,AQ4,AS4,AU4,AW4,AY4,BA4,BC4)</f>
        <v>15</v>
      </c>
      <c r="E4" s="37" t="e">
        <f t="shared" ref="E4:E12" si="60">D4/B4</f>
        <v>#DIV/0!</v>
      </c>
      <c r="F4" s="294">
        <f t="shared" si="28"/>
        <v>8</v>
      </c>
      <c r="G4" s="294">
        <f t="shared" si="29"/>
        <v>8</v>
      </c>
      <c r="H4" s="294">
        <f t="shared" si="0"/>
        <v>4</v>
      </c>
      <c r="I4" s="294">
        <f t="shared" si="30"/>
        <v>4</v>
      </c>
      <c r="J4" s="294">
        <f t="shared" si="1"/>
        <v>3</v>
      </c>
      <c r="K4" s="294">
        <f t="shared" si="31"/>
        <v>3</v>
      </c>
      <c r="L4" s="294">
        <f t="shared" si="2"/>
        <v>0</v>
      </c>
      <c r="M4" s="294">
        <f t="shared" si="32"/>
        <v>0</v>
      </c>
      <c r="N4" s="294">
        <f t="shared" si="3"/>
        <v>0</v>
      </c>
      <c r="O4" s="294">
        <f t="shared" si="33"/>
        <v>0</v>
      </c>
      <c r="P4" s="294">
        <f t="shared" si="4"/>
        <v>0</v>
      </c>
      <c r="Q4" s="294">
        <f t="shared" si="34"/>
        <v>0</v>
      </c>
      <c r="R4" s="294">
        <f t="shared" si="5"/>
        <v>0</v>
      </c>
      <c r="S4" s="294">
        <f t="shared" si="35"/>
        <v>0</v>
      </c>
      <c r="T4" s="294">
        <f t="shared" si="6"/>
        <v>0</v>
      </c>
      <c r="U4" s="294">
        <f t="shared" si="36"/>
        <v>0</v>
      </c>
      <c r="V4" s="294">
        <f t="shared" si="7"/>
        <v>0</v>
      </c>
      <c r="W4" s="294">
        <f t="shared" si="37"/>
        <v>0</v>
      </c>
      <c r="X4" s="294">
        <f t="shared" si="8"/>
        <v>0</v>
      </c>
      <c r="Y4" s="294">
        <f t="shared" si="38"/>
        <v>0</v>
      </c>
      <c r="Z4" s="294">
        <f t="shared" si="9"/>
        <v>0</v>
      </c>
      <c r="AA4" s="294">
        <f t="shared" si="39"/>
        <v>0</v>
      </c>
      <c r="AB4" s="294">
        <f t="shared" si="10"/>
        <v>0</v>
      </c>
      <c r="AC4" s="294">
        <f t="shared" si="40"/>
        <v>0</v>
      </c>
      <c r="AD4" s="294">
        <f t="shared" si="11"/>
        <v>0</v>
      </c>
      <c r="AE4" s="294">
        <f t="shared" si="41"/>
        <v>0</v>
      </c>
      <c r="AF4" s="294">
        <f t="shared" si="12"/>
        <v>0</v>
      </c>
      <c r="AG4" s="294">
        <f t="shared" si="42"/>
        <v>0</v>
      </c>
      <c r="AH4" s="294">
        <f t="shared" si="13"/>
        <v>0</v>
      </c>
      <c r="AI4" s="294">
        <f t="shared" si="43"/>
        <v>0</v>
      </c>
      <c r="AJ4" s="294">
        <f t="shared" si="14"/>
        <v>0</v>
      </c>
      <c r="AK4" s="294">
        <f t="shared" si="44"/>
        <v>0</v>
      </c>
      <c r="AL4" s="294">
        <f t="shared" si="15"/>
        <v>0</v>
      </c>
      <c r="AM4" s="294">
        <f t="shared" si="45"/>
        <v>0</v>
      </c>
      <c r="AN4" s="294">
        <f t="shared" si="16"/>
        <v>0</v>
      </c>
      <c r="AO4" s="294">
        <f t="shared" si="46"/>
        <v>0</v>
      </c>
      <c r="AP4" s="294">
        <f t="shared" si="17"/>
        <v>0</v>
      </c>
      <c r="AQ4" s="294">
        <f t="shared" si="47"/>
        <v>0</v>
      </c>
      <c r="AR4" s="294">
        <f t="shared" si="18"/>
        <v>0</v>
      </c>
      <c r="AS4" s="294">
        <f t="shared" si="48"/>
        <v>0</v>
      </c>
      <c r="AT4" s="294">
        <f t="shared" si="19"/>
        <v>0</v>
      </c>
      <c r="AU4" s="294">
        <f t="shared" si="49"/>
        <v>0</v>
      </c>
      <c r="AV4" s="294">
        <f t="shared" si="20"/>
        <v>0</v>
      </c>
      <c r="AW4" s="294">
        <f t="shared" si="50"/>
        <v>0</v>
      </c>
      <c r="AX4" s="294">
        <f t="shared" si="21"/>
        <v>0</v>
      </c>
      <c r="AY4" s="294">
        <f t="shared" si="51"/>
        <v>0</v>
      </c>
      <c r="AZ4" s="294">
        <f t="shared" si="22"/>
        <v>0</v>
      </c>
      <c r="BA4" s="294">
        <f t="shared" si="52"/>
        <v>0</v>
      </c>
      <c r="BB4" s="294">
        <f t="shared" si="23"/>
        <v>0</v>
      </c>
      <c r="BC4" s="294">
        <f t="shared" si="53"/>
        <v>0</v>
      </c>
      <c r="BD4" s="294">
        <f t="shared" si="24"/>
        <v>0</v>
      </c>
      <c r="BE4" s="294">
        <f t="shared" si="54"/>
        <v>0</v>
      </c>
      <c r="BF4" s="294">
        <f t="shared" si="25"/>
        <v>0</v>
      </c>
      <c r="BG4" s="294">
        <f t="shared" si="55"/>
        <v>0</v>
      </c>
      <c r="BH4" s="294">
        <f t="shared" si="26"/>
        <v>0</v>
      </c>
      <c r="BI4" s="294">
        <f t="shared" si="56"/>
        <v>0</v>
      </c>
    </row>
    <row r="5" spans="1:61" x14ac:dyDescent="0.35">
      <c r="A5" s="51" t="str">
        <f t="shared" si="27"/>
        <v>2.業務作業</v>
      </c>
      <c r="B5" s="51">
        <f t="shared" si="57"/>
        <v>0</v>
      </c>
      <c r="C5" s="51">
        <f t="shared" si="58"/>
        <v>49</v>
      </c>
      <c r="D5" s="51">
        <f t="shared" si="59"/>
        <v>49</v>
      </c>
      <c r="E5" s="37" t="e">
        <f t="shared" si="60"/>
        <v>#DIV/0!</v>
      </c>
      <c r="F5" s="294">
        <f t="shared" si="28"/>
        <v>0</v>
      </c>
      <c r="G5" s="294">
        <f t="shared" si="29"/>
        <v>0</v>
      </c>
      <c r="H5" s="294">
        <f t="shared" si="0"/>
        <v>5</v>
      </c>
      <c r="I5" s="294">
        <f t="shared" si="30"/>
        <v>5</v>
      </c>
      <c r="J5" s="294">
        <f t="shared" si="1"/>
        <v>0</v>
      </c>
      <c r="K5" s="294">
        <f t="shared" si="31"/>
        <v>0</v>
      </c>
      <c r="L5" s="294">
        <f t="shared" si="2"/>
        <v>10</v>
      </c>
      <c r="M5" s="294">
        <f t="shared" si="32"/>
        <v>10</v>
      </c>
      <c r="N5" s="294">
        <f t="shared" si="3"/>
        <v>9</v>
      </c>
      <c r="O5" s="294">
        <f t="shared" si="33"/>
        <v>9</v>
      </c>
      <c r="P5" s="294">
        <f t="shared" si="4"/>
        <v>6</v>
      </c>
      <c r="Q5" s="294">
        <f t="shared" si="34"/>
        <v>6</v>
      </c>
      <c r="R5" s="294">
        <f t="shared" si="5"/>
        <v>4</v>
      </c>
      <c r="S5" s="294">
        <f t="shared" si="35"/>
        <v>4</v>
      </c>
      <c r="T5" s="294">
        <f t="shared" si="6"/>
        <v>4</v>
      </c>
      <c r="U5" s="294">
        <f t="shared" si="36"/>
        <v>4</v>
      </c>
      <c r="V5" s="294">
        <f t="shared" si="7"/>
        <v>4</v>
      </c>
      <c r="W5" s="294">
        <f t="shared" si="37"/>
        <v>4</v>
      </c>
      <c r="X5" s="294">
        <f t="shared" si="8"/>
        <v>0</v>
      </c>
      <c r="Y5" s="294">
        <f t="shared" si="38"/>
        <v>0</v>
      </c>
      <c r="Z5" s="294">
        <f t="shared" si="9"/>
        <v>0</v>
      </c>
      <c r="AA5" s="294">
        <f t="shared" si="39"/>
        <v>0</v>
      </c>
      <c r="AB5" s="294">
        <f t="shared" si="10"/>
        <v>0</v>
      </c>
      <c r="AC5" s="294">
        <f t="shared" si="40"/>
        <v>0</v>
      </c>
      <c r="AD5" s="294">
        <f t="shared" si="11"/>
        <v>4</v>
      </c>
      <c r="AE5" s="294">
        <f t="shared" si="41"/>
        <v>4</v>
      </c>
      <c r="AF5" s="294">
        <f t="shared" si="12"/>
        <v>0</v>
      </c>
      <c r="AG5" s="294">
        <f t="shared" si="42"/>
        <v>0</v>
      </c>
      <c r="AH5" s="294">
        <f t="shared" si="13"/>
        <v>0</v>
      </c>
      <c r="AI5" s="294">
        <f t="shared" si="43"/>
        <v>0</v>
      </c>
      <c r="AJ5" s="294">
        <f t="shared" si="14"/>
        <v>0</v>
      </c>
      <c r="AK5" s="294">
        <f t="shared" si="44"/>
        <v>0</v>
      </c>
      <c r="AL5" s="294">
        <f t="shared" si="15"/>
        <v>0</v>
      </c>
      <c r="AM5" s="294">
        <f t="shared" si="45"/>
        <v>0</v>
      </c>
      <c r="AN5" s="294">
        <f t="shared" si="16"/>
        <v>0</v>
      </c>
      <c r="AO5" s="294">
        <f t="shared" si="46"/>
        <v>0</v>
      </c>
      <c r="AP5" s="294">
        <f t="shared" si="17"/>
        <v>3</v>
      </c>
      <c r="AQ5" s="294">
        <f t="shared" si="47"/>
        <v>3</v>
      </c>
      <c r="AR5" s="294">
        <f t="shared" si="18"/>
        <v>0</v>
      </c>
      <c r="AS5" s="294">
        <f t="shared" si="48"/>
        <v>0</v>
      </c>
      <c r="AT5" s="294">
        <f t="shared" si="19"/>
        <v>0</v>
      </c>
      <c r="AU5" s="294">
        <f t="shared" si="49"/>
        <v>0</v>
      </c>
      <c r="AV5" s="294">
        <f t="shared" si="20"/>
        <v>0</v>
      </c>
      <c r="AW5" s="294">
        <f t="shared" si="50"/>
        <v>0</v>
      </c>
      <c r="AX5" s="294">
        <f t="shared" si="21"/>
        <v>0</v>
      </c>
      <c r="AY5" s="294">
        <f t="shared" si="51"/>
        <v>0</v>
      </c>
      <c r="AZ5" s="294">
        <f t="shared" si="22"/>
        <v>0</v>
      </c>
      <c r="BA5" s="294">
        <f t="shared" si="52"/>
        <v>0</v>
      </c>
      <c r="BB5" s="294">
        <f t="shared" si="23"/>
        <v>0</v>
      </c>
      <c r="BC5" s="294">
        <f t="shared" si="53"/>
        <v>0</v>
      </c>
      <c r="BD5" s="294">
        <f t="shared" si="24"/>
        <v>0</v>
      </c>
      <c r="BE5" s="294">
        <f t="shared" si="54"/>
        <v>0</v>
      </c>
      <c r="BF5" s="294">
        <f t="shared" si="25"/>
        <v>0</v>
      </c>
      <c r="BG5" s="294">
        <f t="shared" si="55"/>
        <v>0</v>
      </c>
      <c r="BH5" s="294">
        <f t="shared" si="26"/>
        <v>0</v>
      </c>
      <c r="BI5" s="294">
        <f t="shared" si="56"/>
        <v>0</v>
      </c>
    </row>
    <row r="6" spans="1:61" x14ac:dyDescent="0.35">
      <c r="A6" s="51" t="str">
        <f t="shared" si="27"/>
        <v>3.帳務作業</v>
      </c>
      <c r="B6" s="51">
        <f t="shared" si="57"/>
        <v>0</v>
      </c>
      <c r="C6" s="51">
        <f t="shared" si="58"/>
        <v>18</v>
      </c>
      <c r="D6" s="51">
        <f t="shared" si="59"/>
        <v>18</v>
      </c>
      <c r="E6" s="37" t="e">
        <f t="shared" si="60"/>
        <v>#DIV/0!</v>
      </c>
      <c r="F6" s="294">
        <f t="shared" si="28"/>
        <v>0</v>
      </c>
      <c r="G6" s="294">
        <f t="shared" si="29"/>
        <v>0</v>
      </c>
      <c r="H6" s="294">
        <f t="shared" si="0"/>
        <v>0</v>
      </c>
      <c r="I6" s="294">
        <f t="shared" si="30"/>
        <v>0</v>
      </c>
      <c r="J6" s="294">
        <f t="shared" si="1"/>
        <v>0</v>
      </c>
      <c r="K6" s="294">
        <f t="shared" si="31"/>
        <v>0</v>
      </c>
      <c r="L6" s="294">
        <f t="shared" si="2"/>
        <v>0</v>
      </c>
      <c r="M6" s="294">
        <f t="shared" si="32"/>
        <v>0</v>
      </c>
      <c r="N6" s="294">
        <f t="shared" si="3"/>
        <v>0</v>
      </c>
      <c r="O6" s="294">
        <f t="shared" si="33"/>
        <v>0</v>
      </c>
      <c r="P6" s="294">
        <f t="shared" si="4"/>
        <v>0</v>
      </c>
      <c r="Q6" s="294">
        <f t="shared" si="34"/>
        <v>0</v>
      </c>
      <c r="R6" s="294">
        <f t="shared" si="5"/>
        <v>0</v>
      </c>
      <c r="S6" s="294">
        <f t="shared" si="35"/>
        <v>0</v>
      </c>
      <c r="T6" s="294">
        <f t="shared" si="6"/>
        <v>0</v>
      </c>
      <c r="U6" s="294">
        <f t="shared" si="36"/>
        <v>0</v>
      </c>
      <c r="V6" s="294">
        <f t="shared" si="7"/>
        <v>0</v>
      </c>
      <c r="W6" s="294">
        <f t="shared" si="37"/>
        <v>0</v>
      </c>
      <c r="X6" s="294">
        <f t="shared" si="8"/>
        <v>1</v>
      </c>
      <c r="Y6" s="294">
        <f t="shared" si="38"/>
        <v>1</v>
      </c>
      <c r="Z6" s="294">
        <f t="shared" si="9"/>
        <v>3</v>
      </c>
      <c r="AA6" s="294">
        <f t="shared" si="39"/>
        <v>3</v>
      </c>
      <c r="AB6" s="294">
        <f t="shared" si="10"/>
        <v>3</v>
      </c>
      <c r="AC6" s="294">
        <f t="shared" si="40"/>
        <v>3</v>
      </c>
      <c r="AD6" s="294">
        <f t="shared" si="11"/>
        <v>1</v>
      </c>
      <c r="AE6" s="294">
        <f t="shared" si="41"/>
        <v>1</v>
      </c>
      <c r="AF6" s="294">
        <f t="shared" si="12"/>
        <v>5</v>
      </c>
      <c r="AG6" s="294">
        <f t="shared" si="42"/>
        <v>5</v>
      </c>
      <c r="AH6" s="294">
        <f t="shared" si="13"/>
        <v>0</v>
      </c>
      <c r="AI6" s="294">
        <f t="shared" si="43"/>
        <v>0</v>
      </c>
      <c r="AJ6" s="294">
        <f t="shared" si="14"/>
        <v>0</v>
      </c>
      <c r="AK6" s="294">
        <f t="shared" si="44"/>
        <v>0</v>
      </c>
      <c r="AL6" s="294">
        <f t="shared" si="15"/>
        <v>5</v>
      </c>
      <c r="AM6" s="294">
        <f t="shared" si="45"/>
        <v>5</v>
      </c>
      <c r="AN6" s="294">
        <f t="shared" si="16"/>
        <v>0</v>
      </c>
      <c r="AO6" s="294">
        <f t="shared" si="46"/>
        <v>0</v>
      </c>
      <c r="AP6" s="294">
        <f t="shared" si="17"/>
        <v>0</v>
      </c>
      <c r="AQ6" s="294">
        <f t="shared" si="47"/>
        <v>0</v>
      </c>
      <c r="AR6" s="294">
        <f t="shared" si="18"/>
        <v>0</v>
      </c>
      <c r="AS6" s="294">
        <f t="shared" si="48"/>
        <v>0</v>
      </c>
      <c r="AT6" s="294">
        <f t="shared" si="19"/>
        <v>0</v>
      </c>
      <c r="AU6" s="294">
        <f t="shared" si="49"/>
        <v>0</v>
      </c>
      <c r="AV6" s="294">
        <f t="shared" si="20"/>
        <v>0</v>
      </c>
      <c r="AW6" s="294">
        <f t="shared" si="50"/>
        <v>0</v>
      </c>
      <c r="AX6" s="294">
        <f t="shared" si="21"/>
        <v>0</v>
      </c>
      <c r="AY6" s="294">
        <f t="shared" si="51"/>
        <v>0</v>
      </c>
      <c r="AZ6" s="294">
        <f t="shared" si="22"/>
        <v>0</v>
      </c>
      <c r="BA6" s="294">
        <f t="shared" si="52"/>
        <v>0</v>
      </c>
      <c r="BB6" s="294">
        <f t="shared" si="23"/>
        <v>0</v>
      </c>
      <c r="BC6" s="294">
        <f t="shared" si="53"/>
        <v>0</v>
      </c>
      <c r="BD6" s="294">
        <f t="shared" si="24"/>
        <v>0</v>
      </c>
      <c r="BE6" s="294">
        <f t="shared" si="54"/>
        <v>0</v>
      </c>
      <c r="BF6" s="294">
        <f t="shared" si="25"/>
        <v>0</v>
      </c>
      <c r="BG6" s="294">
        <f t="shared" si="55"/>
        <v>0</v>
      </c>
      <c r="BH6" s="294">
        <f t="shared" si="26"/>
        <v>0</v>
      </c>
      <c r="BI6" s="294">
        <f t="shared" si="56"/>
        <v>0</v>
      </c>
    </row>
    <row r="7" spans="1:61" x14ac:dyDescent="0.35">
      <c r="A7" s="51" t="str">
        <f t="shared" si="27"/>
        <v>4.批次作業</v>
      </c>
      <c r="B7" s="51">
        <f t="shared" si="57"/>
        <v>11</v>
      </c>
      <c r="C7" s="51">
        <f t="shared" si="58"/>
        <v>35</v>
      </c>
      <c r="D7" s="51">
        <f t="shared" si="59"/>
        <v>35</v>
      </c>
      <c r="E7" s="37">
        <f t="shared" si="60"/>
        <v>3.1818181818181817</v>
      </c>
      <c r="F7" s="294">
        <f t="shared" si="28"/>
        <v>0</v>
      </c>
      <c r="G7" s="294">
        <f t="shared" si="29"/>
        <v>0</v>
      </c>
      <c r="H7" s="294">
        <f t="shared" si="0"/>
        <v>0</v>
      </c>
      <c r="I7" s="294">
        <f t="shared" si="30"/>
        <v>0</v>
      </c>
      <c r="J7" s="294">
        <f t="shared" si="1"/>
        <v>0</v>
      </c>
      <c r="K7" s="294">
        <f t="shared" si="31"/>
        <v>0</v>
      </c>
      <c r="L7" s="294">
        <f t="shared" si="2"/>
        <v>0</v>
      </c>
      <c r="M7" s="294">
        <f t="shared" si="32"/>
        <v>0</v>
      </c>
      <c r="N7" s="294">
        <f t="shared" si="3"/>
        <v>0</v>
      </c>
      <c r="O7" s="294">
        <f t="shared" si="33"/>
        <v>0</v>
      </c>
      <c r="P7" s="294">
        <f t="shared" si="4"/>
        <v>0</v>
      </c>
      <c r="Q7" s="294">
        <f t="shared" si="34"/>
        <v>0</v>
      </c>
      <c r="R7" s="294">
        <f t="shared" si="5"/>
        <v>0</v>
      </c>
      <c r="S7" s="294">
        <f t="shared" si="35"/>
        <v>0</v>
      </c>
      <c r="T7" s="294">
        <f t="shared" si="6"/>
        <v>0</v>
      </c>
      <c r="U7" s="294">
        <f t="shared" si="36"/>
        <v>0</v>
      </c>
      <c r="V7" s="294">
        <f t="shared" si="7"/>
        <v>0</v>
      </c>
      <c r="W7" s="294">
        <f t="shared" si="37"/>
        <v>0</v>
      </c>
      <c r="X7" s="294">
        <f t="shared" si="8"/>
        <v>3</v>
      </c>
      <c r="Y7" s="294">
        <f t="shared" si="38"/>
        <v>3</v>
      </c>
      <c r="Z7" s="294">
        <f t="shared" si="9"/>
        <v>0</v>
      </c>
      <c r="AA7" s="294">
        <f t="shared" si="39"/>
        <v>0</v>
      </c>
      <c r="AB7" s="294">
        <f t="shared" si="10"/>
        <v>0</v>
      </c>
      <c r="AC7" s="294">
        <f t="shared" si="40"/>
        <v>0</v>
      </c>
      <c r="AD7" s="294">
        <f t="shared" si="11"/>
        <v>0</v>
      </c>
      <c r="AE7" s="294">
        <f t="shared" si="41"/>
        <v>0</v>
      </c>
      <c r="AF7" s="294">
        <f t="shared" si="12"/>
        <v>0</v>
      </c>
      <c r="AG7" s="294">
        <f t="shared" si="42"/>
        <v>0</v>
      </c>
      <c r="AH7" s="294">
        <f t="shared" si="13"/>
        <v>6</v>
      </c>
      <c r="AI7" s="294">
        <f t="shared" si="43"/>
        <v>6</v>
      </c>
      <c r="AJ7" s="294">
        <f t="shared" si="14"/>
        <v>4</v>
      </c>
      <c r="AK7" s="294">
        <f t="shared" si="44"/>
        <v>4</v>
      </c>
      <c r="AL7" s="294">
        <f t="shared" si="15"/>
        <v>1</v>
      </c>
      <c r="AM7" s="294">
        <f t="shared" si="45"/>
        <v>1</v>
      </c>
      <c r="AN7" s="294">
        <f t="shared" si="16"/>
        <v>4</v>
      </c>
      <c r="AO7" s="294">
        <f t="shared" si="46"/>
        <v>4</v>
      </c>
      <c r="AP7" s="294">
        <f t="shared" si="17"/>
        <v>0</v>
      </c>
      <c r="AQ7" s="294">
        <f t="shared" si="47"/>
        <v>0</v>
      </c>
      <c r="AR7" s="294">
        <f t="shared" si="18"/>
        <v>12</v>
      </c>
      <c r="AS7" s="294">
        <f t="shared" si="48"/>
        <v>12</v>
      </c>
      <c r="AT7" s="294">
        <f t="shared" si="19"/>
        <v>5</v>
      </c>
      <c r="AU7" s="294">
        <f t="shared" si="49"/>
        <v>5</v>
      </c>
      <c r="AV7" s="294">
        <f t="shared" si="20"/>
        <v>0</v>
      </c>
      <c r="AW7" s="294">
        <f t="shared" si="50"/>
        <v>0</v>
      </c>
      <c r="AX7" s="294">
        <f t="shared" si="21"/>
        <v>0</v>
      </c>
      <c r="AY7" s="294">
        <f t="shared" si="51"/>
        <v>0</v>
      </c>
      <c r="AZ7" s="294">
        <f t="shared" si="22"/>
        <v>0</v>
      </c>
      <c r="BA7" s="294">
        <f t="shared" si="52"/>
        <v>0</v>
      </c>
      <c r="BB7" s="294">
        <f t="shared" si="23"/>
        <v>0</v>
      </c>
      <c r="BC7" s="294">
        <f t="shared" si="53"/>
        <v>0</v>
      </c>
      <c r="BD7" s="294">
        <f t="shared" si="24"/>
        <v>0</v>
      </c>
      <c r="BE7" s="294">
        <f t="shared" si="54"/>
        <v>0</v>
      </c>
      <c r="BF7" s="294">
        <f t="shared" si="25"/>
        <v>0</v>
      </c>
      <c r="BG7" s="294">
        <f t="shared" si="55"/>
        <v>0</v>
      </c>
      <c r="BH7" s="294">
        <f t="shared" si="26"/>
        <v>6</v>
      </c>
      <c r="BI7" s="294">
        <f t="shared" si="56"/>
        <v>6</v>
      </c>
    </row>
    <row r="8" spans="1:61" x14ac:dyDescent="0.35">
      <c r="A8" s="51" t="str">
        <f t="shared" si="27"/>
        <v xml:space="preserve">5.管理性作業 </v>
      </c>
      <c r="B8" s="51">
        <f t="shared" si="57"/>
        <v>0</v>
      </c>
      <c r="C8" s="51">
        <f t="shared" si="58"/>
        <v>26</v>
      </c>
      <c r="D8" s="51">
        <f t="shared" si="59"/>
        <v>26</v>
      </c>
      <c r="E8" s="37" t="e">
        <f t="shared" si="60"/>
        <v>#DIV/0!</v>
      </c>
      <c r="F8" s="294">
        <f t="shared" si="28"/>
        <v>0</v>
      </c>
      <c r="G8" s="294">
        <f t="shared" si="29"/>
        <v>0</v>
      </c>
      <c r="H8" s="294">
        <f t="shared" si="0"/>
        <v>0</v>
      </c>
      <c r="I8" s="294">
        <f t="shared" si="30"/>
        <v>0</v>
      </c>
      <c r="J8" s="294">
        <f t="shared" si="1"/>
        <v>0</v>
      </c>
      <c r="K8" s="294">
        <f t="shared" si="31"/>
        <v>0</v>
      </c>
      <c r="L8" s="294">
        <f t="shared" si="2"/>
        <v>0</v>
      </c>
      <c r="M8" s="294">
        <f t="shared" si="32"/>
        <v>0</v>
      </c>
      <c r="N8" s="294">
        <f t="shared" si="3"/>
        <v>0</v>
      </c>
      <c r="O8" s="294">
        <f t="shared" si="33"/>
        <v>0</v>
      </c>
      <c r="P8" s="294">
        <f t="shared" si="4"/>
        <v>0</v>
      </c>
      <c r="Q8" s="294">
        <f t="shared" si="34"/>
        <v>0</v>
      </c>
      <c r="R8" s="294">
        <f t="shared" si="5"/>
        <v>0</v>
      </c>
      <c r="S8" s="294">
        <f t="shared" si="35"/>
        <v>0</v>
      </c>
      <c r="T8" s="294">
        <f t="shared" si="6"/>
        <v>0</v>
      </c>
      <c r="U8" s="294">
        <f t="shared" si="36"/>
        <v>0</v>
      </c>
      <c r="V8" s="294">
        <f t="shared" si="7"/>
        <v>0</v>
      </c>
      <c r="W8" s="294">
        <f t="shared" si="37"/>
        <v>0</v>
      </c>
      <c r="X8" s="294">
        <f t="shared" si="8"/>
        <v>0</v>
      </c>
      <c r="Y8" s="294">
        <f t="shared" si="38"/>
        <v>0</v>
      </c>
      <c r="Z8" s="294">
        <f t="shared" si="9"/>
        <v>0</v>
      </c>
      <c r="AA8" s="294">
        <f t="shared" si="39"/>
        <v>0</v>
      </c>
      <c r="AB8" s="294">
        <f t="shared" si="10"/>
        <v>0</v>
      </c>
      <c r="AC8" s="294">
        <f t="shared" si="40"/>
        <v>0</v>
      </c>
      <c r="AD8" s="294">
        <f t="shared" si="11"/>
        <v>0</v>
      </c>
      <c r="AE8" s="294">
        <f t="shared" si="41"/>
        <v>0</v>
      </c>
      <c r="AF8" s="294">
        <f t="shared" si="12"/>
        <v>0</v>
      </c>
      <c r="AG8" s="294">
        <f t="shared" si="42"/>
        <v>0</v>
      </c>
      <c r="AH8" s="294">
        <f t="shared" si="13"/>
        <v>0</v>
      </c>
      <c r="AI8" s="294">
        <f t="shared" si="43"/>
        <v>0</v>
      </c>
      <c r="AJ8" s="294">
        <f t="shared" si="14"/>
        <v>0</v>
      </c>
      <c r="AK8" s="294">
        <f t="shared" si="44"/>
        <v>0</v>
      </c>
      <c r="AL8" s="294">
        <f t="shared" si="15"/>
        <v>0</v>
      </c>
      <c r="AM8" s="294">
        <f t="shared" si="45"/>
        <v>0</v>
      </c>
      <c r="AN8" s="294">
        <f t="shared" si="16"/>
        <v>0</v>
      </c>
      <c r="AO8" s="294">
        <f t="shared" si="46"/>
        <v>0</v>
      </c>
      <c r="AP8" s="294">
        <f t="shared" si="17"/>
        <v>0</v>
      </c>
      <c r="AQ8" s="294">
        <f t="shared" si="47"/>
        <v>0</v>
      </c>
      <c r="AR8" s="294">
        <f t="shared" si="18"/>
        <v>0</v>
      </c>
      <c r="AS8" s="294">
        <f t="shared" si="48"/>
        <v>0</v>
      </c>
      <c r="AT8" s="294">
        <f t="shared" si="19"/>
        <v>0</v>
      </c>
      <c r="AU8" s="294">
        <f t="shared" si="49"/>
        <v>0</v>
      </c>
      <c r="AV8" s="294">
        <f t="shared" si="20"/>
        <v>6</v>
      </c>
      <c r="AW8" s="294">
        <f t="shared" si="50"/>
        <v>6</v>
      </c>
      <c r="AX8" s="294">
        <f t="shared" si="21"/>
        <v>4</v>
      </c>
      <c r="AY8" s="294">
        <f t="shared" si="51"/>
        <v>4</v>
      </c>
      <c r="AZ8" s="294">
        <f t="shared" si="22"/>
        <v>8</v>
      </c>
      <c r="BA8" s="294">
        <f t="shared" si="52"/>
        <v>8</v>
      </c>
      <c r="BB8" s="294">
        <f t="shared" si="23"/>
        <v>8</v>
      </c>
      <c r="BC8" s="294">
        <f t="shared" si="53"/>
        <v>8</v>
      </c>
      <c r="BD8" s="294">
        <f t="shared" si="24"/>
        <v>0</v>
      </c>
      <c r="BE8" s="294">
        <f t="shared" si="54"/>
        <v>0</v>
      </c>
      <c r="BF8" s="294">
        <f t="shared" si="25"/>
        <v>0</v>
      </c>
      <c r="BG8" s="294">
        <f t="shared" si="55"/>
        <v>0</v>
      </c>
      <c r="BH8" s="294">
        <f t="shared" si="26"/>
        <v>0</v>
      </c>
      <c r="BI8" s="294">
        <f t="shared" si="56"/>
        <v>0</v>
      </c>
    </row>
    <row r="9" spans="1:61" x14ac:dyDescent="0.35">
      <c r="A9" s="51" t="str">
        <f t="shared" si="27"/>
        <v>6.共同作業</v>
      </c>
      <c r="B9" s="51">
        <f t="shared" si="57"/>
        <v>0</v>
      </c>
      <c r="C9" s="51">
        <f t="shared" si="58"/>
        <v>10</v>
      </c>
      <c r="D9" s="51">
        <f t="shared" si="59"/>
        <v>10</v>
      </c>
      <c r="E9" s="37" t="e">
        <f t="shared" si="60"/>
        <v>#DIV/0!</v>
      </c>
      <c r="F9" s="294">
        <f t="shared" si="28"/>
        <v>1</v>
      </c>
      <c r="G9" s="294">
        <f t="shared" si="29"/>
        <v>1</v>
      </c>
      <c r="H9" s="294">
        <f t="shared" si="0"/>
        <v>0</v>
      </c>
      <c r="I9" s="294">
        <f t="shared" si="30"/>
        <v>0</v>
      </c>
      <c r="J9" s="294">
        <f t="shared" si="1"/>
        <v>0</v>
      </c>
      <c r="K9" s="294">
        <f t="shared" si="31"/>
        <v>0</v>
      </c>
      <c r="L9" s="294">
        <f t="shared" si="2"/>
        <v>2</v>
      </c>
      <c r="M9" s="294">
        <f t="shared" si="32"/>
        <v>2</v>
      </c>
      <c r="N9" s="294">
        <f t="shared" si="3"/>
        <v>0</v>
      </c>
      <c r="O9" s="294">
        <f t="shared" si="33"/>
        <v>0</v>
      </c>
      <c r="P9" s="294">
        <f t="shared" si="4"/>
        <v>0</v>
      </c>
      <c r="Q9" s="294">
        <f t="shared" si="34"/>
        <v>0</v>
      </c>
      <c r="R9" s="294">
        <f t="shared" si="5"/>
        <v>2</v>
      </c>
      <c r="S9" s="294">
        <f t="shared" si="35"/>
        <v>2</v>
      </c>
      <c r="T9" s="294">
        <f t="shared" si="6"/>
        <v>0</v>
      </c>
      <c r="U9" s="294">
        <f t="shared" si="36"/>
        <v>0</v>
      </c>
      <c r="V9" s="294">
        <f t="shared" si="7"/>
        <v>0</v>
      </c>
      <c r="W9" s="294">
        <f t="shared" si="37"/>
        <v>0</v>
      </c>
      <c r="X9" s="294">
        <f t="shared" si="8"/>
        <v>0</v>
      </c>
      <c r="Y9" s="294">
        <f t="shared" si="38"/>
        <v>0</v>
      </c>
      <c r="Z9" s="294">
        <f t="shared" si="9"/>
        <v>1</v>
      </c>
      <c r="AA9" s="294">
        <f t="shared" si="39"/>
        <v>1</v>
      </c>
      <c r="AB9" s="294">
        <f t="shared" si="10"/>
        <v>0</v>
      </c>
      <c r="AC9" s="294">
        <f t="shared" si="40"/>
        <v>0</v>
      </c>
      <c r="AD9" s="294">
        <f t="shared" si="11"/>
        <v>2</v>
      </c>
      <c r="AE9" s="294">
        <f t="shared" si="41"/>
        <v>2</v>
      </c>
      <c r="AF9" s="294">
        <f t="shared" si="12"/>
        <v>0</v>
      </c>
      <c r="AG9" s="294">
        <f t="shared" si="42"/>
        <v>0</v>
      </c>
      <c r="AH9" s="294">
        <f t="shared" si="13"/>
        <v>1</v>
      </c>
      <c r="AI9" s="294">
        <f t="shared" si="43"/>
        <v>1</v>
      </c>
      <c r="AJ9" s="294">
        <f t="shared" si="14"/>
        <v>0</v>
      </c>
      <c r="AK9" s="294">
        <f t="shared" si="44"/>
        <v>0</v>
      </c>
      <c r="AL9" s="294">
        <f t="shared" si="15"/>
        <v>1</v>
      </c>
      <c r="AM9" s="294">
        <f t="shared" si="45"/>
        <v>1</v>
      </c>
      <c r="AN9" s="294">
        <f t="shared" si="16"/>
        <v>0</v>
      </c>
      <c r="AO9" s="294">
        <f t="shared" si="46"/>
        <v>0</v>
      </c>
      <c r="AP9" s="294">
        <f t="shared" si="17"/>
        <v>0</v>
      </c>
      <c r="AQ9" s="294">
        <f t="shared" si="47"/>
        <v>0</v>
      </c>
      <c r="AR9" s="294">
        <f t="shared" si="18"/>
        <v>0</v>
      </c>
      <c r="AS9" s="294">
        <f t="shared" si="48"/>
        <v>0</v>
      </c>
      <c r="AT9" s="294">
        <f t="shared" si="19"/>
        <v>0</v>
      </c>
      <c r="AU9" s="294">
        <f t="shared" si="49"/>
        <v>0</v>
      </c>
      <c r="AV9" s="294">
        <f t="shared" si="20"/>
        <v>0</v>
      </c>
      <c r="AW9" s="294">
        <f t="shared" si="50"/>
        <v>0</v>
      </c>
      <c r="AX9" s="294">
        <f t="shared" si="21"/>
        <v>0</v>
      </c>
      <c r="AY9" s="294">
        <f t="shared" si="51"/>
        <v>0</v>
      </c>
      <c r="AZ9" s="294">
        <f t="shared" si="22"/>
        <v>0</v>
      </c>
      <c r="BA9" s="294">
        <f t="shared" si="52"/>
        <v>0</v>
      </c>
      <c r="BB9" s="294">
        <f t="shared" si="23"/>
        <v>0</v>
      </c>
      <c r="BC9" s="294">
        <f t="shared" si="53"/>
        <v>0</v>
      </c>
      <c r="BD9" s="294">
        <f t="shared" si="24"/>
        <v>13</v>
      </c>
      <c r="BE9" s="294">
        <f t="shared" si="54"/>
        <v>13</v>
      </c>
      <c r="BF9" s="294">
        <f t="shared" si="25"/>
        <v>22</v>
      </c>
      <c r="BG9" s="294">
        <f t="shared" si="55"/>
        <v>22</v>
      </c>
      <c r="BH9" s="294">
        <f t="shared" si="26"/>
        <v>0</v>
      </c>
      <c r="BI9" s="294">
        <f t="shared" si="56"/>
        <v>0</v>
      </c>
    </row>
    <row r="10" spans="1:61" x14ac:dyDescent="0.35">
      <c r="A10" s="51" t="str">
        <f t="shared" si="27"/>
        <v>8.遵循法令作業</v>
      </c>
      <c r="B10" s="51">
        <f t="shared" si="57"/>
        <v>0</v>
      </c>
      <c r="C10" s="51">
        <f t="shared" si="58"/>
        <v>0</v>
      </c>
      <c r="D10" s="51">
        <f t="shared" si="59"/>
        <v>0</v>
      </c>
      <c r="E10" s="37" t="e">
        <f t="shared" si="60"/>
        <v>#DIV/0!</v>
      </c>
      <c r="F10" s="294">
        <f t="shared" si="28"/>
        <v>0</v>
      </c>
      <c r="G10" s="294">
        <f t="shared" si="29"/>
        <v>0</v>
      </c>
      <c r="H10" s="294">
        <f t="shared" si="0"/>
        <v>0</v>
      </c>
      <c r="I10" s="294">
        <f t="shared" si="30"/>
        <v>0</v>
      </c>
      <c r="J10" s="294">
        <f t="shared" si="1"/>
        <v>0</v>
      </c>
      <c r="K10" s="294">
        <f t="shared" si="31"/>
        <v>0</v>
      </c>
      <c r="L10" s="294">
        <f t="shared" si="2"/>
        <v>0</v>
      </c>
      <c r="M10" s="294">
        <f t="shared" si="32"/>
        <v>0</v>
      </c>
      <c r="N10" s="294">
        <f t="shared" si="3"/>
        <v>0</v>
      </c>
      <c r="O10" s="294">
        <f t="shared" si="33"/>
        <v>0</v>
      </c>
      <c r="P10" s="294">
        <f t="shared" si="4"/>
        <v>0</v>
      </c>
      <c r="Q10" s="294">
        <f t="shared" si="34"/>
        <v>0</v>
      </c>
      <c r="R10" s="294">
        <f t="shared" si="5"/>
        <v>0</v>
      </c>
      <c r="S10" s="294">
        <f t="shared" si="35"/>
        <v>0</v>
      </c>
      <c r="T10" s="294">
        <f t="shared" si="6"/>
        <v>0</v>
      </c>
      <c r="U10" s="294">
        <f t="shared" si="36"/>
        <v>0</v>
      </c>
      <c r="V10" s="294">
        <f t="shared" si="7"/>
        <v>0</v>
      </c>
      <c r="W10" s="294">
        <f t="shared" si="37"/>
        <v>0</v>
      </c>
      <c r="X10" s="294">
        <f t="shared" si="8"/>
        <v>0</v>
      </c>
      <c r="Y10" s="294">
        <f t="shared" si="38"/>
        <v>0</v>
      </c>
      <c r="Z10" s="294">
        <f t="shared" si="9"/>
        <v>0</v>
      </c>
      <c r="AA10" s="294">
        <f t="shared" si="39"/>
        <v>0</v>
      </c>
      <c r="AB10" s="294">
        <f t="shared" si="10"/>
        <v>0</v>
      </c>
      <c r="AC10" s="294">
        <f t="shared" si="40"/>
        <v>0</v>
      </c>
      <c r="AD10" s="294">
        <f t="shared" si="11"/>
        <v>0</v>
      </c>
      <c r="AE10" s="294">
        <f t="shared" si="41"/>
        <v>0</v>
      </c>
      <c r="AF10" s="294">
        <f t="shared" si="12"/>
        <v>0</v>
      </c>
      <c r="AG10" s="294">
        <f t="shared" si="42"/>
        <v>0</v>
      </c>
      <c r="AH10" s="294">
        <f t="shared" si="13"/>
        <v>0</v>
      </c>
      <c r="AI10" s="294">
        <f t="shared" si="43"/>
        <v>0</v>
      </c>
      <c r="AJ10" s="294">
        <f t="shared" si="14"/>
        <v>0</v>
      </c>
      <c r="AK10" s="294">
        <f t="shared" si="44"/>
        <v>0</v>
      </c>
      <c r="AL10" s="294">
        <f t="shared" si="15"/>
        <v>0</v>
      </c>
      <c r="AM10" s="294">
        <f t="shared" si="45"/>
        <v>0</v>
      </c>
      <c r="AN10" s="294">
        <f t="shared" si="16"/>
        <v>0</v>
      </c>
      <c r="AO10" s="294">
        <f t="shared" si="46"/>
        <v>0</v>
      </c>
      <c r="AP10" s="294">
        <f t="shared" si="17"/>
        <v>0</v>
      </c>
      <c r="AQ10" s="294">
        <f t="shared" si="47"/>
        <v>0</v>
      </c>
      <c r="AR10" s="294">
        <f t="shared" si="18"/>
        <v>0</v>
      </c>
      <c r="AS10" s="294">
        <f t="shared" si="48"/>
        <v>0</v>
      </c>
      <c r="AT10" s="294">
        <f t="shared" si="19"/>
        <v>0</v>
      </c>
      <c r="AU10" s="294">
        <f t="shared" si="49"/>
        <v>0</v>
      </c>
      <c r="AV10" s="294">
        <f t="shared" si="20"/>
        <v>0</v>
      </c>
      <c r="AW10" s="294">
        <f t="shared" si="50"/>
        <v>0</v>
      </c>
      <c r="AX10" s="294">
        <f t="shared" si="21"/>
        <v>0</v>
      </c>
      <c r="AY10" s="294">
        <f t="shared" si="51"/>
        <v>0</v>
      </c>
      <c r="AZ10" s="294">
        <f t="shared" si="22"/>
        <v>0</v>
      </c>
      <c r="BA10" s="294">
        <f t="shared" si="52"/>
        <v>0</v>
      </c>
      <c r="BB10" s="294">
        <f t="shared" si="23"/>
        <v>0</v>
      </c>
      <c r="BC10" s="294">
        <f t="shared" si="53"/>
        <v>0</v>
      </c>
      <c r="BD10" s="294">
        <f t="shared" si="24"/>
        <v>31</v>
      </c>
      <c r="BE10" s="294">
        <f t="shared" si="54"/>
        <v>31</v>
      </c>
      <c r="BF10" s="294">
        <f t="shared" si="25"/>
        <v>21</v>
      </c>
      <c r="BG10" s="294">
        <f t="shared" si="55"/>
        <v>21</v>
      </c>
      <c r="BH10" s="294">
        <f t="shared" si="26"/>
        <v>0</v>
      </c>
      <c r="BI10" s="294">
        <f t="shared" si="56"/>
        <v>0</v>
      </c>
    </row>
    <row r="11" spans="1:61" x14ac:dyDescent="0.35">
      <c r="A11" s="51" t="str">
        <f t="shared" si="27"/>
        <v xml:space="preserve">9.報表作業 </v>
      </c>
      <c r="B11" s="51">
        <f t="shared" si="57"/>
        <v>0</v>
      </c>
      <c r="C11" s="51">
        <f t="shared" si="58"/>
        <v>1</v>
      </c>
      <c r="D11" s="51">
        <f t="shared" si="59"/>
        <v>1</v>
      </c>
      <c r="E11" s="37" t="e">
        <f t="shared" si="60"/>
        <v>#DIV/0!</v>
      </c>
      <c r="F11" s="294">
        <f t="shared" si="28"/>
        <v>0</v>
      </c>
      <c r="G11" s="294">
        <f t="shared" si="29"/>
        <v>0</v>
      </c>
      <c r="H11" s="294">
        <f t="shared" si="0"/>
        <v>0</v>
      </c>
      <c r="I11" s="294">
        <f t="shared" si="30"/>
        <v>0</v>
      </c>
      <c r="J11" s="294">
        <f t="shared" si="1"/>
        <v>0</v>
      </c>
      <c r="K11" s="294">
        <f t="shared" si="31"/>
        <v>0</v>
      </c>
      <c r="L11" s="294">
        <f t="shared" si="2"/>
        <v>0</v>
      </c>
      <c r="M11" s="294">
        <f t="shared" si="32"/>
        <v>0</v>
      </c>
      <c r="N11" s="294">
        <f t="shared" si="3"/>
        <v>0</v>
      </c>
      <c r="O11" s="294">
        <f t="shared" si="33"/>
        <v>0</v>
      </c>
      <c r="P11" s="294">
        <f t="shared" si="4"/>
        <v>0</v>
      </c>
      <c r="Q11" s="294">
        <f t="shared" si="34"/>
        <v>0</v>
      </c>
      <c r="R11" s="294">
        <f t="shared" si="5"/>
        <v>0</v>
      </c>
      <c r="S11" s="294">
        <f t="shared" si="35"/>
        <v>0</v>
      </c>
      <c r="T11" s="294">
        <f t="shared" si="6"/>
        <v>0</v>
      </c>
      <c r="U11" s="294">
        <f t="shared" si="36"/>
        <v>0</v>
      </c>
      <c r="V11" s="294">
        <f t="shared" si="7"/>
        <v>0</v>
      </c>
      <c r="W11" s="294">
        <f t="shared" si="37"/>
        <v>0</v>
      </c>
      <c r="X11" s="294">
        <f t="shared" si="8"/>
        <v>1</v>
      </c>
      <c r="Y11" s="294">
        <f t="shared" si="38"/>
        <v>1</v>
      </c>
      <c r="Z11" s="294">
        <f t="shared" si="9"/>
        <v>0</v>
      </c>
      <c r="AA11" s="294">
        <f t="shared" si="39"/>
        <v>0</v>
      </c>
      <c r="AB11" s="294">
        <f t="shared" si="10"/>
        <v>0</v>
      </c>
      <c r="AC11" s="294">
        <f t="shared" si="40"/>
        <v>0</v>
      </c>
      <c r="AD11" s="294">
        <f t="shared" si="11"/>
        <v>0</v>
      </c>
      <c r="AE11" s="294">
        <f t="shared" si="41"/>
        <v>0</v>
      </c>
      <c r="AF11" s="294">
        <f t="shared" si="12"/>
        <v>0</v>
      </c>
      <c r="AG11" s="294">
        <f t="shared" si="42"/>
        <v>0</v>
      </c>
      <c r="AH11" s="294">
        <f t="shared" si="13"/>
        <v>0</v>
      </c>
      <c r="AI11" s="294">
        <f t="shared" si="43"/>
        <v>0</v>
      </c>
      <c r="AJ11" s="294">
        <f t="shared" si="14"/>
        <v>0</v>
      </c>
      <c r="AK11" s="294">
        <f t="shared" si="44"/>
        <v>0</v>
      </c>
      <c r="AL11" s="294">
        <f t="shared" si="15"/>
        <v>0</v>
      </c>
      <c r="AM11" s="294">
        <f t="shared" si="45"/>
        <v>0</v>
      </c>
      <c r="AN11" s="294">
        <f t="shared" si="16"/>
        <v>0</v>
      </c>
      <c r="AO11" s="294">
        <f t="shared" si="46"/>
        <v>0</v>
      </c>
      <c r="AP11" s="294">
        <f t="shared" si="17"/>
        <v>0</v>
      </c>
      <c r="AQ11" s="294">
        <f t="shared" si="47"/>
        <v>0</v>
      </c>
      <c r="AR11" s="294">
        <f t="shared" si="18"/>
        <v>0</v>
      </c>
      <c r="AS11" s="294">
        <f t="shared" si="48"/>
        <v>0</v>
      </c>
      <c r="AT11" s="294">
        <f t="shared" si="19"/>
        <v>0</v>
      </c>
      <c r="AU11" s="294">
        <f t="shared" si="49"/>
        <v>0</v>
      </c>
      <c r="AV11" s="294">
        <f t="shared" si="20"/>
        <v>0</v>
      </c>
      <c r="AW11" s="294">
        <f t="shared" si="50"/>
        <v>0</v>
      </c>
      <c r="AX11" s="294">
        <f t="shared" si="21"/>
        <v>0</v>
      </c>
      <c r="AY11" s="294">
        <f t="shared" si="51"/>
        <v>0</v>
      </c>
      <c r="AZ11" s="294">
        <f t="shared" si="22"/>
        <v>0</v>
      </c>
      <c r="BA11" s="294">
        <f t="shared" si="52"/>
        <v>0</v>
      </c>
      <c r="BB11" s="294">
        <f t="shared" si="23"/>
        <v>0</v>
      </c>
      <c r="BC11" s="294">
        <f t="shared" si="53"/>
        <v>0</v>
      </c>
      <c r="BD11" s="294">
        <f t="shared" si="24"/>
        <v>0</v>
      </c>
      <c r="BE11" s="294">
        <f t="shared" si="54"/>
        <v>0</v>
      </c>
      <c r="BF11" s="294">
        <f t="shared" si="25"/>
        <v>0</v>
      </c>
      <c r="BG11" s="294">
        <f t="shared" si="55"/>
        <v>0</v>
      </c>
      <c r="BH11" s="294">
        <f t="shared" si="26"/>
        <v>0</v>
      </c>
      <c r="BI11" s="294">
        <f t="shared" si="56"/>
        <v>0</v>
      </c>
    </row>
    <row r="12" spans="1:61" x14ac:dyDescent="0.35">
      <c r="A12" s="50" t="str">
        <f t="shared" si="27"/>
        <v>總計</v>
      </c>
      <c r="B12" s="51">
        <f t="shared" si="57"/>
        <v>11</v>
      </c>
      <c r="C12" s="51">
        <f t="shared" si="58"/>
        <v>154</v>
      </c>
      <c r="D12" s="51">
        <f t="shared" si="59"/>
        <v>154</v>
      </c>
      <c r="E12" s="37">
        <f t="shared" si="60"/>
        <v>14</v>
      </c>
      <c r="F12" s="38">
        <f t="shared" si="28"/>
        <v>9</v>
      </c>
      <c r="G12" s="38">
        <f t="shared" si="29"/>
        <v>9</v>
      </c>
      <c r="H12" s="38">
        <f t="shared" si="0"/>
        <v>9</v>
      </c>
      <c r="I12" s="38">
        <f t="shared" si="30"/>
        <v>9</v>
      </c>
      <c r="J12" s="38">
        <f t="shared" si="1"/>
        <v>3</v>
      </c>
      <c r="K12" s="38">
        <f t="shared" si="31"/>
        <v>3</v>
      </c>
      <c r="L12" s="38">
        <f t="shared" si="2"/>
        <v>12</v>
      </c>
      <c r="M12" s="38">
        <f t="shared" si="32"/>
        <v>12</v>
      </c>
      <c r="N12" s="38">
        <f t="shared" si="3"/>
        <v>9</v>
      </c>
      <c r="O12" s="38">
        <f t="shared" si="33"/>
        <v>9</v>
      </c>
      <c r="P12" s="38">
        <f t="shared" si="4"/>
        <v>6</v>
      </c>
      <c r="Q12" s="38">
        <f t="shared" si="34"/>
        <v>6</v>
      </c>
      <c r="R12" s="38">
        <f t="shared" si="5"/>
        <v>6</v>
      </c>
      <c r="S12" s="38">
        <f t="shared" si="35"/>
        <v>6</v>
      </c>
      <c r="T12" s="38">
        <f t="shared" si="6"/>
        <v>4</v>
      </c>
      <c r="U12" s="38">
        <f t="shared" si="36"/>
        <v>4</v>
      </c>
      <c r="V12" s="38">
        <f t="shared" si="7"/>
        <v>4</v>
      </c>
      <c r="W12" s="38">
        <f t="shared" si="37"/>
        <v>4</v>
      </c>
      <c r="X12" s="38">
        <f t="shared" si="8"/>
        <v>5</v>
      </c>
      <c r="Y12" s="38">
        <f t="shared" si="38"/>
        <v>5</v>
      </c>
      <c r="Z12" s="38">
        <f t="shared" si="9"/>
        <v>4</v>
      </c>
      <c r="AA12" s="38">
        <f t="shared" si="39"/>
        <v>4</v>
      </c>
      <c r="AB12" s="38">
        <f t="shared" si="10"/>
        <v>3</v>
      </c>
      <c r="AC12" s="38">
        <f t="shared" si="40"/>
        <v>3</v>
      </c>
      <c r="AD12" s="38">
        <f t="shared" si="11"/>
        <v>7</v>
      </c>
      <c r="AE12" s="38">
        <f t="shared" si="41"/>
        <v>7</v>
      </c>
      <c r="AF12" s="38">
        <f t="shared" si="12"/>
        <v>5</v>
      </c>
      <c r="AG12" s="38">
        <f t="shared" si="42"/>
        <v>5</v>
      </c>
      <c r="AH12" s="38">
        <f t="shared" si="13"/>
        <v>7</v>
      </c>
      <c r="AI12" s="38">
        <f t="shared" si="43"/>
        <v>7</v>
      </c>
      <c r="AJ12" s="38">
        <f t="shared" si="14"/>
        <v>4</v>
      </c>
      <c r="AK12" s="38">
        <f t="shared" si="44"/>
        <v>4</v>
      </c>
      <c r="AL12" s="38">
        <f t="shared" si="15"/>
        <v>7</v>
      </c>
      <c r="AM12" s="38">
        <f t="shared" si="45"/>
        <v>7</v>
      </c>
      <c r="AN12" s="38">
        <f t="shared" si="16"/>
        <v>4</v>
      </c>
      <c r="AO12" s="38">
        <f t="shared" si="46"/>
        <v>4</v>
      </c>
      <c r="AP12" s="38">
        <f t="shared" si="17"/>
        <v>3</v>
      </c>
      <c r="AQ12" s="38">
        <f t="shared" si="47"/>
        <v>3</v>
      </c>
      <c r="AR12" s="38">
        <f t="shared" si="18"/>
        <v>12</v>
      </c>
      <c r="AS12" s="38">
        <f t="shared" si="48"/>
        <v>12</v>
      </c>
      <c r="AT12" s="38">
        <f t="shared" si="19"/>
        <v>5</v>
      </c>
      <c r="AU12" s="38">
        <f t="shared" si="49"/>
        <v>5</v>
      </c>
      <c r="AV12" s="38">
        <f t="shared" si="20"/>
        <v>6</v>
      </c>
      <c r="AW12" s="38">
        <f t="shared" si="50"/>
        <v>6</v>
      </c>
      <c r="AX12" s="38">
        <f t="shared" si="21"/>
        <v>4</v>
      </c>
      <c r="AY12" s="38">
        <f t="shared" si="51"/>
        <v>4</v>
      </c>
      <c r="AZ12" s="38">
        <f t="shared" si="22"/>
        <v>8</v>
      </c>
      <c r="BA12" s="38">
        <f t="shared" si="52"/>
        <v>8</v>
      </c>
      <c r="BB12" s="38">
        <f t="shared" si="23"/>
        <v>8</v>
      </c>
      <c r="BC12" s="38">
        <f t="shared" si="53"/>
        <v>8</v>
      </c>
      <c r="BD12" s="38">
        <f t="shared" si="24"/>
        <v>44</v>
      </c>
      <c r="BE12" s="38">
        <f t="shared" si="54"/>
        <v>44</v>
      </c>
      <c r="BF12" s="38">
        <f t="shared" si="25"/>
        <v>43</v>
      </c>
      <c r="BG12" s="38">
        <f t="shared" si="55"/>
        <v>43</v>
      </c>
      <c r="BH12" s="38">
        <f t="shared" si="26"/>
        <v>6</v>
      </c>
      <c r="BI12" s="38">
        <f t="shared" si="56"/>
        <v>6</v>
      </c>
    </row>
    <row r="16" spans="1:61" x14ac:dyDescent="0.35">
      <c r="A16" s="370" t="s">
        <v>65</v>
      </c>
      <c r="B16" s="49" t="s">
        <v>2369</v>
      </c>
      <c r="C16" s="49"/>
      <c r="D16" s="45"/>
      <c r="E16" s="45"/>
      <c r="F16" s="38" t="s">
        <v>2371</v>
      </c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</row>
    <row r="17" spans="1:17" s="375" customFormat="1" x14ac:dyDescent="0.35">
      <c r="A17" s="370" t="s">
        <v>2368</v>
      </c>
      <c r="B17" s="376" t="s">
        <v>2230</v>
      </c>
      <c r="C17" s="376" t="s">
        <v>71</v>
      </c>
      <c r="D17" s="376" t="s">
        <v>2231</v>
      </c>
      <c r="E17" s="376" t="s">
        <v>2370</v>
      </c>
      <c r="F17" s="377">
        <v>44400</v>
      </c>
      <c r="G17" s="377"/>
      <c r="H17" s="377">
        <v>44407</v>
      </c>
      <c r="I17" s="377"/>
      <c r="J17" s="377">
        <v>44414</v>
      </c>
      <c r="K17" s="377"/>
      <c r="L17" s="377">
        <v>44421</v>
      </c>
      <c r="M17" s="377"/>
      <c r="N17" s="377">
        <v>44428</v>
      </c>
      <c r="O17" s="377"/>
      <c r="P17" s="377">
        <v>44435</v>
      </c>
      <c r="Q17" s="377"/>
    </row>
    <row r="18" spans="1:17" x14ac:dyDescent="0.35">
      <c r="A18" s="45" t="s">
        <v>30</v>
      </c>
      <c r="B18" s="45"/>
      <c r="C18" s="45"/>
      <c r="D18" s="45"/>
      <c r="E18" s="45"/>
      <c r="F18" s="38" t="s">
        <v>2230</v>
      </c>
      <c r="G18" s="38" t="s">
        <v>2231</v>
      </c>
      <c r="H18" s="38" t="s">
        <v>2230</v>
      </c>
      <c r="I18" s="38" t="s">
        <v>2231</v>
      </c>
      <c r="J18" s="38" t="s">
        <v>2230</v>
      </c>
      <c r="K18" s="38" t="s">
        <v>2231</v>
      </c>
      <c r="L18" s="38" t="s">
        <v>2230</v>
      </c>
      <c r="M18" s="38" t="s">
        <v>2231</v>
      </c>
      <c r="N18" s="38" t="s">
        <v>2230</v>
      </c>
      <c r="O18" s="38" t="s">
        <v>2231</v>
      </c>
      <c r="P18" s="38" t="s">
        <v>2230</v>
      </c>
      <c r="Q18" s="38" t="s">
        <v>2231</v>
      </c>
    </row>
    <row r="19" spans="1:17" x14ac:dyDescent="0.35">
      <c r="A19" s="51" t="s">
        <v>90</v>
      </c>
      <c r="B19" s="51">
        <f t="shared" ref="B19:B27" si="61">SUM(F19,H19,J19,L19,N19,P19)</f>
        <v>15</v>
      </c>
      <c r="C19" s="51">
        <f t="shared" ref="C19:C27" si="62">SUM(F19,H19)</f>
        <v>15</v>
      </c>
      <c r="D19" s="51">
        <f t="shared" ref="D19:D27" si="63">SUM(G19,I19)</f>
        <v>12</v>
      </c>
      <c r="E19" s="37">
        <f t="shared" ref="E19:E27" si="64">D19/B19</f>
        <v>0.8</v>
      </c>
      <c r="F19" s="294">
        <v>9</v>
      </c>
      <c r="G19" s="294">
        <v>8</v>
      </c>
      <c r="H19" s="294">
        <v>6</v>
      </c>
      <c r="I19" s="294">
        <v>4</v>
      </c>
    </row>
    <row r="20" spans="1:17" x14ac:dyDescent="0.35">
      <c r="A20" s="51" t="s">
        <v>91</v>
      </c>
      <c r="B20" s="51">
        <f t="shared" si="61"/>
        <v>69</v>
      </c>
      <c r="C20" s="51">
        <f t="shared" si="62"/>
        <v>43</v>
      </c>
      <c r="D20" s="51">
        <f t="shared" si="63"/>
        <v>17</v>
      </c>
      <c r="E20" s="37">
        <f t="shared" si="64"/>
        <v>0.24637681159420291</v>
      </c>
      <c r="H20" s="294">
        <v>43</v>
      </c>
      <c r="I20" s="294">
        <v>17</v>
      </c>
      <c r="J20" s="294">
        <v>26</v>
      </c>
    </row>
    <row r="21" spans="1:17" x14ac:dyDescent="0.35">
      <c r="A21" s="51" t="s">
        <v>92</v>
      </c>
      <c r="B21" s="51">
        <f t="shared" si="61"/>
        <v>39</v>
      </c>
      <c r="C21" s="51">
        <f t="shared" si="62"/>
        <v>0</v>
      </c>
      <c r="D21" s="51">
        <f t="shared" si="63"/>
        <v>0</v>
      </c>
      <c r="E21" s="37">
        <f t="shared" si="64"/>
        <v>0</v>
      </c>
      <c r="J21" s="294">
        <v>39</v>
      </c>
    </row>
    <row r="22" spans="1:17" x14ac:dyDescent="0.35">
      <c r="A22" s="51" t="s">
        <v>93</v>
      </c>
      <c r="B22" s="51">
        <f t="shared" si="61"/>
        <v>65</v>
      </c>
      <c r="C22" s="51">
        <f t="shared" si="62"/>
        <v>0</v>
      </c>
      <c r="D22" s="51">
        <f t="shared" si="63"/>
        <v>0</v>
      </c>
      <c r="E22" s="37">
        <f t="shared" si="64"/>
        <v>0</v>
      </c>
      <c r="J22" s="294">
        <v>6</v>
      </c>
      <c r="L22" s="294">
        <v>59</v>
      </c>
    </row>
    <row r="23" spans="1:17" x14ac:dyDescent="0.35">
      <c r="A23" s="51" t="s">
        <v>94</v>
      </c>
      <c r="B23" s="51">
        <f t="shared" si="61"/>
        <v>82</v>
      </c>
      <c r="C23" s="51">
        <f t="shared" si="62"/>
        <v>30</v>
      </c>
      <c r="D23" s="51">
        <f t="shared" si="63"/>
        <v>10</v>
      </c>
      <c r="E23" s="37">
        <f t="shared" si="64"/>
        <v>0.12195121951219512</v>
      </c>
      <c r="F23" s="294">
        <v>30</v>
      </c>
      <c r="G23" s="294">
        <v>10</v>
      </c>
      <c r="N23" s="294">
        <v>52</v>
      </c>
    </row>
    <row r="24" spans="1:17" x14ac:dyDescent="0.35">
      <c r="A24" s="51" t="s">
        <v>95</v>
      </c>
      <c r="B24" s="51">
        <f t="shared" si="61"/>
        <v>82</v>
      </c>
      <c r="C24" s="51">
        <f t="shared" si="62"/>
        <v>14</v>
      </c>
      <c r="D24" s="51">
        <f t="shared" si="63"/>
        <v>12</v>
      </c>
      <c r="E24" s="37">
        <f t="shared" si="64"/>
        <v>0.14634146341463414</v>
      </c>
      <c r="F24" s="294">
        <v>14</v>
      </c>
      <c r="G24" s="294">
        <v>12</v>
      </c>
      <c r="J24" s="294">
        <v>1</v>
      </c>
      <c r="N24" s="294">
        <v>14</v>
      </c>
      <c r="P24" s="294">
        <v>53</v>
      </c>
    </row>
    <row r="25" spans="1:17" x14ac:dyDescent="0.35">
      <c r="A25" s="51" t="s">
        <v>97</v>
      </c>
      <c r="B25" s="51">
        <f t="shared" si="61"/>
        <v>15</v>
      </c>
      <c r="C25" s="51">
        <f t="shared" si="62"/>
        <v>0</v>
      </c>
      <c r="D25" s="51">
        <f t="shared" si="63"/>
        <v>0</v>
      </c>
      <c r="E25" s="37">
        <f t="shared" si="64"/>
        <v>0</v>
      </c>
      <c r="P25" s="294">
        <v>15</v>
      </c>
    </row>
    <row r="26" spans="1:17" x14ac:dyDescent="0.35">
      <c r="A26" s="51" t="s">
        <v>98</v>
      </c>
      <c r="B26" s="51">
        <f t="shared" si="61"/>
        <v>1</v>
      </c>
      <c r="C26" s="51">
        <f t="shared" si="62"/>
        <v>0</v>
      </c>
      <c r="D26" s="51">
        <f t="shared" si="63"/>
        <v>0</v>
      </c>
      <c r="E26" s="37">
        <f t="shared" si="64"/>
        <v>0</v>
      </c>
      <c r="P26" s="294">
        <v>1</v>
      </c>
    </row>
    <row r="27" spans="1:17" x14ac:dyDescent="0.35">
      <c r="A27" s="51" t="s">
        <v>58</v>
      </c>
      <c r="B27" s="51">
        <f t="shared" si="61"/>
        <v>368</v>
      </c>
      <c r="C27" s="51">
        <f t="shared" si="62"/>
        <v>102</v>
      </c>
      <c r="D27" s="51">
        <f t="shared" si="63"/>
        <v>51</v>
      </c>
      <c r="E27" s="37">
        <f t="shared" si="64"/>
        <v>0.13858695652173914</v>
      </c>
      <c r="F27" s="38">
        <v>53</v>
      </c>
      <c r="G27" s="38">
        <v>30</v>
      </c>
      <c r="H27" s="38">
        <v>49</v>
      </c>
      <c r="I27" s="38">
        <v>21</v>
      </c>
      <c r="J27" s="38">
        <v>72</v>
      </c>
      <c r="K27" s="38"/>
      <c r="L27" s="38">
        <v>59</v>
      </c>
      <c r="M27" s="38"/>
      <c r="N27" s="38">
        <v>66</v>
      </c>
      <c r="O27" s="38"/>
      <c r="P27" s="38">
        <v>69</v>
      </c>
      <c r="Q27" s="38"/>
    </row>
    <row r="39" spans="1:115" ht="15.75" customHeight="1" x14ac:dyDescent="0.35">
      <c r="B39" s="657" t="s">
        <v>2371</v>
      </c>
    </row>
    <row r="40" spans="1:115" ht="15.75" customHeight="1" x14ac:dyDescent="0.35">
      <c r="B40" s="53">
        <v>44399</v>
      </c>
      <c r="D40" s="53">
        <v>44403</v>
      </c>
      <c r="F40" s="53">
        <v>44461</v>
      </c>
      <c r="H40" s="53">
        <v>44404</v>
      </c>
      <c r="J40" s="53">
        <v>44431</v>
      </c>
      <c r="L40" s="53">
        <v>44432</v>
      </c>
      <c r="N40" s="53">
        <v>44433</v>
      </c>
      <c r="P40" s="53">
        <v>44434</v>
      </c>
      <c r="R40" s="53">
        <v>44435</v>
      </c>
      <c r="T40" s="53">
        <v>44438</v>
      </c>
      <c r="V40" s="53">
        <v>44439</v>
      </c>
      <c r="X40" s="53">
        <v>44440</v>
      </c>
      <c r="Z40" s="53">
        <v>44441</v>
      </c>
      <c r="AB40" s="53">
        <v>44442</v>
      </c>
      <c r="AD40" s="53">
        <v>44447</v>
      </c>
      <c r="AF40" s="53">
        <v>44448</v>
      </c>
      <c r="AH40" s="53">
        <v>44452</v>
      </c>
      <c r="AJ40" s="53">
        <v>44481</v>
      </c>
      <c r="AL40" s="53">
        <v>44453</v>
      </c>
      <c r="AN40" s="53">
        <v>44455</v>
      </c>
      <c r="AP40" s="53">
        <v>44456</v>
      </c>
      <c r="AR40" s="53">
        <v>44462</v>
      </c>
      <c r="AT40" s="53">
        <v>44467</v>
      </c>
      <c r="AV40" s="53">
        <v>44463</v>
      </c>
      <c r="AX40" s="53">
        <v>44466</v>
      </c>
      <c r="AZ40" s="53">
        <v>44515</v>
      </c>
      <c r="BB40" s="53">
        <v>44516</v>
      </c>
      <c r="BD40" s="53">
        <v>44468</v>
      </c>
      <c r="BF40" s="53">
        <v>44469</v>
      </c>
      <c r="BH40" s="53">
        <v>44473</v>
      </c>
      <c r="BJ40" s="53">
        <v>44470</v>
      </c>
      <c r="BL40" s="53">
        <v>44491</v>
      </c>
      <c r="BN40" s="53">
        <v>44474</v>
      </c>
      <c r="BP40" s="53">
        <v>44475</v>
      </c>
      <c r="BR40" s="53">
        <v>44482</v>
      </c>
      <c r="BT40" s="53">
        <v>44487</v>
      </c>
      <c r="BV40" s="53">
        <v>44488</v>
      </c>
      <c r="BX40" s="53">
        <v>44490</v>
      </c>
      <c r="BZ40" s="53">
        <v>44489</v>
      </c>
      <c r="CB40" s="53">
        <v>44494</v>
      </c>
      <c r="CD40" s="53">
        <v>44496</v>
      </c>
      <c r="CF40" s="53">
        <v>44497</v>
      </c>
      <c r="CH40" s="53">
        <v>44502</v>
      </c>
      <c r="CJ40" s="53">
        <v>44524</v>
      </c>
      <c r="CL40" s="53">
        <v>44503</v>
      </c>
      <c r="CN40" s="53">
        <v>44498</v>
      </c>
      <c r="CP40" s="53">
        <v>44504</v>
      </c>
      <c r="CR40" s="53">
        <v>44505</v>
      </c>
      <c r="CT40" s="53">
        <v>44396</v>
      </c>
      <c r="CV40" s="53">
        <v>44397</v>
      </c>
      <c r="CX40" s="53">
        <v>44398</v>
      </c>
      <c r="CZ40" s="53">
        <v>44518</v>
      </c>
      <c r="DB40" s="53">
        <v>44517</v>
      </c>
      <c r="DD40" s="53">
        <v>44523</v>
      </c>
      <c r="DF40" s="53">
        <v>44519</v>
      </c>
      <c r="DH40" s="53">
        <v>44529</v>
      </c>
      <c r="DJ40" s="294" t="s">
        <v>2225</v>
      </c>
      <c r="DK40" s="294" t="s">
        <v>2226</v>
      </c>
    </row>
    <row r="41" spans="1:115" ht="15.75" customHeight="1" x14ac:dyDescent="0.35">
      <c r="A41" s="655" t="s">
        <v>30</v>
      </c>
      <c r="B41" s="294" t="s">
        <v>2230</v>
      </c>
      <c r="C41" s="294" t="s">
        <v>2231</v>
      </c>
      <c r="D41" s="294" t="s">
        <v>2230</v>
      </c>
      <c r="E41" s="294" t="s">
        <v>2231</v>
      </c>
      <c r="F41" s="294" t="s">
        <v>2230</v>
      </c>
      <c r="G41" s="294" t="s">
        <v>2231</v>
      </c>
      <c r="H41" s="294" t="s">
        <v>2230</v>
      </c>
      <c r="I41" s="294" t="s">
        <v>2231</v>
      </c>
      <c r="J41" s="294" t="s">
        <v>2230</v>
      </c>
      <c r="K41" s="294" t="s">
        <v>2231</v>
      </c>
      <c r="L41" s="294" t="s">
        <v>2230</v>
      </c>
      <c r="M41" s="294" t="s">
        <v>2231</v>
      </c>
      <c r="N41" s="294" t="s">
        <v>2230</v>
      </c>
      <c r="O41" s="294" t="s">
        <v>2231</v>
      </c>
      <c r="P41" s="294" t="s">
        <v>2230</v>
      </c>
      <c r="Q41" s="294" t="s">
        <v>2231</v>
      </c>
      <c r="R41" s="294" t="s">
        <v>2230</v>
      </c>
      <c r="S41" s="294" t="s">
        <v>2231</v>
      </c>
      <c r="T41" s="294" t="s">
        <v>2230</v>
      </c>
      <c r="U41" s="294" t="s">
        <v>2231</v>
      </c>
      <c r="V41" s="294" t="s">
        <v>2230</v>
      </c>
      <c r="W41" s="294" t="s">
        <v>2231</v>
      </c>
      <c r="X41" s="294" t="s">
        <v>2230</v>
      </c>
      <c r="Y41" s="294" t="s">
        <v>2231</v>
      </c>
      <c r="Z41" s="294" t="s">
        <v>2230</v>
      </c>
      <c r="AA41" s="294" t="s">
        <v>2231</v>
      </c>
      <c r="AB41" s="294" t="s">
        <v>2230</v>
      </c>
      <c r="AC41" s="294" t="s">
        <v>2231</v>
      </c>
      <c r="AD41" s="294" t="s">
        <v>2230</v>
      </c>
      <c r="AE41" s="294" t="s">
        <v>2231</v>
      </c>
      <c r="AF41" s="294" t="s">
        <v>2230</v>
      </c>
      <c r="AG41" s="294" t="s">
        <v>2231</v>
      </c>
      <c r="AH41" s="294" t="s">
        <v>2230</v>
      </c>
      <c r="AI41" s="294" t="s">
        <v>2231</v>
      </c>
      <c r="AJ41" s="294" t="s">
        <v>2230</v>
      </c>
      <c r="AK41" s="294" t="s">
        <v>2231</v>
      </c>
      <c r="AL41" s="294" t="s">
        <v>2230</v>
      </c>
      <c r="AM41" s="294" t="s">
        <v>2231</v>
      </c>
      <c r="AN41" s="294" t="s">
        <v>2230</v>
      </c>
      <c r="AO41" s="294" t="s">
        <v>2231</v>
      </c>
      <c r="AP41" s="294" t="s">
        <v>2230</v>
      </c>
      <c r="AQ41" s="294" t="s">
        <v>2231</v>
      </c>
      <c r="AR41" s="294" t="s">
        <v>2230</v>
      </c>
      <c r="AS41" s="294" t="s">
        <v>2231</v>
      </c>
      <c r="AT41" s="294" t="s">
        <v>2230</v>
      </c>
      <c r="AU41" s="294" t="s">
        <v>2231</v>
      </c>
      <c r="AV41" s="294" t="s">
        <v>2230</v>
      </c>
      <c r="AW41" s="294" t="s">
        <v>2231</v>
      </c>
      <c r="AX41" s="294" t="s">
        <v>2230</v>
      </c>
      <c r="AY41" s="294" t="s">
        <v>2231</v>
      </c>
      <c r="AZ41" s="294" t="s">
        <v>2230</v>
      </c>
      <c r="BA41" s="294" t="s">
        <v>2231</v>
      </c>
      <c r="BB41" s="294" t="s">
        <v>2230</v>
      </c>
      <c r="BC41" s="294" t="s">
        <v>2231</v>
      </c>
      <c r="BD41" s="294" t="s">
        <v>2230</v>
      </c>
      <c r="BE41" s="294" t="s">
        <v>2231</v>
      </c>
      <c r="BF41" s="294" t="s">
        <v>2230</v>
      </c>
      <c r="BG41" s="294" t="s">
        <v>2231</v>
      </c>
      <c r="BH41" s="294" t="s">
        <v>2230</v>
      </c>
      <c r="BI41" s="294" t="s">
        <v>2231</v>
      </c>
      <c r="BJ41" s="294" t="s">
        <v>2230</v>
      </c>
      <c r="BK41" s="294" t="s">
        <v>2231</v>
      </c>
      <c r="BL41" s="294" t="s">
        <v>2230</v>
      </c>
      <c r="BM41" s="294" t="s">
        <v>2231</v>
      </c>
      <c r="BN41" s="294" t="s">
        <v>2230</v>
      </c>
      <c r="BO41" s="294" t="s">
        <v>2231</v>
      </c>
      <c r="BP41" s="294" t="s">
        <v>2230</v>
      </c>
      <c r="BQ41" s="294" t="s">
        <v>2231</v>
      </c>
      <c r="BR41" s="294" t="s">
        <v>2230</v>
      </c>
      <c r="BS41" s="294" t="s">
        <v>2231</v>
      </c>
      <c r="BT41" s="294" t="s">
        <v>2230</v>
      </c>
      <c r="BU41" s="294" t="s">
        <v>2231</v>
      </c>
      <c r="BV41" s="294" t="s">
        <v>2230</v>
      </c>
      <c r="BW41" s="294" t="s">
        <v>2231</v>
      </c>
      <c r="BX41" s="294" t="s">
        <v>2230</v>
      </c>
      <c r="BY41" s="294" t="s">
        <v>2231</v>
      </c>
      <c r="BZ41" s="294" t="s">
        <v>2230</v>
      </c>
      <c r="CA41" s="294" t="s">
        <v>2231</v>
      </c>
      <c r="CB41" s="294" t="s">
        <v>2230</v>
      </c>
      <c r="CC41" s="294" t="s">
        <v>2231</v>
      </c>
      <c r="CD41" s="294" t="s">
        <v>2230</v>
      </c>
      <c r="CE41" s="294" t="s">
        <v>2231</v>
      </c>
      <c r="CF41" s="294" t="s">
        <v>2230</v>
      </c>
      <c r="CG41" s="294" t="s">
        <v>2231</v>
      </c>
      <c r="CH41" s="294" t="s">
        <v>2230</v>
      </c>
      <c r="CI41" s="294" t="s">
        <v>2231</v>
      </c>
      <c r="CJ41" s="294" t="s">
        <v>2230</v>
      </c>
      <c r="CK41" s="294" t="s">
        <v>2231</v>
      </c>
      <c r="CL41" s="294" t="s">
        <v>2230</v>
      </c>
      <c r="CM41" s="294" t="s">
        <v>2231</v>
      </c>
      <c r="CN41" s="294" t="s">
        <v>2230</v>
      </c>
      <c r="CO41" s="294" t="s">
        <v>2231</v>
      </c>
      <c r="CP41" s="294" t="s">
        <v>2230</v>
      </c>
      <c r="CQ41" s="294" t="s">
        <v>2231</v>
      </c>
      <c r="CR41" s="294" t="s">
        <v>2230</v>
      </c>
      <c r="CS41" s="294" t="s">
        <v>2231</v>
      </c>
      <c r="CT41" s="294" t="s">
        <v>2230</v>
      </c>
      <c r="CU41" s="294" t="s">
        <v>2231</v>
      </c>
      <c r="CV41" s="294" t="s">
        <v>2230</v>
      </c>
      <c r="CW41" s="294" t="s">
        <v>2231</v>
      </c>
      <c r="CX41" s="294" t="s">
        <v>2230</v>
      </c>
      <c r="CY41" s="294" t="s">
        <v>2231</v>
      </c>
      <c r="CZ41" s="294" t="s">
        <v>2230</v>
      </c>
      <c r="DA41" s="294" t="s">
        <v>2231</v>
      </c>
      <c r="DB41" s="294" t="s">
        <v>2230</v>
      </c>
      <c r="DC41" s="294" t="s">
        <v>2231</v>
      </c>
      <c r="DD41" s="294" t="s">
        <v>2230</v>
      </c>
      <c r="DE41" s="294" t="s">
        <v>2231</v>
      </c>
      <c r="DF41" s="294" t="s">
        <v>2230</v>
      </c>
      <c r="DG41" s="294" t="s">
        <v>2231</v>
      </c>
      <c r="DH41" s="294" t="s">
        <v>2230</v>
      </c>
      <c r="DI41" s="294" t="s">
        <v>2231</v>
      </c>
    </row>
    <row r="42" spans="1:115" ht="15.75" customHeight="1" x14ac:dyDescent="0.35">
      <c r="A42" s="2" t="s">
        <v>90</v>
      </c>
      <c r="B42" s="656">
        <v>8</v>
      </c>
      <c r="C42" s="656">
        <v>8</v>
      </c>
      <c r="D42" s="656">
        <v>4</v>
      </c>
      <c r="E42" s="656">
        <v>4</v>
      </c>
      <c r="F42" s="656">
        <v>3</v>
      </c>
      <c r="G42" s="656">
        <v>3</v>
      </c>
      <c r="H42" s="656"/>
      <c r="I42" s="656"/>
      <c r="J42" s="656"/>
      <c r="K42" s="656"/>
      <c r="L42" s="656"/>
      <c r="M42" s="656"/>
      <c r="N42" s="656"/>
      <c r="O42" s="656"/>
      <c r="P42" s="656"/>
      <c r="Q42" s="656"/>
      <c r="R42" s="656"/>
      <c r="S42" s="656"/>
      <c r="T42" s="656"/>
      <c r="U42" s="656"/>
      <c r="V42" s="656"/>
      <c r="W42" s="656"/>
      <c r="X42" s="656"/>
      <c r="Y42" s="656"/>
      <c r="Z42" s="656"/>
      <c r="AA42" s="656"/>
      <c r="AB42" s="656"/>
      <c r="AC42" s="656"/>
      <c r="AD42" s="656"/>
      <c r="AE42" s="656"/>
      <c r="AF42" s="656"/>
      <c r="AG42" s="656"/>
      <c r="AH42" s="656"/>
      <c r="AI42" s="656"/>
      <c r="AJ42" s="656"/>
      <c r="AK42" s="656"/>
      <c r="AL42" s="656"/>
      <c r="AM42" s="656"/>
      <c r="AN42" s="656"/>
      <c r="AO42" s="656"/>
      <c r="AP42" s="656"/>
      <c r="AQ42" s="656"/>
      <c r="AR42" s="656"/>
      <c r="AS42" s="656"/>
      <c r="AT42" s="656"/>
      <c r="AU42" s="656"/>
      <c r="AV42" s="656"/>
      <c r="AW42" s="656"/>
      <c r="AX42" s="656"/>
      <c r="AY42" s="656"/>
      <c r="AZ42" s="656"/>
      <c r="BA42" s="656"/>
      <c r="BB42" s="656"/>
      <c r="BC42" s="656"/>
      <c r="BD42" s="656"/>
      <c r="BE42" s="656"/>
      <c r="BF42" s="656"/>
      <c r="BG42" s="656"/>
      <c r="BH42" s="656"/>
      <c r="BI42" s="656"/>
      <c r="BJ42" s="656"/>
      <c r="BK42" s="656"/>
      <c r="BL42" s="656"/>
      <c r="BM42" s="656"/>
      <c r="BN42" s="656"/>
      <c r="BO42" s="656"/>
      <c r="BP42" s="656"/>
      <c r="BQ42" s="656"/>
      <c r="BR42" s="656"/>
      <c r="BS42" s="656"/>
      <c r="BT42" s="656"/>
      <c r="BU42" s="656"/>
      <c r="BV42" s="656"/>
      <c r="BW42" s="656"/>
      <c r="BX42" s="656"/>
      <c r="BY42" s="656"/>
      <c r="BZ42" s="656"/>
      <c r="CA42" s="656"/>
      <c r="CB42" s="656"/>
      <c r="CC42" s="656"/>
      <c r="CD42" s="656"/>
      <c r="CE42" s="656"/>
      <c r="CF42" s="656"/>
      <c r="CG42" s="656"/>
      <c r="CH42" s="656"/>
      <c r="CI42" s="656"/>
      <c r="CJ42" s="656"/>
      <c r="CK42" s="656"/>
      <c r="CL42" s="656"/>
      <c r="CM42" s="656"/>
      <c r="CN42" s="656"/>
      <c r="CO42" s="656"/>
      <c r="CP42" s="656"/>
      <c r="CQ42" s="656"/>
      <c r="CR42" s="656"/>
      <c r="CS42" s="656"/>
      <c r="CT42" s="656"/>
      <c r="CU42" s="656"/>
      <c r="CV42" s="656"/>
      <c r="CW42" s="656"/>
      <c r="CX42" s="656"/>
      <c r="CY42" s="656"/>
      <c r="CZ42" s="656"/>
      <c r="DA42" s="656"/>
      <c r="DB42" s="656"/>
      <c r="DC42" s="656"/>
      <c r="DD42" s="656"/>
      <c r="DE42" s="656"/>
      <c r="DF42" s="656"/>
      <c r="DG42" s="656"/>
      <c r="DH42" s="656"/>
      <c r="DI42" s="656"/>
      <c r="DJ42" s="656">
        <v>15</v>
      </c>
      <c r="DK42" s="656">
        <v>15</v>
      </c>
    </row>
    <row r="43" spans="1:115" ht="15.75" customHeight="1" x14ac:dyDescent="0.35">
      <c r="A43" s="2" t="s">
        <v>91</v>
      </c>
      <c r="B43" s="656"/>
      <c r="C43" s="656"/>
      <c r="D43" s="656">
        <v>5</v>
      </c>
      <c r="E43" s="656">
        <v>5</v>
      </c>
      <c r="F43" s="656"/>
      <c r="G43" s="656"/>
      <c r="H43" s="656">
        <v>10</v>
      </c>
      <c r="I43" s="656">
        <v>10</v>
      </c>
      <c r="J43" s="656">
        <v>9</v>
      </c>
      <c r="K43" s="656">
        <v>9</v>
      </c>
      <c r="L43" s="656">
        <v>6</v>
      </c>
      <c r="M43" s="656">
        <v>6</v>
      </c>
      <c r="N43" s="656">
        <v>4</v>
      </c>
      <c r="O43" s="656">
        <v>4</v>
      </c>
      <c r="P43" s="656">
        <v>4</v>
      </c>
      <c r="Q43" s="656">
        <v>4</v>
      </c>
      <c r="R43" s="656">
        <v>4</v>
      </c>
      <c r="S43" s="656">
        <v>4</v>
      </c>
      <c r="T43" s="656"/>
      <c r="U43" s="656"/>
      <c r="V43" s="656"/>
      <c r="W43" s="656"/>
      <c r="X43" s="656"/>
      <c r="Y43" s="656"/>
      <c r="Z43" s="656">
        <v>4</v>
      </c>
      <c r="AA43" s="656">
        <v>4</v>
      </c>
      <c r="AB43" s="656"/>
      <c r="AC43" s="656"/>
      <c r="AD43" s="656"/>
      <c r="AE43" s="656"/>
      <c r="AF43" s="656"/>
      <c r="AG43" s="656"/>
      <c r="AH43" s="656"/>
      <c r="AI43" s="656"/>
      <c r="AJ43" s="656"/>
      <c r="AK43" s="656"/>
      <c r="AL43" s="656">
        <v>3</v>
      </c>
      <c r="AM43" s="656">
        <v>3</v>
      </c>
      <c r="AN43" s="656"/>
      <c r="AO43" s="656"/>
      <c r="AP43" s="656"/>
      <c r="AQ43" s="656"/>
      <c r="AR43" s="656"/>
      <c r="AS43" s="656"/>
      <c r="AT43" s="656"/>
      <c r="AU43" s="656"/>
      <c r="AV43" s="656"/>
      <c r="AW43" s="656"/>
      <c r="AX43" s="656"/>
      <c r="AY43" s="656"/>
      <c r="AZ43" s="656"/>
      <c r="BA43" s="656"/>
      <c r="BB43" s="656"/>
      <c r="BC43" s="656"/>
      <c r="BD43" s="656"/>
      <c r="BE43" s="656"/>
      <c r="BF43" s="656"/>
      <c r="BG43" s="656"/>
      <c r="BH43" s="656"/>
      <c r="BI43" s="656"/>
      <c r="BJ43" s="656"/>
      <c r="BK43" s="656"/>
      <c r="BL43" s="656">
        <v>6</v>
      </c>
      <c r="BM43" s="656">
        <v>6</v>
      </c>
      <c r="BN43" s="656"/>
      <c r="BO43" s="656"/>
      <c r="BP43" s="656">
        <v>1</v>
      </c>
      <c r="BQ43" s="656">
        <v>1</v>
      </c>
      <c r="BR43" s="656">
        <v>5</v>
      </c>
      <c r="BS43" s="656">
        <v>5</v>
      </c>
      <c r="BT43" s="656">
        <v>4</v>
      </c>
      <c r="BU43" s="656">
        <v>4</v>
      </c>
      <c r="BV43" s="656"/>
      <c r="BW43" s="656"/>
      <c r="BX43" s="656"/>
      <c r="BY43" s="656"/>
      <c r="BZ43" s="656"/>
      <c r="CA43" s="656"/>
      <c r="CB43" s="656">
        <v>14</v>
      </c>
      <c r="CC43" s="656">
        <v>14</v>
      </c>
      <c r="CD43" s="656"/>
      <c r="CE43" s="656"/>
      <c r="CF43" s="656"/>
      <c r="CG43" s="656"/>
      <c r="CH43" s="656"/>
      <c r="CI43" s="656"/>
      <c r="CJ43" s="656"/>
      <c r="CK43" s="656"/>
      <c r="CL43" s="656"/>
      <c r="CM43" s="656"/>
      <c r="CN43" s="656"/>
      <c r="CO43" s="656"/>
      <c r="CP43" s="656"/>
      <c r="CQ43" s="656"/>
      <c r="CR43" s="656"/>
      <c r="CS43" s="656"/>
      <c r="CT43" s="656"/>
      <c r="CU43" s="656"/>
      <c r="CV43" s="656"/>
      <c r="CW43" s="656"/>
      <c r="CX43" s="656"/>
      <c r="CY43" s="656"/>
      <c r="CZ43" s="656"/>
      <c r="DA43" s="656"/>
      <c r="DB43" s="656"/>
      <c r="DC43" s="656"/>
      <c r="DD43" s="656"/>
      <c r="DE43" s="656"/>
      <c r="DF43" s="656"/>
      <c r="DG43" s="656"/>
      <c r="DH43" s="656"/>
      <c r="DI43" s="656"/>
      <c r="DJ43" s="656">
        <v>79</v>
      </c>
      <c r="DK43" s="656">
        <v>79</v>
      </c>
    </row>
    <row r="44" spans="1:115" ht="15.75" customHeight="1" x14ac:dyDescent="0.35">
      <c r="A44" s="2" t="s">
        <v>92</v>
      </c>
      <c r="B44" s="656"/>
      <c r="C44" s="656"/>
      <c r="D44" s="656"/>
      <c r="E44" s="656"/>
      <c r="F44" s="656"/>
      <c r="G44" s="656"/>
      <c r="H44" s="656"/>
      <c r="I44" s="656"/>
      <c r="J44" s="656"/>
      <c r="K44" s="656"/>
      <c r="L44" s="656"/>
      <c r="M44" s="656"/>
      <c r="N44" s="656"/>
      <c r="O44" s="656"/>
      <c r="P44" s="656"/>
      <c r="Q44" s="656"/>
      <c r="R44" s="656"/>
      <c r="S44" s="656"/>
      <c r="T44" s="656">
        <v>1</v>
      </c>
      <c r="U44" s="656">
        <v>1</v>
      </c>
      <c r="V44" s="656">
        <v>3</v>
      </c>
      <c r="W44" s="656">
        <v>3</v>
      </c>
      <c r="X44" s="656">
        <v>3</v>
      </c>
      <c r="Y44" s="656">
        <v>3</v>
      </c>
      <c r="Z44" s="656">
        <v>1</v>
      </c>
      <c r="AA44" s="656">
        <v>1</v>
      </c>
      <c r="AB44" s="656">
        <v>5</v>
      </c>
      <c r="AC44" s="656">
        <v>5</v>
      </c>
      <c r="AD44" s="656"/>
      <c r="AE44" s="656"/>
      <c r="AF44" s="656"/>
      <c r="AG44" s="656"/>
      <c r="AH44" s="656">
        <v>5</v>
      </c>
      <c r="AI44" s="656">
        <v>5</v>
      </c>
      <c r="AJ44" s="656"/>
      <c r="AK44" s="656"/>
      <c r="AL44" s="656"/>
      <c r="AM44" s="656"/>
      <c r="AN44" s="656"/>
      <c r="AO44" s="656"/>
      <c r="AP44" s="656"/>
      <c r="AQ44" s="656"/>
      <c r="AR44" s="656"/>
      <c r="AS44" s="656"/>
      <c r="AT44" s="656"/>
      <c r="AU44" s="656"/>
      <c r="AV44" s="656"/>
      <c r="AW44" s="656"/>
      <c r="AX44" s="656"/>
      <c r="AY44" s="656"/>
      <c r="AZ44" s="656"/>
      <c r="BA44" s="656"/>
      <c r="BB44" s="656"/>
      <c r="BC44" s="656"/>
      <c r="BD44" s="656"/>
      <c r="BE44" s="656"/>
      <c r="BF44" s="656"/>
      <c r="BG44" s="656"/>
      <c r="BH44" s="656"/>
      <c r="BI44" s="656"/>
      <c r="BJ44" s="656"/>
      <c r="BK44" s="656"/>
      <c r="BL44" s="656">
        <v>3</v>
      </c>
      <c r="BM44" s="656">
        <v>3</v>
      </c>
      <c r="BN44" s="656"/>
      <c r="BO44" s="656"/>
      <c r="BP44" s="656">
        <v>16</v>
      </c>
      <c r="BQ44" s="656">
        <v>16</v>
      </c>
      <c r="BR44" s="656"/>
      <c r="BS44" s="656"/>
      <c r="BT44" s="656">
        <v>1</v>
      </c>
      <c r="BU44" s="656">
        <v>1</v>
      </c>
      <c r="BV44" s="656"/>
      <c r="BW44" s="656"/>
      <c r="BX44" s="656"/>
      <c r="BY44" s="656"/>
      <c r="BZ44" s="656"/>
      <c r="CA44" s="656"/>
      <c r="CB44" s="656"/>
      <c r="CC44" s="656"/>
      <c r="CD44" s="656"/>
      <c r="CE44" s="656"/>
      <c r="CF44" s="656"/>
      <c r="CG44" s="656"/>
      <c r="CH44" s="656"/>
      <c r="CI44" s="656"/>
      <c r="CJ44" s="656"/>
      <c r="CK44" s="656"/>
      <c r="CL44" s="656"/>
      <c r="CM44" s="656"/>
      <c r="CN44" s="656"/>
      <c r="CO44" s="656"/>
      <c r="CP44" s="656"/>
      <c r="CQ44" s="656"/>
      <c r="CR44" s="656"/>
      <c r="CS44" s="656"/>
      <c r="CT44" s="656"/>
      <c r="CU44" s="656"/>
      <c r="CV44" s="656"/>
      <c r="CW44" s="656"/>
      <c r="CX44" s="656"/>
      <c r="CY44" s="656"/>
      <c r="CZ44" s="656"/>
      <c r="DA44" s="656"/>
      <c r="DB44" s="656"/>
      <c r="DC44" s="656"/>
      <c r="DD44" s="656"/>
      <c r="DE44" s="656"/>
      <c r="DF44" s="656"/>
      <c r="DG44" s="656"/>
      <c r="DH44" s="656"/>
      <c r="DI44" s="656"/>
      <c r="DJ44" s="656">
        <v>38</v>
      </c>
      <c r="DK44" s="656">
        <v>38</v>
      </c>
    </row>
    <row r="45" spans="1:115" ht="15.75" customHeight="1" x14ac:dyDescent="0.35">
      <c r="A45" s="2" t="s">
        <v>93</v>
      </c>
      <c r="B45" s="656"/>
      <c r="C45" s="656"/>
      <c r="D45" s="656"/>
      <c r="E45" s="656"/>
      <c r="F45" s="656"/>
      <c r="G45" s="656"/>
      <c r="H45" s="656"/>
      <c r="I45" s="656"/>
      <c r="J45" s="656"/>
      <c r="K45" s="656"/>
      <c r="L45" s="656"/>
      <c r="M45" s="656"/>
      <c r="N45" s="656"/>
      <c r="O45" s="656"/>
      <c r="P45" s="656"/>
      <c r="Q45" s="656"/>
      <c r="R45" s="656"/>
      <c r="S45" s="656"/>
      <c r="T45" s="656">
        <v>3</v>
      </c>
      <c r="U45" s="656">
        <v>3</v>
      </c>
      <c r="V45" s="656"/>
      <c r="W45" s="656"/>
      <c r="X45" s="656"/>
      <c r="Y45" s="656"/>
      <c r="Z45" s="656"/>
      <c r="AA45" s="656"/>
      <c r="AB45" s="656"/>
      <c r="AC45" s="656"/>
      <c r="AD45" s="656">
        <v>6</v>
      </c>
      <c r="AE45" s="656">
        <v>6</v>
      </c>
      <c r="AF45" s="656">
        <v>4</v>
      </c>
      <c r="AG45" s="656">
        <v>4</v>
      </c>
      <c r="AH45" s="656">
        <v>1</v>
      </c>
      <c r="AI45" s="656">
        <v>1</v>
      </c>
      <c r="AJ45" s="656">
        <v>4</v>
      </c>
      <c r="AK45" s="656">
        <v>4</v>
      </c>
      <c r="AL45" s="656"/>
      <c r="AM45" s="656"/>
      <c r="AN45" s="656">
        <v>12</v>
      </c>
      <c r="AO45" s="656">
        <v>12</v>
      </c>
      <c r="AP45" s="656">
        <v>5</v>
      </c>
      <c r="AQ45" s="656">
        <v>5</v>
      </c>
      <c r="AR45" s="656"/>
      <c r="AS45" s="656"/>
      <c r="AT45" s="656"/>
      <c r="AU45" s="656"/>
      <c r="AV45" s="656"/>
      <c r="AW45" s="656"/>
      <c r="AX45" s="656"/>
      <c r="AY45" s="656"/>
      <c r="AZ45" s="656"/>
      <c r="BA45" s="656"/>
      <c r="BB45" s="656"/>
      <c r="BC45" s="656"/>
      <c r="BD45" s="656">
        <v>6</v>
      </c>
      <c r="BE45" s="656">
        <v>6</v>
      </c>
      <c r="BF45" s="656">
        <v>11</v>
      </c>
      <c r="BG45" s="656">
        <v>11</v>
      </c>
      <c r="BH45" s="656">
        <v>2</v>
      </c>
      <c r="BI45" s="656">
        <v>2</v>
      </c>
      <c r="BJ45" s="656">
        <v>1</v>
      </c>
      <c r="BK45" s="656">
        <v>1</v>
      </c>
      <c r="BL45" s="656"/>
      <c r="BM45" s="656"/>
      <c r="BN45" s="656">
        <v>7</v>
      </c>
      <c r="BO45" s="656">
        <v>7</v>
      </c>
      <c r="BP45" s="656"/>
      <c r="BQ45" s="656"/>
      <c r="BR45" s="656"/>
      <c r="BS45" s="656"/>
      <c r="BT45" s="656"/>
      <c r="BU45" s="656"/>
      <c r="BV45" s="656">
        <v>5</v>
      </c>
      <c r="BW45" s="656">
        <v>5</v>
      </c>
      <c r="BX45" s="656">
        <v>8</v>
      </c>
      <c r="BY45" s="656">
        <v>8</v>
      </c>
      <c r="BZ45" s="656"/>
      <c r="CA45" s="656"/>
      <c r="CB45" s="656"/>
      <c r="CC45" s="656"/>
      <c r="CD45" s="656"/>
      <c r="CE45" s="656"/>
      <c r="CF45" s="656"/>
      <c r="CG45" s="656"/>
      <c r="CH45" s="656"/>
      <c r="CI45" s="656"/>
      <c r="CJ45" s="656"/>
      <c r="CK45" s="656"/>
      <c r="CL45" s="656"/>
      <c r="CM45" s="656"/>
      <c r="CN45" s="656"/>
      <c r="CO45" s="656"/>
      <c r="CP45" s="656"/>
      <c r="CQ45" s="656"/>
      <c r="CR45" s="656"/>
      <c r="CS45" s="656"/>
      <c r="CT45" s="656"/>
      <c r="CU45" s="656"/>
      <c r="CV45" s="656"/>
      <c r="CW45" s="656"/>
      <c r="CX45" s="656"/>
      <c r="CY45" s="656"/>
      <c r="CZ45" s="656"/>
      <c r="DA45" s="656"/>
      <c r="DB45" s="656"/>
      <c r="DC45" s="656"/>
      <c r="DD45" s="656"/>
      <c r="DE45" s="656"/>
      <c r="DF45" s="656"/>
      <c r="DG45" s="656"/>
      <c r="DH45" s="656"/>
      <c r="DI45" s="656"/>
      <c r="DJ45" s="656">
        <v>75</v>
      </c>
      <c r="DK45" s="656">
        <v>75</v>
      </c>
    </row>
    <row r="46" spans="1:115" ht="15.75" customHeight="1" x14ac:dyDescent="0.35">
      <c r="A46" s="2" t="s">
        <v>94</v>
      </c>
      <c r="B46" s="656"/>
      <c r="C46" s="656"/>
      <c r="D46" s="656"/>
      <c r="E46" s="656"/>
      <c r="F46" s="656"/>
      <c r="G46" s="656"/>
      <c r="H46" s="656"/>
      <c r="I46" s="656"/>
      <c r="J46" s="656"/>
      <c r="K46" s="656"/>
      <c r="L46" s="656"/>
      <c r="M46" s="656"/>
      <c r="N46" s="656"/>
      <c r="O46" s="656"/>
      <c r="P46" s="656"/>
      <c r="Q46" s="656"/>
      <c r="R46" s="656"/>
      <c r="S46" s="656"/>
      <c r="T46" s="656"/>
      <c r="U46" s="656"/>
      <c r="V46" s="656"/>
      <c r="W46" s="656"/>
      <c r="X46" s="656"/>
      <c r="Y46" s="656"/>
      <c r="Z46" s="656"/>
      <c r="AA46" s="656"/>
      <c r="AB46" s="656"/>
      <c r="AC46" s="656"/>
      <c r="AD46" s="656"/>
      <c r="AE46" s="656"/>
      <c r="AF46" s="656"/>
      <c r="AG46" s="656"/>
      <c r="AH46" s="656"/>
      <c r="AI46" s="656"/>
      <c r="AJ46" s="656"/>
      <c r="AK46" s="656"/>
      <c r="AL46" s="656"/>
      <c r="AM46" s="656"/>
      <c r="AN46" s="656"/>
      <c r="AO46" s="656"/>
      <c r="AP46" s="656"/>
      <c r="AQ46" s="656"/>
      <c r="AR46" s="656">
        <v>6</v>
      </c>
      <c r="AS46" s="656">
        <v>6</v>
      </c>
      <c r="AT46" s="656">
        <v>4</v>
      </c>
      <c r="AU46" s="656">
        <v>4</v>
      </c>
      <c r="AV46" s="656">
        <v>8</v>
      </c>
      <c r="AW46" s="656">
        <v>8</v>
      </c>
      <c r="AX46" s="656">
        <v>8</v>
      </c>
      <c r="AY46" s="656">
        <v>8</v>
      </c>
      <c r="AZ46" s="656"/>
      <c r="BA46" s="656"/>
      <c r="BB46" s="656"/>
      <c r="BC46" s="656"/>
      <c r="BD46" s="656"/>
      <c r="BE46" s="656"/>
      <c r="BF46" s="656"/>
      <c r="BG46" s="656"/>
      <c r="BH46" s="656"/>
      <c r="BI46" s="656"/>
      <c r="BJ46" s="656"/>
      <c r="BK46" s="656"/>
      <c r="BL46" s="656"/>
      <c r="BM46" s="656"/>
      <c r="BN46" s="656"/>
      <c r="BO46" s="656"/>
      <c r="BP46" s="656"/>
      <c r="BQ46" s="656"/>
      <c r="BR46" s="656"/>
      <c r="BS46" s="656"/>
      <c r="BT46" s="656"/>
      <c r="BU46" s="656"/>
      <c r="BV46" s="656"/>
      <c r="BW46" s="656"/>
      <c r="BX46" s="656"/>
      <c r="BY46" s="656"/>
      <c r="BZ46" s="656"/>
      <c r="CA46" s="656"/>
      <c r="CB46" s="656"/>
      <c r="CC46" s="656"/>
      <c r="CD46" s="656">
        <v>8</v>
      </c>
      <c r="CE46" s="656">
        <v>8</v>
      </c>
      <c r="CF46" s="656">
        <v>7</v>
      </c>
      <c r="CG46" s="656">
        <v>7</v>
      </c>
      <c r="CH46" s="656"/>
      <c r="CI46" s="656"/>
      <c r="CJ46" s="656">
        <v>3</v>
      </c>
      <c r="CK46" s="656">
        <v>3</v>
      </c>
      <c r="CL46" s="656">
        <v>4</v>
      </c>
      <c r="CM46" s="656">
        <v>4</v>
      </c>
      <c r="CN46" s="656"/>
      <c r="CO46" s="656"/>
      <c r="CP46" s="656">
        <v>7</v>
      </c>
      <c r="CQ46" s="656">
        <v>7</v>
      </c>
      <c r="CR46" s="656">
        <v>5</v>
      </c>
      <c r="CS46" s="656">
        <v>5</v>
      </c>
      <c r="CT46" s="656">
        <v>5</v>
      </c>
      <c r="CU46" s="656">
        <v>5</v>
      </c>
      <c r="CV46" s="656">
        <v>5</v>
      </c>
      <c r="CW46" s="656">
        <v>5</v>
      </c>
      <c r="CX46" s="656"/>
      <c r="CY46" s="656"/>
      <c r="CZ46" s="656">
        <v>8</v>
      </c>
      <c r="DA46" s="656">
        <v>8</v>
      </c>
      <c r="DB46" s="656">
        <v>1</v>
      </c>
      <c r="DC46" s="656">
        <v>1</v>
      </c>
      <c r="DD46" s="656">
        <v>3</v>
      </c>
      <c r="DE46" s="656">
        <v>3</v>
      </c>
      <c r="DF46" s="656">
        <v>5</v>
      </c>
      <c r="DG46" s="656">
        <v>5</v>
      </c>
      <c r="DH46" s="656"/>
      <c r="DI46" s="656"/>
      <c r="DJ46" s="656">
        <v>87</v>
      </c>
      <c r="DK46" s="656">
        <v>87</v>
      </c>
    </row>
    <row r="47" spans="1:115" ht="15.75" customHeight="1" x14ac:dyDescent="0.35">
      <c r="A47" s="2" t="s">
        <v>95</v>
      </c>
      <c r="B47" s="656">
        <v>1</v>
      </c>
      <c r="C47" s="656">
        <v>1</v>
      </c>
      <c r="D47" s="656"/>
      <c r="E47" s="656"/>
      <c r="F47" s="656"/>
      <c r="G47" s="656"/>
      <c r="H47" s="656">
        <v>2</v>
      </c>
      <c r="I47" s="656">
        <v>2</v>
      </c>
      <c r="J47" s="656"/>
      <c r="K47" s="656"/>
      <c r="L47" s="656"/>
      <c r="M47" s="656"/>
      <c r="N47" s="656">
        <v>2</v>
      </c>
      <c r="O47" s="656">
        <v>2</v>
      </c>
      <c r="P47" s="656"/>
      <c r="Q47" s="656"/>
      <c r="R47" s="656"/>
      <c r="S47" s="656"/>
      <c r="T47" s="656"/>
      <c r="U47" s="656"/>
      <c r="V47" s="656">
        <v>1</v>
      </c>
      <c r="W47" s="656">
        <v>1</v>
      </c>
      <c r="X47" s="656"/>
      <c r="Y47" s="656"/>
      <c r="Z47" s="656">
        <v>2</v>
      </c>
      <c r="AA47" s="656">
        <v>2</v>
      </c>
      <c r="AB47" s="656"/>
      <c r="AC47" s="656"/>
      <c r="AD47" s="656">
        <v>1</v>
      </c>
      <c r="AE47" s="656">
        <v>1</v>
      </c>
      <c r="AF47" s="656"/>
      <c r="AG47" s="656"/>
      <c r="AH47" s="656">
        <v>1</v>
      </c>
      <c r="AI47" s="656">
        <v>1</v>
      </c>
      <c r="AJ47" s="656"/>
      <c r="AK47" s="656"/>
      <c r="AL47" s="656"/>
      <c r="AM47" s="656"/>
      <c r="AN47" s="656"/>
      <c r="AO47" s="656"/>
      <c r="AP47" s="656"/>
      <c r="AQ47" s="656"/>
      <c r="AR47" s="656"/>
      <c r="AS47" s="656"/>
      <c r="AT47" s="656"/>
      <c r="AU47" s="656"/>
      <c r="AV47" s="656"/>
      <c r="AW47" s="656"/>
      <c r="AX47" s="656"/>
      <c r="AY47" s="656"/>
      <c r="AZ47" s="656">
        <v>13</v>
      </c>
      <c r="BA47" s="656">
        <v>13</v>
      </c>
      <c r="BB47" s="656">
        <v>22</v>
      </c>
      <c r="BC47" s="656">
        <v>22</v>
      </c>
      <c r="BD47" s="656"/>
      <c r="BE47" s="656"/>
      <c r="BF47" s="656"/>
      <c r="BG47" s="656"/>
      <c r="BH47" s="656"/>
      <c r="BI47" s="656"/>
      <c r="BJ47" s="656"/>
      <c r="BK47" s="656"/>
      <c r="BL47" s="656"/>
      <c r="BM47" s="656"/>
      <c r="BN47" s="656"/>
      <c r="BO47" s="656"/>
      <c r="BP47" s="656">
        <v>1</v>
      </c>
      <c r="BQ47" s="656">
        <v>1</v>
      </c>
      <c r="BR47" s="656"/>
      <c r="BS47" s="656"/>
      <c r="BT47" s="656">
        <v>10</v>
      </c>
      <c r="BU47" s="656">
        <v>10</v>
      </c>
      <c r="BV47" s="656">
        <v>3</v>
      </c>
      <c r="BW47" s="656">
        <v>3</v>
      </c>
      <c r="BX47" s="656"/>
      <c r="BY47" s="656"/>
      <c r="BZ47" s="656">
        <v>4</v>
      </c>
      <c r="CA47" s="656">
        <v>4</v>
      </c>
      <c r="CB47" s="656"/>
      <c r="CC47" s="656"/>
      <c r="CD47" s="656"/>
      <c r="CE47" s="656"/>
      <c r="CF47" s="656"/>
      <c r="CG47" s="656"/>
      <c r="CH47" s="656"/>
      <c r="CI47" s="656"/>
      <c r="CJ47" s="656"/>
      <c r="CK47" s="656"/>
      <c r="CL47" s="656"/>
      <c r="CM47" s="656"/>
      <c r="CN47" s="656"/>
      <c r="CO47" s="656"/>
      <c r="CP47" s="656"/>
      <c r="CQ47" s="656"/>
      <c r="CR47" s="656"/>
      <c r="CS47" s="656"/>
      <c r="CT47" s="656">
        <v>2</v>
      </c>
      <c r="CU47" s="656">
        <v>2</v>
      </c>
      <c r="CV47" s="656">
        <v>9</v>
      </c>
      <c r="CW47" s="656">
        <v>9</v>
      </c>
      <c r="CX47" s="656">
        <v>4</v>
      </c>
      <c r="CY47" s="656">
        <v>4</v>
      </c>
      <c r="CZ47" s="656"/>
      <c r="DA47" s="656"/>
      <c r="DB47" s="656"/>
      <c r="DC47" s="656"/>
      <c r="DD47" s="656"/>
      <c r="DE47" s="656"/>
      <c r="DF47" s="656"/>
      <c r="DG47" s="656"/>
      <c r="DH47" s="656">
        <v>17</v>
      </c>
      <c r="DI47" s="656">
        <v>17</v>
      </c>
      <c r="DJ47" s="656">
        <v>95</v>
      </c>
      <c r="DK47" s="656">
        <v>95</v>
      </c>
    </row>
    <row r="48" spans="1:115" ht="15.75" customHeight="1" x14ac:dyDescent="0.35">
      <c r="A48" s="2" t="s">
        <v>97</v>
      </c>
      <c r="B48" s="656"/>
      <c r="C48" s="656"/>
      <c r="D48" s="656"/>
      <c r="E48" s="656"/>
      <c r="F48" s="656"/>
      <c r="G48" s="656"/>
      <c r="H48" s="656"/>
      <c r="I48" s="656"/>
      <c r="J48" s="656"/>
      <c r="K48" s="656"/>
      <c r="L48" s="656"/>
      <c r="M48" s="656"/>
      <c r="N48" s="656"/>
      <c r="O48" s="656"/>
      <c r="P48" s="656"/>
      <c r="Q48" s="656"/>
      <c r="R48" s="656"/>
      <c r="S48" s="656"/>
      <c r="T48" s="656"/>
      <c r="U48" s="656"/>
      <c r="V48" s="656"/>
      <c r="W48" s="656"/>
      <c r="X48" s="656"/>
      <c r="Y48" s="656"/>
      <c r="Z48" s="656"/>
      <c r="AA48" s="656"/>
      <c r="AB48" s="656"/>
      <c r="AC48" s="656"/>
      <c r="AD48" s="656"/>
      <c r="AE48" s="656"/>
      <c r="AF48" s="656"/>
      <c r="AG48" s="656"/>
      <c r="AH48" s="656"/>
      <c r="AI48" s="656"/>
      <c r="AJ48" s="656"/>
      <c r="AK48" s="656"/>
      <c r="AL48" s="656"/>
      <c r="AM48" s="656"/>
      <c r="AN48" s="656"/>
      <c r="AO48" s="656"/>
      <c r="AP48" s="656"/>
      <c r="AQ48" s="656"/>
      <c r="AR48" s="656"/>
      <c r="AS48" s="656"/>
      <c r="AT48" s="656"/>
      <c r="AU48" s="656"/>
      <c r="AV48" s="656"/>
      <c r="AW48" s="656"/>
      <c r="AX48" s="656"/>
      <c r="AY48" s="656"/>
      <c r="AZ48" s="656">
        <v>31</v>
      </c>
      <c r="BA48" s="656">
        <v>31</v>
      </c>
      <c r="BB48" s="656">
        <v>21</v>
      </c>
      <c r="BC48" s="656">
        <v>21</v>
      </c>
      <c r="BD48" s="656"/>
      <c r="BE48" s="656"/>
      <c r="BF48" s="656"/>
      <c r="BG48" s="656"/>
      <c r="BH48" s="656"/>
      <c r="BI48" s="656"/>
      <c r="BJ48" s="656"/>
      <c r="BK48" s="656"/>
      <c r="BL48" s="656"/>
      <c r="BM48" s="656"/>
      <c r="BN48" s="656"/>
      <c r="BO48" s="656"/>
      <c r="BP48" s="656"/>
      <c r="BQ48" s="656"/>
      <c r="BR48" s="656"/>
      <c r="BS48" s="656"/>
      <c r="BT48" s="656"/>
      <c r="BU48" s="656"/>
      <c r="BV48" s="656"/>
      <c r="BW48" s="656"/>
      <c r="BX48" s="656"/>
      <c r="BY48" s="656"/>
      <c r="BZ48" s="656"/>
      <c r="CA48" s="656"/>
      <c r="CB48" s="656"/>
      <c r="CC48" s="656"/>
      <c r="CD48" s="656"/>
      <c r="CE48" s="656"/>
      <c r="CF48" s="656"/>
      <c r="CG48" s="656"/>
      <c r="CH48" s="656">
        <v>2</v>
      </c>
      <c r="CI48" s="656">
        <v>2</v>
      </c>
      <c r="CJ48" s="656">
        <v>11</v>
      </c>
      <c r="CK48" s="656">
        <v>11</v>
      </c>
      <c r="CL48" s="656">
        <v>1</v>
      </c>
      <c r="CM48" s="656">
        <v>1</v>
      </c>
      <c r="CN48" s="656">
        <v>10</v>
      </c>
      <c r="CO48" s="656">
        <v>10</v>
      </c>
      <c r="CP48" s="656"/>
      <c r="CQ48" s="656"/>
      <c r="CR48" s="656"/>
      <c r="CS48" s="656"/>
      <c r="CT48" s="656"/>
      <c r="CU48" s="656"/>
      <c r="CV48" s="656"/>
      <c r="CW48" s="656"/>
      <c r="CX48" s="656"/>
      <c r="CY48" s="656"/>
      <c r="CZ48" s="656">
        <v>30</v>
      </c>
      <c r="DA48" s="656">
        <v>30</v>
      </c>
      <c r="DB48" s="656">
        <v>12</v>
      </c>
      <c r="DC48" s="656">
        <v>12</v>
      </c>
      <c r="DD48" s="656"/>
      <c r="DE48" s="656"/>
      <c r="DF48" s="656">
        <v>18</v>
      </c>
      <c r="DG48" s="656">
        <v>18</v>
      </c>
      <c r="DH48" s="656"/>
      <c r="DI48" s="656"/>
      <c r="DJ48" s="656">
        <v>136</v>
      </c>
      <c r="DK48" s="656">
        <v>136</v>
      </c>
    </row>
    <row r="49" spans="1:115" ht="15.75" customHeight="1" x14ac:dyDescent="0.35">
      <c r="A49" s="2" t="s">
        <v>98</v>
      </c>
      <c r="B49" s="656"/>
      <c r="C49" s="656"/>
      <c r="D49" s="656"/>
      <c r="E49" s="656"/>
      <c r="F49" s="656"/>
      <c r="G49" s="656"/>
      <c r="H49" s="656"/>
      <c r="I49" s="656"/>
      <c r="J49" s="656"/>
      <c r="K49" s="656"/>
      <c r="L49" s="656"/>
      <c r="M49" s="656"/>
      <c r="N49" s="656"/>
      <c r="O49" s="656"/>
      <c r="P49" s="656"/>
      <c r="Q49" s="656"/>
      <c r="R49" s="656"/>
      <c r="S49" s="656"/>
      <c r="T49" s="656">
        <v>1</v>
      </c>
      <c r="U49" s="656">
        <v>1</v>
      </c>
      <c r="V49" s="656"/>
      <c r="W49" s="656"/>
      <c r="X49" s="656"/>
      <c r="Y49" s="656"/>
      <c r="Z49" s="656"/>
      <c r="AA49" s="656"/>
      <c r="AB49" s="656"/>
      <c r="AC49" s="656"/>
      <c r="AD49" s="656"/>
      <c r="AE49" s="656"/>
      <c r="AF49" s="656"/>
      <c r="AG49" s="656"/>
      <c r="AH49" s="656"/>
      <c r="AI49" s="656"/>
      <c r="AJ49" s="656"/>
      <c r="AK49" s="656"/>
      <c r="AL49" s="656"/>
      <c r="AM49" s="656"/>
      <c r="AN49" s="656"/>
      <c r="AO49" s="656"/>
      <c r="AP49" s="656"/>
      <c r="AQ49" s="656"/>
      <c r="AR49" s="656"/>
      <c r="AS49" s="656"/>
      <c r="AT49" s="656"/>
      <c r="AU49" s="656"/>
      <c r="AV49" s="656"/>
      <c r="AW49" s="656"/>
      <c r="AX49" s="656"/>
      <c r="AY49" s="656"/>
      <c r="AZ49" s="656"/>
      <c r="BA49" s="656"/>
      <c r="BB49" s="656"/>
      <c r="BC49" s="656"/>
      <c r="BD49" s="656"/>
      <c r="BE49" s="656"/>
      <c r="BF49" s="656"/>
      <c r="BG49" s="656"/>
      <c r="BH49" s="656"/>
      <c r="BI49" s="656"/>
      <c r="BJ49" s="656"/>
      <c r="BK49" s="656"/>
      <c r="BL49" s="656"/>
      <c r="BM49" s="656"/>
      <c r="BN49" s="656"/>
      <c r="BO49" s="656"/>
      <c r="BP49" s="656"/>
      <c r="BQ49" s="656"/>
      <c r="BR49" s="656"/>
      <c r="BS49" s="656"/>
      <c r="BT49" s="656"/>
      <c r="BU49" s="656"/>
      <c r="BV49" s="656"/>
      <c r="BW49" s="656"/>
      <c r="BX49" s="656"/>
      <c r="BY49" s="656"/>
      <c r="BZ49" s="656"/>
      <c r="CA49" s="656"/>
      <c r="CB49" s="656"/>
      <c r="CC49" s="656"/>
      <c r="CD49" s="656"/>
      <c r="CE49" s="656"/>
      <c r="CF49" s="656"/>
      <c r="CG49" s="656"/>
      <c r="CH49" s="656"/>
      <c r="CI49" s="656"/>
      <c r="CJ49" s="656"/>
      <c r="CK49" s="656"/>
      <c r="CL49" s="656"/>
      <c r="CM49" s="656"/>
      <c r="CN49" s="656"/>
      <c r="CO49" s="656"/>
      <c r="CP49" s="656"/>
      <c r="CQ49" s="656"/>
      <c r="CR49" s="656"/>
      <c r="CS49" s="656"/>
      <c r="CT49" s="656"/>
      <c r="CU49" s="656"/>
      <c r="CV49" s="656"/>
      <c r="CW49" s="656"/>
      <c r="CX49" s="656"/>
      <c r="CY49" s="656"/>
      <c r="CZ49" s="656"/>
      <c r="DA49" s="656"/>
      <c r="DB49" s="656"/>
      <c r="DC49" s="656"/>
      <c r="DD49" s="656"/>
      <c r="DE49" s="656"/>
      <c r="DF49" s="656"/>
      <c r="DG49" s="656"/>
      <c r="DH49" s="656"/>
      <c r="DI49" s="656"/>
      <c r="DJ49" s="656">
        <v>1</v>
      </c>
      <c r="DK49" s="656">
        <v>1</v>
      </c>
    </row>
    <row r="50" spans="1:115" ht="15.75" customHeight="1" x14ac:dyDescent="0.35">
      <c r="A50" s="2" t="s">
        <v>58</v>
      </c>
      <c r="B50" s="656">
        <v>9</v>
      </c>
      <c r="C50" s="656">
        <v>9</v>
      </c>
      <c r="D50" s="656">
        <v>9</v>
      </c>
      <c r="E50" s="656">
        <v>9</v>
      </c>
      <c r="F50" s="656">
        <v>3</v>
      </c>
      <c r="G50" s="656">
        <v>3</v>
      </c>
      <c r="H50" s="656">
        <v>12</v>
      </c>
      <c r="I50" s="656">
        <v>12</v>
      </c>
      <c r="J50" s="656">
        <v>9</v>
      </c>
      <c r="K50" s="656">
        <v>9</v>
      </c>
      <c r="L50" s="656">
        <v>6</v>
      </c>
      <c r="M50" s="656">
        <v>6</v>
      </c>
      <c r="N50" s="656">
        <v>6</v>
      </c>
      <c r="O50" s="656">
        <v>6</v>
      </c>
      <c r="P50" s="656">
        <v>4</v>
      </c>
      <c r="Q50" s="656">
        <v>4</v>
      </c>
      <c r="R50" s="656">
        <v>4</v>
      </c>
      <c r="S50" s="656">
        <v>4</v>
      </c>
      <c r="T50" s="656">
        <v>5</v>
      </c>
      <c r="U50" s="656">
        <v>5</v>
      </c>
      <c r="V50" s="656">
        <v>4</v>
      </c>
      <c r="W50" s="656">
        <v>4</v>
      </c>
      <c r="X50" s="656">
        <v>3</v>
      </c>
      <c r="Y50" s="656">
        <v>3</v>
      </c>
      <c r="Z50" s="656">
        <v>7</v>
      </c>
      <c r="AA50" s="656">
        <v>7</v>
      </c>
      <c r="AB50" s="656">
        <v>5</v>
      </c>
      <c r="AC50" s="656">
        <v>5</v>
      </c>
      <c r="AD50" s="656">
        <v>7</v>
      </c>
      <c r="AE50" s="656">
        <v>7</v>
      </c>
      <c r="AF50" s="656">
        <v>4</v>
      </c>
      <c r="AG50" s="656">
        <v>4</v>
      </c>
      <c r="AH50" s="656">
        <v>7</v>
      </c>
      <c r="AI50" s="656">
        <v>7</v>
      </c>
      <c r="AJ50" s="656">
        <v>4</v>
      </c>
      <c r="AK50" s="656">
        <v>4</v>
      </c>
      <c r="AL50" s="656">
        <v>3</v>
      </c>
      <c r="AM50" s="656">
        <v>3</v>
      </c>
      <c r="AN50" s="656">
        <v>12</v>
      </c>
      <c r="AO50" s="656">
        <v>12</v>
      </c>
      <c r="AP50" s="656">
        <v>5</v>
      </c>
      <c r="AQ50" s="656">
        <v>5</v>
      </c>
      <c r="AR50" s="656">
        <v>6</v>
      </c>
      <c r="AS50" s="656">
        <v>6</v>
      </c>
      <c r="AT50" s="656">
        <v>4</v>
      </c>
      <c r="AU50" s="656">
        <v>4</v>
      </c>
      <c r="AV50" s="656">
        <v>8</v>
      </c>
      <c r="AW50" s="656">
        <v>8</v>
      </c>
      <c r="AX50" s="656">
        <v>8</v>
      </c>
      <c r="AY50" s="656">
        <v>8</v>
      </c>
      <c r="AZ50" s="656">
        <v>44</v>
      </c>
      <c r="BA50" s="656">
        <v>44</v>
      </c>
      <c r="BB50" s="656">
        <v>43</v>
      </c>
      <c r="BC50" s="656">
        <v>43</v>
      </c>
      <c r="BD50" s="656">
        <v>6</v>
      </c>
      <c r="BE50" s="656">
        <v>6</v>
      </c>
      <c r="BF50" s="656">
        <v>11</v>
      </c>
      <c r="BG50" s="656">
        <v>11</v>
      </c>
      <c r="BH50" s="656">
        <v>2</v>
      </c>
      <c r="BI50" s="656">
        <v>2</v>
      </c>
      <c r="BJ50" s="656">
        <v>1</v>
      </c>
      <c r="BK50" s="656">
        <v>1</v>
      </c>
      <c r="BL50" s="656">
        <v>9</v>
      </c>
      <c r="BM50" s="656">
        <v>9</v>
      </c>
      <c r="BN50" s="656">
        <v>7</v>
      </c>
      <c r="BO50" s="656">
        <v>7</v>
      </c>
      <c r="BP50" s="656">
        <v>18</v>
      </c>
      <c r="BQ50" s="656">
        <v>18</v>
      </c>
      <c r="BR50" s="656">
        <v>5</v>
      </c>
      <c r="BS50" s="656">
        <v>5</v>
      </c>
      <c r="BT50" s="656">
        <v>15</v>
      </c>
      <c r="BU50" s="656">
        <v>15</v>
      </c>
      <c r="BV50" s="656">
        <v>8</v>
      </c>
      <c r="BW50" s="656">
        <v>8</v>
      </c>
      <c r="BX50" s="656">
        <v>8</v>
      </c>
      <c r="BY50" s="656">
        <v>8</v>
      </c>
      <c r="BZ50" s="656">
        <v>4</v>
      </c>
      <c r="CA50" s="656">
        <v>4</v>
      </c>
      <c r="CB50" s="656">
        <v>14</v>
      </c>
      <c r="CC50" s="656">
        <v>14</v>
      </c>
      <c r="CD50" s="656">
        <v>8</v>
      </c>
      <c r="CE50" s="656">
        <v>8</v>
      </c>
      <c r="CF50" s="656">
        <v>7</v>
      </c>
      <c r="CG50" s="656">
        <v>7</v>
      </c>
      <c r="CH50" s="656">
        <v>2</v>
      </c>
      <c r="CI50" s="656">
        <v>2</v>
      </c>
      <c r="CJ50" s="656">
        <v>14</v>
      </c>
      <c r="CK50" s="656">
        <v>14</v>
      </c>
      <c r="CL50" s="656">
        <v>5</v>
      </c>
      <c r="CM50" s="656">
        <v>5</v>
      </c>
      <c r="CN50" s="656">
        <v>10</v>
      </c>
      <c r="CO50" s="656">
        <v>10</v>
      </c>
      <c r="CP50" s="656">
        <v>7</v>
      </c>
      <c r="CQ50" s="656">
        <v>7</v>
      </c>
      <c r="CR50" s="656">
        <v>5</v>
      </c>
      <c r="CS50" s="656">
        <v>5</v>
      </c>
      <c r="CT50" s="656">
        <v>7</v>
      </c>
      <c r="CU50" s="656">
        <v>7</v>
      </c>
      <c r="CV50" s="656">
        <v>14</v>
      </c>
      <c r="CW50" s="656">
        <v>14</v>
      </c>
      <c r="CX50" s="656">
        <v>4</v>
      </c>
      <c r="CY50" s="656">
        <v>4</v>
      </c>
      <c r="CZ50" s="656">
        <v>38</v>
      </c>
      <c r="DA50" s="656">
        <v>38</v>
      </c>
      <c r="DB50" s="656">
        <v>13</v>
      </c>
      <c r="DC50" s="656">
        <v>13</v>
      </c>
      <c r="DD50" s="656">
        <v>3</v>
      </c>
      <c r="DE50" s="656">
        <v>3</v>
      </c>
      <c r="DF50" s="656">
        <v>23</v>
      </c>
      <c r="DG50" s="656">
        <v>23</v>
      </c>
      <c r="DH50" s="656">
        <v>17</v>
      </c>
      <c r="DI50" s="656">
        <v>17</v>
      </c>
      <c r="DJ50" s="656">
        <v>526</v>
      </c>
      <c r="DK50" s="656">
        <v>526</v>
      </c>
    </row>
    <row r="51" spans="1:115" ht="15.75" customHeight="1" x14ac:dyDescent="0.35"/>
  </sheetData>
  <phoneticPr fontId="3" type="noConversion"/>
  <pageMargins left="0.7" right="0.7" top="0.75" bottom="0.75" header="0.3" footer="0.3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3:R67"/>
  <sheetViews>
    <sheetView topLeftCell="A13" workbookViewId="0">
      <selection activeCell="B44" sqref="B44"/>
    </sheetView>
  </sheetViews>
  <sheetFormatPr defaultColWidth="8.69921875" defaultRowHeight="14.5" x14ac:dyDescent="0.35"/>
  <cols>
    <col min="1" max="1" width="22.8984375" style="294" bestFit="1" customWidth="1"/>
    <col min="2" max="2" width="10.5" style="294" bestFit="1" customWidth="1"/>
    <col min="3" max="3" width="10" style="294" bestFit="1" customWidth="1"/>
    <col min="4" max="4" width="9.5" style="294" bestFit="1" customWidth="1"/>
    <col min="5" max="5" width="9.8984375" style="294" bestFit="1" customWidth="1"/>
    <col min="6" max="6" width="9.796875" style="294" bestFit="1" customWidth="1"/>
    <col min="7" max="7" width="10" style="294" bestFit="1" customWidth="1"/>
    <col min="8" max="8" width="9.796875" style="294" bestFit="1" customWidth="1"/>
    <col min="9" max="10" width="10" style="294" bestFit="1" customWidth="1"/>
    <col min="11" max="11" width="10.09765625" style="294" bestFit="1" customWidth="1"/>
    <col min="12" max="12" width="9.09765625" style="294" bestFit="1" customWidth="1"/>
    <col min="13" max="13" width="10.19921875" style="294" bestFit="1" customWidth="1"/>
    <col min="14" max="14" width="11" style="294" bestFit="1" customWidth="1"/>
    <col min="15" max="15" width="10.796875" style="294" bestFit="1" customWidth="1"/>
    <col min="16" max="16" width="10" style="294" bestFit="1" customWidth="1"/>
    <col min="17" max="17" width="9.5" style="294" bestFit="1" customWidth="1"/>
    <col min="18" max="18" width="5.796875" style="294" bestFit="1" customWidth="1"/>
    <col min="19" max="20" width="8.69921875" style="294" customWidth="1"/>
    <col min="21" max="16384" width="8.69921875" style="294"/>
  </cols>
  <sheetData>
    <row r="3" spans="1:18" x14ac:dyDescent="0.35">
      <c r="A3" s="655" t="s">
        <v>2372</v>
      </c>
      <c r="B3" s="655" t="s">
        <v>82</v>
      </c>
    </row>
    <row r="4" spans="1:18" x14ac:dyDescent="0.35">
      <c r="A4" s="655" t="s">
        <v>2373</v>
      </c>
      <c r="B4" s="53">
        <v>44396</v>
      </c>
      <c r="C4" s="53">
        <v>44397</v>
      </c>
      <c r="D4" s="53">
        <v>44398</v>
      </c>
      <c r="E4" s="53">
        <v>44399</v>
      </c>
      <c r="F4" s="53">
        <v>44400</v>
      </c>
      <c r="G4" s="53">
        <v>44403</v>
      </c>
      <c r="H4" s="53">
        <v>44404</v>
      </c>
      <c r="I4" s="53">
        <v>44405</v>
      </c>
      <c r="J4" s="53">
        <v>44431</v>
      </c>
      <c r="K4" s="53">
        <v>44438</v>
      </c>
      <c r="L4" s="53">
        <v>44448</v>
      </c>
      <c r="M4" s="53">
        <v>44467</v>
      </c>
      <c r="N4" s="53">
        <v>44489</v>
      </c>
      <c r="O4" s="53">
        <v>44494</v>
      </c>
      <c r="P4" s="53">
        <v>44518</v>
      </c>
      <c r="Q4" s="53">
        <v>44533</v>
      </c>
      <c r="R4" s="294" t="s">
        <v>58</v>
      </c>
    </row>
    <row r="5" spans="1:18" x14ac:dyDescent="0.35">
      <c r="A5" s="2" t="s">
        <v>134</v>
      </c>
      <c r="B5" s="656"/>
      <c r="C5" s="656"/>
      <c r="D5" s="656"/>
      <c r="E5" s="656">
        <v>1</v>
      </c>
      <c r="F5" s="656"/>
      <c r="G5" s="656"/>
      <c r="H5" s="656"/>
      <c r="I5" s="656"/>
      <c r="J5" s="656"/>
      <c r="K5" s="656"/>
      <c r="L5" s="656"/>
      <c r="M5" s="656">
        <v>1</v>
      </c>
      <c r="N5" s="656"/>
      <c r="O5" s="656"/>
      <c r="P5" s="656"/>
      <c r="Q5" s="656"/>
      <c r="R5" s="656">
        <v>2</v>
      </c>
    </row>
    <row r="6" spans="1:18" x14ac:dyDescent="0.35">
      <c r="A6" s="2" t="s">
        <v>140</v>
      </c>
      <c r="B6" s="656"/>
      <c r="C6" s="656"/>
      <c r="D6" s="656"/>
      <c r="E6" s="656">
        <v>13</v>
      </c>
      <c r="F6" s="656"/>
      <c r="G6" s="656">
        <v>4</v>
      </c>
      <c r="H6" s="656"/>
      <c r="I6" s="656"/>
      <c r="J6" s="656"/>
      <c r="K6" s="656"/>
      <c r="L6" s="656"/>
      <c r="M6" s="656"/>
      <c r="N6" s="656"/>
      <c r="O6" s="656"/>
      <c r="P6" s="656"/>
      <c r="Q6" s="656"/>
      <c r="R6" s="656">
        <v>17</v>
      </c>
    </row>
    <row r="7" spans="1:18" x14ac:dyDescent="0.35">
      <c r="A7" s="2" t="s">
        <v>147</v>
      </c>
      <c r="B7" s="656"/>
      <c r="C7" s="656"/>
      <c r="D7" s="656"/>
      <c r="E7" s="656">
        <v>10</v>
      </c>
      <c r="F7" s="656"/>
      <c r="G7" s="656"/>
      <c r="H7" s="656"/>
      <c r="I7" s="656"/>
      <c r="J7" s="656"/>
      <c r="K7" s="656"/>
      <c r="L7" s="656"/>
      <c r="M7" s="656"/>
      <c r="N7" s="656"/>
      <c r="O7" s="656"/>
      <c r="P7" s="656"/>
      <c r="Q7" s="656"/>
      <c r="R7" s="656">
        <v>10</v>
      </c>
    </row>
    <row r="8" spans="1:18" x14ac:dyDescent="0.35">
      <c r="A8" s="2" t="s">
        <v>164</v>
      </c>
      <c r="B8" s="656"/>
      <c r="C8" s="656"/>
      <c r="D8" s="656"/>
      <c r="E8" s="656">
        <v>2</v>
      </c>
      <c r="F8" s="656"/>
      <c r="G8" s="656"/>
      <c r="H8" s="656"/>
      <c r="I8" s="656"/>
      <c r="J8" s="656"/>
      <c r="K8" s="656"/>
      <c r="L8" s="656"/>
      <c r="M8" s="656"/>
      <c r="N8" s="656"/>
      <c r="O8" s="656"/>
      <c r="P8" s="656"/>
      <c r="Q8" s="656"/>
      <c r="R8" s="656">
        <v>2</v>
      </c>
    </row>
    <row r="9" spans="1:18" x14ac:dyDescent="0.35">
      <c r="A9" s="2" t="s">
        <v>175</v>
      </c>
      <c r="B9" s="656"/>
      <c r="C9" s="656"/>
      <c r="D9" s="656"/>
      <c r="E9" s="656"/>
      <c r="F9" s="656">
        <v>2</v>
      </c>
      <c r="G9" s="656"/>
      <c r="H9" s="656"/>
      <c r="I9" s="656"/>
      <c r="J9" s="656"/>
      <c r="K9" s="656"/>
      <c r="L9" s="656"/>
      <c r="M9" s="656"/>
      <c r="N9" s="656"/>
      <c r="O9" s="656"/>
      <c r="P9" s="656"/>
      <c r="Q9" s="656"/>
      <c r="R9" s="656">
        <v>2</v>
      </c>
    </row>
    <row r="10" spans="1:18" x14ac:dyDescent="0.35">
      <c r="A10" s="2" t="s">
        <v>170</v>
      </c>
      <c r="B10" s="656"/>
      <c r="C10" s="656"/>
      <c r="D10" s="656"/>
      <c r="E10" s="656"/>
      <c r="F10" s="656">
        <v>2</v>
      </c>
      <c r="G10" s="656"/>
      <c r="H10" s="656"/>
      <c r="I10" s="656"/>
      <c r="J10" s="656"/>
      <c r="K10" s="656"/>
      <c r="L10" s="656"/>
      <c r="M10" s="656"/>
      <c r="N10" s="656"/>
      <c r="O10" s="656"/>
      <c r="P10" s="656"/>
      <c r="Q10" s="656"/>
      <c r="R10" s="656">
        <v>2</v>
      </c>
    </row>
    <row r="11" spans="1:18" x14ac:dyDescent="0.35">
      <c r="A11" s="2" t="s">
        <v>166</v>
      </c>
      <c r="B11" s="656"/>
      <c r="C11" s="656"/>
      <c r="D11" s="656"/>
      <c r="E11" s="656"/>
      <c r="F11" s="656">
        <v>2</v>
      </c>
      <c r="G11" s="656"/>
      <c r="H11" s="656"/>
      <c r="I11" s="656"/>
      <c r="J11" s="656"/>
      <c r="K11" s="656"/>
      <c r="L11" s="656"/>
      <c r="M11" s="656"/>
      <c r="N11" s="656"/>
      <c r="O11" s="656"/>
      <c r="P11" s="656"/>
      <c r="Q11" s="656"/>
      <c r="R11" s="656">
        <v>2</v>
      </c>
    </row>
    <row r="12" spans="1:18" x14ac:dyDescent="0.35">
      <c r="A12" s="2" t="s">
        <v>284</v>
      </c>
      <c r="B12" s="656"/>
      <c r="C12" s="656"/>
      <c r="D12" s="656"/>
      <c r="E12" s="656">
        <v>1</v>
      </c>
      <c r="F12" s="656"/>
      <c r="G12" s="656"/>
      <c r="H12" s="656"/>
      <c r="I12" s="656"/>
      <c r="J12" s="656"/>
      <c r="K12" s="656"/>
      <c r="L12" s="656"/>
      <c r="M12" s="656"/>
      <c r="N12" s="656"/>
      <c r="O12" s="656">
        <v>1</v>
      </c>
      <c r="P12" s="656"/>
      <c r="Q12" s="656"/>
      <c r="R12" s="656">
        <v>2</v>
      </c>
    </row>
    <row r="13" spans="1:18" x14ac:dyDescent="0.35">
      <c r="A13" s="2" t="s">
        <v>326</v>
      </c>
      <c r="B13" s="656"/>
      <c r="C13" s="656"/>
      <c r="D13" s="656">
        <v>1</v>
      </c>
      <c r="E13" s="656"/>
      <c r="F13" s="656"/>
      <c r="G13" s="656"/>
      <c r="H13" s="656">
        <v>1</v>
      </c>
      <c r="I13" s="656"/>
      <c r="J13" s="656"/>
      <c r="K13" s="656">
        <v>4</v>
      </c>
      <c r="L13" s="656"/>
      <c r="M13" s="656"/>
      <c r="N13" s="656"/>
      <c r="O13" s="656"/>
      <c r="P13" s="656"/>
      <c r="Q13" s="656"/>
      <c r="R13" s="656">
        <v>6</v>
      </c>
    </row>
    <row r="14" spans="1:18" x14ac:dyDescent="0.35">
      <c r="A14" s="2" t="s">
        <v>1020</v>
      </c>
      <c r="B14" s="656">
        <v>1</v>
      </c>
      <c r="C14" s="656"/>
      <c r="D14" s="656"/>
      <c r="E14" s="656"/>
      <c r="F14" s="656"/>
      <c r="G14" s="656"/>
      <c r="H14" s="656"/>
      <c r="I14" s="656"/>
      <c r="J14" s="656"/>
      <c r="K14" s="656"/>
      <c r="L14" s="656"/>
      <c r="M14" s="656"/>
      <c r="N14" s="656"/>
      <c r="O14" s="656"/>
      <c r="P14" s="656"/>
      <c r="Q14" s="656"/>
      <c r="R14" s="656">
        <v>1</v>
      </c>
    </row>
    <row r="15" spans="1:18" x14ac:dyDescent="0.35">
      <c r="A15" s="2" t="s">
        <v>1032</v>
      </c>
      <c r="B15" s="656"/>
      <c r="C15" s="656">
        <v>3</v>
      </c>
      <c r="D15" s="656"/>
      <c r="E15" s="656"/>
      <c r="F15" s="656"/>
      <c r="G15" s="656"/>
      <c r="H15" s="656"/>
      <c r="I15" s="656"/>
      <c r="J15" s="656"/>
      <c r="K15" s="656"/>
      <c r="L15" s="656"/>
      <c r="M15" s="656"/>
      <c r="N15" s="656"/>
      <c r="O15" s="656"/>
      <c r="P15" s="656"/>
      <c r="Q15" s="656"/>
      <c r="R15" s="656">
        <v>3</v>
      </c>
    </row>
    <row r="16" spans="1:18" x14ac:dyDescent="0.35">
      <c r="A16" s="2" t="s">
        <v>1024</v>
      </c>
      <c r="B16" s="656"/>
      <c r="C16" s="656">
        <v>2</v>
      </c>
      <c r="D16" s="656"/>
      <c r="E16" s="656"/>
      <c r="F16" s="656"/>
      <c r="G16" s="656"/>
      <c r="H16" s="656"/>
      <c r="I16" s="656"/>
      <c r="J16" s="656"/>
      <c r="K16" s="656"/>
      <c r="L16" s="656"/>
      <c r="M16" s="656"/>
      <c r="N16" s="656"/>
      <c r="O16" s="656"/>
      <c r="P16" s="656"/>
      <c r="Q16" s="656"/>
      <c r="R16" s="656">
        <v>2</v>
      </c>
    </row>
    <row r="17" spans="1:18" x14ac:dyDescent="0.35">
      <c r="A17" s="2" t="s">
        <v>1022</v>
      </c>
      <c r="B17" s="656">
        <v>4</v>
      </c>
      <c r="C17" s="656"/>
      <c r="D17" s="656"/>
      <c r="E17" s="656"/>
      <c r="F17" s="656"/>
      <c r="G17" s="656"/>
      <c r="H17" s="656"/>
      <c r="I17" s="656"/>
      <c r="J17" s="656"/>
      <c r="K17" s="656"/>
      <c r="L17" s="656"/>
      <c r="M17" s="656"/>
      <c r="N17" s="656"/>
      <c r="O17" s="656"/>
      <c r="P17" s="656"/>
      <c r="Q17" s="656"/>
      <c r="R17" s="656">
        <v>4</v>
      </c>
    </row>
    <row r="18" spans="1:18" x14ac:dyDescent="0.35">
      <c r="A18" s="2" t="s">
        <v>1018</v>
      </c>
      <c r="B18" s="656">
        <v>2</v>
      </c>
      <c r="C18" s="656"/>
      <c r="D18" s="656"/>
      <c r="E18" s="656"/>
      <c r="F18" s="656"/>
      <c r="G18" s="656"/>
      <c r="H18" s="656"/>
      <c r="I18" s="656"/>
      <c r="J18" s="656"/>
      <c r="K18" s="656"/>
      <c r="L18" s="656"/>
      <c r="M18" s="656"/>
      <c r="N18" s="656"/>
      <c r="O18" s="656"/>
      <c r="P18" s="656"/>
      <c r="Q18" s="656"/>
      <c r="R18" s="656">
        <v>2</v>
      </c>
    </row>
    <row r="19" spans="1:18" x14ac:dyDescent="0.35">
      <c r="A19" s="2" t="s">
        <v>1030</v>
      </c>
      <c r="B19" s="656">
        <v>4</v>
      </c>
      <c r="C19" s="656"/>
      <c r="D19" s="656"/>
      <c r="E19" s="656"/>
      <c r="F19" s="656"/>
      <c r="G19" s="656"/>
      <c r="H19" s="656"/>
      <c r="I19" s="656"/>
      <c r="J19" s="656"/>
      <c r="K19" s="656"/>
      <c r="L19" s="656"/>
      <c r="M19" s="656"/>
      <c r="N19" s="656"/>
      <c r="O19" s="656"/>
      <c r="P19" s="656"/>
      <c r="Q19" s="656"/>
      <c r="R19" s="656">
        <v>4</v>
      </c>
    </row>
    <row r="20" spans="1:18" x14ac:dyDescent="0.35">
      <c r="A20" s="2" t="s">
        <v>1026</v>
      </c>
      <c r="B20" s="656"/>
      <c r="C20" s="656">
        <v>1</v>
      </c>
      <c r="D20" s="656"/>
      <c r="E20" s="656"/>
      <c r="F20" s="656"/>
      <c r="G20" s="656"/>
      <c r="H20" s="656"/>
      <c r="I20" s="656"/>
      <c r="J20" s="656"/>
      <c r="K20" s="656"/>
      <c r="L20" s="656"/>
      <c r="M20" s="656"/>
      <c r="N20" s="656"/>
      <c r="O20" s="656"/>
      <c r="P20" s="656"/>
      <c r="Q20" s="656"/>
      <c r="R20" s="656">
        <v>1</v>
      </c>
    </row>
    <row r="21" spans="1:18" x14ac:dyDescent="0.35">
      <c r="A21" s="2" t="s">
        <v>1036</v>
      </c>
      <c r="B21" s="656"/>
      <c r="C21" s="656">
        <v>1</v>
      </c>
      <c r="D21" s="656"/>
      <c r="E21" s="656"/>
      <c r="F21" s="656"/>
      <c r="G21" s="656"/>
      <c r="H21" s="656"/>
      <c r="I21" s="656"/>
      <c r="J21" s="656"/>
      <c r="K21" s="656"/>
      <c r="L21" s="656"/>
      <c r="M21" s="656"/>
      <c r="N21" s="656"/>
      <c r="O21" s="656"/>
      <c r="P21" s="656"/>
      <c r="Q21" s="656"/>
      <c r="R21" s="656">
        <v>1</v>
      </c>
    </row>
    <row r="22" spans="1:18" x14ac:dyDescent="0.35">
      <c r="A22" s="2" t="s">
        <v>1081</v>
      </c>
      <c r="B22" s="656"/>
      <c r="C22" s="656"/>
      <c r="D22" s="656">
        <v>2</v>
      </c>
      <c r="E22" s="656"/>
      <c r="F22" s="656"/>
      <c r="G22" s="656"/>
      <c r="H22" s="656"/>
      <c r="I22" s="656"/>
      <c r="J22" s="656"/>
      <c r="K22" s="656"/>
      <c r="L22" s="656"/>
      <c r="M22" s="656"/>
      <c r="N22" s="656"/>
      <c r="O22" s="656"/>
      <c r="P22" s="656"/>
      <c r="Q22" s="656"/>
      <c r="R22" s="656">
        <v>2</v>
      </c>
    </row>
    <row r="23" spans="1:18" x14ac:dyDescent="0.35">
      <c r="A23" s="2" t="s">
        <v>1445</v>
      </c>
      <c r="B23" s="656"/>
      <c r="C23" s="656"/>
      <c r="D23" s="656">
        <v>2</v>
      </c>
      <c r="E23" s="656"/>
      <c r="F23" s="656"/>
      <c r="G23" s="656"/>
      <c r="H23" s="656"/>
      <c r="I23" s="656"/>
      <c r="J23" s="656"/>
      <c r="K23" s="656"/>
      <c r="L23" s="656"/>
      <c r="M23" s="656"/>
      <c r="N23" s="656"/>
      <c r="O23" s="656"/>
      <c r="P23" s="656">
        <v>1</v>
      </c>
      <c r="Q23" s="656"/>
      <c r="R23" s="656">
        <v>3</v>
      </c>
    </row>
    <row r="24" spans="1:18" x14ac:dyDescent="0.35">
      <c r="A24" s="2" t="s">
        <v>1448</v>
      </c>
      <c r="B24" s="656"/>
      <c r="C24" s="656"/>
      <c r="D24" s="656">
        <v>2</v>
      </c>
      <c r="E24" s="656"/>
      <c r="F24" s="656"/>
      <c r="G24" s="656"/>
      <c r="H24" s="656"/>
      <c r="I24" s="656"/>
      <c r="J24" s="656"/>
      <c r="K24" s="656"/>
      <c r="L24" s="656"/>
      <c r="M24" s="656"/>
      <c r="N24" s="656"/>
      <c r="O24" s="656"/>
      <c r="P24" s="656">
        <v>1</v>
      </c>
      <c r="Q24" s="656"/>
      <c r="R24" s="656">
        <v>3</v>
      </c>
    </row>
    <row r="25" spans="1:18" x14ac:dyDescent="0.35">
      <c r="A25" s="2" t="s">
        <v>1010</v>
      </c>
      <c r="B25" s="656">
        <v>3</v>
      </c>
      <c r="C25" s="656"/>
      <c r="D25" s="656"/>
      <c r="E25" s="656"/>
      <c r="F25" s="656"/>
      <c r="G25" s="656"/>
      <c r="H25" s="656"/>
      <c r="I25" s="656"/>
      <c r="J25" s="656"/>
      <c r="K25" s="656"/>
      <c r="L25" s="656"/>
      <c r="M25" s="656"/>
      <c r="N25" s="656"/>
      <c r="O25" s="656"/>
      <c r="P25" s="656"/>
      <c r="Q25" s="656"/>
      <c r="R25" s="656">
        <v>3</v>
      </c>
    </row>
    <row r="26" spans="1:18" x14ac:dyDescent="0.35">
      <c r="A26" s="2" t="s">
        <v>1054</v>
      </c>
      <c r="B26" s="656"/>
      <c r="C26" s="656">
        <v>3</v>
      </c>
      <c r="D26" s="656"/>
      <c r="E26" s="656"/>
      <c r="F26" s="656"/>
      <c r="G26" s="656"/>
      <c r="H26" s="656"/>
      <c r="I26" s="656"/>
      <c r="J26" s="656"/>
      <c r="K26" s="656"/>
      <c r="L26" s="656"/>
      <c r="M26" s="656"/>
      <c r="N26" s="656"/>
      <c r="O26" s="656"/>
      <c r="P26" s="656"/>
      <c r="Q26" s="656"/>
      <c r="R26" s="656">
        <v>3</v>
      </c>
    </row>
    <row r="27" spans="1:18" x14ac:dyDescent="0.35">
      <c r="A27" s="2" t="s">
        <v>1048</v>
      </c>
      <c r="B27" s="656"/>
      <c r="C27" s="656">
        <v>3</v>
      </c>
      <c r="D27" s="656"/>
      <c r="E27" s="656"/>
      <c r="F27" s="656"/>
      <c r="G27" s="656"/>
      <c r="H27" s="656"/>
      <c r="I27" s="656"/>
      <c r="J27" s="656"/>
      <c r="K27" s="656"/>
      <c r="L27" s="656"/>
      <c r="M27" s="656"/>
      <c r="N27" s="656"/>
      <c r="O27" s="656"/>
      <c r="P27" s="656"/>
      <c r="Q27" s="656"/>
      <c r="R27" s="656">
        <v>3</v>
      </c>
    </row>
    <row r="28" spans="1:18" x14ac:dyDescent="0.35">
      <c r="A28" s="2" t="s">
        <v>1015</v>
      </c>
      <c r="B28" s="656">
        <v>1</v>
      </c>
      <c r="C28" s="656"/>
      <c r="D28" s="656"/>
      <c r="E28" s="656"/>
      <c r="F28" s="656"/>
      <c r="G28" s="656"/>
      <c r="H28" s="656"/>
      <c r="I28" s="656"/>
      <c r="J28" s="656"/>
      <c r="K28" s="656"/>
      <c r="L28" s="656"/>
      <c r="M28" s="656"/>
      <c r="N28" s="656"/>
      <c r="O28" s="656"/>
      <c r="P28" s="656"/>
      <c r="Q28" s="656"/>
      <c r="R28" s="656">
        <v>1</v>
      </c>
    </row>
    <row r="29" spans="1:18" x14ac:dyDescent="0.35">
      <c r="A29" s="2" t="s">
        <v>1042</v>
      </c>
      <c r="B29" s="656"/>
      <c r="C29" s="656"/>
      <c r="D29" s="656">
        <v>4</v>
      </c>
      <c r="E29" s="656"/>
      <c r="F29" s="656"/>
      <c r="G29" s="656"/>
      <c r="H29" s="656"/>
      <c r="I29" s="656"/>
      <c r="J29" s="656"/>
      <c r="K29" s="656"/>
      <c r="L29" s="656"/>
      <c r="M29" s="656"/>
      <c r="N29" s="656"/>
      <c r="O29" s="656"/>
      <c r="P29" s="656"/>
      <c r="Q29" s="656"/>
      <c r="R29" s="656">
        <v>4</v>
      </c>
    </row>
    <row r="30" spans="1:18" x14ac:dyDescent="0.35">
      <c r="A30" s="2" t="s">
        <v>1044</v>
      </c>
      <c r="B30" s="656"/>
      <c r="C30" s="656"/>
      <c r="D30" s="656">
        <v>1</v>
      </c>
      <c r="E30" s="656"/>
      <c r="F30" s="656"/>
      <c r="G30" s="656"/>
      <c r="H30" s="656"/>
      <c r="I30" s="656"/>
      <c r="J30" s="656"/>
      <c r="K30" s="656"/>
      <c r="L30" s="656"/>
      <c r="M30" s="656"/>
      <c r="N30" s="656"/>
      <c r="O30" s="656"/>
      <c r="P30" s="656"/>
      <c r="Q30" s="656"/>
      <c r="R30" s="656">
        <v>1</v>
      </c>
    </row>
    <row r="31" spans="1:18" x14ac:dyDescent="0.35">
      <c r="A31" s="2" t="s">
        <v>1052</v>
      </c>
      <c r="B31" s="656"/>
      <c r="C31" s="656">
        <v>3</v>
      </c>
      <c r="D31" s="656"/>
      <c r="E31" s="656"/>
      <c r="F31" s="656"/>
      <c r="G31" s="656"/>
      <c r="H31" s="656"/>
      <c r="I31" s="656"/>
      <c r="J31" s="656"/>
      <c r="K31" s="656"/>
      <c r="L31" s="656"/>
      <c r="M31" s="656"/>
      <c r="N31" s="656"/>
      <c r="O31" s="656"/>
      <c r="P31" s="656"/>
      <c r="Q31" s="656"/>
      <c r="R31" s="656">
        <v>3</v>
      </c>
    </row>
    <row r="32" spans="1:18" x14ac:dyDescent="0.35">
      <c r="A32" s="2" t="s">
        <v>1542</v>
      </c>
      <c r="B32" s="656"/>
      <c r="C32" s="656"/>
      <c r="D32" s="656">
        <v>1</v>
      </c>
      <c r="E32" s="656"/>
      <c r="F32" s="656"/>
      <c r="G32" s="656"/>
      <c r="H32" s="656"/>
      <c r="I32" s="656"/>
      <c r="J32" s="656"/>
      <c r="K32" s="656"/>
      <c r="L32" s="656"/>
      <c r="M32" s="656"/>
      <c r="N32" s="656"/>
      <c r="O32" s="656"/>
      <c r="P32" s="656">
        <v>3</v>
      </c>
      <c r="Q32" s="656"/>
      <c r="R32" s="656">
        <v>4</v>
      </c>
    </row>
    <row r="33" spans="1:18" x14ac:dyDescent="0.35">
      <c r="A33" s="2" t="s">
        <v>1546</v>
      </c>
      <c r="B33" s="656"/>
      <c r="C33" s="656"/>
      <c r="D33" s="656">
        <v>1</v>
      </c>
      <c r="E33" s="656"/>
      <c r="F33" s="656"/>
      <c r="G33" s="656"/>
      <c r="H33" s="656"/>
      <c r="I33" s="656"/>
      <c r="J33" s="656"/>
      <c r="K33" s="656"/>
      <c r="L33" s="656"/>
      <c r="M33" s="656"/>
      <c r="N33" s="656"/>
      <c r="O33" s="656"/>
      <c r="P33" s="656">
        <v>2</v>
      </c>
      <c r="Q33" s="656"/>
      <c r="R33" s="656">
        <v>3</v>
      </c>
    </row>
    <row r="34" spans="1:18" x14ac:dyDescent="0.35">
      <c r="A34" s="2" t="s">
        <v>144</v>
      </c>
      <c r="B34" s="656"/>
      <c r="C34" s="656"/>
      <c r="D34" s="656"/>
      <c r="E34" s="656"/>
      <c r="F34" s="656"/>
      <c r="G34" s="656">
        <v>11</v>
      </c>
      <c r="H34" s="656"/>
      <c r="I34" s="656"/>
      <c r="J34" s="656"/>
      <c r="K34" s="656"/>
      <c r="L34" s="656"/>
      <c r="M34" s="656"/>
      <c r="N34" s="656"/>
      <c r="O34" s="656"/>
      <c r="P34" s="656"/>
      <c r="Q34" s="656"/>
      <c r="R34" s="656">
        <v>11</v>
      </c>
    </row>
    <row r="35" spans="1:18" x14ac:dyDescent="0.35">
      <c r="A35" s="2" t="s">
        <v>151</v>
      </c>
      <c r="B35" s="656"/>
      <c r="C35" s="656"/>
      <c r="D35" s="656"/>
      <c r="E35" s="656"/>
      <c r="F35" s="656"/>
      <c r="G35" s="656">
        <v>7</v>
      </c>
      <c r="H35" s="656"/>
      <c r="I35" s="656"/>
      <c r="J35" s="656"/>
      <c r="K35" s="656"/>
      <c r="L35" s="656"/>
      <c r="M35" s="656"/>
      <c r="N35" s="656"/>
      <c r="O35" s="656"/>
      <c r="P35" s="656"/>
      <c r="Q35" s="656"/>
      <c r="R35" s="656">
        <v>7</v>
      </c>
    </row>
    <row r="36" spans="1:18" x14ac:dyDescent="0.35">
      <c r="A36" s="2" t="s">
        <v>1419</v>
      </c>
      <c r="B36" s="656"/>
      <c r="C36" s="656"/>
      <c r="D36" s="656"/>
      <c r="E36" s="656"/>
      <c r="F36" s="656"/>
      <c r="G36" s="656">
        <v>3</v>
      </c>
      <c r="H36" s="656"/>
      <c r="I36" s="656"/>
      <c r="J36" s="656"/>
      <c r="K36" s="656"/>
      <c r="L36" s="656"/>
      <c r="M36" s="656"/>
      <c r="N36" s="656"/>
      <c r="O36" s="656"/>
      <c r="P36" s="656"/>
      <c r="Q36" s="656"/>
      <c r="R36" s="656">
        <v>3</v>
      </c>
    </row>
    <row r="37" spans="1:18" x14ac:dyDescent="0.35">
      <c r="A37" s="2" t="s">
        <v>1598</v>
      </c>
      <c r="B37" s="656"/>
      <c r="C37" s="656"/>
      <c r="D37" s="656"/>
      <c r="E37" s="656"/>
      <c r="F37" s="656"/>
      <c r="G37" s="656">
        <v>5</v>
      </c>
      <c r="H37" s="656"/>
      <c r="I37" s="656"/>
      <c r="J37" s="656"/>
      <c r="K37" s="656"/>
      <c r="L37" s="656"/>
      <c r="M37" s="656"/>
      <c r="N37" s="656"/>
      <c r="O37" s="656"/>
      <c r="P37" s="656"/>
      <c r="Q37" s="656"/>
      <c r="R37" s="656">
        <v>5</v>
      </c>
    </row>
    <row r="38" spans="1:18" x14ac:dyDescent="0.35">
      <c r="A38" s="2" t="s">
        <v>846</v>
      </c>
      <c r="B38" s="656"/>
      <c r="C38" s="656"/>
      <c r="D38" s="656"/>
      <c r="E38" s="656"/>
      <c r="F38" s="656"/>
      <c r="G38" s="656">
        <v>1</v>
      </c>
      <c r="H38" s="656"/>
      <c r="I38" s="656"/>
      <c r="J38" s="656"/>
      <c r="K38" s="656"/>
      <c r="L38" s="656"/>
      <c r="M38" s="656"/>
      <c r="N38" s="656">
        <v>1</v>
      </c>
      <c r="O38" s="656"/>
      <c r="P38" s="656"/>
      <c r="Q38" s="656"/>
      <c r="R38" s="656">
        <v>2</v>
      </c>
    </row>
    <row r="39" spans="1:18" x14ac:dyDescent="0.35">
      <c r="A39" s="2" t="s">
        <v>199</v>
      </c>
      <c r="B39" s="656"/>
      <c r="C39" s="656"/>
      <c r="D39" s="656"/>
      <c r="E39" s="656"/>
      <c r="F39" s="656"/>
      <c r="G39" s="656">
        <v>5</v>
      </c>
      <c r="H39" s="656"/>
      <c r="I39" s="656"/>
      <c r="J39" s="656"/>
      <c r="K39" s="656"/>
      <c r="L39" s="656"/>
      <c r="M39" s="656"/>
      <c r="N39" s="656"/>
      <c r="O39" s="656"/>
      <c r="P39" s="656"/>
      <c r="Q39" s="656"/>
      <c r="R39" s="656">
        <v>5</v>
      </c>
    </row>
    <row r="40" spans="1:18" x14ac:dyDescent="0.35">
      <c r="A40" s="2" t="s">
        <v>201</v>
      </c>
      <c r="B40" s="656"/>
      <c r="C40" s="656"/>
      <c r="D40" s="656"/>
      <c r="E40" s="656"/>
      <c r="F40" s="656"/>
      <c r="G40" s="656">
        <v>2</v>
      </c>
      <c r="H40" s="656"/>
      <c r="I40" s="656"/>
      <c r="J40" s="656"/>
      <c r="K40" s="656"/>
      <c r="L40" s="656"/>
      <c r="M40" s="656"/>
      <c r="N40" s="656"/>
      <c r="O40" s="656"/>
      <c r="P40" s="656"/>
      <c r="Q40" s="656"/>
      <c r="R40" s="656">
        <v>2</v>
      </c>
    </row>
    <row r="41" spans="1:18" x14ac:dyDescent="0.35">
      <c r="A41" s="2" t="s">
        <v>205</v>
      </c>
      <c r="B41" s="656"/>
      <c r="C41" s="656"/>
      <c r="D41" s="656"/>
      <c r="E41" s="656"/>
      <c r="F41" s="656"/>
      <c r="G41" s="656">
        <v>6</v>
      </c>
      <c r="H41" s="656"/>
      <c r="I41" s="656"/>
      <c r="J41" s="656">
        <v>3</v>
      </c>
      <c r="K41" s="656"/>
      <c r="L41" s="656"/>
      <c r="M41" s="656"/>
      <c r="N41" s="656"/>
      <c r="O41" s="656"/>
      <c r="P41" s="656"/>
      <c r="Q41" s="656"/>
      <c r="R41" s="656">
        <v>9</v>
      </c>
    </row>
    <row r="42" spans="1:18" x14ac:dyDescent="0.35">
      <c r="A42" s="2" t="s">
        <v>212</v>
      </c>
      <c r="B42" s="656"/>
      <c r="C42" s="656"/>
      <c r="D42" s="656"/>
      <c r="E42" s="656"/>
      <c r="F42" s="656"/>
      <c r="G42" s="656">
        <v>3</v>
      </c>
      <c r="H42" s="656"/>
      <c r="I42" s="656"/>
      <c r="J42" s="656"/>
      <c r="K42" s="656"/>
      <c r="L42" s="656"/>
      <c r="M42" s="656"/>
      <c r="N42" s="656"/>
      <c r="O42" s="656"/>
      <c r="P42" s="656"/>
      <c r="Q42" s="656"/>
      <c r="R42" s="656">
        <v>3</v>
      </c>
    </row>
    <row r="43" spans="1:18" x14ac:dyDescent="0.35">
      <c r="A43" s="2" t="s">
        <v>207</v>
      </c>
      <c r="B43" s="656"/>
      <c r="C43" s="656"/>
      <c r="D43" s="656"/>
      <c r="E43" s="656"/>
      <c r="F43" s="656"/>
      <c r="G43" s="656">
        <v>11</v>
      </c>
      <c r="H43" s="656"/>
      <c r="I43" s="656"/>
      <c r="J43" s="656"/>
      <c r="K43" s="656"/>
      <c r="L43" s="656"/>
      <c r="M43" s="656"/>
      <c r="N43" s="656"/>
      <c r="O43" s="656"/>
      <c r="P43" s="656"/>
      <c r="Q43" s="656"/>
      <c r="R43" s="656">
        <v>11</v>
      </c>
    </row>
    <row r="44" spans="1:18" x14ac:dyDescent="0.35">
      <c r="A44" s="2" t="s">
        <v>215</v>
      </c>
      <c r="B44" s="656"/>
      <c r="C44" s="656"/>
      <c r="D44" s="656"/>
      <c r="E44" s="656"/>
      <c r="F44" s="656"/>
      <c r="G44" s="656"/>
      <c r="H44" s="656">
        <v>1</v>
      </c>
      <c r="I44" s="656"/>
      <c r="J44" s="656"/>
      <c r="K44" s="656"/>
      <c r="L44" s="656"/>
      <c r="M44" s="656"/>
      <c r="N44" s="656"/>
      <c r="O44" s="656"/>
      <c r="P44" s="656"/>
      <c r="Q44" s="656"/>
      <c r="R44" s="656">
        <v>1</v>
      </c>
    </row>
    <row r="45" spans="1:18" x14ac:dyDescent="0.35">
      <c r="A45" s="2" t="s">
        <v>218</v>
      </c>
      <c r="B45" s="656"/>
      <c r="C45" s="656"/>
      <c r="D45" s="656"/>
      <c r="E45" s="656"/>
      <c r="F45" s="656"/>
      <c r="G45" s="656"/>
      <c r="H45" s="656">
        <v>7</v>
      </c>
      <c r="I45" s="656"/>
      <c r="J45" s="656"/>
      <c r="K45" s="656"/>
      <c r="L45" s="656">
        <v>2</v>
      </c>
      <c r="M45" s="656"/>
      <c r="N45" s="656"/>
      <c r="O45" s="656"/>
      <c r="P45" s="656"/>
      <c r="Q45" s="656"/>
      <c r="R45" s="656">
        <v>9</v>
      </c>
    </row>
    <row r="46" spans="1:18" x14ac:dyDescent="0.35">
      <c r="A46" s="2" t="s">
        <v>1408</v>
      </c>
      <c r="B46" s="656"/>
      <c r="C46" s="656"/>
      <c r="D46" s="656"/>
      <c r="E46" s="656"/>
      <c r="F46" s="656"/>
      <c r="G46" s="656"/>
      <c r="H46" s="656">
        <v>1</v>
      </c>
      <c r="I46" s="656"/>
      <c r="J46" s="656"/>
      <c r="K46" s="656"/>
      <c r="L46" s="656"/>
      <c r="M46" s="656"/>
      <c r="N46" s="656"/>
      <c r="O46" s="656"/>
      <c r="P46" s="656"/>
      <c r="Q46" s="656">
        <v>1</v>
      </c>
      <c r="R46" s="656">
        <v>2</v>
      </c>
    </row>
    <row r="47" spans="1:18" x14ac:dyDescent="0.35">
      <c r="A47" s="2" t="s">
        <v>236</v>
      </c>
      <c r="B47" s="656"/>
      <c r="C47" s="656"/>
      <c r="D47" s="656"/>
      <c r="E47" s="656"/>
      <c r="F47" s="656"/>
      <c r="G47" s="656"/>
      <c r="H47" s="656">
        <v>3</v>
      </c>
      <c r="I47" s="656"/>
      <c r="J47" s="656"/>
      <c r="K47" s="656"/>
      <c r="L47" s="656"/>
      <c r="M47" s="656"/>
      <c r="N47" s="656"/>
      <c r="O47" s="656"/>
      <c r="P47" s="656"/>
      <c r="Q47" s="656"/>
      <c r="R47" s="656">
        <v>3</v>
      </c>
    </row>
    <row r="48" spans="1:18" x14ac:dyDescent="0.35">
      <c r="A48" s="2" t="s">
        <v>238</v>
      </c>
      <c r="B48" s="656"/>
      <c r="C48" s="656"/>
      <c r="D48" s="656"/>
      <c r="E48" s="656"/>
      <c r="F48" s="656"/>
      <c r="G48" s="656"/>
      <c r="H48" s="656"/>
      <c r="I48" s="656">
        <v>2</v>
      </c>
      <c r="J48" s="656"/>
      <c r="K48" s="656"/>
      <c r="L48" s="656"/>
      <c r="M48" s="656"/>
      <c r="N48" s="656"/>
      <c r="O48" s="656"/>
      <c r="P48" s="656"/>
      <c r="Q48" s="656"/>
      <c r="R48" s="656">
        <v>2</v>
      </c>
    </row>
    <row r="49" spans="1:18" x14ac:dyDescent="0.35">
      <c r="A49" s="2" t="s">
        <v>241</v>
      </c>
      <c r="B49" s="656"/>
      <c r="C49" s="656"/>
      <c r="D49" s="656"/>
      <c r="E49" s="656"/>
      <c r="F49" s="656"/>
      <c r="G49" s="656"/>
      <c r="H49" s="656"/>
      <c r="I49" s="656">
        <v>4</v>
      </c>
      <c r="J49" s="656"/>
      <c r="K49" s="656"/>
      <c r="L49" s="656"/>
      <c r="M49" s="656"/>
      <c r="N49" s="656"/>
      <c r="O49" s="656"/>
      <c r="P49" s="656"/>
      <c r="Q49" s="656"/>
      <c r="R49" s="656">
        <v>4</v>
      </c>
    </row>
    <row r="50" spans="1:18" x14ac:dyDescent="0.35">
      <c r="A50" s="2" t="s">
        <v>224</v>
      </c>
      <c r="B50" s="656"/>
      <c r="C50" s="656"/>
      <c r="D50" s="656"/>
      <c r="E50" s="656"/>
      <c r="F50" s="656"/>
      <c r="G50" s="656"/>
      <c r="H50" s="656"/>
      <c r="I50" s="656">
        <v>3</v>
      </c>
      <c r="J50" s="656"/>
      <c r="K50" s="656"/>
      <c r="L50" s="656"/>
      <c r="M50" s="656"/>
      <c r="N50" s="656"/>
      <c r="O50" s="656"/>
      <c r="P50" s="656"/>
      <c r="Q50" s="656"/>
      <c r="R50" s="656">
        <v>3</v>
      </c>
    </row>
    <row r="51" spans="1:18" x14ac:dyDescent="0.35">
      <c r="A51" s="2" t="s">
        <v>228</v>
      </c>
      <c r="B51" s="656"/>
      <c r="C51" s="656"/>
      <c r="D51" s="656"/>
      <c r="E51" s="656"/>
      <c r="F51" s="656"/>
      <c r="G51" s="656"/>
      <c r="H51" s="656"/>
      <c r="I51" s="656">
        <v>6</v>
      </c>
      <c r="J51" s="656"/>
      <c r="K51" s="656"/>
      <c r="L51" s="656"/>
      <c r="M51" s="656"/>
      <c r="N51" s="656"/>
      <c r="O51" s="656"/>
      <c r="P51" s="656"/>
      <c r="Q51" s="656"/>
      <c r="R51" s="656">
        <v>6</v>
      </c>
    </row>
    <row r="52" spans="1:18" x14ac:dyDescent="0.35">
      <c r="A52" s="2" t="s">
        <v>230</v>
      </c>
      <c r="B52" s="656"/>
      <c r="C52" s="656"/>
      <c r="D52" s="656"/>
      <c r="E52" s="656"/>
      <c r="F52" s="656"/>
      <c r="G52" s="656"/>
      <c r="H52" s="656"/>
      <c r="I52" s="656">
        <v>2</v>
      </c>
      <c r="J52" s="656"/>
      <c r="K52" s="656"/>
      <c r="L52" s="656"/>
      <c r="M52" s="656"/>
      <c r="N52" s="656"/>
      <c r="O52" s="656"/>
      <c r="P52" s="656"/>
      <c r="Q52" s="656"/>
      <c r="R52" s="656">
        <v>2</v>
      </c>
    </row>
    <row r="53" spans="1:18" x14ac:dyDescent="0.35">
      <c r="A53" s="2" t="s">
        <v>1040</v>
      </c>
      <c r="B53" s="656"/>
      <c r="C53" s="656"/>
      <c r="D53" s="656">
        <v>1</v>
      </c>
      <c r="E53" s="656"/>
      <c r="F53" s="656"/>
      <c r="G53" s="656"/>
      <c r="H53" s="656"/>
      <c r="I53" s="656"/>
      <c r="J53" s="656"/>
      <c r="K53" s="656"/>
      <c r="L53" s="656"/>
      <c r="M53" s="656"/>
      <c r="N53" s="656"/>
      <c r="O53" s="656"/>
      <c r="P53" s="656"/>
      <c r="Q53" s="656"/>
      <c r="R53" s="656">
        <v>1</v>
      </c>
    </row>
    <row r="54" spans="1:18" x14ac:dyDescent="0.35">
      <c r="A54" s="2" t="s">
        <v>848</v>
      </c>
      <c r="B54" s="656"/>
      <c r="C54" s="656"/>
      <c r="D54" s="656"/>
      <c r="E54" s="656"/>
      <c r="F54" s="656"/>
      <c r="G54" s="656">
        <v>1</v>
      </c>
      <c r="H54" s="656"/>
      <c r="I54" s="656"/>
      <c r="J54" s="656"/>
      <c r="K54" s="656"/>
      <c r="L54" s="656"/>
      <c r="M54" s="656"/>
      <c r="N54" s="656">
        <v>3</v>
      </c>
      <c r="O54" s="656"/>
      <c r="P54" s="656"/>
      <c r="Q54" s="656"/>
      <c r="R54" s="656">
        <v>4</v>
      </c>
    </row>
    <row r="55" spans="1:18" x14ac:dyDescent="0.35">
      <c r="A55" s="2" t="s">
        <v>221</v>
      </c>
      <c r="B55" s="656"/>
      <c r="C55" s="656"/>
      <c r="D55" s="656"/>
      <c r="E55" s="656"/>
      <c r="F55" s="656"/>
      <c r="G55" s="656"/>
      <c r="H55" s="656">
        <v>1</v>
      </c>
      <c r="I55" s="656"/>
      <c r="J55" s="656"/>
      <c r="K55" s="656"/>
      <c r="L55" s="656"/>
      <c r="M55" s="656"/>
      <c r="N55" s="656"/>
      <c r="O55" s="656"/>
      <c r="P55" s="656"/>
      <c r="Q55" s="656"/>
      <c r="R55" s="656">
        <v>1</v>
      </c>
    </row>
    <row r="56" spans="1:18" x14ac:dyDescent="0.35">
      <c r="A56" s="2" t="s">
        <v>58</v>
      </c>
      <c r="B56" s="656">
        <v>15</v>
      </c>
      <c r="C56" s="656">
        <v>16</v>
      </c>
      <c r="D56" s="656">
        <v>15</v>
      </c>
      <c r="E56" s="656">
        <v>27</v>
      </c>
      <c r="F56" s="656">
        <v>6</v>
      </c>
      <c r="G56" s="656">
        <v>59</v>
      </c>
      <c r="H56" s="656">
        <v>14</v>
      </c>
      <c r="I56" s="656">
        <v>17</v>
      </c>
      <c r="J56" s="656">
        <v>3</v>
      </c>
      <c r="K56" s="656">
        <v>4</v>
      </c>
      <c r="L56" s="656">
        <v>2</v>
      </c>
      <c r="M56" s="656">
        <v>1</v>
      </c>
      <c r="N56" s="656">
        <v>4</v>
      </c>
      <c r="O56" s="656">
        <v>1</v>
      </c>
      <c r="P56" s="656">
        <v>7</v>
      </c>
      <c r="Q56" s="656">
        <v>1</v>
      </c>
      <c r="R56" s="656">
        <v>192</v>
      </c>
    </row>
    <row r="57" spans="1:18" ht="15.75" customHeight="1" x14ac:dyDescent="0.35"/>
    <row r="58" spans="1:18" ht="15.75" customHeight="1" x14ac:dyDescent="0.35"/>
    <row r="59" spans="1:18" ht="15.75" customHeight="1" x14ac:dyDescent="0.35"/>
    <row r="60" spans="1:18" ht="15.75" customHeight="1" x14ac:dyDescent="0.35"/>
    <row r="61" spans="1:18" ht="15.75" customHeight="1" x14ac:dyDescent="0.35"/>
    <row r="62" spans="1:18" ht="15.75" customHeight="1" x14ac:dyDescent="0.35"/>
    <row r="63" spans="1:18" ht="15.75" customHeight="1" x14ac:dyDescent="0.35"/>
    <row r="64" spans="1:18" ht="15.75" customHeight="1" x14ac:dyDescent="0.35"/>
    <row r="65" ht="15.75" customHeight="1" x14ac:dyDescent="0.35"/>
    <row r="66" ht="15.75" customHeight="1" x14ac:dyDescent="0.35"/>
    <row r="67" ht="15.75" customHeight="1" x14ac:dyDescent="0.35"/>
  </sheetData>
  <phoneticPr fontId="3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A72"/>
  <sheetViews>
    <sheetView workbookViewId="0">
      <selection activeCell="B44" sqref="B44"/>
    </sheetView>
  </sheetViews>
  <sheetFormatPr defaultColWidth="8.69921875" defaultRowHeight="14.5" x14ac:dyDescent="0.35"/>
  <cols>
    <col min="1" max="1" width="12.69921875" style="53" bestFit="1" customWidth="1"/>
    <col min="2" max="2" width="30" style="294" bestFit="1" customWidth="1"/>
    <col min="3" max="11" width="19.09765625" style="294" bestFit="1" customWidth="1"/>
    <col min="12" max="12" width="19.796875" style="294" bestFit="1" customWidth="1"/>
    <col min="13" max="49" width="19.09765625" style="294" bestFit="1" customWidth="1"/>
    <col min="50" max="50" width="22.19921875" style="294" bestFit="1" customWidth="1"/>
    <col min="51" max="77" width="19.09765625" style="294" bestFit="1" customWidth="1"/>
    <col min="78" max="79" width="26.8984375" style="294" bestFit="1" customWidth="1"/>
    <col min="80" max="16384" width="8.69921875" style="294"/>
  </cols>
  <sheetData>
    <row r="1" spans="1:22" x14ac:dyDescent="0.35">
      <c r="A1" s="51"/>
      <c r="B1" s="39" t="str">
        <f>B34</f>
        <v>追蹤議題預計完工/實際完工</v>
      </c>
      <c r="C1" s="51"/>
    </row>
    <row r="2" spans="1:22" s="378" customFormat="1" x14ac:dyDescent="0.35">
      <c r="A2" s="379"/>
      <c r="B2" s="50"/>
      <c r="C2" s="50"/>
      <c r="F2" s="380"/>
    </row>
    <row r="3" spans="1:22" s="56" customFormat="1" x14ac:dyDescent="0.35">
      <c r="A3" s="50" t="s">
        <v>1480</v>
      </c>
      <c r="B3" s="50" t="s">
        <v>2374</v>
      </c>
      <c r="C3" s="50" t="s">
        <v>2375</v>
      </c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</row>
    <row r="4" spans="1:22" x14ac:dyDescent="0.35">
      <c r="A4" s="43">
        <v>44396</v>
      </c>
      <c r="B4" s="51">
        <v>1</v>
      </c>
      <c r="C4" s="51"/>
      <c r="D4" s="53"/>
      <c r="E4" s="54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</row>
    <row r="5" spans="1:22" x14ac:dyDescent="0.35">
      <c r="A5" s="43">
        <v>44397</v>
      </c>
      <c r="B5" s="51">
        <v>2</v>
      </c>
      <c r="C5" s="51"/>
      <c r="D5" s="53"/>
      <c r="E5" s="54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</row>
    <row r="6" spans="1:22" x14ac:dyDescent="0.35">
      <c r="A6" s="43">
        <v>44398</v>
      </c>
      <c r="B6" s="51">
        <v>6</v>
      </c>
      <c r="C6" s="51">
        <v>1</v>
      </c>
      <c r="D6" s="53"/>
      <c r="E6" s="54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</row>
    <row r="7" spans="1:22" x14ac:dyDescent="0.35">
      <c r="A7" s="43">
        <v>44399</v>
      </c>
      <c r="B7" s="51">
        <v>4</v>
      </c>
      <c r="C7" s="51">
        <v>3</v>
      </c>
      <c r="D7" s="53"/>
      <c r="E7" s="54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</row>
    <row r="8" spans="1:22" x14ac:dyDescent="0.35">
      <c r="A8" s="43">
        <v>44400</v>
      </c>
      <c r="B8" s="51">
        <v>2</v>
      </c>
      <c r="C8" s="51">
        <v>1</v>
      </c>
      <c r="D8" s="53"/>
      <c r="E8" s="54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</row>
    <row r="9" spans="1:22" hidden="1" x14ac:dyDescent="0.35">
      <c r="A9" s="43" t="s">
        <v>99</v>
      </c>
      <c r="B9" s="51"/>
      <c r="C9" s="51"/>
      <c r="D9" s="53"/>
      <c r="E9" s="54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</row>
    <row r="10" spans="1:22" s="56" customFormat="1" x14ac:dyDescent="0.35">
      <c r="A10" s="43">
        <v>44403</v>
      </c>
      <c r="B10" s="50">
        <v>9</v>
      </c>
      <c r="C10" s="50"/>
      <c r="D10" s="52"/>
      <c r="E10" s="55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</row>
    <row r="11" spans="1:22" x14ac:dyDescent="0.35">
      <c r="A11" s="43">
        <v>44404</v>
      </c>
      <c r="B11" s="51">
        <v>4</v>
      </c>
      <c r="C11" s="51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</row>
    <row r="12" spans="1:22" x14ac:dyDescent="0.35">
      <c r="A12" s="43">
        <v>44405</v>
      </c>
      <c r="B12" s="51">
        <v>6</v>
      </c>
      <c r="C12" s="51">
        <v>2</v>
      </c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</row>
    <row r="13" spans="1:22" x14ac:dyDescent="0.35">
      <c r="A13" s="50" t="s">
        <v>58</v>
      </c>
      <c r="B13" s="50">
        <v>34</v>
      </c>
      <c r="C13" s="50">
        <v>7</v>
      </c>
    </row>
    <row r="14" spans="1:22" x14ac:dyDescent="0.35">
      <c r="A14" s="56"/>
      <c r="B14" s="56"/>
      <c r="C14" s="56"/>
    </row>
    <row r="15" spans="1:22" x14ac:dyDescent="0.35">
      <c r="A15" s="56"/>
      <c r="B15" s="56"/>
      <c r="C15" s="56"/>
    </row>
    <row r="16" spans="1:22" x14ac:dyDescent="0.35">
      <c r="A16" s="56"/>
      <c r="B16" s="56"/>
      <c r="C16" s="56"/>
    </row>
    <row r="17" spans="1:3" x14ac:dyDescent="0.35">
      <c r="A17" s="56"/>
      <c r="B17" s="56"/>
      <c r="C17" s="56"/>
    </row>
    <row r="18" spans="1:3" x14ac:dyDescent="0.35">
      <c r="A18" s="56"/>
      <c r="B18" s="56"/>
      <c r="C18" s="56"/>
    </row>
    <row r="19" spans="1:3" x14ac:dyDescent="0.35">
      <c r="A19" s="56"/>
      <c r="B19" s="56"/>
      <c r="C19" s="56"/>
    </row>
    <row r="20" spans="1:3" x14ac:dyDescent="0.35">
      <c r="A20" s="56"/>
      <c r="B20" s="56"/>
      <c r="C20" s="56"/>
    </row>
    <row r="21" spans="1:3" x14ac:dyDescent="0.35">
      <c r="A21" s="56"/>
      <c r="B21" s="56"/>
      <c r="C21" s="56"/>
    </row>
    <row r="22" spans="1:3" x14ac:dyDescent="0.35">
      <c r="A22" s="56"/>
      <c r="B22" s="56"/>
      <c r="C22" s="56"/>
    </row>
    <row r="23" spans="1:3" x14ac:dyDescent="0.35">
      <c r="A23" s="56"/>
      <c r="B23" s="56"/>
      <c r="C23" s="56"/>
    </row>
    <row r="24" spans="1:3" x14ac:dyDescent="0.35">
      <c r="A24" s="56"/>
      <c r="B24" s="56"/>
      <c r="C24" s="56"/>
    </row>
    <row r="25" spans="1:3" x14ac:dyDescent="0.35">
      <c r="A25" s="56"/>
      <c r="B25" s="56"/>
      <c r="C25" s="56"/>
    </row>
    <row r="26" spans="1:3" x14ac:dyDescent="0.35">
      <c r="A26" s="56"/>
      <c r="B26" s="56"/>
      <c r="C26" s="56"/>
    </row>
    <row r="27" spans="1:3" x14ac:dyDescent="0.35">
      <c r="A27" s="56"/>
      <c r="B27" s="56"/>
      <c r="C27" s="56"/>
    </row>
    <row r="28" spans="1:3" x14ac:dyDescent="0.35">
      <c r="A28" s="56"/>
      <c r="B28" s="56"/>
      <c r="C28" s="56"/>
    </row>
    <row r="29" spans="1:3" x14ac:dyDescent="0.35">
      <c r="A29" s="56"/>
      <c r="B29" s="56"/>
      <c r="C29" s="56"/>
    </row>
    <row r="30" spans="1:3" x14ac:dyDescent="0.35">
      <c r="A30" s="56"/>
      <c r="B30" s="56"/>
      <c r="C30" s="56"/>
    </row>
    <row r="31" spans="1:3" x14ac:dyDescent="0.35">
      <c r="A31" s="294"/>
    </row>
    <row r="34" spans="1:79" x14ac:dyDescent="0.35">
      <c r="B34" s="658" t="s">
        <v>2376</v>
      </c>
    </row>
    <row r="35" spans="1:79" x14ac:dyDescent="0.35">
      <c r="B35" s="53">
        <v>44407</v>
      </c>
      <c r="D35" s="53">
        <v>44439</v>
      </c>
      <c r="F35" s="53">
        <v>44403</v>
      </c>
      <c r="H35" s="53">
        <v>44428</v>
      </c>
      <c r="J35" s="53">
        <v>44414</v>
      </c>
      <c r="L35" s="294" t="s">
        <v>2195</v>
      </c>
      <c r="N35" s="53">
        <v>44421</v>
      </c>
      <c r="P35" s="53">
        <v>44419</v>
      </c>
      <c r="R35" s="294" t="s">
        <v>99</v>
      </c>
      <c r="T35" s="53">
        <v>44454</v>
      </c>
      <c r="V35" s="53">
        <v>44442</v>
      </c>
      <c r="X35" s="53">
        <v>44435</v>
      </c>
      <c r="Z35" s="53">
        <v>44449</v>
      </c>
      <c r="AB35" s="53">
        <v>44469</v>
      </c>
      <c r="AD35" s="53">
        <v>44466</v>
      </c>
      <c r="AF35" s="53">
        <v>44474</v>
      </c>
      <c r="AH35" s="53">
        <v>44467</v>
      </c>
      <c r="AJ35" s="53">
        <v>44477</v>
      </c>
      <c r="AL35" s="53">
        <v>44475</v>
      </c>
      <c r="AN35" s="53">
        <v>44487</v>
      </c>
      <c r="AP35" s="53">
        <v>44498</v>
      </c>
      <c r="AR35" s="53">
        <v>44491</v>
      </c>
      <c r="AT35" s="53">
        <v>44496</v>
      </c>
      <c r="AV35" s="53">
        <v>44495</v>
      </c>
      <c r="AX35" s="294" t="s">
        <v>2216</v>
      </c>
      <c r="AZ35" s="53">
        <v>44494</v>
      </c>
      <c r="BB35" s="53">
        <v>44620</v>
      </c>
      <c r="BD35" s="53">
        <v>44530</v>
      </c>
      <c r="BF35" s="53">
        <v>44505</v>
      </c>
      <c r="BH35" s="53">
        <v>44515</v>
      </c>
      <c r="BJ35" s="53">
        <v>44255</v>
      </c>
      <c r="BL35" s="53">
        <v>44526</v>
      </c>
      <c r="BN35" s="53">
        <v>44501</v>
      </c>
      <c r="BP35" s="53">
        <v>44561</v>
      </c>
      <c r="BR35" s="53">
        <v>44560</v>
      </c>
      <c r="BT35" s="53">
        <v>44592</v>
      </c>
      <c r="BV35" s="53">
        <v>44547</v>
      </c>
      <c r="BX35" s="53">
        <v>44529</v>
      </c>
      <c r="BZ35" s="294" t="s">
        <v>2374</v>
      </c>
      <c r="CA35" s="294" t="s">
        <v>2375</v>
      </c>
    </row>
    <row r="36" spans="1:79" x14ac:dyDescent="0.35">
      <c r="A36" s="659" t="s">
        <v>1480</v>
      </c>
      <c r="B36" s="294" t="s">
        <v>2377</v>
      </c>
      <c r="C36" s="294" t="s">
        <v>2378</v>
      </c>
      <c r="D36" s="294" t="s">
        <v>2377</v>
      </c>
      <c r="E36" s="294" t="s">
        <v>2378</v>
      </c>
      <c r="F36" s="294" t="s">
        <v>2377</v>
      </c>
      <c r="G36" s="294" t="s">
        <v>2378</v>
      </c>
      <c r="H36" s="294" t="s">
        <v>2377</v>
      </c>
      <c r="I36" s="294" t="s">
        <v>2378</v>
      </c>
      <c r="J36" s="294" t="s">
        <v>2377</v>
      </c>
      <c r="K36" s="294" t="s">
        <v>2378</v>
      </c>
      <c r="L36" s="294" t="s">
        <v>2377</v>
      </c>
      <c r="M36" s="294" t="s">
        <v>2378</v>
      </c>
      <c r="N36" s="294" t="s">
        <v>2377</v>
      </c>
      <c r="O36" s="294" t="s">
        <v>2378</v>
      </c>
      <c r="P36" s="294" t="s">
        <v>2377</v>
      </c>
      <c r="Q36" s="294" t="s">
        <v>2378</v>
      </c>
      <c r="R36" s="294" t="s">
        <v>2377</v>
      </c>
      <c r="S36" s="294" t="s">
        <v>2378</v>
      </c>
      <c r="T36" s="294" t="s">
        <v>2377</v>
      </c>
      <c r="U36" s="294" t="s">
        <v>2378</v>
      </c>
      <c r="V36" s="294" t="s">
        <v>2377</v>
      </c>
      <c r="W36" s="294" t="s">
        <v>2378</v>
      </c>
      <c r="X36" s="294" t="s">
        <v>2377</v>
      </c>
      <c r="Y36" s="294" t="s">
        <v>2378</v>
      </c>
      <c r="Z36" s="294" t="s">
        <v>2377</v>
      </c>
      <c r="AA36" s="294" t="s">
        <v>2378</v>
      </c>
      <c r="AB36" s="294" t="s">
        <v>2377</v>
      </c>
      <c r="AC36" s="294" t="s">
        <v>2378</v>
      </c>
      <c r="AD36" s="294" t="s">
        <v>2377</v>
      </c>
      <c r="AE36" s="294" t="s">
        <v>2378</v>
      </c>
      <c r="AF36" s="294" t="s">
        <v>2377</v>
      </c>
      <c r="AG36" s="294" t="s">
        <v>2378</v>
      </c>
      <c r="AH36" s="294" t="s">
        <v>2377</v>
      </c>
      <c r="AI36" s="294" t="s">
        <v>2378</v>
      </c>
      <c r="AJ36" s="294" t="s">
        <v>2377</v>
      </c>
      <c r="AK36" s="294" t="s">
        <v>2378</v>
      </c>
      <c r="AL36" s="294" t="s">
        <v>2377</v>
      </c>
      <c r="AM36" s="294" t="s">
        <v>2378</v>
      </c>
      <c r="AN36" s="294" t="s">
        <v>2377</v>
      </c>
      <c r="AO36" s="294" t="s">
        <v>2378</v>
      </c>
      <c r="AP36" s="294" t="s">
        <v>2377</v>
      </c>
      <c r="AQ36" s="294" t="s">
        <v>2378</v>
      </c>
      <c r="AR36" s="294" t="s">
        <v>2377</v>
      </c>
      <c r="AS36" s="294" t="s">
        <v>2378</v>
      </c>
      <c r="AT36" s="294" t="s">
        <v>2377</v>
      </c>
      <c r="AU36" s="294" t="s">
        <v>2378</v>
      </c>
      <c r="AV36" s="294" t="s">
        <v>2377</v>
      </c>
      <c r="AW36" s="294" t="s">
        <v>2378</v>
      </c>
      <c r="AX36" s="294" t="s">
        <v>2377</v>
      </c>
      <c r="AY36" s="294" t="s">
        <v>2378</v>
      </c>
      <c r="AZ36" s="294" t="s">
        <v>2377</v>
      </c>
      <c r="BA36" s="294" t="s">
        <v>2378</v>
      </c>
      <c r="BB36" s="294" t="s">
        <v>2377</v>
      </c>
      <c r="BC36" s="294" t="s">
        <v>2378</v>
      </c>
      <c r="BD36" s="294" t="s">
        <v>2377</v>
      </c>
      <c r="BE36" s="294" t="s">
        <v>2378</v>
      </c>
      <c r="BF36" s="294" t="s">
        <v>2377</v>
      </c>
      <c r="BG36" s="294" t="s">
        <v>2378</v>
      </c>
      <c r="BH36" s="294" t="s">
        <v>2377</v>
      </c>
      <c r="BI36" s="294" t="s">
        <v>2378</v>
      </c>
      <c r="BJ36" s="294" t="s">
        <v>2377</v>
      </c>
      <c r="BK36" s="294" t="s">
        <v>2378</v>
      </c>
      <c r="BL36" s="294" t="s">
        <v>2377</v>
      </c>
      <c r="BM36" s="294" t="s">
        <v>2378</v>
      </c>
      <c r="BN36" s="294" t="s">
        <v>2377</v>
      </c>
      <c r="BO36" s="294" t="s">
        <v>2378</v>
      </c>
      <c r="BP36" s="294" t="s">
        <v>2377</v>
      </c>
      <c r="BQ36" s="294" t="s">
        <v>2378</v>
      </c>
      <c r="BR36" s="294" t="s">
        <v>2377</v>
      </c>
      <c r="BS36" s="294" t="s">
        <v>2378</v>
      </c>
      <c r="BT36" s="294" t="s">
        <v>2377</v>
      </c>
      <c r="BU36" s="294" t="s">
        <v>2378</v>
      </c>
      <c r="BV36" s="294" t="s">
        <v>2377</v>
      </c>
      <c r="BW36" s="294" t="s">
        <v>2378</v>
      </c>
      <c r="BX36" s="294" t="s">
        <v>2377</v>
      </c>
      <c r="BY36" s="294" t="s">
        <v>2378</v>
      </c>
    </row>
    <row r="37" spans="1:79" x14ac:dyDescent="0.35">
      <c r="A37" s="42">
        <v>44396</v>
      </c>
      <c r="B37" s="656"/>
      <c r="C37" s="656"/>
      <c r="D37" s="656"/>
      <c r="E37" s="656"/>
      <c r="F37" s="656"/>
      <c r="G37" s="656"/>
      <c r="H37" s="656"/>
      <c r="I37" s="656"/>
      <c r="J37" s="656"/>
      <c r="K37" s="656"/>
      <c r="L37" s="656"/>
      <c r="M37" s="656"/>
      <c r="N37" s="656"/>
      <c r="O37" s="656"/>
      <c r="P37" s="656"/>
      <c r="Q37" s="656"/>
      <c r="R37" s="656"/>
      <c r="S37" s="656"/>
      <c r="T37" s="656"/>
      <c r="U37" s="656"/>
      <c r="V37" s="656"/>
      <c r="W37" s="656"/>
      <c r="X37" s="656"/>
      <c r="Y37" s="656"/>
      <c r="Z37" s="656"/>
      <c r="AA37" s="656"/>
      <c r="AB37" s="656"/>
      <c r="AC37" s="656"/>
      <c r="AD37" s="656"/>
      <c r="AE37" s="656"/>
      <c r="AF37" s="656"/>
      <c r="AG37" s="656"/>
      <c r="AH37" s="656"/>
      <c r="AI37" s="656"/>
      <c r="AJ37" s="656"/>
      <c r="AK37" s="656"/>
      <c r="AL37" s="656"/>
      <c r="AM37" s="656"/>
      <c r="AN37" s="656"/>
      <c r="AO37" s="656"/>
      <c r="AP37" s="656"/>
      <c r="AQ37" s="656"/>
      <c r="AR37" s="656"/>
      <c r="AS37" s="656"/>
      <c r="AT37" s="656"/>
      <c r="AU37" s="656"/>
      <c r="AV37" s="656"/>
      <c r="AW37" s="656"/>
      <c r="AX37" s="656"/>
      <c r="AY37" s="656"/>
      <c r="AZ37" s="656"/>
      <c r="BA37" s="656"/>
      <c r="BB37" s="656"/>
      <c r="BC37" s="656"/>
      <c r="BD37" s="656"/>
      <c r="BE37" s="656"/>
      <c r="BF37" s="656"/>
      <c r="BG37" s="656"/>
      <c r="BH37" s="656"/>
      <c r="BI37" s="656"/>
      <c r="BJ37" s="656">
        <v>1</v>
      </c>
      <c r="BK37" s="656">
        <v>1</v>
      </c>
      <c r="BL37" s="656"/>
      <c r="BM37" s="656"/>
      <c r="BN37" s="656"/>
      <c r="BO37" s="656"/>
      <c r="BP37" s="656"/>
      <c r="BQ37" s="656"/>
      <c r="BR37" s="656"/>
      <c r="BS37" s="656"/>
      <c r="BT37" s="656"/>
      <c r="BU37" s="656"/>
      <c r="BV37" s="656"/>
      <c r="BW37" s="656"/>
      <c r="BX37" s="656"/>
      <c r="BY37" s="656"/>
      <c r="BZ37" s="656">
        <v>1</v>
      </c>
      <c r="CA37" s="656">
        <v>1</v>
      </c>
    </row>
    <row r="38" spans="1:79" x14ac:dyDescent="0.35">
      <c r="A38" s="42">
        <v>44397</v>
      </c>
      <c r="B38" s="656">
        <v>2</v>
      </c>
      <c r="C38" s="656">
        <v>2</v>
      </c>
      <c r="D38" s="656"/>
      <c r="E38" s="656"/>
      <c r="F38" s="656"/>
      <c r="G38" s="656"/>
      <c r="H38" s="656"/>
      <c r="I38" s="656"/>
      <c r="J38" s="656"/>
      <c r="K38" s="656"/>
      <c r="L38" s="656"/>
      <c r="M38" s="656"/>
      <c r="N38" s="656"/>
      <c r="O38" s="656"/>
      <c r="P38" s="656"/>
      <c r="Q38" s="656"/>
      <c r="R38" s="656"/>
      <c r="S38" s="656"/>
      <c r="T38" s="656"/>
      <c r="U38" s="656"/>
      <c r="V38" s="656"/>
      <c r="W38" s="656"/>
      <c r="X38" s="656"/>
      <c r="Y38" s="656"/>
      <c r="Z38" s="656"/>
      <c r="AA38" s="656"/>
      <c r="AB38" s="656"/>
      <c r="AC38" s="656"/>
      <c r="AD38" s="656"/>
      <c r="AE38" s="656"/>
      <c r="AF38" s="656"/>
      <c r="AG38" s="656"/>
      <c r="AH38" s="656"/>
      <c r="AI38" s="656"/>
      <c r="AJ38" s="656"/>
      <c r="AK38" s="656"/>
      <c r="AL38" s="656"/>
      <c r="AM38" s="656"/>
      <c r="AN38" s="656"/>
      <c r="AO38" s="656"/>
      <c r="AP38" s="656"/>
      <c r="AQ38" s="656"/>
      <c r="AR38" s="656"/>
      <c r="AS38" s="656"/>
      <c r="AT38" s="656"/>
      <c r="AU38" s="656"/>
      <c r="AV38" s="656"/>
      <c r="AW38" s="656"/>
      <c r="AX38" s="656"/>
      <c r="AY38" s="656"/>
      <c r="AZ38" s="656"/>
      <c r="BA38" s="656"/>
      <c r="BB38" s="656"/>
      <c r="BC38" s="656"/>
      <c r="BD38" s="656"/>
      <c r="BE38" s="656"/>
      <c r="BF38" s="656"/>
      <c r="BG38" s="656"/>
      <c r="BH38" s="656"/>
      <c r="BI38" s="656"/>
      <c r="BJ38" s="656"/>
      <c r="BK38" s="656"/>
      <c r="BL38" s="656"/>
      <c r="BM38" s="656"/>
      <c r="BN38" s="656"/>
      <c r="BO38" s="656"/>
      <c r="BP38" s="656"/>
      <c r="BQ38" s="656"/>
      <c r="BR38" s="656"/>
      <c r="BS38" s="656"/>
      <c r="BT38" s="656"/>
      <c r="BU38" s="656"/>
      <c r="BV38" s="656"/>
      <c r="BW38" s="656"/>
      <c r="BX38" s="656"/>
      <c r="BY38" s="656"/>
      <c r="BZ38" s="656">
        <v>2</v>
      </c>
      <c r="CA38" s="656">
        <v>2</v>
      </c>
    </row>
    <row r="39" spans="1:79" x14ac:dyDescent="0.35">
      <c r="A39" s="42">
        <v>44398</v>
      </c>
      <c r="B39" s="656">
        <v>1</v>
      </c>
      <c r="C39" s="656">
        <v>1</v>
      </c>
      <c r="D39" s="656">
        <v>1</v>
      </c>
      <c r="E39" s="656"/>
      <c r="F39" s="656"/>
      <c r="G39" s="656"/>
      <c r="H39" s="656"/>
      <c r="I39" s="656"/>
      <c r="J39" s="656">
        <v>4</v>
      </c>
      <c r="K39" s="656">
        <v>4</v>
      </c>
      <c r="L39" s="656"/>
      <c r="M39" s="656"/>
      <c r="N39" s="656"/>
      <c r="O39" s="656"/>
      <c r="P39" s="656"/>
      <c r="Q39" s="656"/>
      <c r="R39" s="656"/>
      <c r="S39" s="656"/>
      <c r="T39" s="656"/>
      <c r="U39" s="656"/>
      <c r="V39" s="656"/>
      <c r="W39" s="656"/>
      <c r="X39" s="656"/>
      <c r="Y39" s="656"/>
      <c r="Z39" s="656"/>
      <c r="AA39" s="656"/>
      <c r="AB39" s="656"/>
      <c r="AC39" s="656"/>
      <c r="AD39" s="656"/>
      <c r="AE39" s="656"/>
      <c r="AF39" s="656"/>
      <c r="AG39" s="656"/>
      <c r="AH39" s="656"/>
      <c r="AI39" s="656"/>
      <c r="AJ39" s="656"/>
      <c r="AK39" s="656"/>
      <c r="AL39" s="656"/>
      <c r="AM39" s="656"/>
      <c r="AN39" s="656"/>
      <c r="AO39" s="656"/>
      <c r="AP39" s="656"/>
      <c r="AQ39" s="656"/>
      <c r="AR39" s="656"/>
      <c r="AS39" s="656"/>
      <c r="AT39" s="656"/>
      <c r="AU39" s="656"/>
      <c r="AV39" s="656"/>
      <c r="AW39" s="656"/>
      <c r="AX39" s="656"/>
      <c r="AY39" s="656"/>
      <c r="AZ39" s="656"/>
      <c r="BA39" s="656"/>
      <c r="BB39" s="656"/>
      <c r="BC39" s="656"/>
      <c r="BD39" s="656"/>
      <c r="BE39" s="656"/>
      <c r="BF39" s="656"/>
      <c r="BG39" s="656"/>
      <c r="BH39" s="656"/>
      <c r="BI39" s="656"/>
      <c r="BJ39" s="656"/>
      <c r="BK39" s="656"/>
      <c r="BL39" s="656"/>
      <c r="BM39" s="656"/>
      <c r="BN39" s="656"/>
      <c r="BO39" s="656"/>
      <c r="BP39" s="656"/>
      <c r="BQ39" s="656"/>
      <c r="BR39" s="656"/>
      <c r="BS39" s="656"/>
      <c r="BT39" s="656"/>
      <c r="BU39" s="656"/>
      <c r="BV39" s="656"/>
      <c r="BW39" s="656"/>
      <c r="BX39" s="656"/>
      <c r="BY39" s="656"/>
      <c r="BZ39" s="656">
        <v>6</v>
      </c>
      <c r="CA39" s="656">
        <v>5</v>
      </c>
    </row>
    <row r="40" spans="1:79" x14ac:dyDescent="0.35">
      <c r="A40" s="42">
        <v>44399</v>
      </c>
      <c r="B40" s="656">
        <v>2</v>
      </c>
      <c r="C40" s="656">
        <v>2</v>
      </c>
      <c r="D40" s="656"/>
      <c r="E40" s="656"/>
      <c r="F40" s="656">
        <v>1</v>
      </c>
      <c r="G40" s="656">
        <v>1</v>
      </c>
      <c r="H40" s="656"/>
      <c r="I40" s="656"/>
      <c r="J40" s="656"/>
      <c r="K40" s="656"/>
      <c r="L40" s="656"/>
      <c r="M40" s="656"/>
      <c r="N40" s="656">
        <v>1</v>
      </c>
      <c r="O40" s="656">
        <v>1</v>
      </c>
      <c r="P40" s="656"/>
      <c r="Q40" s="656"/>
      <c r="R40" s="656"/>
      <c r="S40" s="656"/>
      <c r="T40" s="656"/>
      <c r="U40" s="656"/>
      <c r="V40" s="656"/>
      <c r="W40" s="656"/>
      <c r="X40" s="656"/>
      <c r="Y40" s="656"/>
      <c r="Z40" s="656"/>
      <c r="AA40" s="656"/>
      <c r="AB40" s="656"/>
      <c r="AC40" s="656"/>
      <c r="AD40" s="656"/>
      <c r="AE40" s="656"/>
      <c r="AF40" s="656"/>
      <c r="AG40" s="656"/>
      <c r="AH40" s="656"/>
      <c r="AI40" s="656"/>
      <c r="AJ40" s="656"/>
      <c r="AK40" s="656"/>
      <c r="AL40" s="656"/>
      <c r="AM40" s="656"/>
      <c r="AN40" s="656"/>
      <c r="AO40" s="656"/>
      <c r="AP40" s="656"/>
      <c r="AQ40" s="656"/>
      <c r="AR40" s="656"/>
      <c r="AS40" s="656"/>
      <c r="AT40" s="656"/>
      <c r="AU40" s="656"/>
      <c r="AV40" s="656"/>
      <c r="AW40" s="656"/>
      <c r="AX40" s="656"/>
      <c r="AY40" s="656"/>
      <c r="AZ40" s="656"/>
      <c r="BA40" s="656"/>
      <c r="BB40" s="656"/>
      <c r="BC40" s="656"/>
      <c r="BD40" s="656"/>
      <c r="BE40" s="656"/>
      <c r="BF40" s="656"/>
      <c r="BG40" s="656"/>
      <c r="BH40" s="656"/>
      <c r="BI40" s="656"/>
      <c r="BJ40" s="656"/>
      <c r="BK40" s="656"/>
      <c r="BL40" s="656"/>
      <c r="BM40" s="656"/>
      <c r="BN40" s="656"/>
      <c r="BO40" s="656"/>
      <c r="BP40" s="656"/>
      <c r="BQ40" s="656"/>
      <c r="BR40" s="656"/>
      <c r="BS40" s="656"/>
      <c r="BT40" s="656"/>
      <c r="BU40" s="656"/>
      <c r="BV40" s="656"/>
      <c r="BW40" s="656"/>
      <c r="BX40" s="656"/>
      <c r="BY40" s="656"/>
      <c r="BZ40" s="656">
        <v>4</v>
      </c>
      <c r="CA40" s="656">
        <v>4</v>
      </c>
    </row>
    <row r="41" spans="1:79" x14ac:dyDescent="0.35">
      <c r="A41" s="42">
        <v>44400</v>
      </c>
      <c r="B41" s="656">
        <v>1</v>
      </c>
      <c r="C41" s="656">
        <v>1</v>
      </c>
      <c r="D41" s="656"/>
      <c r="E41" s="656"/>
      <c r="F41" s="656"/>
      <c r="G41" s="656"/>
      <c r="H41" s="656">
        <v>1</v>
      </c>
      <c r="I41" s="656">
        <v>1</v>
      </c>
      <c r="J41" s="656"/>
      <c r="K41" s="656"/>
      <c r="L41" s="656"/>
      <c r="M41" s="656"/>
      <c r="N41" s="656"/>
      <c r="O41" s="656"/>
      <c r="P41" s="656"/>
      <c r="Q41" s="656"/>
      <c r="R41" s="656"/>
      <c r="S41" s="656"/>
      <c r="T41" s="656"/>
      <c r="U41" s="656"/>
      <c r="V41" s="656"/>
      <c r="W41" s="656"/>
      <c r="X41" s="656"/>
      <c r="Y41" s="656"/>
      <c r="Z41" s="656"/>
      <c r="AA41" s="656"/>
      <c r="AB41" s="656"/>
      <c r="AC41" s="656"/>
      <c r="AD41" s="656"/>
      <c r="AE41" s="656"/>
      <c r="AF41" s="656"/>
      <c r="AG41" s="656"/>
      <c r="AH41" s="656"/>
      <c r="AI41" s="656"/>
      <c r="AJ41" s="656"/>
      <c r="AK41" s="656"/>
      <c r="AL41" s="656"/>
      <c r="AM41" s="656"/>
      <c r="AN41" s="656"/>
      <c r="AO41" s="656"/>
      <c r="AP41" s="656"/>
      <c r="AQ41" s="656"/>
      <c r="AR41" s="656"/>
      <c r="AS41" s="656"/>
      <c r="AT41" s="656"/>
      <c r="AU41" s="656"/>
      <c r="AV41" s="656"/>
      <c r="AW41" s="656"/>
      <c r="AX41" s="656"/>
      <c r="AY41" s="656"/>
      <c r="AZ41" s="656"/>
      <c r="BA41" s="656"/>
      <c r="BB41" s="656"/>
      <c r="BC41" s="656"/>
      <c r="BD41" s="656"/>
      <c r="BE41" s="656"/>
      <c r="BF41" s="656"/>
      <c r="BG41" s="656"/>
      <c r="BH41" s="656"/>
      <c r="BI41" s="656"/>
      <c r="BJ41" s="656"/>
      <c r="BK41" s="656"/>
      <c r="BL41" s="656"/>
      <c r="BM41" s="656"/>
      <c r="BN41" s="656"/>
      <c r="BO41" s="656"/>
      <c r="BP41" s="656"/>
      <c r="BQ41" s="656"/>
      <c r="BR41" s="656"/>
      <c r="BS41" s="656"/>
      <c r="BT41" s="656"/>
      <c r="BU41" s="656"/>
      <c r="BV41" s="656"/>
      <c r="BW41" s="656"/>
      <c r="BX41" s="656"/>
      <c r="BY41" s="656"/>
      <c r="BZ41" s="656">
        <v>2</v>
      </c>
      <c r="CA41" s="656">
        <v>2</v>
      </c>
    </row>
    <row r="42" spans="1:79" x14ac:dyDescent="0.35">
      <c r="A42" s="2" t="s">
        <v>99</v>
      </c>
      <c r="B42" s="656"/>
      <c r="C42" s="656"/>
      <c r="D42" s="656"/>
      <c r="E42" s="656"/>
      <c r="F42" s="656"/>
      <c r="G42" s="656"/>
      <c r="H42" s="656"/>
      <c r="I42" s="656"/>
      <c r="J42" s="656"/>
      <c r="K42" s="656"/>
      <c r="L42" s="656"/>
      <c r="M42" s="656"/>
      <c r="N42" s="656"/>
      <c r="O42" s="656"/>
      <c r="P42" s="656"/>
      <c r="Q42" s="656"/>
      <c r="R42" s="656"/>
      <c r="S42" s="656"/>
      <c r="T42" s="656"/>
      <c r="U42" s="656"/>
      <c r="V42" s="656"/>
      <c r="W42" s="656"/>
      <c r="X42" s="656"/>
      <c r="Y42" s="656"/>
      <c r="Z42" s="656"/>
      <c r="AA42" s="656"/>
      <c r="AB42" s="656"/>
      <c r="AC42" s="656"/>
      <c r="AD42" s="656"/>
      <c r="AE42" s="656"/>
      <c r="AF42" s="656"/>
      <c r="AG42" s="656"/>
      <c r="AH42" s="656"/>
      <c r="AI42" s="656"/>
      <c r="AJ42" s="656"/>
      <c r="AK42" s="656"/>
      <c r="AL42" s="656"/>
      <c r="AM42" s="656"/>
      <c r="AN42" s="656"/>
      <c r="AO42" s="656"/>
      <c r="AP42" s="656"/>
      <c r="AQ42" s="656"/>
      <c r="AR42" s="656"/>
      <c r="AS42" s="656"/>
      <c r="AT42" s="656"/>
      <c r="AU42" s="656"/>
      <c r="AV42" s="656"/>
      <c r="AW42" s="656"/>
      <c r="AX42" s="656"/>
      <c r="AY42" s="656"/>
      <c r="AZ42" s="656"/>
      <c r="BA42" s="656"/>
      <c r="BB42" s="656"/>
      <c r="BC42" s="656"/>
      <c r="BD42" s="656"/>
      <c r="BE42" s="656"/>
      <c r="BF42" s="656"/>
      <c r="BG42" s="656"/>
      <c r="BH42" s="656"/>
      <c r="BI42" s="656"/>
      <c r="BJ42" s="656"/>
      <c r="BK42" s="656"/>
      <c r="BL42" s="656"/>
      <c r="BM42" s="656"/>
      <c r="BN42" s="656"/>
      <c r="BO42" s="656"/>
      <c r="BP42" s="656"/>
      <c r="BQ42" s="656"/>
      <c r="BR42" s="656"/>
      <c r="BS42" s="656"/>
      <c r="BT42" s="656"/>
      <c r="BU42" s="656"/>
      <c r="BV42" s="656"/>
      <c r="BW42" s="656"/>
      <c r="BX42" s="656"/>
      <c r="BY42" s="656"/>
      <c r="BZ42" s="656"/>
      <c r="CA42" s="656"/>
    </row>
    <row r="43" spans="1:79" x14ac:dyDescent="0.35">
      <c r="A43" s="42">
        <v>44403</v>
      </c>
      <c r="B43" s="656"/>
      <c r="C43" s="656"/>
      <c r="D43" s="656">
        <v>2</v>
      </c>
      <c r="E43" s="656">
        <v>2</v>
      </c>
      <c r="F43" s="656"/>
      <c r="G43" s="656"/>
      <c r="H43" s="656">
        <v>1</v>
      </c>
      <c r="I43" s="656">
        <v>1</v>
      </c>
      <c r="J43" s="656">
        <v>6</v>
      </c>
      <c r="K43" s="656">
        <v>6</v>
      </c>
      <c r="L43" s="656"/>
      <c r="M43" s="656"/>
      <c r="N43" s="656"/>
      <c r="O43" s="656"/>
      <c r="P43" s="656"/>
      <c r="Q43" s="656"/>
      <c r="R43" s="656"/>
      <c r="S43" s="656"/>
      <c r="T43" s="656"/>
      <c r="U43" s="656"/>
      <c r="V43" s="656"/>
      <c r="W43" s="656"/>
      <c r="X43" s="656"/>
      <c r="Y43" s="656"/>
      <c r="Z43" s="656"/>
      <c r="AA43" s="656"/>
      <c r="AB43" s="656"/>
      <c r="AC43" s="656"/>
      <c r="AD43" s="656"/>
      <c r="AE43" s="656"/>
      <c r="AF43" s="656"/>
      <c r="AG43" s="656"/>
      <c r="AH43" s="656"/>
      <c r="AI43" s="656"/>
      <c r="AJ43" s="656"/>
      <c r="AK43" s="656"/>
      <c r="AL43" s="656"/>
      <c r="AM43" s="656"/>
      <c r="AN43" s="656"/>
      <c r="AO43" s="656"/>
      <c r="AP43" s="656"/>
      <c r="AQ43" s="656"/>
      <c r="AR43" s="656"/>
      <c r="AS43" s="656"/>
      <c r="AT43" s="656"/>
      <c r="AU43" s="656"/>
      <c r="AV43" s="656"/>
      <c r="AW43" s="656"/>
      <c r="AX43" s="656"/>
      <c r="AY43" s="656"/>
      <c r="AZ43" s="656"/>
      <c r="BA43" s="656"/>
      <c r="BB43" s="656"/>
      <c r="BC43" s="656"/>
      <c r="BD43" s="656"/>
      <c r="BE43" s="656"/>
      <c r="BF43" s="656"/>
      <c r="BG43" s="656"/>
      <c r="BH43" s="656"/>
      <c r="BI43" s="656"/>
      <c r="BJ43" s="656"/>
      <c r="BK43" s="656"/>
      <c r="BL43" s="656"/>
      <c r="BM43" s="656"/>
      <c r="BN43" s="656"/>
      <c r="BO43" s="656"/>
      <c r="BP43" s="656"/>
      <c r="BQ43" s="656"/>
      <c r="BR43" s="656"/>
      <c r="BS43" s="656"/>
      <c r="BT43" s="656"/>
      <c r="BU43" s="656"/>
      <c r="BV43" s="656"/>
      <c r="BW43" s="656"/>
      <c r="BX43" s="656"/>
      <c r="BY43" s="656"/>
      <c r="BZ43" s="656">
        <v>9</v>
      </c>
      <c r="CA43" s="656">
        <v>9</v>
      </c>
    </row>
    <row r="44" spans="1:79" x14ac:dyDescent="0.35">
      <c r="A44" s="42">
        <v>44404</v>
      </c>
      <c r="B44" s="656"/>
      <c r="C44" s="656"/>
      <c r="D44" s="656">
        <v>1</v>
      </c>
      <c r="E44" s="656">
        <v>1</v>
      </c>
      <c r="F44" s="656"/>
      <c r="G44" s="656"/>
      <c r="H44" s="656"/>
      <c r="I44" s="656"/>
      <c r="J44" s="656"/>
      <c r="K44" s="656"/>
      <c r="L44" s="656">
        <v>1</v>
      </c>
      <c r="M44" s="656">
        <v>1</v>
      </c>
      <c r="N44" s="656">
        <v>2</v>
      </c>
      <c r="O44" s="656">
        <v>2</v>
      </c>
      <c r="P44" s="656"/>
      <c r="Q44" s="656"/>
      <c r="R44" s="656"/>
      <c r="S44" s="656"/>
      <c r="T44" s="656"/>
      <c r="U44" s="656"/>
      <c r="V44" s="656"/>
      <c r="W44" s="656"/>
      <c r="X44" s="656"/>
      <c r="Y44" s="656"/>
      <c r="Z44" s="656"/>
      <c r="AA44" s="656"/>
      <c r="AB44" s="656"/>
      <c r="AC44" s="656"/>
      <c r="AD44" s="656"/>
      <c r="AE44" s="656"/>
      <c r="AF44" s="656"/>
      <c r="AG44" s="656"/>
      <c r="AH44" s="656"/>
      <c r="AI44" s="656"/>
      <c r="AJ44" s="656"/>
      <c r="AK44" s="656"/>
      <c r="AL44" s="656"/>
      <c r="AM44" s="656"/>
      <c r="AN44" s="656"/>
      <c r="AO44" s="656"/>
      <c r="AP44" s="656"/>
      <c r="AQ44" s="656"/>
      <c r="AR44" s="656"/>
      <c r="AS44" s="656"/>
      <c r="AT44" s="656"/>
      <c r="AU44" s="656"/>
      <c r="AV44" s="656"/>
      <c r="AW44" s="656"/>
      <c r="AX44" s="656"/>
      <c r="AY44" s="656"/>
      <c r="AZ44" s="656"/>
      <c r="BA44" s="656"/>
      <c r="BB44" s="656"/>
      <c r="BC44" s="656"/>
      <c r="BD44" s="656"/>
      <c r="BE44" s="656"/>
      <c r="BF44" s="656"/>
      <c r="BG44" s="656"/>
      <c r="BH44" s="656"/>
      <c r="BI44" s="656"/>
      <c r="BJ44" s="656"/>
      <c r="BK44" s="656"/>
      <c r="BL44" s="656"/>
      <c r="BM44" s="656"/>
      <c r="BN44" s="656"/>
      <c r="BO44" s="656"/>
      <c r="BP44" s="656"/>
      <c r="BQ44" s="656"/>
      <c r="BR44" s="656"/>
      <c r="BS44" s="656"/>
      <c r="BT44" s="656"/>
      <c r="BU44" s="656"/>
      <c r="BV44" s="656"/>
      <c r="BW44" s="656"/>
      <c r="BX44" s="656"/>
      <c r="BY44" s="656"/>
      <c r="BZ44" s="656">
        <v>4</v>
      </c>
      <c r="CA44" s="656">
        <v>4</v>
      </c>
    </row>
    <row r="45" spans="1:79" x14ac:dyDescent="0.35">
      <c r="A45" s="42">
        <v>44405</v>
      </c>
      <c r="B45" s="656"/>
      <c r="C45" s="656"/>
      <c r="D45" s="656"/>
      <c r="E45" s="656"/>
      <c r="F45" s="656"/>
      <c r="G45" s="656"/>
      <c r="H45" s="656"/>
      <c r="I45" s="656"/>
      <c r="J45" s="656"/>
      <c r="K45" s="656"/>
      <c r="L45" s="656"/>
      <c r="M45" s="656"/>
      <c r="N45" s="656"/>
      <c r="O45" s="656"/>
      <c r="P45" s="656">
        <v>6</v>
      </c>
      <c r="Q45" s="656">
        <v>6</v>
      </c>
      <c r="R45" s="656"/>
      <c r="S45" s="656"/>
      <c r="T45" s="656"/>
      <c r="U45" s="656"/>
      <c r="V45" s="656"/>
      <c r="W45" s="656"/>
      <c r="X45" s="656"/>
      <c r="Y45" s="656"/>
      <c r="Z45" s="656"/>
      <c r="AA45" s="656"/>
      <c r="AB45" s="656"/>
      <c r="AC45" s="656"/>
      <c r="AD45" s="656"/>
      <c r="AE45" s="656"/>
      <c r="AF45" s="656"/>
      <c r="AG45" s="656"/>
      <c r="AH45" s="656"/>
      <c r="AI45" s="656"/>
      <c r="AJ45" s="656"/>
      <c r="AK45" s="656"/>
      <c r="AL45" s="656"/>
      <c r="AM45" s="656"/>
      <c r="AN45" s="656"/>
      <c r="AO45" s="656"/>
      <c r="AP45" s="656"/>
      <c r="AQ45" s="656"/>
      <c r="AR45" s="656"/>
      <c r="AS45" s="656"/>
      <c r="AT45" s="656"/>
      <c r="AU45" s="656"/>
      <c r="AV45" s="656"/>
      <c r="AW45" s="656"/>
      <c r="AX45" s="656"/>
      <c r="AY45" s="656"/>
      <c r="AZ45" s="656"/>
      <c r="BA45" s="656"/>
      <c r="BB45" s="656"/>
      <c r="BC45" s="656"/>
      <c r="BD45" s="656"/>
      <c r="BE45" s="656"/>
      <c r="BF45" s="656"/>
      <c r="BG45" s="656"/>
      <c r="BH45" s="656"/>
      <c r="BI45" s="656"/>
      <c r="BJ45" s="656"/>
      <c r="BK45" s="656"/>
      <c r="BL45" s="656"/>
      <c r="BM45" s="656"/>
      <c r="BN45" s="656"/>
      <c r="BO45" s="656"/>
      <c r="BP45" s="656"/>
      <c r="BQ45" s="656"/>
      <c r="BR45" s="656"/>
      <c r="BS45" s="656"/>
      <c r="BT45" s="656"/>
      <c r="BU45" s="656"/>
      <c r="BV45" s="656"/>
      <c r="BW45" s="656"/>
      <c r="BX45" s="656"/>
      <c r="BY45" s="656"/>
      <c r="BZ45" s="656">
        <v>6</v>
      </c>
      <c r="CA45" s="656">
        <v>6</v>
      </c>
    </row>
    <row r="46" spans="1:79" x14ac:dyDescent="0.35">
      <c r="A46" s="42">
        <v>44431</v>
      </c>
      <c r="B46" s="656"/>
      <c r="C46" s="656"/>
      <c r="D46" s="656"/>
      <c r="E46" s="656"/>
      <c r="F46" s="656"/>
      <c r="G46" s="656"/>
      <c r="H46" s="656"/>
      <c r="I46" s="656"/>
      <c r="J46" s="656"/>
      <c r="K46" s="656"/>
      <c r="L46" s="656"/>
      <c r="M46" s="656"/>
      <c r="N46" s="656"/>
      <c r="O46" s="656"/>
      <c r="P46" s="656"/>
      <c r="Q46" s="656"/>
      <c r="R46" s="656"/>
      <c r="S46" s="656"/>
      <c r="T46" s="656">
        <v>2</v>
      </c>
      <c r="U46" s="656">
        <v>2</v>
      </c>
      <c r="V46" s="656"/>
      <c r="W46" s="656"/>
      <c r="X46" s="656"/>
      <c r="Y46" s="656"/>
      <c r="Z46" s="656"/>
      <c r="AA46" s="656"/>
      <c r="AB46" s="656"/>
      <c r="AC46" s="656"/>
      <c r="AD46" s="656"/>
      <c r="AE46" s="656"/>
      <c r="AF46" s="656"/>
      <c r="AG46" s="656"/>
      <c r="AH46" s="656"/>
      <c r="AI46" s="656"/>
      <c r="AJ46" s="656"/>
      <c r="AK46" s="656"/>
      <c r="AL46" s="656"/>
      <c r="AM46" s="656"/>
      <c r="AN46" s="656"/>
      <c r="AO46" s="656"/>
      <c r="AP46" s="656"/>
      <c r="AQ46" s="656"/>
      <c r="AR46" s="656"/>
      <c r="AS46" s="656"/>
      <c r="AT46" s="656"/>
      <c r="AU46" s="656"/>
      <c r="AV46" s="656"/>
      <c r="AW46" s="656"/>
      <c r="AX46" s="656"/>
      <c r="AY46" s="656"/>
      <c r="AZ46" s="656"/>
      <c r="BA46" s="656"/>
      <c r="BB46" s="656"/>
      <c r="BC46" s="656"/>
      <c r="BD46" s="656"/>
      <c r="BE46" s="656"/>
      <c r="BF46" s="656"/>
      <c r="BG46" s="656"/>
      <c r="BH46" s="656"/>
      <c r="BI46" s="656"/>
      <c r="BJ46" s="656"/>
      <c r="BK46" s="656"/>
      <c r="BL46" s="656"/>
      <c r="BM46" s="656"/>
      <c r="BN46" s="656"/>
      <c r="BO46" s="656"/>
      <c r="BP46" s="656"/>
      <c r="BQ46" s="656"/>
      <c r="BR46" s="656"/>
      <c r="BS46" s="656"/>
      <c r="BT46" s="656"/>
      <c r="BU46" s="656"/>
      <c r="BV46" s="656"/>
      <c r="BW46" s="656"/>
      <c r="BX46" s="656"/>
      <c r="BY46" s="656"/>
      <c r="BZ46" s="656">
        <v>2</v>
      </c>
      <c r="CA46" s="656">
        <v>2</v>
      </c>
    </row>
    <row r="47" spans="1:79" x14ac:dyDescent="0.35">
      <c r="A47" s="42">
        <v>44432</v>
      </c>
      <c r="B47" s="656"/>
      <c r="C47" s="656"/>
      <c r="D47" s="656"/>
      <c r="E47" s="656"/>
      <c r="F47" s="656"/>
      <c r="G47" s="656"/>
      <c r="H47" s="656"/>
      <c r="I47" s="656"/>
      <c r="J47" s="656"/>
      <c r="K47" s="656"/>
      <c r="L47" s="656"/>
      <c r="M47" s="656"/>
      <c r="N47" s="656"/>
      <c r="O47" s="656"/>
      <c r="P47" s="656"/>
      <c r="Q47" s="656"/>
      <c r="R47" s="656"/>
      <c r="S47" s="656"/>
      <c r="T47" s="656"/>
      <c r="U47" s="656"/>
      <c r="V47" s="656">
        <v>1</v>
      </c>
      <c r="W47" s="656">
        <v>1</v>
      </c>
      <c r="X47" s="656">
        <v>2</v>
      </c>
      <c r="Y47" s="656">
        <v>2</v>
      </c>
      <c r="Z47" s="656"/>
      <c r="AA47" s="656"/>
      <c r="AB47" s="656"/>
      <c r="AC47" s="656"/>
      <c r="AD47" s="656"/>
      <c r="AE47" s="656"/>
      <c r="AF47" s="656"/>
      <c r="AG47" s="656"/>
      <c r="AH47" s="656"/>
      <c r="AI47" s="656"/>
      <c r="AJ47" s="656"/>
      <c r="AK47" s="656"/>
      <c r="AL47" s="656"/>
      <c r="AM47" s="656"/>
      <c r="AN47" s="656"/>
      <c r="AO47" s="656"/>
      <c r="AP47" s="656"/>
      <c r="AQ47" s="656"/>
      <c r="AR47" s="656"/>
      <c r="AS47" s="656"/>
      <c r="AT47" s="656"/>
      <c r="AU47" s="656"/>
      <c r="AV47" s="656"/>
      <c r="AW47" s="656"/>
      <c r="AX47" s="656"/>
      <c r="AY47" s="656"/>
      <c r="AZ47" s="656"/>
      <c r="BA47" s="656"/>
      <c r="BB47" s="656"/>
      <c r="BC47" s="656"/>
      <c r="BD47" s="656"/>
      <c r="BE47" s="656"/>
      <c r="BF47" s="656"/>
      <c r="BG47" s="656"/>
      <c r="BH47" s="656"/>
      <c r="BI47" s="656"/>
      <c r="BJ47" s="656"/>
      <c r="BK47" s="656"/>
      <c r="BL47" s="656"/>
      <c r="BM47" s="656"/>
      <c r="BN47" s="656"/>
      <c r="BO47" s="656"/>
      <c r="BP47" s="656"/>
      <c r="BQ47" s="656"/>
      <c r="BR47" s="656">
        <v>1</v>
      </c>
      <c r="BS47" s="656">
        <v>1</v>
      </c>
      <c r="BT47" s="656">
        <v>2</v>
      </c>
      <c r="BU47" s="656"/>
      <c r="BV47" s="656"/>
      <c r="BW47" s="656"/>
      <c r="BX47" s="656"/>
      <c r="BY47" s="656"/>
      <c r="BZ47" s="656">
        <v>6</v>
      </c>
      <c r="CA47" s="656">
        <v>4</v>
      </c>
    </row>
    <row r="48" spans="1:79" x14ac:dyDescent="0.35">
      <c r="A48" s="42">
        <v>44433</v>
      </c>
      <c r="B48" s="656"/>
      <c r="C48" s="656"/>
      <c r="D48" s="656"/>
      <c r="E48" s="656"/>
      <c r="F48" s="656"/>
      <c r="G48" s="656"/>
      <c r="H48" s="656"/>
      <c r="I48" s="656"/>
      <c r="J48" s="656"/>
      <c r="K48" s="656"/>
      <c r="L48" s="656"/>
      <c r="M48" s="656"/>
      <c r="N48" s="656"/>
      <c r="O48" s="656"/>
      <c r="P48" s="656"/>
      <c r="Q48" s="656"/>
      <c r="R48" s="656"/>
      <c r="S48" s="656"/>
      <c r="T48" s="656"/>
      <c r="U48" s="656"/>
      <c r="V48" s="656"/>
      <c r="W48" s="656"/>
      <c r="X48" s="656"/>
      <c r="Y48" s="656"/>
      <c r="Z48" s="656"/>
      <c r="AA48" s="656"/>
      <c r="AB48" s="656"/>
      <c r="AC48" s="656"/>
      <c r="AD48" s="656"/>
      <c r="AE48" s="656"/>
      <c r="AF48" s="656"/>
      <c r="AG48" s="656"/>
      <c r="AH48" s="656"/>
      <c r="AI48" s="656"/>
      <c r="AJ48" s="656"/>
      <c r="AK48" s="656"/>
      <c r="AL48" s="656"/>
      <c r="AM48" s="656"/>
      <c r="AN48" s="656"/>
      <c r="AO48" s="656"/>
      <c r="AP48" s="656"/>
      <c r="AQ48" s="656"/>
      <c r="AR48" s="656"/>
      <c r="AS48" s="656"/>
      <c r="AT48" s="656"/>
      <c r="AU48" s="656"/>
      <c r="AV48" s="656"/>
      <c r="AW48" s="656"/>
      <c r="AX48" s="656"/>
      <c r="AY48" s="656"/>
      <c r="AZ48" s="656"/>
      <c r="BA48" s="656"/>
      <c r="BB48" s="656"/>
      <c r="BC48" s="656"/>
      <c r="BD48" s="656"/>
      <c r="BE48" s="656"/>
      <c r="BF48" s="656"/>
      <c r="BG48" s="656"/>
      <c r="BH48" s="656"/>
      <c r="BI48" s="656"/>
      <c r="BJ48" s="656"/>
      <c r="BK48" s="656"/>
      <c r="BL48" s="656"/>
      <c r="BM48" s="656"/>
      <c r="BN48" s="656"/>
      <c r="BO48" s="656"/>
      <c r="BP48" s="656"/>
      <c r="BQ48" s="656"/>
      <c r="BR48" s="656"/>
      <c r="BS48" s="656"/>
      <c r="BT48" s="656">
        <v>1</v>
      </c>
      <c r="BU48" s="656"/>
      <c r="BV48" s="656">
        <v>1</v>
      </c>
      <c r="BW48" s="656">
        <v>1</v>
      </c>
      <c r="BX48" s="656"/>
      <c r="BY48" s="656"/>
      <c r="BZ48" s="656">
        <v>2</v>
      </c>
      <c r="CA48" s="656">
        <v>1</v>
      </c>
    </row>
    <row r="49" spans="1:79" x14ac:dyDescent="0.35">
      <c r="A49" s="42">
        <v>44438</v>
      </c>
      <c r="B49" s="656"/>
      <c r="C49" s="656"/>
      <c r="D49" s="656"/>
      <c r="E49" s="656"/>
      <c r="F49" s="656"/>
      <c r="G49" s="656"/>
      <c r="H49" s="656"/>
      <c r="I49" s="656"/>
      <c r="J49" s="656"/>
      <c r="K49" s="656"/>
      <c r="L49" s="656"/>
      <c r="M49" s="656"/>
      <c r="N49" s="656"/>
      <c r="O49" s="656"/>
      <c r="P49" s="656"/>
      <c r="Q49" s="656"/>
      <c r="R49" s="656"/>
      <c r="S49" s="656"/>
      <c r="T49" s="656"/>
      <c r="U49" s="656"/>
      <c r="V49" s="656"/>
      <c r="W49" s="656"/>
      <c r="X49" s="656"/>
      <c r="Y49" s="656"/>
      <c r="Z49" s="656">
        <v>3</v>
      </c>
      <c r="AA49" s="656">
        <v>3</v>
      </c>
      <c r="AB49" s="656">
        <v>1</v>
      </c>
      <c r="AC49" s="656">
        <v>1</v>
      </c>
      <c r="AD49" s="656"/>
      <c r="AE49" s="656"/>
      <c r="AF49" s="656"/>
      <c r="AG49" s="656"/>
      <c r="AH49" s="656"/>
      <c r="AI49" s="656"/>
      <c r="AJ49" s="656"/>
      <c r="AK49" s="656"/>
      <c r="AL49" s="656"/>
      <c r="AM49" s="656"/>
      <c r="AN49" s="656"/>
      <c r="AO49" s="656"/>
      <c r="AP49" s="656"/>
      <c r="AQ49" s="656"/>
      <c r="AR49" s="656"/>
      <c r="AS49" s="656"/>
      <c r="AT49" s="656"/>
      <c r="AU49" s="656"/>
      <c r="AV49" s="656"/>
      <c r="AW49" s="656"/>
      <c r="AX49" s="656"/>
      <c r="AY49" s="656"/>
      <c r="AZ49" s="656"/>
      <c r="BA49" s="656"/>
      <c r="BB49" s="656"/>
      <c r="BC49" s="656"/>
      <c r="BD49" s="656"/>
      <c r="BE49" s="656"/>
      <c r="BF49" s="656"/>
      <c r="BG49" s="656"/>
      <c r="BH49" s="656"/>
      <c r="BI49" s="656"/>
      <c r="BJ49" s="656"/>
      <c r="BK49" s="656"/>
      <c r="BL49" s="656"/>
      <c r="BM49" s="656"/>
      <c r="BN49" s="656"/>
      <c r="BO49" s="656"/>
      <c r="BP49" s="656"/>
      <c r="BQ49" s="656"/>
      <c r="BR49" s="656"/>
      <c r="BS49" s="656"/>
      <c r="BT49" s="656"/>
      <c r="BU49" s="656"/>
      <c r="BV49" s="656"/>
      <c r="BW49" s="656"/>
      <c r="BX49" s="656"/>
      <c r="BY49" s="656"/>
      <c r="BZ49" s="656">
        <v>4</v>
      </c>
      <c r="CA49" s="656">
        <v>4</v>
      </c>
    </row>
    <row r="50" spans="1:79" x14ac:dyDescent="0.35">
      <c r="A50" s="42">
        <v>44439</v>
      </c>
      <c r="B50" s="656"/>
      <c r="C50" s="656"/>
      <c r="D50" s="656"/>
      <c r="E50" s="656"/>
      <c r="F50" s="656"/>
      <c r="G50" s="656"/>
      <c r="H50" s="656"/>
      <c r="I50" s="656"/>
      <c r="J50" s="656"/>
      <c r="K50" s="656"/>
      <c r="L50" s="656"/>
      <c r="M50" s="656"/>
      <c r="N50" s="656"/>
      <c r="O50" s="656"/>
      <c r="P50" s="656"/>
      <c r="Q50" s="656"/>
      <c r="R50" s="656"/>
      <c r="S50" s="656"/>
      <c r="T50" s="656"/>
      <c r="U50" s="656"/>
      <c r="V50" s="656"/>
      <c r="W50" s="656"/>
      <c r="X50" s="656"/>
      <c r="Y50" s="656"/>
      <c r="Z50" s="656">
        <v>1</v>
      </c>
      <c r="AA50" s="656">
        <v>1</v>
      </c>
      <c r="AB50" s="656">
        <v>1</v>
      </c>
      <c r="AC50" s="656">
        <v>1</v>
      </c>
      <c r="AD50" s="656"/>
      <c r="AE50" s="656"/>
      <c r="AF50" s="656"/>
      <c r="AG50" s="656"/>
      <c r="AH50" s="656"/>
      <c r="AI50" s="656"/>
      <c r="AJ50" s="656"/>
      <c r="AK50" s="656"/>
      <c r="AL50" s="656"/>
      <c r="AM50" s="656"/>
      <c r="AN50" s="656"/>
      <c r="AO50" s="656"/>
      <c r="AP50" s="656"/>
      <c r="AQ50" s="656"/>
      <c r="AR50" s="656"/>
      <c r="AS50" s="656"/>
      <c r="AT50" s="656"/>
      <c r="AU50" s="656"/>
      <c r="AV50" s="656"/>
      <c r="AW50" s="656"/>
      <c r="AX50" s="656"/>
      <c r="AY50" s="656"/>
      <c r="AZ50" s="656"/>
      <c r="BA50" s="656"/>
      <c r="BB50" s="656"/>
      <c r="BC50" s="656"/>
      <c r="BD50" s="656"/>
      <c r="BE50" s="656"/>
      <c r="BF50" s="656"/>
      <c r="BG50" s="656"/>
      <c r="BH50" s="656"/>
      <c r="BI50" s="656"/>
      <c r="BJ50" s="656"/>
      <c r="BK50" s="656"/>
      <c r="BL50" s="656"/>
      <c r="BM50" s="656"/>
      <c r="BN50" s="656"/>
      <c r="BO50" s="656"/>
      <c r="BP50" s="656"/>
      <c r="BQ50" s="656"/>
      <c r="BR50" s="656"/>
      <c r="BS50" s="656"/>
      <c r="BT50" s="656"/>
      <c r="BU50" s="656"/>
      <c r="BV50" s="656"/>
      <c r="BW50" s="656"/>
      <c r="BX50" s="656"/>
      <c r="BY50" s="656"/>
      <c r="BZ50" s="656">
        <v>2</v>
      </c>
      <c r="CA50" s="656">
        <v>2</v>
      </c>
    </row>
    <row r="51" spans="1:79" x14ac:dyDescent="0.35">
      <c r="A51" s="42">
        <v>44452</v>
      </c>
      <c r="B51" s="656"/>
      <c r="C51" s="656"/>
      <c r="D51" s="656"/>
      <c r="E51" s="656"/>
      <c r="F51" s="656"/>
      <c r="G51" s="656"/>
      <c r="H51" s="656"/>
      <c r="I51" s="656"/>
      <c r="J51" s="656"/>
      <c r="K51" s="656"/>
      <c r="L51" s="656"/>
      <c r="M51" s="656"/>
      <c r="N51" s="656"/>
      <c r="O51" s="656"/>
      <c r="P51" s="656"/>
      <c r="Q51" s="656"/>
      <c r="R51" s="656"/>
      <c r="S51" s="656"/>
      <c r="T51" s="656"/>
      <c r="U51" s="656"/>
      <c r="V51" s="656"/>
      <c r="W51" s="656"/>
      <c r="X51" s="656"/>
      <c r="Y51" s="656"/>
      <c r="Z51" s="656"/>
      <c r="AA51" s="656"/>
      <c r="AB51" s="656">
        <v>2</v>
      </c>
      <c r="AC51" s="656">
        <v>1</v>
      </c>
      <c r="AD51" s="656"/>
      <c r="AE51" s="656"/>
      <c r="AF51" s="656"/>
      <c r="AG51" s="656"/>
      <c r="AH51" s="656"/>
      <c r="AI51" s="656"/>
      <c r="AJ51" s="656"/>
      <c r="AK51" s="656"/>
      <c r="AL51" s="656"/>
      <c r="AM51" s="656"/>
      <c r="AN51" s="656"/>
      <c r="AO51" s="656"/>
      <c r="AP51" s="656"/>
      <c r="AQ51" s="656"/>
      <c r="AR51" s="656"/>
      <c r="AS51" s="656"/>
      <c r="AT51" s="656"/>
      <c r="AU51" s="656"/>
      <c r="AV51" s="656"/>
      <c r="AW51" s="656"/>
      <c r="AX51" s="656"/>
      <c r="AY51" s="656"/>
      <c r="AZ51" s="656"/>
      <c r="BA51" s="656"/>
      <c r="BB51" s="656"/>
      <c r="BC51" s="656"/>
      <c r="BD51" s="656"/>
      <c r="BE51" s="656"/>
      <c r="BF51" s="656"/>
      <c r="BG51" s="656"/>
      <c r="BH51" s="656"/>
      <c r="BI51" s="656"/>
      <c r="BJ51" s="656"/>
      <c r="BK51" s="656"/>
      <c r="BL51" s="656"/>
      <c r="BM51" s="656"/>
      <c r="BN51" s="656"/>
      <c r="BO51" s="656"/>
      <c r="BP51" s="656"/>
      <c r="BQ51" s="656"/>
      <c r="BR51" s="656"/>
      <c r="BS51" s="656"/>
      <c r="BT51" s="656"/>
      <c r="BU51" s="656"/>
      <c r="BV51" s="656"/>
      <c r="BW51" s="656"/>
      <c r="BX51" s="656"/>
      <c r="BY51" s="656"/>
      <c r="BZ51" s="656">
        <v>2</v>
      </c>
      <c r="CA51" s="656">
        <v>1</v>
      </c>
    </row>
    <row r="52" spans="1:79" x14ac:dyDescent="0.35">
      <c r="A52" s="42">
        <v>44455</v>
      </c>
      <c r="B52" s="656"/>
      <c r="C52" s="656"/>
      <c r="D52" s="656"/>
      <c r="E52" s="656"/>
      <c r="F52" s="656"/>
      <c r="G52" s="656"/>
      <c r="H52" s="656"/>
      <c r="I52" s="656"/>
      <c r="J52" s="656"/>
      <c r="K52" s="656"/>
      <c r="L52" s="656"/>
      <c r="M52" s="656"/>
      <c r="N52" s="656"/>
      <c r="O52" s="656"/>
      <c r="P52" s="656"/>
      <c r="Q52" s="656"/>
      <c r="R52" s="656"/>
      <c r="S52" s="656"/>
      <c r="T52" s="656"/>
      <c r="U52" s="656"/>
      <c r="V52" s="656"/>
      <c r="W52" s="656"/>
      <c r="X52" s="656"/>
      <c r="Y52" s="656"/>
      <c r="Z52" s="656"/>
      <c r="AA52" s="656"/>
      <c r="AB52" s="656"/>
      <c r="AC52" s="656"/>
      <c r="AD52" s="656">
        <v>3</v>
      </c>
      <c r="AE52" s="656">
        <v>2</v>
      </c>
      <c r="AF52" s="656">
        <v>1</v>
      </c>
      <c r="AG52" s="656">
        <v>1</v>
      </c>
      <c r="AH52" s="656"/>
      <c r="AI52" s="656"/>
      <c r="AJ52" s="656"/>
      <c r="AK52" s="656"/>
      <c r="AL52" s="656"/>
      <c r="AM52" s="656"/>
      <c r="AN52" s="656"/>
      <c r="AO52" s="656"/>
      <c r="AP52" s="656"/>
      <c r="AQ52" s="656"/>
      <c r="AR52" s="656"/>
      <c r="AS52" s="656"/>
      <c r="AT52" s="656"/>
      <c r="AU52" s="656"/>
      <c r="AV52" s="656"/>
      <c r="AW52" s="656"/>
      <c r="AX52" s="656"/>
      <c r="AY52" s="656"/>
      <c r="AZ52" s="656"/>
      <c r="BA52" s="656"/>
      <c r="BB52" s="656"/>
      <c r="BC52" s="656"/>
      <c r="BD52" s="656"/>
      <c r="BE52" s="656"/>
      <c r="BF52" s="656"/>
      <c r="BG52" s="656"/>
      <c r="BH52" s="656"/>
      <c r="BI52" s="656"/>
      <c r="BJ52" s="656"/>
      <c r="BK52" s="656"/>
      <c r="BL52" s="656"/>
      <c r="BM52" s="656"/>
      <c r="BN52" s="656"/>
      <c r="BO52" s="656"/>
      <c r="BP52" s="656"/>
      <c r="BQ52" s="656"/>
      <c r="BR52" s="656"/>
      <c r="BS52" s="656"/>
      <c r="BT52" s="656"/>
      <c r="BU52" s="656"/>
      <c r="BV52" s="656"/>
      <c r="BW52" s="656"/>
      <c r="BX52" s="656"/>
      <c r="BY52" s="656"/>
      <c r="BZ52" s="656">
        <v>4</v>
      </c>
      <c r="CA52" s="656">
        <v>3</v>
      </c>
    </row>
    <row r="53" spans="1:79" x14ac:dyDescent="0.35">
      <c r="A53" s="42">
        <v>44462</v>
      </c>
      <c r="B53" s="656"/>
      <c r="C53" s="656"/>
      <c r="D53" s="656"/>
      <c r="E53" s="656"/>
      <c r="F53" s="656"/>
      <c r="G53" s="656"/>
      <c r="H53" s="656"/>
      <c r="I53" s="656"/>
      <c r="J53" s="656"/>
      <c r="K53" s="656"/>
      <c r="L53" s="656"/>
      <c r="M53" s="656"/>
      <c r="N53" s="656"/>
      <c r="O53" s="656"/>
      <c r="P53" s="656"/>
      <c r="Q53" s="656"/>
      <c r="R53" s="656"/>
      <c r="S53" s="656"/>
      <c r="T53" s="656"/>
      <c r="U53" s="656"/>
      <c r="V53" s="656"/>
      <c r="W53" s="656"/>
      <c r="X53" s="656"/>
      <c r="Y53" s="656"/>
      <c r="Z53" s="656"/>
      <c r="AA53" s="656"/>
      <c r="AB53" s="656"/>
      <c r="AC53" s="656"/>
      <c r="AD53" s="656"/>
      <c r="AE53" s="656"/>
      <c r="AF53" s="656"/>
      <c r="AG53" s="656"/>
      <c r="AH53" s="656">
        <v>1</v>
      </c>
      <c r="AI53" s="656">
        <v>1</v>
      </c>
      <c r="AJ53" s="656"/>
      <c r="AK53" s="656"/>
      <c r="AL53" s="656"/>
      <c r="AM53" s="656"/>
      <c r="AN53" s="656"/>
      <c r="AO53" s="656"/>
      <c r="AP53" s="656"/>
      <c r="AQ53" s="656"/>
      <c r="AR53" s="656"/>
      <c r="AS53" s="656"/>
      <c r="AT53" s="656"/>
      <c r="AU53" s="656"/>
      <c r="AV53" s="656"/>
      <c r="AW53" s="656"/>
      <c r="AX53" s="656"/>
      <c r="AY53" s="656"/>
      <c r="AZ53" s="656"/>
      <c r="BA53" s="656"/>
      <c r="BB53" s="656"/>
      <c r="BC53" s="656"/>
      <c r="BD53" s="656"/>
      <c r="BE53" s="656"/>
      <c r="BF53" s="656"/>
      <c r="BG53" s="656"/>
      <c r="BH53" s="656"/>
      <c r="BI53" s="656"/>
      <c r="BJ53" s="656"/>
      <c r="BK53" s="656"/>
      <c r="BL53" s="656"/>
      <c r="BM53" s="656"/>
      <c r="BN53" s="656"/>
      <c r="BO53" s="656"/>
      <c r="BP53" s="656"/>
      <c r="BQ53" s="656"/>
      <c r="BR53" s="656"/>
      <c r="BS53" s="656"/>
      <c r="BT53" s="656"/>
      <c r="BU53" s="656"/>
      <c r="BV53" s="656"/>
      <c r="BW53" s="656"/>
      <c r="BX53" s="656"/>
      <c r="BY53" s="656"/>
      <c r="BZ53" s="656">
        <v>1</v>
      </c>
      <c r="CA53" s="656">
        <v>1</v>
      </c>
    </row>
    <row r="54" spans="1:79" x14ac:dyDescent="0.35">
      <c r="A54" s="42">
        <v>44463</v>
      </c>
      <c r="B54" s="656"/>
      <c r="C54" s="656"/>
      <c r="D54" s="656"/>
      <c r="E54" s="656"/>
      <c r="F54" s="656"/>
      <c r="G54" s="656"/>
      <c r="H54" s="656"/>
      <c r="I54" s="656"/>
      <c r="J54" s="656"/>
      <c r="K54" s="656"/>
      <c r="L54" s="656"/>
      <c r="M54" s="656"/>
      <c r="N54" s="656"/>
      <c r="O54" s="656"/>
      <c r="P54" s="656"/>
      <c r="Q54" s="656"/>
      <c r="R54" s="656"/>
      <c r="S54" s="656"/>
      <c r="T54" s="656"/>
      <c r="U54" s="656"/>
      <c r="V54" s="656"/>
      <c r="W54" s="656"/>
      <c r="X54" s="656"/>
      <c r="Y54" s="656"/>
      <c r="Z54" s="656"/>
      <c r="AA54" s="656"/>
      <c r="AB54" s="656">
        <v>2</v>
      </c>
      <c r="AC54" s="656">
        <v>2</v>
      </c>
      <c r="AD54" s="656"/>
      <c r="AE54" s="656"/>
      <c r="AF54" s="656"/>
      <c r="AG54" s="656"/>
      <c r="AH54" s="656"/>
      <c r="AI54" s="656"/>
      <c r="AJ54" s="656"/>
      <c r="AK54" s="656"/>
      <c r="AL54" s="656"/>
      <c r="AM54" s="656"/>
      <c r="AN54" s="656"/>
      <c r="AO54" s="656"/>
      <c r="AP54" s="656"/>
      <c r="AQ54" s="656"/>
      <c r="AR54" s="656"/>
      <c r="AS54" s="656"/>
      <c r="AT54" s="656"/>
      <c r="AU54" s="656"/>
      <c r="AV54" s="656"/>
      <c r="AW54" s="656"/>
      <c r="AX54" s="656"/>
      <c r="AY54" s="656"/>
      <c r="AZ54" s="656"/>
      <c r="BA54" s="656"/>
      <c r="BB54" s="656"/>
      <c r="BC54" s="656"/>
      <c r="BD54" s="656"/>
      <c r="BE54" s="656"/>
      <c r="BF54" s="656"/>
      <c r="BG54" s="656"/>
      <c r="BH54" s="656"/>
      <c r="BI54" s="656"/>
      <c r="BJ54" s="656"/>
      <c r="BK54" s="656"/>
      <c r="BL54" s="656"/>
      <c r="BM54" s="656"/>
      <c r="BN54" s="656"/>
      <c r="BO54" s="656"/>
      <c r="BP54" s="656"/>
      <c r="BQ54" s="656"/>
      <c r="BR54" s="656"/>
      <c r="BS54" s="656"/>
      <c r="BT54" s="656"/>
      <c r="BU54" s="656"/>
      <c r="BV54" s="656"/>
      <c r="BW54" s="656"/>
      <c r="BX54" s="656"/>
      <c r="BY54" s="656"/>
      <c r="BZ54" s="656">
        <v>2</v>
      </c>
      <c r="CA54" s="656">
        <v>2</v>
      </c>
    </row>
    <row r="55" spans="1:79" x14ac:dyDescent="0.35">
      <c r="A55" s="42">
        <v>44467</v>
      </c>
      <c r="B55" s="656"/>
      <c r="C55" s="656"/>
      <c r="D55" s="656"/>
      <c r="E55" s="656"/>
      <c r="F55" s="656"/>
      <c r="G55" s="656"/>
      <c r="H55" s="656"/>
      <c r="I55" s="656"/>
      <c r="J55" s="656"/>
      <c r="K55" s="656"/>
      <c r="L55" s="656"/>
      <c r="M55" s="656"/>
      <c r="N55" s="656"/>
      <c r="O55" s="656"/>
      <c r="P55" s="656"/>
      <c r="Q55" s="656"/>
      <c r="R55" s="656"/>
      <c r="S55" s="656"/>
      <c r="T55" s="656"/>
      <c r="U55" s="656"/>
      <c r="V55" s="656"/>
      <c r="W55" s="656"/>
      <c r="X55" s="656"/>
      <c r="Y55" s="656"/>
      <c r="Z55" s="656"/>
      <c r="AA55" s="656"/>
      <c r="AB55" s="656"/>
      <c r="AC55" s="656"/>
      <c r="AD55" s="656"/>
      <c r="AE55" s="656"/>
      <c r="AF55" s="656"/>
      <c r="AG55" s="656"/>
      <c r="AH55" s="656"/>
      <c r="AI55" s="656"/>
      <c r="AJ55" s="656">
        <v>1</v>
      </c>
      <c r="AK55" s="656">
        <v>1</v>
      </c>
      <c r="AL55" s="656"/>
      <c r="AM55" s="656"/>
      <c r="AN55" s="656"/>
      <c r="AO55" s="656"/>
      <c r="AP55" s="656"/>
      <c r="AQ55" s="656"/>
      <c r="AR55" s="656"/>
      <c r="AS55" s="656"/>
      <c r="AT55" s="656"/>
      <c r="AU55" s="656"/>
      <c r="AV55" s="656"/>
      <c r="AW55" s="656"/>
      <c r="AX55" s="656"/>
      <c r="AY55" s="656"/>
      <c r="AZ55" s="656"/>
      <c r="BA55" s="656"/>
      <c r="BB55" s="656"/>
      <c r="BC55" s="656"/>
      <c r="BD55" s="656"/>
      <c r="BE55" s="656"/>
      <c r="BF55" s="656"/>
      <c r="BG55" s="656"/>
      <c r="BH55" s="656"/>
      <c r="BI55" s="656"/>
      <c r="BJ55" s="656"/>
      <c r="BK55" s="656"/>
      <c r="BL55" s="656"/>
      <c r="BM55" s="656"/>
      <c r="BN55" s="656"/>
      <c r="BO55" s="656"/>
      <c r="BP55" s="656"/>
      <c r="BQ55" s="656"/>
      <c r="BR55" s="656"/>
      <c r="BS55" s="656"/>
      <c r="BT55" s="656"/>
      <c r="BU55" s="656"/>
      <c r="BV55" s="656"/>
      <c r="BW55" s="656"/>
      <c r="BX55" s="656"/>
      <c r="BY55" s="656"/>
      <c r="BZ55" s="656">
        <v>1</v>
      </c>
      <c r="CA55" s="656">
        <v>1</v>
      </c>
    </row>
    <row r="56" spans="1:79" x14ac:dyDescent="0.35">
      <c r="A56" s="42">
        <v>44468</v>
      </c>
      <c r="B56" s="656"/>
      <c r="C56" s="656"/>
      <c r="D56" s="656"/>
      <c r="E56" s="656"/>
      <c r="F56" s="656"/>
      <c r="G56" s="656"/>
      <c r="H56" s="656"/>
      <c r="I56" s="656"/>
      <c r="J56" s="656"/>
      <c r="K56" s="656"/>
      <c r="L56" s="656"/>
      <c r="M56" s="656"/>
      <c r="N56" s="656"/>
      <c r="O56" s="656"/>
      <c r="P56" s="656"/>
      <c r="Q56" s="656"/>
      <c r="R56" s="656"/>
      <c r="S56" s="656"/>
      <c r="T56" s="656"/>
      <c r="U56" s="656"/>
      <c r="V56" s="656"/>
      <c r="W56" s="656"/>
      <c r="X56" s="656"/>
      <c r="Y56" s="656"/>
      <c r="Z56" s="656"/>
      <c r="AA56" s="656"/>
      <c r="AB56" s="656"/>
      <c r="AC56" s="656"/>
      <c r="AD56" s="656"/>
      <c r="AE56" s="656"/>
      <c r="AF56" s="656"/>
      <c r="AG56" s="656"/>
      <c r="AH56" s="656"/>
      <c r="AI56" s="656"/>
      <c r="AJ56" s="656"/>
      <c r="AK56" s="656"/>
      <c r="AL56" s="656">
        <v>1</v>
      </c>
      <c r="AM56" s="656"/>
      <c r="AN56" s="656"/>
      <c r="AO56" s="656"/>
      <c r="AP56" s="656"/>
      <c r="AQ56" s="656"/>
      <c r="AR56" s="656"/>
      <c r="AS56" s="656"/>
      <c r="AT56" s="656"/>
      <c r="AU56" s="656"/>
      <c r="AV56" s="656"/>
      <c r="AW56" s="656"/>
      <c r="AX56" s="656"/>
      <c r="AY56" s="656"/>
      <c r="AZ56" s="656"/>
      <c r="BA56" s="656"/>
      <c r="BB56" s="656"/>
      <c r="BC56" s="656"/>
      <c r="BD56" s="656"/>
      <c r="BE56" s="656"/>
      <c r="BF56" s="656"/>
      <c r="BG56" s="656"/>
      <c r="BH56" s="656"/>
      <c r="BI56" s="656"/>
      <c r="BJ56" s="656"/>
      <c r="BK56" s="656"/>
      <c r="BL56" s="656"/>
      <c r="BM56" s="656"/>
      <c r="BN56" s="656"/>
      <c r="BO56" s="656"/>
      <c r="BP56" s="656"/>
      <c r="BQ56" s="656"/>
      <c r="BR56" s="656"/>
      <c r="BS56" s="656"/>
      <c r="BT56" s="656"/>
      <c r="BU56" s="656"/>
      <c r="BV56" s="656"/>
      <c r="BW56" s="656"/>
      <c r="BX56" s="656"/>
      <c r="BY56" s="656"/>
      <c r="BZ56" s="656">
        <v>1</v>
      </c>
      <c r="CA56" s="656"/>
    </row>
    <row r="57" spans="1:79" x14ac:dyDescent="0.35">
      <c r="A57" s="42">
        <v>44481</v>
      </c>
      <c r="B57" s="656"/>
      <c r="C57" s="656"/>
      <c r="D57" s="656"/>
      <c r="E57" s="656"/>
      <c r="F57" s="656"/>
      <c r="G57" s="656"/>
      <c r="H57" s="656"/>
      <c r="I57" s="656"/>
      <c r="J57" s="656"/>
      <c r="K57" s="656"/>
      <c r="L57" s="656"/>
      <c r="M57" s="656"/>
      <c r="N57" s="656"/>
      <c r="O57" s="656"/>
      <c r="P57" s="656"/>
      <c r="Q57" s="656"/>
      <c r="R57" s="656"/>
      <c r="S57" s="656"/>
      <c r="T57" s="656"/>
      <c r="U57" s="656"/>
      <c r="V57" s="656"/>
      <c r="W57" s="656"/>
      <c r="X57" s="656"/>
      <c r="Y57" s="656"/>
      <c r="Z57" s="656"/>
      <c r="AA57" s="656"/>
      <c r="AB57" s="656"/>
      <c r="AC57" s="656"/>
      <c r="AD57" s="656"/>
      <c r="AE57" s="656"/>
      <c r="AF57" s="656"/>
      <c r="AG57" s="656"/>
      <c r="AH57" s="656"/>
      <c r="AI57" s="656"/>
      <c r="AJ57" s="656"/>
      <c r="AK57" s="656"/>
      <c r="AL57" s="656"/>
      <c r="AM57" s="656"/>
      <c r="AN57" s="656">
        <v>1</v>
      </c>
      <c r="AO57" s="656">
        <v>1</v>
      </c>
      <c r="AP57" s="656"/>
      <c r="AQ57" s="656"/>
      <c r="AR57" s="656"/>
      <c r="AS57" s="656"/>
      <c r="AT57" s="656"/>
      <c r="AU57" s="656"/>
      <c r="AV57" s="656"/>
      <c r="AW57" s="656"/>
      <c r="AX57" s="656"/>
      <c r="AY57" s="656"/>
      <c r="AZ57" s="656"/>
      <c r="BA57" s="656"/>
      <c r="BB57" s="656"/>
      <c r="BC57" s="656"/>
      <c r="BD57" s="656"/>
      <c r="BE57" s="656"/>
      <c r="BF57" s="656"/>
      <c r="BG57" s="656"/>
      <c r="BH57" s="656"/>
      <c r="BI57" s="656"/>
      <c r="BJ57" s="656"/>
      <c r="BK57" s="656"/>
      <c r="BL57" s="656"/>
      <c r="BM57" s="656"/>
      <c r="BN57" s="656"/>
      <c r="BO57" s="656"/>
      <c r="BP57" s="656"/>
      <c r="BQ57" s="656"/>
      <c r="BR57" s="656"/>
      <c r="BS57" s="656"/>
      <c r="BT57" s="656"/>
      <c r="BU57" s="656"/>
      <c r="BV57" s="656"/>
      <c r="BW57" s="656"/>
      <c r="BX57" s="656"/>
      <c r="BY57" s="656"/>
      <c r="BZ57" s="656">
        <v>1</v>
      </c>
      <c r="CA57" s="656">
        <v>1</v>
      </c>
    </row>
    <row r="58" spans="1:79" x14ac:dyDescent="0.35">
      <c r="A58" s="42">
        <v>44484</v>
      </c>
      <c r="B58" s="656"/>
      <c r="C58" s="656"/>
      <c r="D58" s="656"/>
      <c r="E58" s="656"/>
      <c r="F58" s="656"/>
      <c r="G58" s="656"/>
      <c r="H58" s="656"/>
      <c r="I58" s="656"/>
      <c r="J58" s="656"/>
      <c r="K58" s="656"/>
      <c r="L58" s="656"/>
      <c r="M58" s="656"/>
      <c r="N58" s="656"/>
      <c r="O58" s="656"/>
      <c r="P58" s="656"/>
      <c r="Q58" s="656"/>
      <c r="R58" s="656"/>
      <c r="S58" s="656"/>
      <c r="T58" s="656"/>
      <c r="U58" s="656"/>
      <c r="V58" s="656"/>
      <c r="W58" s="656"/>
      <c r="X58" s="656"/>
      <c r="Y58" s="656"/>
      <c r="Z58" s="656"/>
      <c r="AA58" s="656"/>
      <c r="AB58" s="656"/>
      <c r="AC58" s="656"/>
      <c r="AD58" s="656"/>
      <c r="AE58" s="656"/>
      <c r="AF58" s="656"/>
      <c r="AG58" s="656"/>
      <c r="AH58" s="656"/>
      <c r="AI58" s="656"/>
      <c r="AJ58" s="656"/>
      <c r="AK58" s="656"/>
      <c r="AL58" s="656"/>
      <c r="AM58" s="656"/>
      <c r="AN58" s="656"/>
      <c r="AO58" s="656"/>
      <c r="AP58" s="656">
        <v>1</v>
      </c>
      <c r="AQ58" s="656">
        <v>1</v>
      </c>
      <c r="AR58" s="656"/>
      <c r="AS58" s="656"/>
      <c r="AT58" s="656"/>
      <c r="AU58" s="656"/>
      <c r="AV58" s="656"/>
      <c r="AW58" s="656"/>
      <c r="AX58" s="656"/>
      <c r="AY58" s="656"/>
      <c r="AZ58" s="656"/>
      <c r="BA58" s="656"/>
      <c r="BB58" s="656"/>
      <c r="BC58" s="656"/>
      <c r="BD58" s="656"/>
      <c r="BE58" s="656"/>
      <c r="BF58" s="656"/>
      <c r="BG58" s="656"/>
      <c r="BH58" s="656"/>
      <c r="BI58" s="656"/>
      <c r="BJ58" s="656"/>
      <c r="BK58" s="656"/>
      <c r="BL58" s="656"/>
      <c r="BM58" s="656"/>
      <c r="BN58" s="656"/>
      <c r="BO58" s="656"/>
      <c r="BP58" s="656"/>
      <c r="BQ58" s="656"/>
      <c r="BR58" s="656"/>
      <c r="BS58" s="656"/>
      <c r="BT58" s="656"/>
      <c r="BU58" s="656"/>
      <c r="BV58" s="656"/>
      <c r="BW58" s="656"/>
      <c r="BX58" s="656"/>
      <c r="BY58" s="656"/>
      <c r="BZ58" s="656">
        <v>1</v>
      </c>
      <c r="CA58" s="656">
        <v>1</v>
      </c>
    </row>
    <row r="59" spans="1:79" x14ac:dyDescent="0.35">
      <c r="A59" s="42">
        <v>44487</v>
      </c>
      <c r="B59" s="656"/>
      <c r="C59" s="656"/>
      <c r="D59" s="656"/>
      <c r="E59" s="656"/>
      <c r="F59" s="656"/>
      <c r="G59" s="656"/>
      <c r="H59" s="656"/>
      <c r="I59" s="656"/>
      <c r="J59" s="656"/>
      <c r="K59" s="656"/>
      <c r="L59" s="656"/>
      <c r="M59" s="656"/>
      <c r="N59" s="656"/>
      <c r="O59" s="656"/>
      <c r="P59" s="656"/>
      <c r="Q59" s="656"/>
      <c r="R59" s="656"/>
      <c r="S59" s="656"/>
      <c r="T59" s="656"/>
      <c r="U59" s="656"/>
      <c r="V59" s="656"/>
      <c r="W59" s="656"/>
      <c r="X59" s="656"/>
      <c r="Y59" s="656"/>
      <c r="Z59" s="656"/>
      <c r="AA59" s="656"/>
      <c r="AB59" s="656"/>
      <c r="AC59" s="656"/>
      <c r="AD59" s="656"/>
      <c r="AE59" s="656"/>
      <c r="AF59" s="656"/>
      <c r="AG59" s="656"/>
      <c r="AH59" s="656"/>
      <c r="AI59" s="656"/>
      <c r="AJ59" s="656"/>
      <c r="AK59" s="656"/>
      <c r="AL59" s="656"/>
      <c r="AM59" s="656"/>
      <c r="AN59" s="656">
        <v>1</v>
      </c>
      <c r="AO59" s="656">
        <v>1</v>
      </c>
      <c r="AP59" s="656"/>
      <c r="AQ59" s="656"/>
      <c r="AR59" s="656"/>
      <c r="AS59" s="656"/>
      <c r="AT59" s="656"/>
      <c r="AU59" s="656"/>
      <c r="AV59" s="656"/>
      <c r="AW59" s="656"/>
      <c r="AX59" s="656"/>
      <c r="AY59" s="656"/>
      <c r="AZ59" s="656"/>
      <c r="BA59" s="656"/>
      <c r="BB59" s="656"/>
      <c r="BC59" s="656"/>
      <c r="BD59" s="656"/>
      <c r="BE59" s="656"/>
      <c r="BF59" s="656"/>
      <c r="BG59" s="656"/>
      <c r="BH59" s="656"/>
      <c r="BI59" s="656"/>
      <c r="BJ59" s="656"/>
      <c r="BK59" s="656"/>
      <c r="BL59" s="656"/>
      <c r="BM59" s="656"/>
      <c r="BN59" s="656"/>
      <c r="BO59" s="656"/>
      <c r="BP59" s="656"/>
      <c r="BQ59" s="656"/>
      <c r="BR59" s="656"/>
      <c r="BS59" s="656"/>
      <c r="BT59" s="656"/>
      <c r="BU59" s="656"/>
      <c r="BV59" s="656"/>
      <c r="BW59" s="656"/>
      <c r="BX59" s="656"/>
      <c r="BY59" s="656"/>
      <c r="BZ59" s="656">
        <v>1</v>
      </c>
      <c r="CA59" s="656">
        <v>1</v>
      </c>
    </row>
    <row r="60" spans="1:79" x14ac:dyDescent="0.35">
      <c r="A60" s="42">
        <v>44488</v>
      </c>
      <c r="B60" s="656"/>
      <c r="C60" s="656"/>
      <c r="D60" s="656"/>
      <c r="E60" s="656"/>
      <c r="F60" s="656"/>
      <c r="G60" s="656"/>
      <c r="H60" s="656"/>
      <c r="I60" s="656"/>
      <c r="J60" s="656"/>
      <c r="K60" s="656"/>
      <c r="L60" s="656"/>
      <c r="M60" s="656"/>
      <c r="N60" s="656"/>
      <c r="O60" s="656"/>
      <c r="P60" s="656"/>
      <c r="Q60" s="656"/>
      <c r="R60" s="656"/>
      <c r="S60" s="656"/>
      <c r="T60" s="656"/>
      <c r="U60" s="656"/>
      <c r="V60" s="656"/>
      <c r="W60" s="656"/>
      <c r="X60" s="656"/>
      <c r="Y60" s="656"/>
      <c r="Z60" s="656"/>
      <c r="AA60" s="656"/>
      <c r="AB60" s="656"/>
      <c r="AC60" s="656"/>
      <c r="AD60" s="656"/>
      <c r="AE60" s="656"/>
      <c r="AF60" s="656"/>
      <c r="AG60" s="656"/>
      <c r="AH60" s="656"/>
      <c r="AI60" s="656"/>
      <c r="AJ60" s="656"/>
      <c r="AK60" s="656"/>
      <c r="AL60" s="656"/>
      <c r="AM60" s="656"/>
      <c r="AN60" s="656"/>
      <c r="AO60" s="656"/>
      <c r="AP60" s="656"/>
      <c r="AQ60" s="656"/>
      <c r="AR60" s="656">
        <v>4</v>
      </c>
      <c r="AS60" s="656">
        <v>4</v>
      </c>
      <c r="AT60" s="656">
        <v>1</v>
      </c>
      <c r="AU60" s="656">
        <v>1</v>
      </c>
      <c r="AV60" s="656">
        <v>1</v>
      </c>
      <c r="AW60" s="656">
        <v>1</v>
      </c>
      <c r="AX60" s="656"/>
      <c r="AY60" s="656"/>
      <c r="AZ60" s="656"/>
      <c r="BA60" s="656"/>
      <c r="BB60" s="656"/>
      <c r="BC60" s="656"/>
      <c r="BD60" s="656"/>
      <c r="BE60" s="656"/>
      <c r="BF60" s="656"/>
      <c r="BG60" s="656"/>
      <c r="BH60" s="656"/>
      <c r="BI60" s="656"/>
      <c r="BJ60" s="656"/>
      <c r="BK60" s="656"/>
      <c r="BL60" s="656"/>
      <c r="BM60" s="656"/>
      <c r="BN60" s="656"/>
      <c r="BO60" s="656"/>
      <c r="BP60" s="656"/>
      <c r="BQ60" s="656"/>
      <c r="BR60" s="656"/>
      <c r="BS60" s="656"/>
      <c r="BT60" s="656"/>
      <c r="BU60" s="656"/>
      <c r="BV60" s="656"/>
      <c r="BW60" s="656"/>
      <c r="BX60" s="656"/>
      <c r="BY60" s="656"/>
      <c r="BZ60" s="656">
        <v>6</v>
      </c>
      <c r="CA60" s="656">
        <v>6</v>
      </c>
    </row>
    <row r="61" spans="1:79" x14ac:dyDescent="0.35">
      <c r="A61" s="42">
        <v>44490</v>
      </c>
      <c r="B61" s="656"/>
      <c r="C61" s="656"/>
      <c r="D61" s="656"/>
      <c r="E61" s="656"/>
      <c r="F61" s="656"/>
      <c r="G61" s="656"/>
      <c r="H61" s="656"/>
      <c r="I61" s="656"/>
      <c r="J61" s="656"/>
      <c r="K61" s="656"/>
      <c r="L61" s="656"/>
      <c r="M61" s="656"/>
      <c r="N61" s="656"/>
      <c r="O61" s="656"/>
      <c r="P61" s="656"/>
      <c r="Q61" s="656"/>
      <c r="R61" s="656"/>
      <c r="S61" s="656"/>
      <c r="T61" s="656"/>
      <c r="U61" s="656"/>
      <c r="V61" s="656"/>
      <c r="W61" s="656"/>
      <c r="X61" s="656"/>
      <c r="Y61" s="656"/>
      <c r="Z61" s="656"/>
      <c r="AA61" s="656"/>
      <c r="AB61" s="656"/>
      <c r="AC61" s="656"/>
      <c r="AD61" s="656"/>
      <c r="AE61" s="656"/>
      <c r="AF61" s="656"/>
      <c r="AG61" s="656"/>
      <c r="AH61" s="656"/>
      <c r="AI61" s="656"/>
      <c r="AJ61" s="656"/>
      <c r="AK61" s="656"/>
      <c r="AL61" s="656"/>
      <c r="AM61" s="656"/>
      <c r="AN61" s="656"/>
      <c r="AO61" s="656"/>
      <c r="AP61" s="656">
        <v>1</v>
      </c>
      <c r="AQ61" s="656">
        <v>1</v>
      </c>
      <c r="AR61" s="656"/>
      <c r="AS61" s="656"/>
      <c r="AT61" s="656"/>
      <c r="AU61" s="656"/>
      <c r="AV61" s="656"/>
      <c r="AW61" s="656"/>
      <c r="AX61" s="656"/>
      <c r="AY61" s="656"/>
      <c r="AZ61" s="656"/>
      <c r="BA61" s="656"/>
      <c r="BB61" s="656"/>
      <c r="BC61" s="656"/>
      <c r="BD61" s="656"/>
      <c r="BE61" s="656"/>
      <c r="BF61" s="656"/>
      <c r="BG61" s="656"/>
      <c r="BH61" s="656"/>
      <c r="BI61" s="656"/>
      <c r="BJ61" s="656"/>
      <c r="BK61" s="656"/>
      <c r="BL61" s="656"/>
      <c r="BM61" s="656"/>
      <c r="BN61" s="656"/>
      <c r="BO61" s="656"/>
      <c r="BP61" s="656"/>
      <c r="BQ61" s="656"/>
      <c r="BR61" s="656"/>
      <c r="BS61" s="656"/>
      <c r="BT61" s="656"/>
      <c r="BU61" s="656"/>
      <c r="BV61" s="656"/>
      <c r="BW61" s="656"/>
      <c r="BX61" s="656"/>
      <c r="BY61" s="656"/>
      <c r="BZ61" s="656">
        <v>1</v>
      </c>
      <c r="CA61" s="656">
        <v>1</v>
      </c>
    </row>
    <row r="62" spans="1:79" x14ac:dyDescent="0.35">
      <c r="A62" s="42">
        <v>44496</v>
      </c>
      <c r="B62" s="656"/>
      <c r="C62" s="656"/>
      <c r="D62" s="656"/>
      <c r="E62" s="656"/>
      <c r="F62" s="656"/>
      <c r="G62" s="656"/>
      <c r="H62" s="656"/>
      <c r="I62" s="656"/>
      <c r="J62" s="656"/>
      <c r="K62" s="656"/>
      <c r="L62" s="656"/>
      <c r="M62" s="656"/>
      <c r="N62" s="656"/>
      <c r="O62" s="656"/>
      <c r="P62" s="656"/>
      <c r="Q62" s="656"/>
      <c r="R62" s="656"/>
      <c r="S62" s="656"/>
      <c r="T62" s="656"/>
      <c r="U62" s="656"/>
      <c r="V62" s="656"/>
      <c r="W62" s="656"/>
      <c r="X62" s="656"/>
      <c r="Y62" s="656"/>
      <c r="Z62" s="656"/>
      <c r="AA62" s="656"/>
      <c r="AB62" s="656"/>
      <c r="AC62" s="656"/>
      <c r="AD62" s="656"/>
      <c r="AE62" s="656"/>
      <c r="AF62" s="656"/>
      <c r="AG62" s="656"/>
      <c r="AH62" s="656"/>
      <c r="AI62" s="656"/>
      <c r="AJ62" s="656"/>
      <c r="AK62" s="656"/>
      <c r="AL62" s="656"/>
      <c r="AM62" s="656"/>
      <c r="AN62" s="656"/>
      <c r="AO62" s="656"/>
      <c r="AP62" s="656"/>
      <c r="AQ62" s="656"/>
      <c r="AR62" s="656"/>
      <c r="AS62" s="656"/>
      <c r="AT62" s="656"/>
      <c r="AU62" s="656"/>
      <c r="AV62" s="656"/>
      <c r="AW62" s="656"/>
      <c r="AX62" s="656">
        <v>1</v>
      </c>
      <c r="AY62" s="656">
        <v>1</v>
      </c>
      <c r="AZ62" s="656"/>
      <c r="BA62" s="656"/>
      <c r="BB62" s="656"/>
      <c r="BC62" s="656"/>
      <c r="BD62" s="656"/>
      <c r="BE62" s="656"/>
      <c r="BF62" s="656"/>
      <c r="BG62" s="656"/>
      <c r="BH62" s="656"/>
      <c r="BI62" s="656"/>
      <c r="BJ62" s="656"/>
      <c r="BK62" s="656"/>
      <c r="BL62" s="656">
        <v>1</v>
      </c>
      <c r="BM62" s="656">
        <v>1</v>
      </c>
      <c r="BN62" s="656"/>
      <c r="BO62" s="656"/>
      <c r="BP62" s="656"/>
      <c r="BQ62" s="656"/>
      <c r="BR62" s="656"/>
      <c r="BS62" s="656"/>
      <c r="BT62" s="656"/>
      <c r="BU62" s="656"/>
      <c r="BV62" s="656"/>
      <c r="BW62" s="656"/>
      <c r="BX62" s="656"/>
      <c r="BY62" s="656"/>
      <c r="BZ62" s="656">
        <v>2</v>
      </c>
      <c r="CA62" s="656">
        <v>2</v>
      </c>
    </row>
    <row r="63" spans="1:79" x14ac:dyDescent="0.35">
      <c r="A63" s="42">
        <v>44491</v>
      </c>
      <c r="B63" s="656"/>
      <c r="C63" s="656"/>
      <c r="D63" s="656"/>
      <c r="E63" s="656"/>
      <c r="F63" s="656"/>
      <c r="G63" s="656"/>
      <c r="H63" s="656"/>
      <c r="I63" s="656"/>
      <c r="J63" s="656"/>
      <c r="K63" s="656"/>
      <c r="L63" s="656"/>
      <c r="M63" s="656"/>
      <c r="N63" s="656"/>
      <c r="O63" s="656"/>
      <c r="P63" s="656"/>
      <c r="Q63" s="656"/>
      <c r="R63" s="656"/>
      <c r="S63" s="656"/>
      <c r="T63" s="656"/>
      <c r="U63" s="656"/>
      <c r="V63" s="656"/>
      <c r="W63" s="656"/>
      <c r="X63" s="656"/>
      <c r="Y63" s="656"/>
      <c r="Z63" s="656"/>
      <c r="AA63" s="656"/>
      <c r="AB63" s="656"/>
      <c r="AC63" s="656"/>
      <c r="AD63" s="656"/>
      <c r="AE63" s="656"/>
      <c r="AF63" s="656"/>
      <c r="AG63" s="656"/>
      <c r="AH63" s="656"/>
      <c r="AI63" s="656"/>
      <c r="AJ63" s="656"/>
      <c r="AK63" s="656"/>
      <c r="AL63" s="656"/>
      <c r="AM63" s="656"/>
      <c r="AN63" s="656"/>
      <c r="AO63" s="656"/>
      <c r="AP63" s="656"/>
      <c r="AQ63" s="656"/>
      <c r="AR63" s="656"/>
      <c r="AS63" s="656"/>
      <c r="AT63" s="656"/>
      <c r="AU63" s="656"/>
      <c r="AV63" s="656"/>
      <c r="AW63" s="656"/>
      <c r="AX63" s="656"/>
      <c r="AY63" s="656"/>
      <c r="AZ63" s="656">
        <v>1</v>
      </c>
      <c r="BA63" s="656">
        <v>1</v>
      </c>
      <c r="BB63" s="656"/>
      <c r="BC63" s="656"/>
      <c r="BD63" s="656"/>
      <c r="BE63" s="656"/>
      <c r="BF63" s="656"/>
      <c r="BG63" s="656"/>
      <c r="BH63" s="656"/>
      <c r="BI63" s="656"/>
      <c r="BJ63" s="656"/>
      <c r="BK63" s="656"/>
      <c r="BL63" s="656"/>
      <c r="BM63" s="656"/>
      <c r="BN63" s="656">
        <v>1</v>
      </c>
      <c r="BO63" s="656">
        <v>1</v>
      </c>
      <c r="BP63" s="656"/>
      <c r="BQ63" s="656"/>
      <c r="BR63" s="656"/>
      <c r="BS63" s="656"/>
      <c r="BT63" s="656"/>
      <c r="BU63" s="656"/>
      <c r="BV63" s="656"/>
      <c r="BW63" s="656"/>
      <c r="BX63" s="656"/>
      <c r="BY63" s="656"/>
      <c r="BZ63" s="656">
        <v>2</v>
      </c>
      <c r="CA63" s="656">
        <v>2</v>
      </c>
    </row>
    <row r="64" spans="1:79" x14ac:dyDescent="0.35">
      <c r="A64" s="42">
        <v>44494</v>
      </c>
      <c r="B64" s="656"/>
      <c r="C64" s="656"/>
      <c r="D64" s="656"/>
      <c r="E64" s="656"/>
      <c r="F64" s="656"/>
      <c r="G64" s="656"/>
      <c r="H64" s="656"/>
      <c r="I64" s="656"/>
      <c r="J64" s="656"/>
      <c r="K64" s="656"/>
      <c r="L64" s="656"/>
      <c r="M64" s="656"/>
      <c r="N64" s="656"/>
      <c r="O64" s="656"/>
      <c r="P64" s="656"/>
      <c r="Q64" s="656"/>
      <c r="R64" s="656"/>
      <c r="S64" s="656"/>
      <c r="T64" s="656"/>
      <c r="U64" s="656"/>
      <c r="V64" s="656"/>
      <c r="W64" s="656"/>
      <c r="X64" s="656"/>
      <c r="Y64" s="656"/>
      <c r="Z64" s="656"/>
      <c r="AA64" s="656"/>
      <c r="AB64" s="656"/>
      <c r="AC64" s="656"/>
      <c r="AD64" s="656"/>
      <c r="AE64" s="656"/>
      <c r="AF64" s="656"/>
      <c r="AG64" s="656"/>
      <c r="AH64" s="656"/>
      <c r="AI64" s="656"/>
      <c r="AJ64" s="656"/>
      <c r="AK64" s="656"/>
      <c r="AL64" s="656"/>
      <c r="AM64" s="656"/>
      <c r="AN64" s="656"/>
      <c r="AO64" s="656"/>
      <c r="AP64" s="656">
        <v>1</v>
      </c>
      <c r="AQ64" s="656">
        <v>1</v>
      </c>
      <c r="AR64" s="656"/>
      <c r="AS64" s="656"/>
      <c r="AT64" s="656"/>
      <c r="AU64" s="656"/>
      <c r="AV64" s="656"/>
      <c r="AW64" s="656"/>
      <c r="AX64" s="656"/>
      <c r="AY64" s="656"/>
      <c r="AZ64" s="656"/>
      <c r="BA64" s="656"/>
      <c r="BB64" s="656">
        <v>1</v>
      </c>
      <c r="BC64" s="656">
        <v>1</v>
      </c>
      <c r="BD64" s="656">
        <v>1</v>
      </c>
      <c r="BE64" s="656">
        <v>1</v>
      </c>
      <c r="BF64" s="656"/>
      <c r="BG64" s="656"/>
      <c r="BH64" s="656"/>
      <c r="BI64" s="656"/>
      <c r="BJ64" s="656"/>
      <c r="BK64" s="656"/>
      <c r="BL64" s="656"/>
      <c r="BM64" s="656"/>
      <c r="BN64" s="656"/>
      <c r="BO64" s="656"/>
      <c r="BP64" s="656"/>
      <c r="BQ64" s="656"/>
      <c r="BR64" s="656"/>
      <c r="BS64" s="656"/>
      <c r="BT64" s="656"/>
      <c r="BU64" s="656"/>
      <c r="BV64" s="656"/>
      <c r="BW64" s="656"/>
      <c r="BX64" s="656"/>
      <c r="BY64" s="656"/>
      <c r="BZ64" s="656">
        <v>3</v>
      </c>
      <c r="CA64" s="656">
        <v>3</v>
      </c>
    </row>
    <row r="65" spans="1:79" x14ac:dyDescent="0.35">
      <c r="A65" s="42">
        <v>44503</v>
      </c>
      <c r="B65" s="656"/>
      <c r="C65" s="656"/>
      <c r="D65" s="656"/>
      <c r="E65" s="656"/>
      <c r="F65" s="656"/>
      <c r="G65" s="656"/>
      <c r="H65" s="656"/>
      <c r="I65" s="656"/>
      <c r="J65" s="656"/>
      <c r="K65" s="656"/>
      <c r="L65" s="656"/>
      <c r="M65" s="656"/>
      <c r="N65" s="656"/>
      <c r="O65" s="656"/>
      <c r="P65" s="656"/>
      <c r="Q65" s="656"/>
      <c r="R65" s="656"/>
      <c r="S65" s="656">
        <v>1</v>
      </c>
      <c r="T65" s="656"/>
      <c r="U65" s="656"/>
      <c r="V65" s="656"/>
      <c r="W65" s="656"/>
      <c r="X65" s="656"/>
      <c r="Y65" s="656"/>
      <c r="Z65" s="656"/>
      <c r="AA65" s="656"/>
      <c r="AB65" s="656"/>
      <c r="AC65" s="656"/>
      <c r="AD65" s="656"/>
      <c r="AE65" s="656"/>
      <c r="AF65" s="656"/>
      <c r="AG65" s="656"/>
      <c r="AH65" s="656"/>
      <c r="AI65" s="656"/>
      <c r="AJ65" s="656"/>
      <c r="AK65" s="656"/>
      <c r="AL65" s="656"/>
      <c r="AM65" s="656"/>
      <c r="AN65" s="656"/>
      <c r="AO65" s="656"/>
      <c r="AP65" s="656"/>
      <c r="AQ65" s="656"/>
      <c r="AR65" s="656"/>
      <c r="AS65" s="656"/>
      <c r="AT65" s="656"/>
      <c r="AU65" s="656"/>
      <c r="AV65" s="656"/>
      <c r="AW65" s="656"/>
      <c r="AX65" s="656"/>
      <c r="AY65" s="656"/>
      <c r="AZ65" s="656"/>
      <c r="BA65" s="656"/>
      <c r="BB65" s="656"/>
      <c r="BC65" s="656"/>
      <c r="BD65" s="656"/>
      <c r="BE65" s="656"/>
      <c r="BF65" s="656">
        <v>2</v>
      </c>
      <c r="BG65" s="656">
        <v>2</v>
      </c>
      <c r="BH65" s="656"/>
      <c r="BI65" s="656"/>
      <c r="BJ65" s="656"/>
      <c r="BK65" s="656"/>
      <c r="BL65" s="656">
        <v>1</v>
      </c>
      <c r="BM65" s="656">
        <v>1</v>
      </c>
      <c r="BN65" s="656"/>
      <c r="BO65" s="656"/>
      <c r="BP65" s="656"/>
      <c r="BQ65" s="656"/>
      <c r="BR65" s="656"/>
      <c r="BS65" s="656"/>
      <c r="BT65" s="656"/>
      <c r="BU65" s="656"/>
      <c r="BV65" s="656"/>
      <c r="BW65" s="656"/>
      <c r="BX65" s="656"/>
      <c r="BY65" s="656"/>
      <c r="BZ65" s="656">
        <v>3</v>
      </c>
      <c r="CA65" s="656">
        <v>4</v>
      </c>
    </row>
    <row r="66" spans="1:79" x14ac:dyDescent="0.35">
      <c r="A66" s="42">
        <v>44504</v>
      </c>
      <c r="B66" s="656"/>
      <c r="C66" s="656"/>
      <c r="D66" s="656"/>
      <c r="E66" s="656"/>
      <c r="F66" s="656"/>
      <c r="G66" s="656"/>
      <c r="H66" s="656"/>
      <c r="I66" s="656"/>
      <c r="J66" s="656"/>
      <c r="K66" s="656"/>
      <c r="L66" s="656"/>
      <c r="M66" s="656"/>
      <c r="N66" s="656"/>
      <c r="O66" s="656"/>
      <c r="P66" s="656"/>
      <c r="Q66" s="656"/>
      <c r="R66" s="656"/>
      <c r="S66" s="656"/>
      <c r="T66" s="656"/>
      <c r="U66" s="656"/>
      <c r="V66" s="656"/>
      <c r="W66" s="656"/>
      <c r="X66" s="656"/>
      <c r="Y66" s="656"/>
      <c r="Z66" s="656"/>
      <c r="AA66" s="656"/>
      <c r="AB66" s="656"/>
      <c r="AC66" s="656"/>
      <c r="AD66" s="656"/>
      <c r="AE66" s="656"/>
      <c r="AF66" s="656"/>
      <c r="AG66" s="656"/>
      <c r="AH66" s="656"/>
      <c r="AI66" s="656"/>
      <c r="AJ66" s="656"/>
      <c r="AK66" s="656"/>
      <c r="AL66" s="656"/>
      <c r="AM66" s="656"/>
      <c r="AN66" s="656"/>
      <c r="AO66" s="656"/>
      <c r="AP66" s="656"/>
      <c r="AQ66" s="656"/>
      <c r="AR66" s="656"/>
      <c r="AS66" s="656"/>
      <c r="AT66" s="656"/>
      <c r="AU66" s="656"/>
      <c r="AV66" s="656"/>
      <c r="AW66" s="656"/>
      <c r="AX66" s="656"/>
      <c r="AY66" s="656"/>
      <c r="AZ66" s="656"/>
      <c r="BA66" s="656"/>
      <c r="BB66" s="656"/>
      <c r="BC66" s="656"/>
      <c r="BD66" s="656"/>
      <c r="BE66" s="656"/>
      <c r="BF66" s="656"/>
      <c r="BG66" s="656"/>
      <c r="BH66" s="656">
        <v>1</v>
      </c>
      <c r="BI66" s="656">
        <v>1</v>
      </c>
      <c r="BJ66" s="656"/>
      <c r="BK66" s="656"/>
      <c r="BL66" s="656"/>
      <c r="BM66" s="656"/>
      <c r="BN66" s="656"/>
      <c r="BO66" s="656"/>
      <c r="BP66" s="656">
        <v>1</v>
      </c>
      <c r="BQ66" s="656">
        <v>1</v>
      </c>
      <c r="BR66" s="656"/>
      <c r="BS66" s="656"/>
      <c r="BT66" s="656"/>
      <c r="BU66" s="656"/>
      <c r="BV66" s="656"/>
      <c r="BW66" s="656"/>
      <c r="BX66" s="656"/>
      <c r="BY66" s="656"/>
      <c r="BZ66" s="656">
        <v>2</v>
      </c>
      <c r="CA66" s="656">
        <v>2</v>
      </c>
    </row>
    <row r="67" spans="1:79" x14ac:dyDescent="0.35">
      <c r="A67" s="42">
        <v>44517</v>
      </c>
      <c r="B67" s="656"/>
      <c r="C67" s="656"/>
      <c r="D67" s="656"/>
      <c r="E67" s="656"/>
      <c r="F67" s="656"/>
      <c r="G67" s="656"/>
      <c r="H67" s="656"/>
      <c r="I67" s="656"/>
      <c r="J67" s="656"/>
      <c r="K67" s="656"/>
      <c r="L67" s="656"/>
      <c r="M67" s="656"/>
      <c r="N67" s="656"/>
      <c r="O67" s="656"/>
      <c r="P67" s="656"/>
      <c r="Q67" s="656"/>
      <c r="R67" s="656"/>
      <c r="S67" s="656"/>
      <c r="T67" s="656"/>
      <c r="U67" s="656"/>
      <c r="V67" s="656"/>
      <c r="W67" s="656"/>
      <c r="X67" s="656"/>
      <c r="Y67" s="656"/>
      <c r="Z67" s="656"/>
      <c r="AA67" s="656"/>
      <c r="AB67" s="656"/>
      <c r="AC67" s="656"/>
      <c r="AD67" s="656"/>
      <c r="AE67" s="656"/>
      <c r="AF67" s="656"/>
      <c r="AG67" s="656"/>
      <c r="AH67" s="656"/>
      <c r="AI67" s="656"/>
      <c r="AJ67" s="656"/>
      <c r="AK67" s="656"/>
      <c r="AL67" s="656"/>
      <c r="AM67" s="656"/>
      <c r="AN67" s="656"/>
      <c r="AO67" s="656"/>
      <c r="AP67" s="656"/>
      <c r="AQ67" s="656"/>
      <c r="AR67" s="656"/>
      <c r="AS67" s="656"/>
      <c r="AT67" s="656"/>
      <c r="AU67" s="656"/>
      <c r="AV67" s="656"/>
      <c r="AW67" s="656"/>
      <c r="AX67" s="656"/>
      <c r="AY67" s="656"/>
      <c r="AZ67" s="656"/>
      <c r="BA67" s="656"/>
      <c r="BB67" s="656"/>
      <c r="BC67" s="656"/>
      <c r="BD67" s="656"/>
      <c r="BE67" s="656"/>
      <c r="BF67" s="656"/>
      <c r="BG67" s="656"/>
      <c r="BH67" s="656"/>
      <c r="BI67" s="656"/>
      <c r="BJ67" s="656"/>
      <c r="BK67" s="656"/>
      <c r="BL67" s="656">
        <v>2</v>
      </c>
      <c r="BM67" s="656">
        <v>2</v>
      </c>
      <c r="BN67" s="656"/>
      <c r="BO67" s="656"/>
      <c r="BP67" s="656"/>
      <c r="BQ67" s="656"/>
      <c r="BR67" s="656"/>
      <c r="BS67" s="656"/>
      <c r="BT67" s="656"/>
      <c r="BU67" s="656"/>
      <c r="BV67" s="656"/>
      <c r="BW67" s="656"/>
      <c r="BX67" s="656"/>
      <c r="BY67" s="656"/>
      <c r="BZ67" s="656">
        <v>2</v>
      </c>
      <c r="CA67" s="656">
        <v>2</v>
      </c>
    </row>
    <row r="68" spans="1:79" x14ac:dyDescent="0.35">
      <c r="A68" s="42">
        <v>44498</v>
      </c>
      <c r="B68" s="656"/>
      <c r="C68" s="656"/>
      <c r="D68" s="656"/>
      <c r="E68" s="656"/>
      <c r="F68" s="656"/>
      <c r="G68" s="656"/>
      <c r="H68" s="656"/>
      <c r="I68" s="656"/>
      <c r="J68" s="656"/>
      <c r="K68" s="656"/>
      <c r="L68" s="656"/>
      <c r="M68" s="656"/>
      <c r="N68" s="656"/>
      <c r="O68" s="656"/>
      <c r="P68" s="656"/>
      <c r="Q68" s="656"/>
      <c r="R68" s="656"/>
      <c r="S68" s="656"/>
      <c r="T68" s="656"/>
      <c r="U68" s="656"/>
      <c r="V68" s="656"/>
      <c r="W68" s="656"/>
      <c r="X68" s="656"/>
      <c r="Y68" s="656"/>
      <c r="Z68" s="656"/>
      <c r="AA68" s="656"/>
      <c r="AB68" s="656"/>
      <c r="AC68" s="656"/>
      <c r="AD68" s="656"/>
      <c r="AE68" s="656"/>
      <c r="AF68" s="656"/>
      <c r="AG68" s="656"/>
      <c r="AH68" s="656"/>
      <c r="AI68" s="656"/>
      <c r="AJ68" s="656"/>
      <c r="AK68" s="656"/>
      <c r="AL68" s="656"/>
      <c r="AM68" s="656"/>
      <c r="AN68" s="656"/>
      <c r="AO68" s="656"/>
      <c r="AP68" s="656">
        <v>2</v>
      </c>
      <c r="AQ68" s="656">
        <v>2</v>
      </c>
      <c r="AR68" s="656"/>
      <c r="AS68" s="656"/>
      <c r="AT68" s="656"/>
      <c r="AU68" s="656"/>
      <c r="AV68" s="656"/>
      <c r="AW68" s="656"/>
      <c r="AX68" s="656"/>
      <c r="AY68" s="656"/>
      <c r="AZ68" s="656"/>
      <c r="BA68" s="656"/>
      <c r="BB68" s="656"/>
      <c r="BC68" s="656"/>
      <c r="BD68" s="656"/>
      <c r="BE68" s="656"/>
      <c r="BF68" s="656"/>
      <c r="BG68" s="656"/>
      <c r="BH68" s="656"/>
      <c r="BI68" s="656"/>
      <c r="BJ68" s="656"/>
      <c r="BK68" s="656"/>
      <c r="BL68" s="656"/>
      <c r="BM68" s="656"/>
      <c r="BN68" s="656">
        <v>1</v>
      </c>
      <c r="BO68" s="656">
        <v>1</v>
      </c>
      <c r="BP68" s="656"/>
      <c r="BQ68" s="656"/>
      <c r="BR68" s="656"/>
      <c r="BS68" s="656"/>
      <c r="BT68" s="656"/>
      <c r="BU68" s="656"/>
      <c r="BV68" s="656"/>
      <c r="BW68" s="656"/>
      <c r="BX68" s="656"/>
      <c r="BY68" s="656"/>
      <c r="BZ68" s="656">
        <v>3</v>
      </c>
      <c r="CA68" s="656">
        <v>3</v>
      </c>
    </row>
    <row r="69" spans="1:79" x14ac:dyDescent="0.35">
      <c r="A69" s="42">
        <v>44524</v>
      </c>
      <c r="B69" s="656"/>
      <c r="C69" s="656"/>
      <c r="D69" s="656"/>
      <c r="E69" s="656"/>
      <c r="F69" s="656"/>
      <c r="G69" s="656"/>
      <c r="H69" s="656"/>
      <c r="I69" s="656"/>
      <c r="J69" s="656"/>
      <c r="K69" s="656"/>
      <c r="L69" s="656"/>
      <c r="M69" s="656"/>
      <c r="N69" s="656"/>
      <c r="O69" s="656"/>
      <c r="P69" s="656"/>
      <c r="Q69" s="656"/>
      <c r="R69" s="656"/>
      <c r="S69" s="656"/>
      <c r="T69" s="656"/>
      <c r="U69" s="656"/>
      <c r="V69" s="656"/>
      <c r="W69" s="656"/>
      <c r="X69" s="656"/>
      <c r="Y69" s="656"/>
      <c r="Z69" s="656"/>
      <c r="AA69" s="656"/>
      <c r="AB69" s="656"/>
      <c r="AC69" s="656"/>
      <c r="AD69" s="656"/>
      <c r="AE69" s="656"/>
      <c r="AF69" s="656"/>
      <c r="AG69" s="656"/>
      <c r="AH69" s="656"/>
      <c r="AI69" s="656"/>
      <c r="AJ69" s="656"/>
      <c r="AK69" s="656"/>
      <c r="AL69" s="656"/>
      <c r="AM69" s="656"/>
      <c r="AN69" s="656"/>
      <c r="AO69" s="656"/>
      <c r="AP69" s="656"/>
      <c r="AQ69" s="656"/>
      <c r="AR69" s="656"/>
      <c r="AS69" s="656"/>
      <c r="AT69" s="656"/>
      <c r="AU69" s="656"/>
      <c r="AV69" s="656"/>
      <c r="AW69" s="656"/>
      <c r="AX69" s="656"/>
      <c r="AY69" s="656"/>
      <c r="AZ69" s="656"/>
      <c r="BA69" s="656"/>
      <c r="BB69" s="656"/>
      <c r="BC69" s="656"/>
      <c r="BD69" s="656"/>
      <c r="BE69" s="656"/>
      <c r="BF69" s="656"/>
      <c r="BG69" s="656"/>
      <c r="BH69" s="656"/>
      <c r="BI69" s="656"/>
      <c r="BJ69" s="656"/>
      <c r="BK69" s="656"/>
      <c r="BL69" s="656">
        <v>1</v>
      </c>
      <c r="BM69" s="656">
        <v>1</v>
      </c>
      <c r="BN69" s="656"/>
      <c r="BO69" s="656"/>
      <c r="BP69" s="656"/>
      <c r="BQ69" s="656"/>
      <c r="BR69" s="656"/>
      <c r="BS69" s="656"/>
      <c r="BT69" s="656"/>
      <c r="BU69" s="656"/>
      <c r="BV69" s="656"/>
      <c r="BW69" s="656"/>
      <c r="BX69" s="656"/>
      <c r="BY69" s="656"/>
      <c r="BZ69" s="656">
        <v>1</v>
      </c>
      <c r="CA69" s="656">
        <v>1</v>
      </c>
    </row>
    <row r="70" spans="1:79" x14ac:dyDescent="0.35">
      <c r="A70" s="42">
        <v>44525</v>
      </c>
      <c r="B70" s="656"/>
      <c r="C70" s="656"/>
      <c r="D70" s="656"/>
      <c r="E70" s="656"/>
      <c r="F70" s="656"/>
      <c r="G70" s="656"/>
      <c r="H70" s="656"/>
      <c r="I70" s="656"/>
      <c r="J70" s="656"/>
      <c r="K70" s="656"/>
      <c r="L70" s="656"/>
      <c r="M70" s="656"/>
      <c r="N70" s="656"/>
      <c r="O70" s="656"/>
      <c r="P70" s="656"/>
      <c r="Q70" s="656"/>
      <c r="R70" s="656"/>
      <c r="S70" s="656"/>
      <c r="T70" s="656"/>
      <c r="U70" s="656"/>
      <c r="V70" s="656"/>
      <c r="W70" s="656"/>
      <c r="X70" s="656"/>
      <c r="Y70" s="656"/>
      <c r="Z70" s="656"/>
      <c r="AA70" s="656"/>
      <c r="AB70" s="656"/>
      <c r="AC70" s="656"/>
      <c r="AD70" s="656"/>
      <c r="AE70" s="656"/>
      <c r="AF70" s="656"/>
      <c r="AG70" s="656"/>
      <c r="AH70" s="656"/>
      <c r="AI70" s="656"/>
      <c r="AJ70" s="656"/>
      <c r="AK70" s="656"/>
      <c r="AL70" s="656"/>
      <c r="AM70" s="656"/>
      <c r="AN70" s="656"/>
      <c r="AO70" s="656"/>
      <c r="AP70" s="656"/>
      <c r="AQ70" s="656"/>
      <c r="AR70" s="656"/>
      <c r="AS70" s="656"/>
      <c r="AT70" s="656"/>
      <c r="AU70" s="656"/>
      <c r="AV70" s="656"/>
      <c r="AW70" s="656"/>
      <c r="AX70" s="656"/>
      <c r="AY70" s="656"/>
      <c r="AZ70" s="656"/>
      <c r="BA70" s="656"/>
      <c r="BB70" s="656"/>
      <c r="BC70" s="656"/>
      <c r="BD70" s="656"/>
      <c r="BE70" s="656"/>
      <c r="BF70" s="656"/>
      <c r="BG70" s="656"/>
      <c r="BH70" s="656"/>
      <c r="BI70" s="656"/>
      <c r="BJ70" s="656"/>
      <c r="BK70" s="656"/>
      <c r="BL70" s="656"/>
      <c r="BM70" s="656"/>
      <c r="BN70" s="656"/>
      <c r="BO70" s="656"/>
      <c r="BP70" s="656"/>
      <c r="BQ70" s="656"/>
      <c r="BR70" s="656"/>
      <c r="BS70" s="656"/>
      <c r="BT70" s="656"/>
      <c r="BU70" s="656"/>
      <c r="BV70" s="656"/>
      <c r="BW70" s="656"/>
      <c r="BX70" s="656">
        <v>1</v>
      </c>
      <c r="BY70" s="656">
        <v>1</v>
      </c>
      <c r="BZ70" s="656">
        <v>1</v>
      </c>
      <c r="CA70" s="656">
        <v>1</v>
      </c>
    </row>
    <row r="71" spans="1:79" x14ac:dyDescent="0.35">
      <c r="A71" s="42">
        <v>44529</v>
      </c>
      <c r="B71" s="656"/>
      <c r="C71" s="656"/>
      <c r="D71" s="656"/>
      <c r="E71" s="656"/>
      <c r="F71" s="656"/>
      <c r="G71" s="656"/>
      <c r="H71" s="656"/>
      <c r="I71" s="656"/>
      <c r="J71" s="656"/>
      <c r="K71" s="656"/>
      <c r="L71" s="656"/>
      <c r="M71" s="656"/>
      <c r="N71" s="656"/>
      <c r="O71" s="656"/>
      <c r="P71" s="656"/>
      <c r="Q71" s="656"/>
      <c r="R71" s="656"/>
      <c r="S71" s="656"/>
      <c r="T71" s="656"/>
      <c r="U71" s="656"/>
      <c r="V71" s="656"/>
      <c r="W71" s="656"/>
      <c r="X71" s="656"/>
      <c r="Y71" s="656"/>
      <c r="Z71" s="656"/>
      <c r="AA71" s="656"/>
      <c r="AB71" s="656"/>
      <c r="AC71" s="656"/>
      <c r="AD71" s="656"/>
      <c r="AE71" s="656"/>
      <c r="AF71" s="656"/>
      <c r="AG71" s="656"/>
      <c r="AH71" s="656"/>
      <c r="AI71" s="656"/>
      <c r="AJ71" s="656"/>
      <c r="AK71" s="656"/>
      <c r="AL71" s="656"/>
      <c r="AM71" s="656"/>
      <c r="AN71" s="656"/>
      <c r="AO71" s="656"/>
      <c r="AP71" s="656"/>
      <c r="AQ71" s="656"/>
      <c r="AR71" s="656"/>
      <c r="AS71" s="656"/>
      <c r="AT71" s="656"/>
      <c r="AU71" s="656"/>
      <c r="AV71" s="656"/>
      <c r="AW71" s="656"/>
      <c r="AX71" s="656"/>
      <c r="AY71" s="656"/>
      <c r="AZ71" s="656"/>
      <c r="BA71" s="656"/>
      <c r="BB71" s="656"/>
      <c r="BC71" s="656"/>
      <c r="BD71" s="656"/>
      <c r="BE71" s="656"/>
      <c r="BF71" s="656"/>
      <c r="BG71" s="656"/>
      <c r="BH71" s="656"/>
      <c r="BI71" s="656"/>
      <c r="BJ71" s="656"/>
      <c r="BK71" s="656"/>
      <c r="BL71" s="656"/>
      <c r="BM71" s="656"/>
      <c r="BN71" s="656"/>
      <c r="BO71" s="656"/>
      <c r="BP71" s="656">
        <v>1</v>
      </c>
      <c r="BQ71" s="656">
        <v>1</v>
      </c>
      <c r="BR71" s="656"/>
      <c r="BS71" s="656"/>
      <c r="BT71" s="656"/>
      <c r="BU71" s="656"/>
      <c r="BV71" s="656"/>
      <c r="BW71" s="656"/>
      <c r="BX71" s="656"/>
      <c r="BY71" s="656"/>
      <c r="BZ71" s="656">
        <v>1</v>
      </c>
      <c r="CA71" s="656">
        <v>1</v>
      </c>
    </row>
    <row r="72" spans="1:79" x14ac:dyDescent="0.35">
      <c r="A72" s="42" t="s">
        <v>58</v>
      </c>
      <c r="B72" s="656">
        <v>6</v>
      </c>
      <c r="C72" s="656">
        <v>6</v>
      </c>
      <c r="D72" s="656">
        <v>4</v>
      </c>
      <c r="E72" s="656">
        <v>3</v>
      </c>
      <c r="F72" s="656">
        <v>1</v>
      </c>
      <c r="G72" s="656">
        <v>1</v>
      </c>
      <c r="H72" s="656">
        <v>2</v>
      </c>
      <c r="I72" s="656">
        <v>2</v>
      </c>
      <c r="J72" s="656">
        <v>10</v>
      </c>
      <c r="K72" s="656">
        <v>10</v>
      </c>
      <c r="L72" s="656">
        <v>1</v>
      </c>
      <c r="M72" s="656">
        <v>1</v>
      </c>
      <c r="N72" s="656">
        <v>3</v>
      </c>
      <c r="O72" s="656">
        <v>3</v>
      </c>
      <c r="P72" s="656">
        <v>6</v>
      </c>
      <c r="Q72" s="656">
        <v>6</v>
      </c>
      <c r="R72" s="656"/>
      <c r="S72" s="656">
        <v>1</v>
      </c>
      <c r="T72" s="656">
        <v>2</v>
      </c>
      <c r="U72" s="656">
        <v>2</v>
      </c>
      <c r="V72" s="656">
        <v>1</v>
      </c>
      <c r="W72" s="656">
        <v>1</v>
      </c>
      <c r="X72" s="656">
        <v>2</v>
      </c>
      <c r="Y72" s="656">
        <v>2</v>
      </c>
      <c r="Z72" s="656">
        <v>4</v>
      </c>
      <c r="AA72" s="656">
        <v>4</v>
      </c>
      <c r="AB72" s="656">
        <v>6</v>
      </c>
      <c r="AC72" s="656">
        <v>5</v>
      </c>
      <c r="AD72" s="656">
        <v>3</v>
      </c>
      <c r="AE72" s="656">
        <v>2</v>
      </c>
      <c r="AF72" s="656">
        <v>1</v>
      </c>
      <c r="AG72" s="656">
        <v>1</v>
      </c>
      <c r="AH72" s="656">
        <v>1</v>
      </c>
      <c r="AI72" s="656">
        <v>1</v>
      </c>
      <c r="AJ72" s="656">
        <v>1</v>
      </c>
      <c r="AK72" s="656">
        <v>1</v>
      </c>
      <c r="AL72" s="656">
        <v>1</v>
      </c>
      <c r="AM72" s="656"/>
      <c r="AN72" s="656">
        <v>2</v>
      </c>
      <c r="AO72" s="656">
        <v>2</v>
      </c>
      <c r="AP72" s="656">
        <v>5</v>
      </c>
      <c r="AQ72" s="656">
        <v>5</v>
      </c>
      <c r="AR72" s="656">
        <v>4</v>
      </c>
      <c r="AS72" s="656">
        <v>4</v>
      </c>
      <c r="AT72" s="656">
        <v>1</v>
      </c>
      <c r="AU72" s="656">
        <v>1</v>
      </c>
      <c r="AV72" s="656">
        <v>1</v>
      </c>
      <c r="AW72" s="656">
        <v>1</v>
      </c>
      <c r="AX72" s="656">
        <v>1</v>
      </c>
      <c r="AY72" s="656">
        <v>1</v>
      </c>
      <c r="AZ72" s="656">
        <v>1</v>
      </c>
      <c r="BA72" s="656">
        <v>1</v>
      </c>
      <c r="BB72" s="656">
        <v>1</v>
      </c>
      <c r="BC72" s="656">
        <v>1</v>
      </c>
      <c r="BD72" s="656">
        <v>1</v>
      </c>
      <c r="BE72" s="656">
        <v>1</v>
      </c>
      <c r="BF72" s="656">
        <v>2</v>
      </c>
      <c r="BG72" s="656">
        <v>2</v>
      </c>
      <c r="BH72" s="656">
        <v>1</v>
      </c>
      <c r="BI72" s="656">
        <v>1</v>
      </c>
      <c r="BJ72" s="656">
        <v>1</v>
      </c>
      <c r="BK72" s="656">
        <v>1</v>
      </c>
      <c r="BL72" s="656">
        <v>5</v>
      </c>
      <c r="BM72" s="656">
        <v>5</v>
      </c>
      <c r="BN72" s="656">
        <v>2</v>
      </c>
      <c r="BO72" s="656">
        <v>2</v>
      </c>
      <c r="BP72" s="656">
        <v>2</v>
      </c>
      <c r="BQ72" s="656">
        <v>2</v>
      </c>
      <c r="BR72" s="656">
        <v>1</v>
      </c>
      <c r="BS72" s="656">
        <v>1</v>
      </c>
      <c r="BT72" s="656">
        <v>3</v>
      </c>
      <c r="BU72" s="656"/>
      <c r="BV72" s="656">
        <v>1</v>
      </c>
      <c r="BW72" s="656">
        <v>1</v>
      </c>
      <c r="BX72" s="656">
        <v>1</v>
      </c>
      <c r="BY72" s="656">
        <v>1</v>
      </c>
      <c r="BZ72" s="656">
        <v>91</v>
      </c>
      <c r="CA72" s="656">
        <v>85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Z28"/>
  <sheetViews>
    <sheetView topLeftCell="A2" workbookViewId="0">
      <selection activeCell="J28" sqref="J28"/>
    </sheetView>
  </sheetViews>
  <sheetFormatPr defaultColWidth="8.69921875" defaultRowHeight="14.5" x14ac:dyDescent="0.35"/>
  <cols>
    <col min="1" max="1" width="11.8984375" style="290" customWidth="1"/>
    <col min="2" max="2" width="6.19921875" style="317" customWidth="1"/>
    <col min="3" max="3" width="6.8984375" style="317" customWidth="1"/>
    <col min="4" max="4" width="7.19921875" style="317" customWidth="1"/>
    <col min="5" max="22" width="5.19921875" style="294" customWidth="1"/>
    <col min="23" max="23" width="5.19921875" style="294" hidden="1" customWidth="1"/>
    <col min="24" max="24" width="5" style="294" bestFit="1" customWidth="1"/>
    <col min="25" max="25" width="8.69921875" style="294" customWidth="1"/>
    <col min="26" max="26" width="8.69921875" style="294" bestFit="1" customWidth="1"/>
    <col min="27" max="30" width="8.69921875" style="294" customWidth="1"/>
    <col min="31" max="16384" width="8.69921875" style="294"/>
  </cols>
  <sheetData>
    <row r="1" spans="1:26" ht="16.5" customHeight="1" x14ac:dyDescent="0.35">
      <c r="A1" s="127" t="s">
        <v>1484</v>
      </c>
      <c r="B1" s="381"/>
      <c r="C1" s="381"/>
      <c r="D1" s="381"/>
      <c r="E1" s="58" t="s">
        <v>1486</v>
      </c>
      <c r="F1" s="59"/>
      <c r="G1" s="58" t="s">
        <v>1487</v>
      </c>
      <c r="H1" s="59"/>
      <c r="I1" s="60" t="s">
        <v>1489</v>
      </c>
      <c r="J1" s="61"/>
      <c r="K1" s="62" t="s">
        <v>1490</v>
      </c>
      <c r="L1" s="63"/>
      <c r="M1" s="63"/>
      <c r="N1" s="63"/>
      <c r="O1" s="63"/>
      <c r="P1" s="63"/>
      <c r="Q1" s="64" t="s">
        <v>1491</v>
      </c>
      <c r="R1" s="65"/>
      <c r="S1" s="64" t="s">
        <v>1492</v>
      </c>
      <c r="T1" s="65"/>
      <c r="U1" s="66" t="s">
        <v>2172</v>
      </c>
      <c r="V1" s="66"/>
      <c r="W1" s="66"/>
    </row>
    <row r="2" spans="1:26" x14ac:dyDescent="0.35">
      <c r="A2" s="290" t="s">
        <v>2384</v>
      </c>
      <c r="B2" s="317" t="s">
        <v>58</v>
      </c>
      <c r="C2" s="317" t="s">
        <v>2185</v>
      </c>
      <c r="D2" s="317" t="s">
        <v>2370</v>
      </c>
      <c r="E2" s="294" t="s">
        <v>2385</v>
      </c>
      <c r="F2" s="294" t="s">
        <v>2386</v>
      </c>
      <c r="G2" s="294" t="s">
        <v>2387</v>
      </c>
      <c r="H2" s="294" t="s">
        <v>2388</v>
      </c>
      <c r="I2" s="294" t="s">
        <v>2389</v>
      </c>
      <c r="J2" s="294" t="s">
        <v>2390</v>
      </c>
      <c r="K2" s="294" t="s">
        <v>2391</v>
      </c>
      <c r="L2" s="294" t="s">
        <v>2392</v>
      </c>
      <c r="M2" s="294" t="s">
        <v>2393</v>
      </c>
      <c r="N2" s="294" t="s">
        <v>2394</v>
      </c>
      <c r="O2" s="294" t="s">
        <v>2395</v>
      </c>
      <c r="P2" s="294" t="s">
        <v>2396</v>
      </c>
      <c r="Q2" s="294" t="s">
        <v>2397</v>
      </c>
      <c r="R2" s="294" t="s">
        <v>2398</v>
      </c>
      <c r="S2" s="294" t="s">
        <v>2399</v>
      </c>
      <c r="T2" s="294" t="s">
        <v>2400</v>
      </c>
      <c r="U2" s="294" t="s">
        <v>2401</v>
      </c>
      <c r="V2" s="294" t="s">
        <v>2402</v>
      </c>
      <c r="W2" s="294" t="s">
        <v>2370</v>
      </c>
    </row>
    <row r="3" spans="1:26" hidden="1" x14ac:dyDescent="0.35">
      <c r="A3" s="290">
        <v>44411</v>
      </c>
      <c r="E3" s="294">
        <v>32</v>
      </c>
      <c r="F3" s="294">
        <v>8</v>
      </c>
      <c r="G3" s="294">
        <v>2</v>
      </c>
      <c r="H3" s="294">
        <v>1</v>
      </c>
      <c r="I3" s="294">
        <v>79</v>
      </c>
      <c r="J3" s="294">
        <v>37</v>
      </c>
      <c r="K3" s="294">
        <v>27</v>
      </c>
      <c r="L3" s="294">
        <v>1</v>
      </c>
      <c r="M3" s="294">
        <v>4</v>
      </c>
      <c r="N3" s="294">
        <v>0</v>
      </c>
      <c r="O3" s="294">
        <v>2</v>
      </c>
      <c r="P3" s="294">
        <v>0</v>
      </c>
      <c r="Q3" s="294">
        <v>13</v>
      </c>
      <c r="R3" s="294">
        <v>0</v>
      </c>
      <c r="U3" s="294">
        <v>34</v>
      </c>
      <c r="V3" s="294">
        <v>7</v>
      </c>
      <c r="W3" s="67">
        <f>V3/U3</f>
        <v>0.20588235294117646</v>
      </c>
    </row>
    <row r="4" spans="1:26" hidden="1" x14ac:dyDescent="0.35">
      <c r="A4" s="290">
        <v>44414</v>
      </c>
      <c r="E4" s="294">
        <v>32</v>
      </c>
      <c r="F4" s="294">
        <v>15</v>
      </c>
      <c r="G4" s="294">
        <v>2</v>
      </c>
      <c r="H4" s="294">
        <v>2</v>
      </c>
      <c r="I4" s="294">
        <v>79</v>
      </c>
      <c r="J4" s="294">
        <v>53</v>
      </c>
      <c r="K4" s="294">
        <v>27</v>
      </c>
      <c r="L4" s="294">
        <v>3</v>
      </c>
      <c r="M4" s="294">
        <v>4</v>
      </c>
      <c r="N4" s="294">
        <v>1</v>
      </c>
      <c r="O4" s="294">
        <v>2</v>
      </c>
      <c r="P4" s="294">
        <v>0</v>
      </c>
      <c r="Q4" s="294">
        <v>13</v>
      </c>
      <c r="R4" s="294">
        <v>0</v>
      </c>
      <c r="U4" s="294">
        <v>34</v>
      </c>
      <c r="V4" s="294">
        <v>12</v>
      </c>
      <c r="W4" s="67">
        <f>V4/U4</f>
        <v>0.35294117647058826</v>
      </c>
    </row>
    <row r="5" spans="1:26" x14ac:dyDescent="0.35">
      <c r="A5" s="290">
        <v>44417</v>
      </c>
      <c r="B5" s="317">
        <f t="shared" ref="B5:B12" si="0">SUM(E5,G5,H5,I5,K5,M5,O5,Q5,U5)</f>
        <v>195</v>
      </c>
      <c r="C5" s="317">
        <f t="shared" ref="C5:C12" si="1">SUM(F5,H5,J5,L5,N5,P5,R5,V5)</f>
        <v>87</v>
      </c>
      <c r="D5" s="310">
        <f t="shared" ref="D5:D24" si="2">C5/B5</f>
        <v>0.44615384615384618</v>
      </c>
      <c r="E5" s="294">
        <v>32</v>
      </c>
      <c r="F5" s="294">
        <v>15</v>
      </c>
      <c r="G5" s="294">
        <v>2</v>
      </c>
      <c r="H5" s="294">
        <v>2</v>
      </c>
      <c r="I5" s="294">
        <v>79</v>
      </c>
      <c r="J5" s="294">
        <v>53</v>
      </c>
      <c r="K5" s="294">
        <v>27</v>
      </c>
      <c r="L5" s="294">
        <v>3</v>
      </c>
      <c r="M5" s="294">
        <v>4</v>
      </c>
      <c r="N5" s="294">
        <v>1</v>
      </c>
      <c r="O5" s="294">
        <v>2</v>
      </c>
      <c r="P5" s="294">
        <v>0</v>
      </c>
      <c r="Q5" s="294">
        <v>13</v>
      </c>
      <c r="R5" s="294">
        <v>0</v>
      </c>
      <c r="U5" s="294">
        <v>34</v>
      </c>
      <c r="V5" s="294">
        <v>13</v>
      </c>
      <c r="X5" s="294">
        <f t="shared" ref="X5:X17" si="3">SUM(F5,H5,J5,L5,N5,P5,R5)</f>
        <v>74</v>
      </c>
    </row>
    <row r="6" spans="1:26" hidden="1" x14ac:dyDescent="0.35">
      <c r="A6" s="290">
        <v>44420</v>
      </c>
      <c r="B6" s="317">
        <f t="shared" si="0"/>
        <v>195</v>
      </c>
      <c r="C6" s="317">
        <f t="shared" si="1"/>
        <v>96</v>
      </c>
      <c r="D6" s="310">
        <f t="shared" si="2"/>
        <v>0.49230769230769234</v>
      </c>
      <c r="E6" s="294">
        <v>32</v>
      </c>
      <c r="F6" s="125">
        <v>17</v>
      </c>
      <c r="G6" s="294">
        <v>2</v>
      </c>
      <c r="H6" s="294">
        <v>2</v>
      </c>
      <c r="I6" s="294">
        <v>79</v>
      </c>
      <c r="J6" s="294">
        <v>55</v>
      </c>
      <c r="K6" s="294">
        <v>27</v>
      </c>
      <c r="L6" s="294">
        <v>3</v>
      </c>
      <c r="M6" s="294">
        <v>4</v>
      </c>
      <c r="N6" s="294">
        <v>1</v>
      </c>
      <c r="O6" s="294">
        <v>2</v>
      </c>
      <c r="P6" s="294">
        <v>0</v>
      </c>
      <c r="Q6" s="294">
        <v>13</v>
      </c>
      <c r="R6" s="294">
        <v>0</v>
      </c>
      <c r="U6" s="294">
        <v>34</v>
      </c>
      <c r="V6" s="125">
        <v>18</v>
      </c>
      <c r="X6" s="294">
        <f t="shared" si="3"/>
        <v>78</v>
      </c>
    </row>
    <row r="7" spans="1:26" x14ac:dyDescent="0.35">
      <c r="A7" s="290">
        <v>44424</v>
      </c>
      <c r="B7" s="317">
        <f t="shared" si="0"/>
        <v>195</v>
      </c>
      <c r="C7" s="317">
        <f t="shared" si="1"/>
        <v>96</v>
      </c>
      <c r="D7" s="310">
        <f t="shared" si="2"/>
        <v>0.49230769230769234</v>
      </c>
      <c r="E7" s="294">
        <v>32</v>
      </c>
      <c r="F7" s="294">
        <v>17</v>
      </c>
      <c r="G7" s="294">
        <v>2</v>
      </c>
      <c r="H7" s="294">
        <v>2</v>
      </c>
      <c r="I7" s="294">
        <v>79</v>
      </c>
      <c r="J7" s="294">
        <v>55</v>
      </c>
      <c r="K7" s="294">
        <v>27</v>
      </c>
      <c r="L7" s="294">
        <v>3</v>
      </c>
      <c r="M7" s="294">
        <v>4</v>
      </c>
      <c r="N7" s="294">
        <v>1</v>
      </c>
      <c r="O7" s="294">
        <v>2</v>
      </c>
      <c r="P7" s="294">
        <v>0</v>
      </c>
      <c r="Q7" s="294">
        <v>13</v>
      </c>
      <c r="R7" s="294">
        <v>0</v>
      </c>
      <c r="U7" s="294">
        <v>34</v>
      </c>
      <c r="V7" s="294">
        <v>18</v>
      </c>
      <c r="X7" s="294">
        <f t="shared" si="3"/>
        <v>78</v>
      </c>
    </row>
    <row r="8" spans="1:26" hidden="1" x14ac:dyDescent="0.35">
      <c r="A8" s="290">
        <v>44426</v>
      </c>
      <c r="B8" s="317">
        <f t="shared" si="0"/>
        <v>197</v>
      </c>
      <c r="C8" s="317">
        <f t="shared" si="1"/>
        <v>101</v>
      </c>
      <c r="D8" s="310">
        <f t="shared" si="2"/>
        <v>0.51269035532994922</v>
      </c>
      <c r="E8" s="294">
        <v>32</v>
      </c>
      <c r="F8" s="125">
        <v>18</v>
      </c>
      <c r="G8" s="294">
        <v>2</v>
      </c>
      <c r="H8" s="294">
        <v>2</v>
      </c>
      <c r="I8" s="294">
        <v>79</v>
      </c>
      <c r="J8" s="125">
        <v>56</v>
      </c>
      <c r="K8" s="125">
        <v>28</v>
      </c>
      <c r="L8" s="294">
        <v>3</v>
      </c>
      <c r="M8" s="294">
        <v>4</v>
      </c>
      <c r="N8" s="294">
        <v>1</v>
      </c>
      <c r="O8" s="294">
        <v>2</v>
      </c>
      <c r="P8" s="294">
        <v>0</v>
      </c>
      <c r="Q8" s="125">
        <v>14</v>
      </c>
      <c r="R8" s="125">
        <v>2</v>
      </c>
      <c r="S8" s="125"/>
      <c r="T8" s="125"/>
      <c r="U8" s="294">
        <v>34</v>
      </c>
      <c r="V8" s="125">
        <v>19</v>
      </c>
      <c r="X8" s="125">
        <f t="shared" si="3"/>
        <v>82</v>
      </c>
    </row>
    <row r="9" spans="1:26" hidden="1" x14ac:dyDescent="0.35">
      <c r="A9" s="290">
        <v>44428</v>
      </c>
      <c r="B9" s="317">
        <f t="shared" si="0"/>
        <v>202</v>
      </c>
      <c r="C9" s="317">
        <f t="shared" si="1"/>
        <v>107</v>
      </c>
      <c r="D9" s="310">
        <f t="shared" si="2"/>
        <v>0.52970297029702973</v>
      </c>
      <c r="E9" s="294">
        <v>32</v>
      </c>
      <c r="F9" s="125">
        <v>19</v>
      </c>
      <c r="G9" s="294">
        <v>2</v>
      </c>
      <c r="H9" s="294">
        <v>2</v>
      </c>
      <c r="I9" s="125">
        <v>81</v>
      </c>
      <c r="J9" s="125">
        <v>60</v>
      </c>
      <c r="K9" s="125">
        <v>31</v>
      </c>
      <c r="L9" s="125">
        <v>4</v>
      </c>
      <c r="M9" s="294">
        <v>4</v>
      </c>
      <c r="N9" s="294">
        <v>1</v>
      </c>
      <c r="O9" s="294">
        <v>2</v>
      </c>
      <c r="P9" s="294">
        <v>0</v>
      </c>
      <c r="Q9" s="294">
        <v>14</v>
      </c>
      <c r="R9" s="294">
        <v>2</v>
      </c>
      <c r="U9" s="294">
        <v>34</v>
      </c>
      <c r="V9" s="294">
        <v>19</v>
      </c>
      <c r="X9" s="125">
        <f t="shared" si="3"/>
        <v>88</v>
      </c>
    </row>
    <row r="10" spans="1:26" hidden="1" x14ac:dyDescent="0.35">
      <c r="A10" s="290">
        <v>44431</v>
      </c>
      <c r="B10" s="317">
        <f t="shared" si="0"/>
        <v>202</v>
      </c>
      <c r="C10" s="317">
        <f t="shared" si="1"/>
        <v>107</v>
      </c>
      <c r="D10" s="310">
        <f t="shared" si="2"/>
        <v>0.52970297029702973</v>
      </c>
      <c r="E10" s="294">
        <v>32</v>
      </c>
      <c r="F10" s="294">
        <v>19</v>
      </c>
      <c r="G10" s="294">
        <v>2</v>
      </c>
      <c r="H10" s="294">
        <v>2</v>
      </c>
      <c r="I10" s="294">
        <v>81</v>
      </c>
      <c r="J10" s="294">
        <v>60</v>
      </c>
      <c r="K10" s="294">
        <v>31</v>
      </c>
      <c r="L10" s="294">
        <v>4</v>
      </c>
      <c r="M10" s="294">
        <v>4</v>
      </c>
      <c r="N10" s="294">
        <v>1</v>
      </c>
      <c r="O10" s="294">
        <v>2</v>
      </c>
      <c r="P10" s="294">
        <v>0</v>
      </c>
      <c r="Q10" s="294">
        <v>14</v>
      </c>
      <c r="R10" s="294">
        <v>2</v>
      </c>
      <c r="U10" s="294">
        <v>34</v>
      </c>
      <c r="V10" s="294">
        <v>19</v>
      </c>
      <c r="X10" s="294">
        <f t="shared" si="3"/>
        <v>88</v>
      </c>
    </row>
    <row r="11" spans="1:26" hidden="1" x14ac:dyDescent="0.35">
      <c r="A11" s="290">
        <v>44432</v>
      </c>
      <c r="B11" s="317">
        <f t="shared" si="0"/>
        <v>202</v>
      </c>
      <c r="C11" s="317">
        <f t="shared" si="1"/>
        <v>108</v>
      </c>
      <c r="D11" s="310">
        <f t="shared" si="2"/>
        <v>0.53465346534653468</v>
      </c>
      <c r="E11" s="294">
        <v>32</v>
      </c>
      <c r="F11" s="294">
        <v>19</v>
      </c>
      <c r="G11" s="294">
        <v>2</v>
      </c>
      <c r="H11" s="294">
        <v>2</v>
      </c>
      <c r="I11" s="294">
        <v>81</v>
      </c>
      <c r="J11" s="294">
        <v>60</v>
      </c>
      <c r="K11" s="294">
        <v>31</v>
      </c>
      <c r="L11" s="125">
        <v>5</v>
      </c>
      <c r="M11" s="294">
        <v>4</v>
      </c>
      <c r="N11" s="294">
        <v>1</v>
      </c>
      <c r="O11" s="294">
        <v>2</v>
      </c>
      <c r="P11" s="294">
        <v>0</v>
      </c>
      <c r="Q11" s="294">
        <v>14</v>
      </c>
      <c r="R11" s="294">
        <v>2</v>
      </c>
      <c r="U11" s="294">
        <v>34</v>
      </c>
      <c r="V11" s="294">
        <v>19</v>
      </c>
      <c r="X11" s="125">
        <f t="shared" si="3"/>
        <v>89</v>
      </c>
    </row>
    <row r="12" spans="1:26" x14ac:dyDescent="0.35">
      <c r="A12" s="290">
        <v>44434</v>
      </c>
      <c r="B12" s="317">
        <f t="shared" si="0"/>
        <v>210</v>
      </c>
      <c r="C12" s="317">
        <f t="shared" si="1"/>
        <v>108</v>
      </c>
      <c r="D12" s="310">
        <f t="shared" si="2"/>
        <v>0.51428571428571423</v>
      </c>
      <c r="E12" s="294">
        <v>32</v>
      </c>
      <c r="F12" s="294">
        <v>19</v>
      </c>
      <c r="G12" s="294">
        <v>2</v>
      </c>
      <c r="H12" s="294">
        <v>2</v>
      </c>
      <c r="I12" s="294">
        <v>81</v>
      </c>
      <c r="J12" s="294">
        <v>60</v>
      </c>
      <c r="K12" s="294">
        <v>31</v>
      </c>
      <c r="L12" s="294">
        <v>5</v>
      </c>
      <c r="M12" s="294">
        <v>4</v>
      </c>
      <c r="N12" s="294">
        <v>1</v>
      </c>
      <c r="O12" s="294">
        <v>2</v>
      </c>
      <c r="P12" s="294">
        <v>0</v>
      </c>
      <c r="Q12" s="294">
        <v>14</v>
      </c>
      <c r="R12" s="294">
        <v>2</v>
      </c>
      <c r="U12" s="125">
        <v>42</v>
      </c>
      <c r="V12" s="294">
        <v>19</v>
      </c>
      <c r="X12" s="294">
        <f t="shared" si="3"/>
        <v>89</v>
      </c>
      <c r="Z12" s="382"/>
    </row>
    <row r="13" spans="1:26" x14ac:dyDescent="0.35">
      <c r="A13" s="290">
        <v>44440</v>
      </c>
      <c r="B13" s="317">
        <f t="shared" ref="B13:B25" si="4">SUM(E13,G13,I13,K13,M13,O13,Q13,S13,U13)</f>
        <v>260</v>
      </c>
      <c r="C13" s="317">
        <f t="shared" ref="C13:C25" si="5">SUM(F13,H13,J13,L13,N13,P13,R13,T13,V13)</f>
        <v>133</v>
      </c>
      <c r="D13" s="310">
        <f t="shared" si="2"/>
        <v>0.5115384615384615</v>
      </c>
      <c r="E13" s="125">
        <v>33</v>
      </c>
      <c r="F13" s="125">
        <v>21</v>
      </c>
      <c r="G13" s="294">
        <v>2</v>
      </c>
      <c r="H13" s="294">
        <v>2</v>
      </c>
      <c r="I13" s="125">
        <v>108</v>
      </c>
      <c r="J13" s="125">
        <v>80</v>
      </c>
      <c r="K13" s="125">
        <v>47</v>
      </c>
      <c r="L13" s="125">
        <v>7</v>
      </c>
      <c r="M13" s="294">
        <v>4</v>
      </c>
      <c r="N13" s="294">
        <v>1</v>
      </c>
      <c r="O13" s="294">
        <v>2</v>
      </c>
      <c r="P13" s="294">
        <v>0</v>
      </c>
      <c r="Q13" s="294">
        <v>14</v>
      </c>
      <c r="R13" s="125">
        <v>3</v>
      </c>
      <c r="S13" s="125">
        <v>2</v>
      </c>
      <c r="T13" s="125">
        <v>0</v>
      </c>
      <c r="U13" s="125">
        <v>48</v>
      </c>
      <c r="V13" s="294">
        <v>19</v>
      </c>
      <c r="X13" s="294">
        <f t="shared" si="3"/>
        <v>114</v>
      </c>
    </row>
    <row r="14" spans="1:26" x14ac:dyDescent="0.35">
      <c r="A14" s="290">
        <v>44446</v>
      </c>
      <c r="B14" s="317">
        <f t="shared" si="4"/>
        <v>291</v>
      </c>
      <c r="C14" s="317">
        <f t="shared" si="5"/>
        <v>161</v>
      </c>
      <c r="D14" s="310">
        <f t="shared" si="2"/>
        <v>0.5532646048109966</v>
      </c>
      <c r="E14" s="125">
        <v>37</v>
      </c>
      <c r="F14" s="125">
        <v>24</v>
      </c>
      <c r="G14" s="294">
        <v>2</v>
      </c>
      <c r="H14" s="294">
        <v>2</v>
      </c>
      <c r="I14" s="125">
        <v>134</v>
      </c>
      <c r="J14" s="125">
        <v>95</v>
      </c>
      <c r="K14" s="125">
        <v>48</v>
      </c>
      <c r="L14" s="125">
        <v>13</v>
      </c>
      <c r="M14" s="294">
        <v>4</v>
      </c>
      <c r="N14" s="294">
        <v>1</v>
      </c>
      <c r="O14" s="125">
        <v>1</v>
      </c>
      <c r="P14" s="294">
        <v>0</v>
      </c>
      <c r="Q14" s="294">
        <v>14</v>
      </c>
      <c r="R14" s="125">
        <v>7</v>
      </c>
      <c r="S14" s="294">
        <v>2</v>
      </c>
      <c r="T14" s="294">
        <v>0</v>
      </c>
      <c r="U14" s="125">
        <v>49</v>
      </c>
      <c r="V14" s="294">
        <v>19</v>
      </c>
      <c r="X14" s="294">
        <f t="shared" si="3"/>
        <v>142</v>
      </c>
    </row>
    <row r="15" spans="1:26" x14ac:dyDescent="0.35">
      <c r="A15" s="290">
        <v>44456</v>
      </c>
      <c r="B15" s="317">
        <f t="shared" si="4"/>
        <v>295</v>
      </c>
      <c r="C15" s="317">
        <f t="shared" si="5"/>
        <v>222</v>
      </c>
      <c r="D15" s="310">
        <f t="shared" si="2"/>
        <v>0.75254237288135595</v>
      </c>
      <c r="E15" s="294">
        <v>37</v>
      </c>
      <c r="F15" s="125">
        <v>34</v>
      </c>
      <c r="G15" s="294">
        <v>2</v>
      </c>
      <c r="H15" s="294">
        <v>2</v>
      </c>
      <c r="I15" s="294">
        <v>134</v>
      </c>
      <c r="J15" s="125">
        <v>129</v>
      </c>
      <c r="K15" s="294">
        <v>48</v>
      </c>
      <c r="L15" s="125">
        <v>22</v>
      </c>
      <c r="M15" s="294">
        <v>4</v>
      </c>
      <c r="N15" s="125">
        <v>2</v>
      </c>
      <c r="O15" s="125">
        <v>2</v>
      </c>
      <c r="P15" s="125">
        <v>1</v>
      </c>
      <c r="Q15" s="294">
        <v>14</v>
      </c>
      <c r="R15" s="125">
        <v>13</v>
      </c>
      <c r="S15" s="294">
        <v>2</v>
      </c>
      <c r="T15" s="294">
        <v>0</v>
      </c>
      <c r="U15" s="125">
        <v>52</v>
      </c>
      <c r="V15" s="294">
        <v>19</v>
      </c>
      <c r="X15" s="294">
        <f t="shared" si="3"/>
        <v>203</v>
      </c>
    </row>
    <row r="16" spans="1:26" x14ac:dyDescent="0.35">
      <c r="A16" s="290">
        <v>44467</v>
      </c>
      <c r="B16" s="317">
        <f t="shared" si="4"/>
        <v>301</v>
      </c>
      <c r="C16" s="317">
        <f t="shared" si="5"/>
        <v>244</v>
      </c>
      <c r="D16" s="310">
        <f t="shared" si="2"/>
        <v>0.81063122923588038</v>
      </c>
      <c r="E16" s="294">
        <v>37</v>
      </c>
      <c r="F16" s="125">
        <v>37</v>
      </c>
      <c r="G16" s="294">
        <v>2</v>
      </c>
      <c r="H16" s="294">
        <v>2</v>
      </c>
      <c r="I16" s="294">
        <v>134</v>
      </c>
      <c r="J16" s="125">
        <v>132</v>
      </c>
      <c r="K16" s="294">
        <v>48</v>
      </c>
      <c r="L16" s="125">
        <v>29</v>
      </c>
      <c r="M16" s="294">
        <v>4</v>
      </c>
      <c r="N16" s="160">
        <v>2</v>
      </c>
      <c r="O16" s="160">
        <v>2</v>
      </c>
      <c r="P16" s="160">
        <v>1</v>
      </c>
      <c r="Q16" s="294">
        <v>14</v>
      </c>
      <c r="R16" s="160">
        <v>13</v>
      </c>
      <c r="S16" s="294">
        <v>2</v>
      </c>
      <c r="T16" s="294">
        <v>0</v>
      </c>
      <c r="U16" s="125">
        <v>58</v>
      </c>
      <c r="V16" s="125">
        <v>28</v>
      </c>
      <c r="X16" s="294">
        <f t="shared" si="3"/>
        <v>216</v>
      </c>
    </row>
    <row r="17" spans="1:24" x14ac:dyDescent="0.35">
      <c r="A17" s="290">
        <v>44473</v>
      </c>
      <c r="B17" s="317">
        <f t="shared" si="4"/>
        <v>387</v>
      </c>
      <c r="C17" s="317">
        <f t="shared" si="5"/>
        <v>309</v>
      </c>
      <c r="D17" s="310">
        <f t="shared" si="2"/>
        <v>0.79844961240310075</v>
      </c>
      <c r="E17" s="294">
        <v>37</v>
      </c>
      <c r="F17" s="294">
        <v>37</v>
      </c>
      <c r="G17" s="294">
        <v>2</v>
      </c>
      <c r="H17" s="294">
        <v>2</v>
      </c>
      <c r="I17" s="294">
        <v>206</v>
      </c>
      <c r="J17" s="294">
        <v>187</v>
      </c>
      <c r="K17" s="125">
        <v>60</v>
      </c>
      <c r="L17" s="125">
        <v>37</v>
      </c>
      <c r="M17" s="294">
        <v>4</v>
      </c>
      <c r="N17" s="294">
        <v>4</v>
      </c>
      <c r="O17" s="294">
        <v>2</v>
      </c>
      <c r="P17" s="294">
        <v>1</v>
      </c>
      <c r="Q17" s="294">
        <v>14</v>
      </c>
      <c r="R17" s="294">
        <v>13</v>
      </c>
      <c r="S17" s="294">
        <v>2</v>
      </c>
      <c r="T17" s="294">
        <v>0</v>
      </c>
      <c r="U17" s="294">
        <v>60</v>
      </c>
      <c r="V17" s="160">
        <v>28</v>
      </c>
      <c r="X17" s="294">
        <f t="shared" si="3"/>
        <v>281</v>
      </c>
    </row>
    <row r="18" spans="1:24" x14ac:dyDescent="0.35">
      <c r="A18" s="290">
        <v>44477</v>
      </c>
      <c r="B18" s="317">
        <f t="shared" si="4"/>
        <v>387</v>
      </c>
      <c r="C18" s="317">
        <f t="shared" si="5"/>
        <v>324</v>
      </c>
      <c r="D18" s="310">
        <f t="shared" si="2"/>
        <v>0.83720930232558144</v>
      </c>
      <c r="E18" s="294">
        <v>37</v>
      </c>
      <c r="F18" s="294">
        <v>37</v>
      </c>
      <c r="G18" s="294">
        <v>2</v>
      </c>
      <c r="H18" s="294">
        <v>2</v>
      </c>
      <c r="I18" s="294">
        <v>206</v>
      </c>
      <c r="J18" s="125">
        <v>196</v>
      </c>
      <c r="K18" s="294">
        <v>60</v>
      </c>
      <c r="L18" s="125">
        <v>38</v>
      </c>
      <c r="M18" s="294">
        <v>4</v>
      </c>
      <c r="N18" s="294">
        <v>4</v>
      </c>
      <c r="O18" s="294">
        <v>2</v>
      </c>
      <c r="P18" s="294">
        <v>1</v>
      </c>
      <c r="Q18" s="294">
        <v>14</v>
      </c>
      <c r="R18" s="294">
        <v>13</v>
      </c>
      <c r="S18" s="294">
        <v>2</v>
      </c>
      <c r="T18" s="294">
        <v>0</v>
      </c>
      <c r="U18" s="294">
        <v>60</v>
      </c>
      <c r="V18" s="294">
        <v>33</v>
      </c>
    </row>
    <row r="19" spans="1:24" x14ac:dyDescent="0.35">
      <c r="A19" s="290">
        <v>44491</v>
      </c>
      <c r="B19" s="317">
        <f t="shared" si="4"/>
        <v>425</v>
      </c>
      <c r="C19" s="317">
        <f t="shared" si="5"/>
        <v>354</v>
      </c>
      <c r="D19" s="310">
        <f t="shared" si="2"/>
        <v>0.83294117647058818</v>
      </c>
      <c r="E19" s="294">
        <v>37</v>
      </c>
      <c r="F19" s="294">
        <v>37</v>
      </c>
      <c r="G19" s="294">
        <v>2</v>
      </c>
      <c r="H19" s="294">
        <v>2</v>
      </c>
      <c r="I19" s="125">
        <v>237</v>
      </c>
      <c r="J19" s="125">
        <v>215</v>
      </c>
      <c r="K19" s="125">
        <v>66</v>
      </c>
      <c r="L19" s="125">
        <v>45</v>
      </c>
      <c r="M19" s="294">
        <v>4</v>
      </c>
      <c r="N19" s="294">
        <v>4</v>
      </c>
      <c r="O19" s="294">
        <v>2</v>
      </c>
      <c r="P19" s="294">
        <v>1</v>
      </c>
      <c r="Q19" s="294">
        <v>14</v>
      </c>
      <c r="R19" s="294">
        <v>13</v>
      </c>
      <c r="S19" s="294">
        <v>2</v>
      </c>
      <c r="T19" s="294">
        <v>0</v>
      </c>
      <c r="U19" s="125">
        <v>61</v>
      </c>
      <c r="V19" s="125">
        <v>37</v>
      </c>
    </row>
    <row r="20" spans="1:24" x14ac:dyDescent="0.35">
      <c r="A20" s="290">
        <v>44497</v>
      </c>
      <c r="B20" s="317">
        <f t="shared" si="4"/>
        <v>439</v>
      </c>
      <c r="C20" s="317">
        <f t="shared" si="5"/>
        <v>361</v>
      </c>
      <c r="D20" s="310">
        <f t="shared" si="2"/>
        <v>0.82232346241457854</v>
      </c>
      <c r="E20" s="294">
        <v>37</v>
      </c>
      <c r="F20" s="294">
        <v>37</v>
      </c>
      <c r="G20" s="294">
        <v>2</v>
      </c>
      <c r="H20" s="294">
        <v>2</v>
      </c>
      <c r="I20" s="160">
        <v>237</v>
      </c>
      <c r="J20" s="160">
        <v>215</v>
      </c>
      <c r="K20" s="125">
        <v>70</v>
      </c>
      <c r="L20" s="160">
        <v>45</v>
      </c>
      <c r="M20" s="294">
        <v>4</v>
      </c>
      <c r="N20" s="294">
        <v>4</v>
      </c>
      <c r="O20" s="294">
        <v>2</v>
      </c>
      <c r="P20" s="294">
        <v>1</v>
      </c>
      <c r="Q20" s="294">
        <v>14</v>
      </c>
      <c r="R20" s="294">
        <v>13</v>
      </c>
      <c r="S20" s="294">
        <v>2</v>
      </c>
      <c r="T20" s="294">
        <v>0</v>
      </c>
      <c r="U20" s="125">
        <v>71</v>
      </c>
      <c r="V20" s="125">
        <v>44</v>
      </c>
    </row>
    <row r="21" spans="1:24" x14ac:dyDescent="0.35">
      <c r="A21" s="290">
        <v>44511</v>
      </c>
      <c r="B21" s="317">
        <f t="shared" si="4"/>
        <v>570</v>
      </c>
      <c r="C21" s="317">
        <f t="shared" si="5"/>
        <v>491</v>
      </c>
      <c r="D21" s="310">
        <f t="shared" si="2"/>
        <v>0.86140350877192984</v>
      </c>
      <c r="E21" s="294">
        <v>37</v>
      </c>
      <c r="F21" s="294">
        <v>37</v>
      </c>
      <c r="G21" s="294">
        <v>2</v>
      </c>
      <c r="H21" s="294">
        <v>2</v>
      </c>
      <c r="I21" s="125">
        <v>332</v>
      </c>
      <c r="J21" s="125">
        <v>318</v>
      </c>
      <c r="K21" s="125">
        <v>92</v>
      </c>
      <c r="L21" s="125">
        <v>68</v>
      </c>
      <c r="M21" s="125">
        <v>8</v>
      </c>
      <c r="N21" s="125">
        <v>7</v>
      </c>
      <c r="O21" s="294">
        <v>2</v>
      </c>
      <c r="P21" s="294">
        <v>1</v>
      </c>
      <c r="Q21" s="294">
        <v>14</v>
      </c>
      <c r="R21" s="294">
        <v>13</v>
      </c>
      <c r="S21" s="294">
        <v>2</v>
      </c>
      <c r="T21" s="294">
        <v>0</v>
      </c>
      <c r="U21" s="125">
        <v>81</v>
      </c>
      <c r="V21" s="125">
        <v>45</v>
      </c>
    </row>
    <row r="22" spans="1:24" x14ac:dyDescent="0.35">
      <c r="A22" s="290">
        <v>44515</v>
      </c>
      <c r="B22" s="317">
        <f t="shared" si="4"/>
        <v>572</v>
      </c>
      <c r="C22" s="317">
        <f t="shared" si="5"/>
        <v>492</v>
      </c>
      <c r="D22" s="310">
        <f t="shared" si="2"/>
        <v>0.8601398601398601</v>
      </c>
      <c r="E22" s="294">
        <v>37</v>
      </c>
      <c r="F22" s="294">
        <v>37</v>
      </c>
      <c r="G22" s="294">
        <v>2</v>
      </c>
      <c r="H22" s="294">
        <v>2</v>
      </c>
      <c r="I22" s="160">
        <v>332</v>
      </c>
      <c r="J22" s="160">
        <v>318</v>
      </c>
      <c r="K22" s="160">
        <v>92</v>
      </c>
      <c r="L22" s="125">
        <v>69</v>
      </c>
      <c r="M22" s="294">
        <v>8</v>
      </c>
      <c r="N22" s="294">
        <v>7</v>
      </c>
      <c r="O22" s="294">
        <v>2</v>
      </c>
      <c r="P22" s="294">
        <v>1</v>
      </c>
      <c r="Q22" s="294">
        <v>14</v>
      </c>
      <c r="R22" s="294">
        <v>13</v>
      </c>
      <c r="S22" s="294">
        <v>2</v>
      </c>
      <c r="T22" s="294">
        <v>0</v>
      </c>
      <c r="U22" s="125">
        <v>83</v>
      </c>
      <c r="V22" s="160">
        <v>45</v>
      </c>
    </row>
    <row r="23" spans="1:24" x14ac:dyDescent="0.35">
      <c r="A23" s="290">
        <v>44523</v>
      </c>
      <c r="B23" s="317">
        <f t="shared" si="4"/>
        <v>573</v>
      </c>
      <c r="C23" s="317">
        <f t="shared" si="5"/>
        <v>492</v>
      </c>
      <c r="D23" s="310">
        <f t="shared" si="2"/>
        <v>0.8586387434554974</v>
      </c>
      <c r="E23" s="294">
        <v>37</v>
      </c>
      <c r="F23" s="294">
        <v>37</v>
      </c>
      <c r="G23" s="294">
        <v>2</v>
      </c>
      <c r="H23" s="294">
        <v>2</v>
      </c>
      <c r="I23" s="160">
        <v>332</v>
      </c>
      <c r="J23" s="160">
        <v>318</v>
      </c>
      <c r="K23" s="160">
        <v>92</v>
      </c>
      <c r="L23" s="160">
        <v>69</v>
      </c>
      <c r="M23" s="294">
        <v>8</v>
      </c>
      <c r="N23" s="294">
        <v>7</v>
      </c>
      <c r="O23" s="294">
        <v>2</v>
      </c>
      <c r="P23" s="294">
        <v>1</v>
      </c>
      <c r="Q23" s="294">
        <v>14</v>
      </c>
      <c r="R23" s="294">
        <v>13</v>
      </c>
      <c r="S23" s="294">
        <v>2</v>
      </c>
      <c r="T23" s="294">
        <v>0</v>
      </c>
      <c r="U23" s="125">
        <v>84</v>
      </c>
      <c r="V23" s="160">
        <v>45</v>
      </c>
    </row>
    <row r="24" spans="1:24" x14ac:dyDescent="0.35">
      <c r="A24" s="290">
        <v>44524</v>
      </c>
      <c r="B24" s="317">
        <f t="shared" si="4"/>
        <v>573</v>
      </c>
      <c r="C24" s="317">
        <f t="shared" si="5"/>
        <v>498</v>
      </c>
      <c r="D24" s="310">
        <f t="shared" si="2"/>
        <v>0.86910994764397909</v>
      </c>
      <c r="E24" s="294">
        <v>37</v>
      </c>
      <c r="F24" s="294">
        <v>37</v>
      </c>
      <c r="G24" s="294">
        <v>2</v>
      </c>
      <c r="H24" s="294">
        <v>2</v>
      </c>
      <c r="I24" s="294">
        <v>332</v>
      </c>
      <c r="J24" s="125">
        <v>319</v>
      </c>
      <c r="K24" s="294">
        <v>92</v>
      </c>
      <c r="L24" s="125">
        <v>71</v>
      </c>
      <c r="M24" s="294">
        <v>8</v>
      </c>
      <c r="N24" s="294">
        <v>7</v>
      </c>
      <c r="O24" s="294">
        <v>2</v>
      </c>
      <c r="P24" s="294">
        <v>1</v>
      </c>
      <c r="Q24" s="294">
        <v>14</v>
      </c>
      <c r="R24" s="294">
        <v>13</v>
      </c>
      <c r="S24" s="294">
        <v>2</v>
      </c>
      <c r="T24" s="294">
        <v>0</v>
      </c>
      <c r="U24" s="294">
        <v>84</v>
      </c>
      <c r="V24" s="125">
        <v>48</v>
      </c>
    </row>
    <row r="25" spans="1:24" x14ac:dyDescent="0.35">
      <c r="A25" s="290">
        <v>44540</v>
      </c>
      <c r="B25" s="317">
        <f t="shared" si="4"/>
        <v>591</v>
      </c>
      <c r="C25" s="317">
        <f t="shared" si="5"/>
        <v>525</v>
      </c>
      <c r="D25" s="310">
        <f t="shared" ref="D25" si="6">C25/B25</f>
        <v>0.8883248730964467</v>
      </c>
      <c r="E25" s="294">
        <v>37</v>
      </c>
      <c r="F25" s="294">
        <v>37</v>
      </c>
      <c r="G25" s="294">
        <v>2</v>
      </c>
      <c r="H25" s="294">
        <v>2</v>
      </c>
      <c r="I25" s="125">
        <v>345</v>
      </c>
      <c r="J25" s="125">
        <v>335</v>
      </c>
      <c r="K25" s="125">
        <v>94</v>
      </c>
      <c r="L25" s="125">
        <v>81</v>
      </c>
      <c r="M25" s="294">
        <v>8</v>
      </c>
      <c r="N25" s="294">
        <v>7</v>
      </c>
      <c r="O25" s="294">
        <v>2</v>
      </c>
      <c r="P25" s="294">
        <v>1</v>
      </c>
      <c r="Q25" s="294">
        <v>14</v>
      </c>
      <c r="R25" s="294">
        <v>13</v>
      </c>
      <c r="S25" s="294">
        <v>2</v>
      </c>
      <c r="T25" s="294">
        <v>0</v>
      </c>
      <c r="U25" s="125">
        <v>87</v>
      </c>
      <c r="V25" s="125">
        <v>49</v>
      </c>
    </row>
    <row r="26" spans="1:24" x14ac:dyDescent="0.35">
      <c r="A26" s="290">
        <v>44554</v>
      </c>
      <c r="B26" s="317">
        <f>SUM(E26,G26,I26,K26,M26,O26,Q26,S26,U26)</f>
        <v>596</v>
      </c>
      <c r="C26" s="317">
        <f>SUM(F26,H26,J26,L26,N26,P26,R26,T26,V26)</f>
        <v>576</v>
      </c>
      <c r="D26" s="679">
        <f t="shared" ref="D26" si="7">C26/B26</f>
        <v>0.96644295302013428</v>
      </c>
      <c r="E26" s="294">
        <v>37</v>
      </c>
      <c r="F26" s="294">
        <v>37</v>
      </c>
      <c r="G26" s="294">
        <v>2</v>
      </c>
      <c r="H26" s="294">
        <v>2</v>
      </c>
      <c r="I26" s="294">
        <v>345</v>
      </c>
      <c r="J26" s="125">
        <v>341</v>
      </c>
      <c r="K26" s="294">
        <v>94</v>
      </c>
      <c r="L26" s="125">
        <v>87</v>
      </c>
      <c r="M26" s="294">
        <v>8</v>
      </c>
      <c r="N26" s="125">
        <v>8</v>
      </c>
      <c r="O26" s="294">
        <v>2</v>
      </c>
      <c r="P26" s="125">
        <v>2</v>
      </c>
      <c r="Q26" s="294">
        <v>14</v>
      </c>
      <c r="R26" s="125">
        <v>14</v>
      </c>
      <c r="S26" s="294">
        <v>2</v>
      </c>
      <c r="T26" s="294">
        <v>0</v>
      </c>
      <c r="U26" s="125">
        <v>92</v>
      </c>
      <c r="V26" s="125">
        <v>85</v>
      </c>
    </row>
    <row r="27" spans="1:24" x14ac:dyDescent="0.35">
      <c r="D27" s="310"/>
      <c r="I27" s="125"/>
      <c r="J27" s="125"/>
      <c r="K27" s="125"/>
      <c r="L27" s="125"/>
      <c r="U27" s="125"/>
      <c r="V27" s="125"/>
    </row>
    <row r="28" spans="1:24" x14ac:dyDescent="0.35">
      <c r="D28" s="310"/>
      <c r="I28" s="125"/>
      <c r="J28" s="125">
        <f>I26-J26</f>
        <v>4</v>
      </c>
      <c r="K28" s="125"/>
      <c r="L28" s="125">
        <f>K26-L26</f>
        <v>7</v>
      </c>
      <c r="N28" s="312" t="s">
        <v>2403</v>
      </c>
      <c r="O28" s="311"/>
      <c r="P28" s="312" t="s">
        <v>2404</v>
      </c>
      <c r="T28" s="125">
        <f>S26-T26</f>
        <v>2</v>
      </c>
      <c r="U28" s="125">
        <f>U26-V26</f>
        <v>7</v>
      </c>
      <c r="V28" s="125"/>
    </row>
  </sheetData>
  <phoneticPr fontId="3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E333"/>
  <sheetViews>
    <sheetView workbookViewId="0">
      <pane ySplit="1" topLeftCell="A2" activePane="bottomLeft" state="frozen"/>
      <selection pane="bottomLeft" activeCell="H13" sqref="H13"/>
    </sheetView>
  </sheetViews>
  <sheetFormatPr defaultColWidth="8.69921875" defaultRowHeight="14.5" x14ac:dyDescent="0.3"/>
  <cols>
    <col min="1" max="1" width="7.69921875" style="133" bestFit="1" customWidth="1"/>
    <col min="2" max="2" width="8.59765625" style="133" bestFit="1" customWidth="1"/>
    <col min="3" max="3" width="11.8984375" style="133" bestFit="1" customWidth="1"/>
    <col min="4" max="4" width="5.3984375" style="133" bestFit="1" customWidth="1"/>
    <col min="5" max="5" width="16.8984375" style="133" bestFit="1" customWidth="1"/>
    <col min="6" max="9" width="8.69921875" style="133" customWidth="1"/>
    <col min="10" max="16384" width="8.69921875" style="133"/>
  </cols>
  <sheetData>
    <row r="1" spans="1:5" x14ac:dyDescent="0.3">
      <c r="A1" s="137" t="s">
        <v>2405</v>
      </c>
      <c r="B1" s="137" t="s">
        <v>2406</v>
      </c>
      <c r="C1" s="137" t="s">
        <v>2407</v>
      </c>
      <c r="E1" s="139" t="s">
        <v>2408</v>
      </c>
    </row>
    <row r="2" spans="1:5" x14ac:dyDescent="0.3">
      <c r="A2" s="137" t="s">
        <v>134</v>
      </c>
      <c r="B2" s="137" t="s">
        <v>45</v>
      </c>
      <c r="C2" s="137">
        <v>1</v>
      </c>
      <c r="D2" s="133" t="str">
        <f t="shared" ref="D2:D65" si="0">B2&amp;"-"&amp;C2</f>
        <v>L1-1</v>
      </c>
    </row>
    <row r="3" spans="1:5" x14ac:dyDescent="0.3">
      <c r="A3" s="137" t="s">
        <v>177</v>
      </c>
      <c r="B3" s="137" t="s">
        <v>45</v>
      </c>
      <c r="C3" s="137">
        <v>1</v>
      </c>
      <c r="D3" s="133" t="str">
        <f t="shared" si="0"/>
        <v>L1-1</v>
      </c>
    </row>
    <row r="4" spans="1:5" x14ac:dyDescent="0.3">
      <c r="A4" s="137" t="s">
        <v>161</v>
      </c>
      <c r="B4" s="137" t="s">
        <v>45</v>
      </c>
      <c r="C4" s="137">
        <v>1</v>
      </c>
      <c r="D4" s="133" t="str">
        <f t="shared" si="0"/>
        <v>L1-1</v>
      </c>
    </row>
    <row r="5" spans="1:5" x14ac:dyDescent="0.3">
      <c r="A5" s="137" t="s">
        <v>179</v>
      </c>
      <c r="B5" s="137" t="s">
        <v>45</v>
      </c>
      <c r="C5" s="137">
        <v>3</v>
      </c>
      <c r="D5" s="133" t="str">
        <f t="shared" si="0"/>
        <v>L1-3</v>
      </c>
    </row>
    <row r="6" spans="1:5" x14ac:dyDescent="0.3">
      <c r="A6" s="137" t="s">
        <v>170</v>
      </c>
      <c r="B6" s="137" t="s">
        <v>45</v>
      </c>
      <c r="C6" s="137">
        <v>4</v>
      </c>
      <c r="D6" s="133" t="str">
        <f t="shared" si="0"/>
        <v>L1-4</v>
      </c>
    </row>
    <row r="7" spans="1:5" x14ac:dyDescent="0.3">
      <c r="A7" s="137" t="s">
        <v>191</v>
      </c>
      <c r="B7" s="137" t="s">
        <v>49</v>
      </c>
      <c r="C7" s="137">
        <v>1</v>
      </c>
      <c r="D7" s="133" t="str">
        <f t="shared" si="0"/>
        <v>L2-1</v>
      </c>
    </row>
    <row r="8" spans="1:5" x14ac:dyDescent="0.3">
      <c r="A8" s="137" t="s">
        <v>201</v>
      </c>
      <c r="B8" s="137" t="s">
        <v>49</v>
      </c>
      <c r="C8" s="137">
        <v>2</v>
      </c>
      <c r="D8" s="133" t="str">
        <f t="shared" si="0"/>
        <v>L2-2</v>
      </c>
    </row>
    <row r="9" spans="1:5" x14ac:dyDescent="0.3">
      <c r="A9" s="137" t="s">
        <v>215</v>
      </c>
      <c r="B9" s="137" t="s">
        <v>49</v>
      </c>
      <c r="C9" s="137">
        <v>2</v>
      </c>
      <c r="D9" s="133" t="str">
        <f t="shared" si="0"/>
        <v>L2-2</v>
      </c>
    </row>
    <row r="10" spans="1:5" x14ac:dyDescent="0.3">
      <c r="A10" s="137" t="s">
        <v>244</v>
      </c>
      <c r="B10" s="137" t="s">
        <v>49</v>
      </c>
      <c r="C10" s="137">
        <v>2</v>
      </c>
      <c r="D10" s="133" t="str">
        <f t="shared" si="0"/>
        <v>L2-2</v>
      </c>
    </row>
    <row r="11" spans="1:5" x14ac:dyDescent="0.3">
      <c r="A11" s="137" t="s">
        <v>250</v>
      </c>
      <c r="B11" s="137" t="s">
        <v>49</v>
      </c>
      <c r="C11" s="137">
        <v>2</v>
      </c>
      <c r="D11" s="133" t="str">
        <f t="shared" si="0"/>
        <v>L2-2</v>
      </c>
    </row>
    <row r="12" spans="1:5" x14ac:dyDescent="0.3">
      <c r="A12" s="138" t="s">
        <v>864</v>
      </c>
      <c r="B12" s="137" t="s">
        <v>49</v>
      </c>
      <c r="C12" s="137">
        <v>2</v>
      </c>
      <c r="D12" s="133" t="str">
        <f t="shared" si="0"/>
        <v>L2-2</v>
      </c>
    </row>
    <row r="13" spans="1:5" x14ac:dyDescent="0.3">
      <c r="A13" s="137" t="s">
        <v>775</v>
      </c>
      <c r="B13" s="137" t="s">
        <v>49</v>
      </c>
      <c r="C13" s="137">
        <v>2</v>
      </c>
      <c r="D13" s="133" t="str">
        <f t="shared" si="0"/>
        <v>L2-2</v>
      </c>
    </row>
    <row r="14" spans="1:5" x14ac:dyDescent="0.3">
      <c r="A14" s="137" t="s">
        <v>212</v>
      </c>
      <c r="B14" s="137" t="s">
        <v>49</v>
      </c>
      <c r="C14" s="137">
        <v>2</v>
      </c>
      <c r="D14" s="133" t="str">
        <f t="shared" si="0"/>
        <v>L2-2</v>
      </c>
    </row>
    <row r="15" spans="1:5" x14ac:dyDescent="0.3">
      <c r="A15" s="137" t="s">
        <v>241</v>
      </c>
      <c r="B15" s="137" t="s">
        <v>49</v>
      </c>
      <c r="C15" s="137">
        <v>2</v>
      </c>
      <c r="D15" s="133" t="str">
        <f t="shared" si="0"/>
        <v>L2-2</v>
      </c>
    </row>
    <row r="16" spans="1:5" x14ac:dyDescent="0.3">
      <c r="A16" s="137" t="s">
        <v>238</v>
      </c>
      <c r="B16" s="137" t="s">
        <v>49</v>
      </c>
      <c r="C16" s="137">
        <v>2</v>
      </c>
      <c r="D16" s="133" t="str">
        <f t="shared" si="0"/>
        <v>L2-2</v>
      </c>
    </row>
    <row r="17" spans="1:4" x14ac:dyDescent="0.3">
      <c r="A17" s="137" t="s">
        <v>224</v>
      </c>
      <c r="B17" s="137" t="s">
        <v>49</v>
      </c>
      <c r="C17" s="137">
        <v>3</v>
      </c>
      <c r="D17" s="133" t="str">
        <f t="shared" si="0"/>
        <v>L2-3</v>
      </c>
    </row>
    <row r="18" spans="1:4" x14ac:dyDescent="0.3">
      <c r="A18" s="137" t="s">
        <v>256</v>
      </c>
      <c r="B18" s="137" t="s">
        <v>49</v>
      </c>
      <c r="C18" s="137">
        <v>3</v>
      </c>
      <c r="D18" s="133" t="str">
        <f t="shared" si="0"/>
        <v>L2-3</v>
      </c>
    </row>
    <row r="19" spans="1:4" x14ac:dyDescent="0.3">
      <c r="A19" s="137" t="s">
        <v>854</v>
      </c>
      <c r="B19" s="137" t="s">
        <v>49</v>
      </c>
      <c r="C19" s="137">
        <v>3</v>
      </c>
      <c r="D19" s="133" t="str">
        <f t="shared" si="0"/>
        <v>L2-3</v>
      </c>
    </row>
    <row r="20" spans="1:4" x14ac:dyDescent="0.3">
      <c r="A20" s="137" t="s">
        <v>230</v>
      </c>
      <c r="B20" s="137" t="s">
        <v>49</v>
      </c>
      <c r="C20" s="137">
        <v>3</v>
      </c>
      <c r="D20" s="133" t="str">
        <f t="shared" si="0"/>
        <v>L2-3</v>
      </c>
    </row>
    <row r="21" spans="1:4" x14ac:dyDescent="0.3">
      <c r="A21" s="137" t="s">
        <v>872</v>
      </c>
      <c r="B21" s="137" t="s">
        <v>49</v>
      </c>
      <c r="C21" s="137">
        <v>3</v>
      </c>
      <c r="D21" s="133" t="str">
        <f t="shared" si="0"/>
        <v>L2-3</v>
      </c>
    </row>
    <row r="22" spans="1:4" x14ac:dyDescent="0.3">
      <c r="A22" s="137" t="s">
        <v>284</v>
      </c>
      <c r="B22" s="137" t="s">
        <v>49</v>
      </c>
      <c r="C22" s="137">
        <v>4</v>
      </c>
      <c r="D22" s="133" t="str">
        <f t="shared" si="0"/>
        <v>L2-4</v>
      </c>
    </row>
    <row r="23" spans="1:4" x14ac:dyDescent="0.3">
      <c r="A23" s="137" t="s">
        <v>261</v>
      </c>
      <c r="B23" s="137" t="s">
        <v>49</v>
      </c>
      <c r="C23" s="137">
        <v>4</v>
      </c>
      <c r="D23" s="133" t="str">
        <f t="shared" si="0"/>
        <v>L2-4</v>
      </c>
    </row>
    <row r="24" spans="1:4" x14ac:dyDescent="0.3">
      <c r="A24" s="137" t="s">
        <v>883</v>
      </c>
      <c r="B24" s="137" t="s">
        <v>49</v>
      </c>
      <c r="C24" s="137">
        <v>4</v>
      </c>
      <c r="D24" s="133" t="str">
        <f t="shared" si="0"/>
        <v>L2-4</v>
      </c>
    </row>
    <row r="25" spans="1:4" x14ac:dyDescent="0.3">
      <c r="A25" s="137" t="s">
        <v>1430</v>
      </c>
      <c r="B25" s="137" t="s">
        <v>49</v>
      </c>
      <c r="C25" s="137">
        <v>4</v>
      </c>
      <c r="D25" s="133" t="str">
        <f t="shared" si="0"/>
        <v>L2-4</v>
      </c>
    </row>
    <row r="26" spans="1:4" x14ac:dyDescent="0.3">
      <c r="A26" s="137" t="s">
        <v>1433</v>
      </c>
      <c r="B26" s="137" t="s">
        <v>49</v>
      </c>
      <c r="C26" s="137">
        <v>4</v>
      </c>
      <c r="D26" s="133" t="str">
        <f t="shared" si="0"/>
        <v>L2-4</v>
      </c>
    </row>
    <row r="27" spans="1:4" x14ac:dyDescent="0.3">
      <c r="A27" s="137" t="s">
        <v>1435</v>
      </c>
      <c r="B27" s="137" t="s">
        <v>49</v>
      </c>
      <c r="C27" s="137">
        <v>4</v>
      </c>
      <c r="D27" s="133" t="str">
        <f t="shared" si="0"/>
        <v>L2-4</v>
      </c>
    </row>
    <row r="28" spans="1:4" x14ac:dyDescent="0.3">
      <c r="A28" s="137" t="s">
        <v>1438</v>
      </c>
      <c r="B28" s="137" t="s">
        <v>49</v>
      </c>
      <c r="C28" s="137">
        <v>4</v>
      </c>
      <c r="D28" s="133" t="str">
        <f t="shared" si="0"/>
        <v>L2-4</v>
      </c>
    </row>
    <row r="29" spans="1:4" x14ac:dyDescent="0.3">
      <c r="A29" s="137" t="s">
        <v>268</v>
      </c>
      <c r="B29" s="137" t="s">
        <v>49</v>
      </c>
      <c r="C29" s="137">
        <v>4</v>
      </c>
      <c r="D29" s="133" t="str">
        <f t="shared" si="0"/>
        <v>L2-4</v>
      </c>
    </row>
    <row r="30" spans="1:4" x14ac:dyDescent="0.3">
      <c r="A30" s="137" t="s">
        <v>290</v>
      </c>
      <c r="B30" s="137" t="s">
        <v>49</v>
      </c>
      <c r="C30" s="137">
        <v>4</v>
      </c>
      <c r="D30" s="133" t="str">
        <f t="shared" si="0"/>
        <v>L2-4</v>
      </c>
    </row>
    <row r="31" spans="1:4" x14ac:dyDescent="0.3">
      <c r="A31" s="137" t="s">
        <v>295</v>
      </c>
      <c r="B31" s="137" t="s">
        <v>49</v>
      </c>
      <c r="C31" s="137">
        <v>4</v>
      </c>
      <c r="D31" s="133" t="str">
        <f t="shared" si="0"/>
        <v>L2-4</v>
      </c>
    </row>
    <row r="32" spans="1:4" x14ac:dyDescent="0.3">
      <c r="A32" s="137" t="s">
        <v>299</v>
      </c>
      <c r="B32" s="137" t="s">
        <v>49</v>
      </c>
      <c r="C32" s="137">
        <v>4</v>
      </c>
      <c r="D32" s="133" t="str">
        <f t="shared" si="0"/>
        <v>L2-4</v>
      </c>
    </row>
    <row r="33" spans="1:4" x14ac:dyDescent="0.3">
      <c r="A33" s="137" t="s">
        <v>280</v>
      </c>
      <c r="B33" s="137" t="s">
        <v>49</v>
      </c>
      <c r="C33" s="137">
        <v>4</v>
      </c>
      <c r="D33" s="133" t="str">
        <f t="shared" si="0"/>
        <v>L2-4</v>
      </c>
    </row>
    <row r="34" spans="1:4" x14ac:dyDescent="0.3">
      <c r="A34" s="137" t="s">
        <v>1441</v>
      </c>
      <c r="B34" s="137" t="s">
        <v>49</v>
      </c>
      <c r="C34" s="137">
        <v>4</v>
      </c>
      <c r="D34" s="133" t="str">
        <f t="shared" si="0"/>
        <v>L2-4</v>
      </c>
    </row>
    <row r="35" spans="1:4" x14ac:dyDescent="0.3">
      <c r="A35" s="137" t="s">
        <v>1443</v>
      </c>
      <c r="B35" s="137" t="s">
        <v>49</v>
      </c>
      <c r="C35" s="137">
        <v>4</v>
      </c>
      <c r="D35" s="133" t="str">
        <f t="shared" si="0"/>
        <v>L2-4</v>
      </c>
    </row>
    <row r="36" spans="1:4" x14ac:dyDescent="0.3">
      <c r="A36" s="137" t="s">
        <v>732</v>
      </c>
      <c r="B36" s="137" t="s">
        <v>49</v>
      </c>
      <c r="C36" s="137">
        <v>5</v>
      </c>
      <c r="D36" s="133" t="str">
        <f t="shared" si="0"/>
        <v>L2-5</v>
      </c>
    </row>
    <row r="37" spans="1:4" x14ac:dyDescent="0.3">
      <c r="A37" s="137" t="s">
        <v>729</v>
      </c>
      <c r="B37" s="137" t="s">
        <v>49</v>
      </c>
      <c r="C37" s="137">
        <v>5</v>
      </c>
      <c r="D37" s="133" t="str">
        <f t="shared" si="0"/>
        <v>L2-5</v>
      </c>
    </row>
    <row r="38" spans="1:4" x14ac:dyDescent="0.3">
      <c r="A38" s="137" t="s">
        <v>747</v>
      </c>
      <c r="B38" s="137" t="s">
        <v>49</v>
      </c>
      <c r="C38" s="137">
        <v>5</v>
      </c>
      <c r="D38" s="133" t="str">
        <f t="shared" si="0"/>
        <v>L2-5</v>
      </c>
    </row>
    <row r="39" spans="1:4" x14ac:dyDescent="0.3">
      <c r="A39" s="137" t="s">
        <v>750</v>
      </c>
      <c r="B39" s="137" t="s">
        <v>49</v>
      </c>
      <c r="C39" s="137">
        <v>5</v>
      </c>
      <c r="D39" s="133" t="str">
        <f t="shared" si="0"/>
        <v>L2-5</v>
      </c>
    </row>
    <row r="40" spans="1:4" x14ac:dyDescent="0.3">
      <c r="A40" s="137" t="s">
        <v>741</v>
      </c>
      <c r="B40" s="137" t="s">
        <v>49</v>
      </c>
      <c r="C40" s="137">
        <v>5</v>
      </c>
      <c r="D40" s="133" t="str">
        <f t="shared" si="0"/>
        <v>L2-5</v>
      </c>
    </row>
    <row r="41" spans="1:4" x14ac:dyDescent="0.3">
      <c r="A41" s="137" t="s">
        <v>744</v>
      </c>
      <c r="B41" s="137" t="s">
        <v>49</v>
      </c>
      <c r="C41" s="137">
        <v>5</v>
      </c>
      <c r="D41" s="133" t="str">
        <f t="shared" si="0"/>
        <v>L2-5</v>
      </c>
    </row>
    <row r="42" spans="1:4" x14ac:dyDescent="0.3">
      <c r="A42" s="137" t="s">
        <v>816</v>
      </c>
      <c r="B42" s="137" t="s">
        <v>49</v>
      </c>
      <c r="C42" s="137">
        <v>6</v>
      </c>
      <c r="D42" s="133" t="str">
        <f t="shared" si="0"/>
        <v>L2-6</v>
      </c>
    </row>
    <row r="43" spans="1:4" x14ac:dyDescent="0.3">
      <c r="A43" s="137" t="s">
        <v>813</v>
      </c>
      <c r="B43" s="137" t="s">
        <v>49</v>
      </c>
      <c r="C43" s="137">
        <v>6</v>
      </c>
      <c r="D43" s="133" t="str">
        <f t="shared" si="0"/>
        <v>L2-6</v>
      </c>
    </row>
    <row r="44" spans="1:4" x14ac:dyDescent="0.3">
      <c r="A44" s="137" t="s">
        <v>819</v>
      </c>
      <c r="B44" s="137" t="s">
        <v>49</v>
      </c>
      <c r="C44" s="137">
        <v>6</v>
      </c>
      <c r="D44" s="133" t="str">
        <f t="shared" si="0"/>
        <v>L2-6</v>
      </c>
    </row>
    <row r="45" spans="1:4" x14ac:dyDescent="0.3">
      <c r="A45" s="138" t="s">
        <v>337</v>
      </c>
      <c r="B45" s="137" t="s">
        <v>49</v>
      </c>
      <c r="C45" s="137">
        <v>9</v>
      </c>
      <c r="D45" s="133" t="str">
        <f t="shared" si="0"/>
        <v>L2-9</v>
      </c>
    </row>
    <row r="46" spans="1:4" x14ac:dyDescent="0.3">
      <c r="A46" s="137" t="s">
        <v>429</v>
      </c>
      <c r="B46" s="137" t="s">
        <v>49</v>
      </c>
      <c r="C46" s="137">
        <v>9</v>
      </c>
      <c r="D46" s="133" t="str">
        <f t="shared" si="0"/>
        <v>L2-9</v>
      </c>
    </row>
    <row r="47" spans="1:4" x14ac:dyDescent="0.3">
      <c r="A47" s="137" t="s">
        <v>436</v>
      </c>
      <c r="B47" s="137" t="s">
        <v>49</v>
      </c>
      <c r="C47" s="137">
        <v>9</v>
      </c>
      <c r="D47" s="133" t="str">
        <f t="shared" si="0"/>
        <v>L2-9</v>
      </c>
    </row>
    <row r="48" spans="1:4" x14ac:dyDescent="0.3">
      <c r="A48" s="137" t="s">
        <v>305</v>
      </c>
      <c r="B48" s="137" t="s">
        <v>49</v>
      </c>
      <c r="C48" s="137">
        <v>9</v>
      </c>
      <c r="D48" s="133" t="str">
        <f t="shared" si="0"/>
        <v>L2-9</v>
      </c>
    </row>
    <row r="49" spans="1:4" x14ac:dyDescent="0.3">
      <c r="A49" s="137" t="s">
        <v>877</v>
      </c>
      <c r="B49" s="137" t="s">
        <v>49</v>
      </c>
      <c r="C49" s="137">
        <v>9</v>
      </c>
      <c r="D49" s="133" t="str">
        <f t="shared" si="0"/>
        <v>L2-9</v>
      </c>
    </row>
    <row r="50" spans="1:4" x14ac:dyDescent="0.3">
      <c r="A50" s="137" t="s">
        <v>753</v>
      </c>
      <c r="B50" s="137" t="s">
        <v>49</v>
      </c>
      <c r="C50" s="137">
        <v>9</v>
      </c>
      <c r="D50" s="133" t="str">
        <f t="shared" si="0"/>
        <v>L2-9</v>
      </c>
    </row>
    <row r="51" spans="1:4" x14ac:dyDescent="0.3">
      <c r="A51" s="137" t="s">
        <v>875</v>
      </c>
      <c r="B51" s="137" t="s">
        <v>49</v>
      </c>
      <c r="C51" s="137">
        <v>9</v>
      </c>
      <c r="D51" s="133" t="str">
        <f t="shared" si="0"/>
        <v>L2-9</v>
      </c>
    </row>
    <row r="52" spans="1:4" x14ac:dyDescent="0.3">
      <c r="A52" s="137" t="s">
        <v>308</v>
      </c>
      <c r="B52" s="137" t="s">
        <v>50</v>
      </c>
      <c r="C52" s="137">
        <v>1</v>
      </c>
      <c r="D52" s="133" t="str">
        <f t="shared" si="0"/>
        <v>L3-1</v>
      </c>
    </row>
    <row r="53" spans="1:4" x14ac:dyDescent="0.3">
      <c r="A53" s="137" t="s">
        <v>687</v>
      </c>
      <c r="B53" s="137" t="s">
        <v>50</v>
      </c>
      <c r="C53" s="137">
        <v>1</v>
      </c>
      <c r="D53" s="133" t="str">
        <f t="shared" si="0"/>
        <v>L3-1</v>
      </c>
    </row>
    <row r="54" spans="1:4" x14ac:dyDescent="0.3">
      <c r="A54" s="137" t="s">
        <v>690</v>
      </c>
      <c r="B54" s="137" t="s">
        <v>50</v>
      </c>
      <c r="C54" s="137">
        <v>1</v>
      </c>
      <c r="D54" s="133" t="str">
        <f t="shared" si="0"/>
        <v>L3-1</v>
      </c>
    </row>
    <row r="55" spans="1:4" x14ac:dyDescent="0.3">
      <c r="A55" s="137" t="s">
        <v>694</v>
      </c>
      <c r="B55" s="137" t="s">
        <v>50</v>
      </c>
      <c r="C55" s="137">
        <v>1</v>
      </c>
      <c r="D55" s="133" t="str">
        <f t="shared" si="0"/>
        <v>L3-1</v>
      </c>
    </row>
    <row r="56" spans="1:4" x14ac:dyDescent="0.3">
      <c r="A56" s="137" t="s">
        <v>697</v>
      </c>
      <c r="B56" s="137" t="s">
        <v>50</v>
      </c>
      <c r="C56" s="137">
        <v>1</v>
      </c>
      <c r="D56" s="133" t="str">
        <f t="shared" si="0"/>
        <v>L3-1</v>
      </c>
    </row>
    <row r="57" spans="1:4" x14ac:dyDescent="0.3">
      <c r="A57" s="137" t="s">
        <v>700</v>
      </c>
      <c r="B57" s="137" t="s">
        <v>50</v>
      </c>
      <c r="C57" s="137">
        <v>1</v>
      </c>
      <c r="D57" s="133" t="str">
        <f t="shared" si="0"/>
        <v>L3-1</v>
      </c>
    </row>
    <row r="58" spans="1:4" x14ac:dyDescent="0.3">
      <c r="A58" s="137" t="s">
        <v>703</v>
      </c>
      <c r="B58" s="137" t="s">
        <v>50</v>
      </c>
      <c r="C58" s="137">
        <v>1</v>
      </c>
      <c r="D58" s="133" t="str">
        <f t="shared" si="0"/>
        <v>L3-1</v>
      </c>
    </row>
    <row r="59" spans="1:4" x14ac:dyDescent="0.3">
      <c r="A59" s="137" t="s">
        <v>335</v>
      </c>
      <c r="B59" s="137" t="s">
        <v>50</v>
      </c>
      <c r="C59" s="137">
        <v>2</v>
      </c>
      <c r="D59" s="133" t="str">
        <f t="shared" si="0"/>
        <v>L3-2</v>
      </c>
    </row>
    <row r="60" spans="1:4" x14ac:dyDescent="0.3">
      <c r="A60" s="137" t="s">
        <v>330</v>
      </c>
      <c r="B60" s="137" t="s">
        <v>50</v>
      </c>
      <c r="C60" s="137">
        <v>2</v>
      </c>
      <c r="D60" s="133" t="str">
        <f t="shared" si="0"/>
        <v>L3-2</v>
      </c>
    </row>
    <row r="61" spans="1:4" x14ac:dyDescent="0.3">
      <c r="A61" s="137" t="s">
        <v>318</v>
      </c>
      <c r="B61" s="137" t="s">
        <v>50</v>
      </c>
      <c r="C61" s="137">
        <v>2</v>
      </c>
      <c r="D61" s="133" t="str">
        <f t="shared" si="0"/>
        <v>L3-2</v>
      </c>
    </row>
    <row r="62" spans="1:4" x14ac:dyDescent="0.3">
      <c r="A62" s="137" t="s">
        <v>706</v>
      </c>
      <c r="B62" s="137" t="s">
        <v>50</v>
      </c>
      <c r="C62" s="137">
        <v>2</v>
      </c>
      <c r="D62" s="133" t="str">
        <f t="shared" si="0"/>
        <v>L3-2</v>
      </c>
    </row>
    <row r="63" spans="1:4" x14ac:dyDescent="0.3">
      <c r="A63" s="137" t="s">
        <v>357</v>
      </c>
      <c r="B63" s="137" t="s">
        <v>50</v>
      </c>
      <c r="C63" s="137">
        <v>2</v>
      </c>
      <c r="D63" s="133" t="str">
        <f t="shared" si="0"/>
        <v>L3-2</v>
      </c>
    </row>
    <row r="64" spans="1:4" x14ac:dyDescent="0.3">
      <c r="A64" s="137" t="s">
        <v>326</v>
      </c>
      <c r="B64" s="137" t="s">
        <v>50</v>
      </c>
      <c r="C64" s="137">
        <v>2</v>
      </c>
      <c r="D64" s="133" t="str">
        <f t="shared" si="0"/>
        <v>L3-2</v>
      </c>
    </row>
    <row r="65" spans="1:4" x14ac:dyDescent="0.3">
      <c r="A65" s="137" t="s">
        <v>320</v>
      </c>
      <c r="B65" s="137" t="s">
        <v>50</v>
      </c>
      <c r="C65" s="137">
        <v>2</v>
      </c>
      <c r="D65" s="133" t="str">
        <f t="shared" si="0"/>
        <v>L3-2</v>
      </c>
    </row>
    <row r="66" spans="1:4" x14ac:dyDescent="0.3">
      <c r="A66" s="137" t="s">
        <v>322</v>
      </c>
      <c r="B66" s="137" t="s">
        <v>50</v>
      </c>
      <c r="C66" s="137">
        <v>2</v>
      </c>
      <c r="D66" s="133" t="str">
        <f t="shared" ref="D66:D129" si="1">B66&amp;"-"&amp;C66</f>
        <v>L3-2</v>
      </c>
    </row>
    <row r="67" spans="1:4" x14ac:dyDescent="0.3">
      <c r="A67" s="137" t="s">
        <v>333</v>
      </c>
      <c r="B67" s="137" t="s">
        <v>50</v>
      </c>
      <c r="C67" s="137">
        <v>2</v>
      </c>
      <c r="D67" s="133" t="str">
        <f t="shared" si="1"/>
        <v>L3-2</v>
      </c>
    </row>
    <row r="68" spans="1:4" x14ac:dyDescent="0.3">
      <c r="A68" s="137" t="s">
        <v>422</v>
      </c>
      <c r="B68" s="137" t="s">
        <v>50</v>
      </c>
      <c r="C68" s="137">
        <v>3</v>
      </c>
      <c r="D68" s="133" t="str">
        <f t="shared" si="1"/>
        <v>L3-3</v>
      </c>
    </row>
    <row r="69" spans="1:4" x14ac:dyDescent="0.3">
      <c r="A69" s="137" t="s">
        <v>1426</v>
      </c>
      <c r="B69" s="137" t="s">
        <v>50</v>
      </c>
      <c r="C69" s="137">
        <v>3</v>
      </c>
      <c r="D69" s="133" t="str">
        <f t="shared" si="1"/>
        <v>L3-3</v>
      </c>
    </row>
    <row r="70" spans="1:4" x14ac:dyDescent="0.3">
      <c r="A70" s="137" t="s">
        <v>425</v>
      </c>
      <c r="B70" s="137" t="s">
        <v>50</v>
      </c>
      <c r="C70" s="137">
        <v>3</v>
      </c>
      <c r="D70" s="133" t="str">
        <f t="shared" si="1"/>
        <v>L3-3</v>
      </c>
    </row>
    <row r="71" spans="1:4" x14ac:dyDescent="0.3">
      <c r="A71" s="137" t="s">
        <v>710</v>
      </c>
      <c r="B71" s="137" t="s">
        <v>50</v>
      </c>
      <c r="C71" s="137">
        <v>3</v>
      </c>
      <c r="D71" s="133" t="str">
        <f t="shared" si="1"/>
        <v>L3-3</v>
      </c>
    </row>
    <row r="72" spans="1:4" x14ac:dyDescent="0.3">
      <c r="A72" s="137" t="s">
        <v>399</v>
      </c>
      <c r="B72" s="137" t="s">
        <v>50</v>
      </c>
      <c r="C72" s="137">
        <v>3</v>
      </c>
      <c r="D72" s="133" t="str">
        <f t="shared" si="1"/>
        <v>L3-3</v>
      </c>
    </row>
    <row r="73" spans="1:4" x14ac:dyDescent="0.3">
      <c r="A73" s="137" t="s">
        <v>402</v>
      </c>
      <c r="B73" s="137" t="s">
        <v>50</v>
      </c>
      <c r="C73" s="137">
        <v>3</v>
      </c>
      <c r="D73" s="133" t="str">
        <f t="shared" si="1"/>
        <v>L3-3</v>
      </c>
    </row>
    <row r="74" spans="1:4" x14ac:dyDescent="0.3">
      <c r="A74" s="137" t="s">
        <v>713</v>
      </c>
      <c r="B74" s="137" t="s">
        <v>50</v>
      </c>
      <c r="C74" s="137">
        <v>3</v>
      </c>
      <c r="D74" s="133" t="str">
        <f t="shared" si="1"/>
        <v>L3-3</v>
      </c>
    </row>
    <row r="75" spans="1:4" x14ac:dyDescent="0.3">
      <c r="A75" s="137" t="s">
        <v>669</v>
      </c>
      <c r="B75" s="137" t="s">
        <v>50</v>
      </c>
      <c r="C75" s="137">
        <v>3</v>
      </c>
      <c r="D75" s="133" t="str">
        <f t="shared" si="1"/>
        <v>L3-3</v>
      </c>
    </row>
    <row r="76" spans="1:4" x14ac:dyDescent="0.3">
      <c r="A76" s="137" t="s">
        <v>354</v>
      </c>
      <c r="B76" s="137" t="s">
        <v>50</v>
      </c>
      <c r="C76" s="137">
        <v>3</v>
      </c>
      <c r="D76" s="133" t="str">
        <f t="shared" si="1"/>
        <v>L3-3</v>
      </c>
    </row>
    <row r="77" spans="1:4" x14ac:dyDescent="0.3">
      <c r="A77" s="137" t="s">
        <v>427</v>
      </c>
      <c r="B77" s="137" t="s">
        <v>50</v>
      </c>
      <c r="C77" s="137">
        <v>3</v>
      </c>
      <c r="D77" s="133" t="str">
        <f t="shared" si="1"/>
        <v>L3-3</v>
      </c>
    </row>
    <row r="78" spans="1:4" x14ac:dyDescent="0.3">
      <c r="A78" s="137" t="s">
        <v>716</v>
      </c>
      <c r="B78" s="137" t="s">
        <v>50</v>
      </c>
      <c r="C78" s="137">
        <v>4</v>
      </c>
      <c r="D78" s="133" t="str">
        <f t="shared" si="1"/>
        <v>L3-4</v>
      </c>
    </row>
    <row r="79" spans="1:4" x14ac:dyDescent="0.3">
      <c r="A79" s="137" t="s">
        <v>719</v>
      </c>
      <c r="B79" s="137" t="s">
        <v>50</v>
      </c>
      <c r="C79" s="137">
        <v>4</v>
      </c>
      <c r="D79" s="133" t="str">
        <f t="shared" si="1"/>
        <v>L3-4</v>
      </c>
    </row>
    <row r="80" spans="1:4" x14ac:dyDescent="0.3">
      <c r="A80" s="137" t="s">
        <v>772</v>
      </c>
      <c r="B80" s="137" t="s">
        <v>50</v>
      </c>
      <c r="C80" s="137">
        <v>4</v>
      </c>
      <c r="D80" s="133" t="str">
        <f t="shared" si="1"/>
        <v>L3-4</v>
      </c>
    </row>
    <row r="81" spans="1:4" x14ac:dyDescent="0.3">
      <c r="A81" s="137" t="s">
        <v>365</v>
      </c>
      <c r="B81" s="137" t="s">
        <v>50</v>
      </c>
      <c r="C81" s="137">
        <v>5</v>
      </c>
      <c r="D81" s="133" t="str">
        <f t="shared" si="1"/>
        <v>L3-5</v>
      </c>
    </row>
    <row r="82" spans="1:4" x14ac:dyDescent="0.3">
      <c r="A82" s="137" t="s">
        <v>723</v>
      </c>
      <c r="B82" s="137" t="s">
        <v>50</v>
      </c>
      <c r="C82" s="137">
        <v>5</v>
      </c>
      <c r="D82" s="133" t="str">
        <f t="shared" si="1"/>
        <v>L3-5</v>
      </c>
    </row>
    <row r="83" spans="1:4" x14ac:dyDescent="0.3">
      <c r="A83" s="137" t="s">
        <v>726</v>
      </c>
      <c r="B83" s="137" t="s">
        <v>50</v>
      </c>
      <c r="C83" s="137">
        <v>5</v>
      </c>
      <c r="D83" s="133" t="str">
        <f t="shared" si="1"/>
        <v>L3-5</v>
      </c>
    </row>
    <row r="84" spans="1:4" x14ac:dyDescent="0.3">
      <c r="A84" s="137" t="s">
        <v>362</v>
      </c>
      <c r="B84" s="137" t="s">
        <v>50</v>
      </c>
      <c r="C84" s="137">
        <v>5</v>
      </c>
      <c r="D84" s="133" t="str">
        <f t="shared" si="1"/>
        <v>L3-5</v>
      </c>
    </row>
    <row r="85" spans="1:4" x14ac:dyDescent="0.3">
      <c r="A85" s="137" t="s">
        <v>721</v>
      </c>
      <c r="B85" s="137" t="s">
        <v>50</v>
      </c>
      <c r="C85" s="137">
        <v>5</v>
      </c>
      <c r="D85" s="133" t="str">
        <f t="shared" si="1"/>
        <v>L3-5</v>
      </c>
    </row>
    <row r="86" spans="1:4" x14ac:dyDescent="0.3">
      <c r="A86" s="137" t="s">
        <v>359</v>
      </c>
      <c r="B86" s="137" t="s">
        <v>50</v>
      </c>
      <c r="C86" s="137">
        <v>5</v>
      </c>
      <c r="D86" s="133" t="str">
        <f t="shared" si="1"/>
        <v>L3-5</v>
      </c>
    </row>
    <row r="87" spans="1:4" x14ac:dyDescent="0.3">
      <c r="A87" s="137" t="s">
        <v>2409</v>
      </c>
      <c r="B87" s="137" t="s">
        <v>50</v>
      </c>
      <c r="C87" s="137">
        <v>6</v>
      </c>
      <c r="D87" s="133" t="str">
        <f t="shared" si="1"/>
        <v>L3-6</v>
      </c>
    </row>
    <row r="88" spans="1:4" x14ac:dyDescent="0.3">
      <c r="A88" s="137" t="s">
        <v>371</v>
      </c>
      <c r="B88" s="137" t="s">
        <v>51</v>
      </c>
      <c r="C88" s="137">
        <v>1</v>
      </c>
      <c r="D88" s="133" t="str">
        <f t="shared" si="1"/>
        <v>L4-1</v>
      </c>
    </row>
    <row r="89" spans="1:4" x14ac:dyDescent="0.3">
      <c r="A89" s="137" t="s">
        <v>369</v>
      </c>
      <c r="B89" s="137" t="s">
        <v>51</v>
      </c>
      <c r="C89" s="137">
        <v>1</v>
      </c>
      <c r="D89" s="133" t="str">
        <f t="shared" si="1"/>
        <v>L4-1</v>
      </c>
    </row>
    <row r="90" spans="1:4" x14ac:dyDescent="0.3">
      <c r="A90" s="137" t="s">
        <v>373</v>
      </c>
      <c r="B90" s="137" t="s">
        <v>51</v>
      </c>
      <c r="C90" s="137">
        <v>1</v>
      </c>
      <c r="D90" s="133" t="str">
        <f t="shared" si="1"/>
        <v>L4-1</v>
      </c>
    </row>
    <row r="91" spans="1:4" x14ac:dyDescent="0.3">
      <c r="A91" s="137" t="s">
        <v>647</v>
      </c>
      <c r="B91" s="137" t="s">
        <v>51</v>
      </c>
      <c r="C91" s="137">
        <v>2</v>
      </c>
      <c r="D91" s="133" t="str">
        <f t="shared" si="1"/>
        <v>L4-2</v>
      </c>
    </row>
    <row r="92" spans="1:4" x14ac:dyDescent="0.3">
      <c r="A92" s="137" t="s">
        <v>637</v>
      </c>
      <c r="B92" s="137" t="s">
        <v>51</v>
      </c>
      <c r="C92" s="137">
        <v>2</v>
      </c>
      <c r="D92" s="133" t="str">
        <f t="shared" si="1"/>
        <v>L4-2</v>
      </c>
    </row>
    <row r="93" spans="1:4" x14ac:dyDescent="0.3">
      <c r="A93" s="137" t="s">
        <v>677</v>
      </c>
      <c r="B93" s="137" t="s">
        <v>51</v>
      </c>
      <c r="C93" s="137">
        <v>2</v>
      </c>
      <c r="D93" s="133" t="str">
        <f t="shared" si="1"/>
        <v>L4-2</v>
      </c>
    </row>
    <row r="94" spans="1:4" x14ac:dyDescent="0.3">
      <c r="A94" s="137" t="s">
        <v>656</v>
      </c>
      <c r="B94" s="137" t="s">
        <v>51</v>
      </c>
      <c r="C94" s="137">
        <v>2</v>
      </c>
      <c r="D94" s="133" t="str">
        <f t="shared" si="1"/>
        <v>L4-2</v>
      </c>
    </row>
    <row r="95" spans="1:4" x14ac:dyDescent="0.3">
      <c r="A95" s="137" t="s">
        <v>829</v>
      </c>
      <c r="B95" s="137" t="s">
        <v>51</v>
      </c>
      <c r="C95" s="137">
        <v>3</v>
      </c>
      <c r="D95" s="133" t="str">
        <f t="shared" si="1"/>
        <v>L4-3</v>
      </c>
    </row>
    <row r="96" spans="1:4" x14ac:dyDescent="0.3">
      <c r="A96" s="137" t="s">
        <v>827</v>
      </c>
      <c r="B96" s="137" t="s">
        <v>51</v>
      </c>
      <c r="C96" s="137">
        <v>3</v>
      </c>
      <c r="D96" s="133" t="str">
        <f t="shared" si="1"/>
        <v>L4-3</v>
      </c>
    </row>
    <row r="97" spans="1:4" x14ac:dyDescent="0.3">
      <c r="A97" s="137" t="s">
        <v>831</v>
      </c>
      <c r="B97" s="137" t="s">
        <v>51</v>
      </c>
      <c r="C97" s="137">
        <v>3</v>
      </c>
      <c r="D97" s="133" t="str">
        <f t="shared" si="1"/>
        <v>L4-3</v>
      </c>
    </row>
    <row r="98" spans="1:4" x14ac:dyDescent="0.3">
      <c r="A98" s="137" t="s">
        <v>825</v>
      </c>
      <c r="B98" s="137" t="s">
        <v>51</v>
      </c>
      <c r="C98" s="137">
        <v>3</v>
      </c>
      <c r="D98" s="133" t="str">
        <f t="shared" si="1"/>
        <v>L4-3</v>
      </c>
    </row>
    <row r="99" spans="1:4" x14ac:dyDescent="0.3">
      <c r="A99" s="137" t="s">
        <v>838</v>
      </c>
      <c r="B99" s="137" t="s">
        <v>51</v>
      </c>
      <c r="C99" s="137">
        <v>3</v>
      </c>
      <c r="D99" s="133" t="str">
        <f t="shared" si="1"/>
        <v>L4-3</v>
      </c>
    </row>
    <row r="100" spans="1:4" x14ac:dyDescent="0.3">
      <c r="A100" s="137" t="s">
        <v>383</v>
      </c>
      <c r="B100" s="137" t="s">
        <v>51</v>
      </c>
      <c r="C100" s="137">
        <v>4</v>
      </c>
      <c r="D100" s="133" t="str">
        <f t="shared" si="1"/>
        <v>L4-4</v>
      </c>
    </row>
    <row r="101" spans="1:4" x14ac:dyDescent="0.3">
      <c r="A101" s="137" t="s">
        <v>395</v>
      </c>
      <c r="B101" s="137" t="s">
        <v>51</v>
      </c>
      <c r="C101" s="137">
        <v>4</v>
      </c>
      <c r="D101" s="133" t="str">
        <f t="shared" si="1"/>
        <v>L4-4</v>
      </c>
    </row>
    <row r="102" spans="1:4" x14ac:dyDescent="0.3">
      <c r="A102" s="137" t="s">
        <v>379</v>
      </c>
      <c r="B102" s="137" t="s">
        <v>51</v>
      </c>
      <c r="C102" s="137">
        <v>4</v>
      </c>
      <c r="D102" s="133" t="str">
        <f t="shared" si="1"/>
        <v>L4-4</v>
      </c>
    </row>
    <row r="103" spans="1:4" x14ac:dyDescent="0.3">
      <c r="A103" s="137" t="s">
        <v>391</v>
      </c>
      <c r="B103" s="137" t="s">
        <v>51</v>
      </c>
      <c r="C103" s="137">
        <v>4</v>
      </c>
      <c r="D103" s="133" t="str">
        <f t="shared" si="1"/>
        <v>L4-4</v>
      </c>
    </row>
    <row r="104" spans="1:4" x14ac:dyDescent="0.3">
      <c r="A104" s="137" t="s">
        <v>385</v>
      </c>
      <c r="B104" s="137" t="s">
        <v>51</v>
      </c>
      <c r="C104" s="137">
        <v>4</v>
      </c>
      <c r="D104" s="133" t="str">
        <f t="shared" si="1"/>
        <v>L4-4</v>
      </c>
    </row>
    <row r="105" spans="1:4" x14ac:dyDescent="0.3">
      <c r="A105" s="137" t="s">
        <v>466</v>
      </c>
      <c r="B105" s="137" t="s">
        <v>51</v>
      </c>
      <c r="C105" s="137">
        <v>4</v>
      </c>
      <c r="D105" s="133" t="str">
        <f t="shared" si="1"/>
        <v>L4-4</v>
      </c>
    </row>
    <row r="106" spans="1:4" x14ac:dyDescent="0.3">
      <c r="A106" s="137" t="s">
        <v>474</v>
      </c>
      <c r="B106" s="137" t="s">
        <v>51</v>
      </c>
      <c r="C106" s="137">
        <v>4</v>
      </c>
      <c r="D106" s="133" t="str">
        <f t="shared" si="1"/>
        <v>L4-4</v>
      </c>
    </row>
    <row r="107" spans="1:4" x14ac:dyDescent="0.3">
      <c r="A107" s="137" t="s">
        <v>476</v>
      </c>
      <c r="B107" s="137" t="s">
        <v>51</v>
      </c>
      <c r="C107" s="137">
        <v>4</v>
      </c>
      <c r="D107" s="133" t="str">
        <f t="shared" si="1"/>
        <v>L4-4</v>
      </c>
    </row>
    <row r="108" spans="1:4" x14ac:dyDescent="0.3">
      <c r="A108" s="137" t="s">
        <v>664</v>
      </c>
      <c r="B108" s="137" t="s">
        <v>51</v>
      </c>
      <c r="C108" s="137">
        <v>4</v>
      </c>
      <c r="D108" s="133" t="str">
        <f t="shared" si="1"/>
        <v>L4-4</v>
      </c>
    </row>
    <row r="109" spans="1:4" x14ac:dyDescent="0.3">
      <c r="A109" s="137" t="s">
        <v>389</v>
      </c>
      <c r="B109" s="137" t="s">
        <v>51</v>
      </c>
      <c r="C109" s="137">
        <v>4</v>
      </c>
      <c r="D109" s="133" t="str">
        <f t="shared" si="1"/>
        <v>L4-4</v>
      </c>
    </row>
    <row r="110" spans="1:4" x14ac:dyDescent="0.3">
      <c r="A110" s="137" t="s">
        <v>397</v>
      </c>
      <c r="B110" s="137" t="s">
        <v>51</v>
      </c>
      <c r="C110" s="137">
        <v>4</v>
      </c>
      <c r="D110" s="133" t="str">
        <f t="shared" si="1"/>
        <v>L4-4</v>
      </c>
    </row>
    <row r="111" spans="1:4" x14ac:dyDescent="0.3">
      <c r="A111" s="137" t="s">
        <v>469</v>
      </c>
      <c r="B111" s="137" t="s">
        <v>51</v>
      </c>
      <c r="C111" s="137">
        <v>4</v>
      </c>
      <c r="D111" s="133" t="str">
        <f t="shared" si="1"/>
        <v>L4-4</v>
      </c>
    </row>
    <row r="112" spans="1:4" x14ac:dyDescent="0.3">
      <c r="A112" s="137" t="s">
        <v>625</v>
      </c>
      <c r="B112" s="137" t="s">
        <v>51</v>
      </c>
      <c r="C112" s="137">
        <v>5</v>
      </c>
      <c r="D112" s="133" t="str">
        <f t="shared" si="1"/>
        <v>L4-5</v>
      </c>
    </row>
    <row r="113" spans="1:4" x14ac:dyDescent="0.3">
      <c r="A113" s="137" t="s">
        <v>629</v>
      </c>
      <c r="B113" s="137" t="s">
        <v>51</v>
      </c>
      <c r="C113" s="137">
        <v>5</v>
      </c>
      <c r="D113" s="133" t="str">
        <f t="shared" si="1"/>
        <v>L4-5</v>
      </c>
    </row>
    <row r="114" spans="1:4" x14ac:dyDescent="0.3">
      <c r="A114" s="137" t="s">
        <v>635</v>
      </c>
      <c r="B114" s="137" t="s">
        <v>51</v>
      </c>
      <c r="C114" s="137">
        <v>5</v>
      </c>
      <c r="D114" s="133" t="str">
        <f t="shared" si="1"/>
        <v>L4-5</v>
      </c>
    </row>
    <row r="115" spans="1:4" x14ac:dyDescent="0.3">
      <c r="A115" s="137" t="s">
        <v>640</v>
      </c>
      <c r="B115" s="137" t="s">
        <v>51</v>
      </c>
      <c r="C115" s="137">
        <v>5</v>
      </c>
      <c r="D115" s="133" t="str">
        <f t="shared" si="1"/>
        <v>L4-5</v>
      </c>
    </row>
    <row r="116" spans="1:4" x14ac:dyDescent="0.3">
      <c r="A116" s="137" t="s">
        <v>627</v>
      </c>
      <c r="B116" s="137" t="s">
        <v>51</v>
      </c>
      <c r="C116" s="137">
        <v>5</v>
      </c>
      <c r="D116" s="133" t="str">
        <f t="shared" si="1"/>
        <v>L4-5</v>
      </c>
    </row>
    <row r="117" spans="1:4" x14ac:dyDescent="0.3">
      <c r="A117" s="137" t="s">
        <v>631</v>
      </c>
      <c r="B117" s="137" t="s">
        <v>51</v>
      </c>
      <c r="C117" s="137">
        <v>5</v>
      </c>
      <c r="D117" s="133" t="str">
        <f t="shared" si="1"/>
        <v>L4-5</v>
      </c>
    </row>
    <row r="118" spans="1:4" x14ac:dyDescent="0.3">
      <c r="A118" s="137" t="s">
        <v>440</v>
      </c>
      <c r="B118" s="137" t="s">
        <v>51</v>
      </c>
      <c r="C118" s="137">
        <v>6</v>
      </c>
      <c r="D118" s="133" t="str">
        <f t="shared" si="1"/>
        <v>L4-6</v>
      </c>
    </row>
    <row r="119" spans="1:4" x14ac:dyDescent="0.3">
      <c r="A119" s="137" t="s">
        <v>444</v>
      </c>
      <c r="B119" s="137" t="s">
        <v>51</v>
      </c>
      <c r="C119" s="137">
        <v>6</v>
      </c>
      <c r="D119" s="133" t="str">
        <f t="shared" si="1"/>
        <v>L4-6</v>
      </c>
    </row>
    <row r="120" spans="1:4" x14ac:dyDescent="0.3">
      <c r="A120" s="137" t="s">
        <v>446</v>
      </c>
      <c r="B120" s="137" t="s">
        <v>51</v>
      </c>
      <c r="C120" s="137">
        <v>6</v>
      </c>
      <c r="D120" s="133" t="str">
        <f t="shared" si="1"/>
        <v>L4-6</v>
      </c>
    </row>
    <row r="121" spans="1:4" x14ac:dyDescent="0.3">
      <c r="A121" s="137" t="s">
        <v>450</v>
      </c>
      <c r="B121" s="137" t="s">
        <v>51</v>
      </c>
      <c r="C121" s="137">
        <v>6</v>
      </c>
      <c r="D121" s="133" t="str">
        <f t="shared" si="1"/>
        <v>L4-6</v>
      </c>
    </row>
    <row r="122" spans="1:4" x14ac:dyDescent="0.3">
      <c r="A122" s="137" t="s">
        <v>452</v>
      </c>
      <c r="B122" s="137" t="s">
        <v>51</v>
      </c>
      <c r="C122" s="137">
        <v>6</v>
      </c>
      <c r="D122" s="133" t="str">
        <f t="shared" si="1"/>
        <v>L4-6</v>
      </c>
    </row>
    <row r="123" spans="1:4" x14ac:dyDescent="0.3">
      <c r="A123" s="137" t="s">
        <v>757</v>
      </c>
      <c r="B123" s="137" t="s">
        <v>51</v>
      </c>
      <c r="C123" s="137">
        <v>6</v>
      </c>
      <c r="D123" s="133" t="str">
        <f t="shared" si="1"/>
        <v>L4-6</v>
      </c>
    </row>
    <row r="124" spans="1:4" x14ac:dyDescent="0.3">
      <c r="A124" s="137" t="s">
        <v>759</v>
      </c>
      <c r="B124" s="137" t="s">
        <v>51</v>
      </c>
      <c r="C124" s="137">
        <v>6</v>
      </c>
      <c r="D124" s="133" t="str">
        <f t="shared" si="1"/>
        <v>L4-6</v>
      </c>
    </row>
    <row r="125" spans="1:4" x14ac:dyDescent="0.3">
      <c r="A125" s="137" t="s">
        <v>761</v>
      </c>
      <c r="B125" s="137" t="s">
        <v>51</v>
      </c>
      <c r="C125" s="137">
        <v>6</v>
      </c>
      <c r="D125" s="133" t="str">
        <f t="shared" si="1"/>
        <v>L4-6</v>
      </c>
    </row>
    <row r="126" spans="1:4" x14ac:dyDescent="0.3">
      <c r="A126" s="137" t="s">
        <v>457</v>
      </c>
      <c r="B126" s="137" t="s">
        <v>51</v>
      </c>
      <c r="C126" s="137">
        <v>6</v>
      </c>
      <c r="D126" s="133" t="str">
        <f t="shared" si="1"/>
        <v>L4-6</v>
      </c>
    </row>
    <row r="127" spans="1:4" x14ac:dyDescent="0.3">
      <c r="A127" s="137" t="s">
        <v>459</v>
      </c>
      <c r="B127" s="137" t="s">
        <v>51</v>
      </c>
      <c r="C127" s="137">
        <v>6</v>
      </c>
      <c r="D127" s="133" t="str">
        <f t="shared" si="1"/>
        <v>L4-6</v>
      </c>
    </row>
    <row r="128" spans="1:4" x14ac:dyDescent="0.3">
      <c r="A128" s="137" t="s">
        <v>454</v>
      </c>
      <c r="B128" s="137" t="s">
        <v>51</v>
      </c>
      <c r="C128" s="137">
        <v>6</v>
      </c>
      <c r="D128" s="133" t="str">
        <f t="shared" si="1"/>
        <v>L4-6</v>
      </c>
    </row>
    <row r="129" spans="1:4" x14ac:dyDescent="0.3">
      <c r="A129" s="137" t="s">
        <v>463</v>
      </c>
      <c r="B129" s="137" t="s">
        <v>51</v>
      </c>
      <c r="C129" s="137">
        <v>6</v>
      </c>
      <c r="D129" s="133" t="str">
        <f t="shared" si="1"/>
        <v>L4-6</v>
      </c>
    </row>
    <row r="130" spans="1:4" x14ac:dyDescent="0.3">
      <c r="A130" s="137" t="s">
        <v>420</v>
      </c>
      <c r="B130" s="137" t="s">
        <v>51</v>
      </c>
      <c r="C130" s="137">
        <v>7</v>
      </c>
      <c r="D130" s="133" t="str">
        <f t="shared" ref="D130:D193" si="2">B130&amp;"-"&amp;C130</f>
        <v>L4-7</v>
      </c>
    </row>
    <row r="131" spans="1:4" x14ac:dyDescent="0.3">
      <c r="A131" s="137" t="s">
        <v>683</v>
      </c>
      <c r="B131" s="137" t="s">
        <v>51</v>
      </c>
      <c r="C131" s="137">
        <v>7</v>
      </c>
      <c r="D131" s="133" t="str">
        <f t="shared" si="2"/>
        <v>L4-7</v>
      </c>
    </row>
    <row r="132" spans="1:4" x14ac:dyDescent="0.3">
      <c r="A132" s="137" t="s">
        <v>685</v>
      </c>
      <c r="B132" s="137" t="s">
        <v>51</v>
      </c>
      <c r="C132" s="137">
        <v>7</v>
      </c>
      <c r="D132" s="133" t="str">
        <f t="shared" si="2"/>
        <v>L4-7</v>
      </c>
    </row>
    <row r="133" spans="1:4" x14ac:dyDescent="0.3">
      <c r="A133" s="137" t="s">
        <v>988</v>
      </c>
      <c r="B133" s="137" t="s">
        <v>52</v>
      </c>
      <c r="C133" s="137">
        <v>1</v>
      </c>
      <c r="D133" s="133" t="str">
        <f t="shared" si="2"/>
        <v>L5-1</v>
      </c>
    </row>
    <row r="134" spans="1:4" x14ac:dyDescent="0.3">
      <c r="A134" s="137" t="s">
        <v>996</v>
      </c>
      <c r="B134" s="137" t="s">
        <v>52</v>
      </c>
      <c r="C134" s="137">
        <v>1</v>
      </c>
      <c r="D134" s="133" t="str">
        <f t="shared" si="2"/>
        <v>L5-1</v>
      </c>
    </row>
    <row r="135" spans="1:4" x14ac:dyDescent="0.3">
      <c r="A135" s="137" t="s">
        <v>959</v>
      </c>
      <c r="B135" s="137" t="s">
        <v>52</v>
      </c>
      <c r="C135" s="137">
        <v>1</v>
      </c>
      <c r="D135" s="133" t="str">
        <f t="shared" si="2"/>
        <v>L5-1</v>
      </c>
    </row>
    <row r="136" spans="1:4" x14ac:dyDescent="0.3">
      <c r="A136" s="137" t="s">
        <v>969</v>
      </c>
      <c r="B136" s="137" t="s">
        <v>52</v>
      </c>
      <c r="C136" s="137">
        <v>1</v>
      </c>
      <c r="D136" s="133" t="str">
        <f t="shared" si="2"/>
        <v>L5-1</v>
      </c>
    </row>
    <row r="137" spans="1:4" x14ac:dyDescent="0.3">
      <c r="A137" s="137" t="s">
        <v>976</v>
      </c>
      <c r="B137" s="137" t="s">
        <v>52</v>
      </c>
      <c r="C137" s="137">
        <v>1</v>
      </c>
      <c r="D137" s="133" t="str">
        <f t="shared" si="2"/>
        <v>L5-1</v>
      </c>
    </row>
    <row r="138" spans="1:4" x14ac:dyDescent="0.3">
      <c r="A138" s="137" t="s">
        <v>982</v>
      </c>
      <c r="B138" s="137" t="s">
        <v>52</v>
      </c>
      <c r="C138" s="137">
        <v>1</v>
      </c>
      <c r="D138" s="133" t="str">
        <f t="shared" si="2"/>
        <v>L5-1</v>
      </c>
    </row>
    <row r="139" spans="1:4" x14ac:dyDescent="0.3">
      <c r="A139" s="137" t="s">
        <v>992</v>
      </c>
      <c r="B139" s="137" t="s">
        <v>52</v>
      </c>
      <c r="C139" s="137">
        <v>1</v>
      </c>
      <c r="D139" s="133" t="str">
        <f t="shared" si="2"/>
        <v>L5-1</v>
      </c>
    </row>
    <row r="140" spans="1:4" x14ac:dyDescent="0.3">
      <c r="A140" s="137" t="s">
        <v>998</v>
      </c>
      <c r="B140" s="137" t="s">
        <v>52</v>
      </c>
      <c r="C140" s="137">
        <v>1</v>
      </c>
      <c r="D140" s="133" t="str">
        <f t="shared" si="2"/>
        <v>L5-1</v>
      </c>
    </row>
    <row r="141" spans="1:4" x14ac:dyDescent="0.3">
      <c r="A141" s="137" t="s">
        <v>1020</v>
      </c>
      <c r="B141" s="137" t="s">
        <v>52</v>
      </c>
      <c r="C141" s="137">
        <v>2</v>
      </c>
      <c r="D141" s="133" t="str">
        <f t="shared" si="2"/>
        <v>L5-2</v>
      </c>
    </row>
    <row r="142" spans="1:4" x14ac:dyDescent="0.3">
      <c r="A142" s="137" t="s">
        <v>1032</v>
      </c>
      <c r="B142" s="137" t="s">
        <v>52</v>
      </c>
      <c r="C142" s="137">
        <v>2</v>
      </c>
      <c r="D142" s="133" t="str">
        <f t="shared" si="2"/>
        <v>L5-2</v>
      </c>
    </row>
    <row r="143" spans="1:4" x14ac:dyDescent="0.3">
      <c r="A143" s="137" t="s">
        <v>1024</v>
      </c>
      <c r="B143" s="137" t="s">
        <v>52</v>
      </c>
      <c r="C143" s="137">
        <v>2</v>
      </c>
      <c r="D143" s="133" t="str">
        <f t="shared" si="2"/>
        <v>L5-2</v>
      </c>
    </row>
    <row r="144" spans="1:4" x14ac:dyDescent="0.3">
      <c r="A144" s="137" t="s">
        <v>1028</v>
      </c>
      <c r="B144" s="137" t="s">
        <v>52</v>
      </c>
      <c r="C144" s="137">
        <v>2</v>
      </c>
      <c r="D144" s="133" t="str">
        <f t="shared" si="2"/>
        <v>L5-2</v>
      </c>
    </row>
    <row r="145" spans="1:4" x14ac:dyDescent="0.3">
      <c r="A145" s="137" t="s">
        <v>1018</v>
      </c>
      <c r="B145" s="137" t="s">
        <v>52</v>
      </c>
      <c r="C145" s="137">
        <v>2</v>
      </c>
      <c r="D145" s="133" t="str">
        <f t="shared" si="2"/>
        <v>L5-2</v>
      </c>
    </row>
    <row r="146" spans="1:4" x14ac:dyDescent="0.3">
      <c r="A146" s="137" t="s">
        <v>1462</v>
      </c>
      <c r="B146" s="137" t="s">
        <v>52</v>
      </c>
      <c r="C146" s="137">
        <v>2</v>
      </c>
      <c r="D146" s="133" t="str">
        <f t="shared" si="2"/>
        <v>L5-2</v>
      </c>
    </row>
    <row r="147" spans="1:4" x14ac:dyDescent="0.3">
      <c r="A147" s="137" t="s">
        <v>1456</v>
      </c>
      <c r="B147" s="137" t="s">
        <v>52</v>
      </c>
      <c r="C147" s="137">
        <v>2</v>
      </c>
      <c r="D147" s="133" t="str">
        <f t="shared" si="2"/>
        <v>L5-2</v>
      </c>
    </row>
    <row r="148" spans="1:4" x14ac:dyDescent="0.3">
      <c r="A148" s="137" t="s">
        <v>1099</v>
      </c>
      <c r="B148" s="137" t="s">
        <v>52</v>
      </c>
      <c r="C148" s="137">
        <v>2</v>
      </c>
      <c r="D148" s="133" t="str">
        <f t="shared" si="2"/>
        <v>L5-2</v>
      </c>
    </row>
    <row r="149" spans="1:4" x14ac:dyDescent="0.3">
      <c r="A149" s="137" t="s">
        <v>1459</v>
      </c>
      <c r="B149" s="137" t="s">
        <v>52</v>
      </c>
      <c r="C149" s="137">
        <v>2</v>
      </c>
      <c r="D149" s="133" t="str">
        <f t="shared" si="2"/>
        <v>L5-2</v>
      </c>
    </row>
    <row r="150" spans="1:4" x14ac:dyDescent="0.3">
      <c r="A150" s="137" t="s">
        <v>1101</v>
      </c>
      <c r="B150" s="137" t="s">
        <v>52</v>
      </c>
      <c r="C150" s="137">
        <v>2</v>
      </c>
      <c r="D150" s="133" t="str">
        <f t="shared" si="2"/>
        <v>L5-2</v>
      </c>
    </row>
    <row r="151" spans="1:4" x14ac:dyDescent="0.3">
      <c r="A151" s="137" t="s">
        <v>1066</v>
      </c>
      <c r="B151" s="137" t="s">
        <v>52</v>
      </c>
      <c r="C151" s="137">
        <v>3</v>
      </c>
      <c r="D151" s="133" t="str">
        <f t="shared" si="2"/>
        <v>L5-3</v>
      </c>
    </row>
    <row r="152" spans="1:4" x14ac:dyDescent="0.3">
      <c r="A152" s="137" t="s">
        <v>1073</v>
      </c>
      <c r="B152" s="137" t="s">
        <v>52</v>
      </c>
      <c r="C152" s="137">
        <v>3</v>
      </c>
      <c r="D152" s="133" t="str">
        <f t="shared" si="2"/>
        <v>L5-3</v>
      </c>
    </row>
    <row r="153" spans="1:4" x14ac:dyDescent="0.3">
      <c r="A153" s="137" t="s">
        <v>1086</v>
      </c>
      <c r="B153" s="137" t="s">
        <v>52</v>
      </c>
      <c r="C153" s="137">
        <v>3</v>
      </c>
      <c r="D153" s="133" t="str">
        <f t="shared" si="2"/>
        <v>L5-3</v>
      </c>
    </row>
    <row r="154" spans="1:4" x14ac:dyDescent="0.3">
      <c r="A154" s="137" t="s">
        <v>1092</v>
      </c>
      <c r="B154" s="137" t="s">
        <v>52</v>
      </c>
      <c r="C154" s="137">
        <v>3</v>
      </c>
      <c r="D154" s="133" t="str">
        <f t="shared" si="2"/>
        <v>L5-3</v>
      </c>
    </row>
    <row r="155" spans="1:4" x14ac:dyDescent="0.3">
      <c r="A155" s="137" t="s">
        <v>2410</v>
      </c>
      <c r="B155" s="137" t="s">
        <v>52</v>
      </c>
      <c r="C155" s="137">
        <v>3</v>
      </c>
      <c r="D155" s="133" t="str">
        <f t="shared" si="2"/>
        <v>L5-3</v>
      </c>
    </row>
    <row r="156" spans="1:4" x14ac:dyDescent="0.3">
      <c r="A156" s="137" t="s">
        <v>1081</v>
      </c>
      <c r="B156" s="137" t="s">
        <v>52</v>
      </c>
      <c r="C156" s="137">
        <v>3</v>
      </c>
      <c r="D156" s="133" t="str">
        <f t="shared" si="2"/>
        <v>L5-3</v>
      </c>
    </row>
    <row r="157" spans="1:4" x14ac:dyDescent="0.3">
      <c r="A157" s="137" t="s">
        <v>1085</v>
      </c>
      <c r="B157" s="137" t="s">
        <v>52</v>
      </c>
      <c r="C157" s="137">
        <v>3</v>
      </c>
      <c r="D157" s="133" t="str">
        <f t="shared" si="2"/>
        <v>L5-3</v>
      </c>
    </row>
    <row r="158" spans="1:4" x14ac:dyDescent="0.3">
      <c r="A158" s="137" t="s">
        <v>1090</v>
      </c>
      <c r="B158" s="137" t="s">
        <v>52</v>
      </c>
      <c r="C158" s="137">
        <v>3</v>
      </c>
      <c r="D158" s="133" t="str">
        <f t="shared" si="2"/>
        <v>L5-3</v>
      </c>
    </row>
    <row r="159" spans="1:4" x14ac:dyDescent="0.3">
      <c r="A159" s="137" t="s">
        <v>2411</v>
      </c>
      <c r="B159" s="137" t="s">
        <v>52</v>
      </c>
      <c r="C159" s="137">
        <v>3</v>
      </c>
      <c r="D159" s="133" t="str">
        <f t="shared" si="2"/>
        <v>L5-3</v>
      </c>
    </row>
    <row r="160" spans="1:4" x14ac:dyDescent="0.3">
      <c r="A160" s="137" t="s">
        <v>1445</v>
      </c>
      <c r="B160" s="137" t="s">
        <v>52</v>
      </c>
      <c r="C160" s="137">
        <v>3</v>
      </c>
      <c r="D160" s="133" t="str">
        <f t="shared" si="2"/>
        <v>L5-3</v>
      </c>
    </row>
    <row r="161" spans="1:4" x14ac:dyDescent="0.3">
      <c r="A161" s="137" t="s">
        <v>1448</v>
      </c>
      <c r="B161" s="137" t="s">
        <v>52</v>
      </c>
      <c r="C161" s="137">
        <v>3</v>
      </c>
      <c r="D161" s="133" t="str">
        <f t="shared" si="2"/>
        <v>L5-3</v>
      </c>
    </row>
    <row r="162" spans="1:4" x14ac:dyDescent="0.3">
      <c r="A162" s="137" t="s">
        <v>1450</v>
      </c>
      <c r="B162" s="137" t="s">
        <v>52</v>
      </c>
      <c r="C162" s="137">
        <v>3</v>
      </c>
      <c r="D162" s="133" t="str">
        <f t="shared" si="2"/>
        <v>L5-3</v>
      </c>
    </row>
    <row r="163" spans="1:4" x14ac:dyDescent="0.3">
      <c r="A163" s="137" t="s">
        <v>1096</v>
      </c>
      <c r="B163" s="137" t="s">
        <v>52</v>
      </c>
      <c r="C163" s="137">
        <v>3</v>
      </c>
      <c r="D163" s="133" t="str">
        <f t="shared" si="2"/>
        <v>L5-3</v>
      </c>
    </row>
    <row r="164" spans="1:4" x14ac:dyDescent="0.3">
      <c r="A164" s="137" t="s">
        <v>887</v>
      </c>
      <c r="B164" s="137" t="s">
        <v>52</v>
      </c>
      <c r="C164" s="137">
        <v>4</v>
      </c>
      <c r="D164" s="133" t="str">
        <f t="shared" si="2"/>
        <v>L5-4</v>
      </c>
    </row>
    <row r="165" spans="1:4" x14ac:dyDescent="0.3">
      <c r="A165" s="137" t="s">
        <v>911</v>
      </c>
      <c r="B165" s="137" t="s">
        <v>52</v>
      </c>
      <c r="C165" s="137">
        <v>4</v>
      </c>
      <c r="D165" s="133" t="str">
        <f t="shared" si="2"/>
        <v>L5-4</v>
      </c>
    </row>
    <row r="166" spans="1:4" x14ac:dyDescent="0.3">
      <c r="A166" s="137" t="s">
        <v>484</v>
      </c>
      <c r="B166" s="137" t="s">
        <v>52</v>
      </c>
      <c r="C166" s="137">
        <v>5</v>
      </c>
      <c r="D166" s="133" t="str">
        <f t="shared" si="2"/>
        <v>L5-5</v>
      </c>
    </row>
    <row r="167" spans="1:4" x14ac:dyDescent="0.3">
      <c r="A167" s="137" t="s">
        <v>494</v>
      </c>
      <c r="B167" s="137" t="s">
        <v>52</v>
      </c>
      <c r="C167" s="137">
        <v>5</v>
      </c>
      <c r="D167" s="133" t="str">
        <f t="shared" si="2"/>
        <v>L5-5</v>
      </c>
    </row>
    <row r="168" spans="1:4" x14ac:dyDescent="0.3">
      <c r="A168" s="137" t="s">
        <v>498</v>
      </c>
      <c r="B168" s="137" t="s">
        <v>52</v>
      </c>
      <c r="C168" s="137">
        <v>5</v>
      </c>
      <c r="D168" s="133" t="str">
        <f t="shared" si="2"/>
        <v>L5-5</v>
      </c>
    </row>
    <row r="169" spans="1:4" x14ac:dyDescent="0.3">
      <c r="A169" s="137" t="s">
        <v>490</v>
      </c>
      <c r="B169" s="137" t="s">
        <v>52</v>
      </c>
      <c r="C169" s="137">
        <v>5</v>
      </c>
      <c r="D169" s="133" t="str">
        <f t="shared" si="2"/>
        <v>L5-5</v>
      </c>
    </row>
    <row r="170" spans="1:4" x14ac:dyDescent="0.3">
      <c r="A170" s="137" t="s">
        <v>478</v>
      </c>
      <c r="B170" s="137" t="s">
        <v>52</v>
      </c>
      <c r="C170" s="137">
        <v>5</v>
      </c>
      <c r="D170" s="133" t="str">
        <f t="shared" si="2"/>
        <v>L5-5</v>
      </c>
    </row>
    <row r="171" spans="1:4" x14ac:dyDescent="0.3">
      <c r="A171" s="137" t="s">
        <v>482</v>
      </c>
      <c r="B171" s="137" t="s">
        <v>52</v>
      </c>
      <c r="C171" s="137">
        <v>5</v>
      </c>
      <c r="D171" s="133" t="str">
        <f t="shared" si="2"/>
        <v>L5-5</v>
      </c>
    </row>
    <row r="172" spans="1:4" x14ac:dyDescent="0.3">
      <c r="A172" s="137" t="s">
        <v>515</v>
      </c>
      <c r="B172" s="137" t="s">
        <v>52</v>
      </c>
      <c r="C172" s="137">
        <v>5</v>
      </c>
      <c r="D172" s="133" t="str">
        <f t="shared" si="2"/>
        <v>L5-5</v>
      </c>
    </row>
    <row r="173" spans="1:4" x14ac:dyDescent="0.3">
      <c r="A173" s="137" t="s">
        <v>527</v>
      </c>
      <c r="B173" s="137" t="s">
        <v>52</v>
      </c>
      <c r="C173" s="137">
        <v>5</v>
      </c>
      <c r="D173" s="133" t="str">
        <f t="shared" si="2"/>
        <v>L5-5</v>
      </c>
    </row>
    <row r="174" spans="1:4" x14ac:dyDescent="0.3">
      <c r="A174" s="137" t="s">
        <v>529</v>
      </c>
      <c r="B174" s="137" t="s">
        <v>52</v>
      </c>
      <c r="C174" s="137">
        <v>5</v>
      </c>
      <c r="D174" s="133" t="str">
        <f t="shared" si="2"/>
        <v>L5-5</v>
      </c>
    </row>
    <row r="175" spans="1:4" x14ac:dyDescent="0.3">
      <c r="A175" s="137" t="s">
        <v>531</v>
      </c>
      <c r="B175" s="137" t="s">
        <v>52</v>
      </c>
      <c r="C175" s="137">
        <v>5</v>
      </c>
      <c r="D175" s="133" t="str">
        <f t="shared" si="2"/>
        <v>L5-5</v>
      </c>
    </row>
    <row r="176" spans="1:4" x14ac:dyDescent="0.3">
      <c r="A176" s="137" t="s">
        <v>496</v>
      </c>
      <c r="B176" s="137" t="s">
        <v>52</v>
      </c>
      <c r="C176" s="137">
        <v>5</v>
      </c>
      <c r="D176" s="133" t="str">
        <f t="shared" si="2"/>
        <v>L5-5</v>
      </c>
    </row>
    <row r="177" spans="1:4" x14ac:dyDescent="0.3">
      <c r="A177" s="137" t="s">
        <v>507</v>
      </c>
      <c r="B177" s="137" t="s">
        <v>52</v>
      </c>
      <c r="C177" s="137">
        <v>5</v>
      </c>
      <c r="D177" s="133" t="str">
        <f t="shared" si="2"/>
        <v>L5-5</v>
      </c>
    </row>
    <row r="178" spans="1:4" x14ac:dyDescent="0.3">
      <c r="A178" s="137" t="s">
        <v>509</v>
      </c>
      <c r="B178" s="137" t="s">
        <v>52</v>
      </c>
      <c r="C178" s="137">
        <v>5</v>
      </c>
      <c r="D178" s="133" t="str">
        <f t="shared" si="2"/>
        <v>L5-5</v>
      </c>
    </row>
    <row r="179" spans="1:4" x14ac:dyDescent="0.3">
      <c r="A179" s="137" t="s">
        <v>517</v>
      </c>
      <c r="B179" s="137" t="s">
        <v>52</v>
      </c>
      <c r="C179" s="137">
        <v>5</v>
      </c>
      <c r="D179" s="133" t="str">
        <f t="shared" si="2"/>
        <v>L5-5</v>
      </c>
    </row>
    <row r="180" spans="1:4" x14ac:dyDescent="0.3">
      <c r="A180" s="137" t="s">
        <v>492</v>
      </c>
      <c r="B180" s="137" t="s">
        <v>52</v>
      </c>
      <c r="C180" s="137">
        <v>5</v>
      </c>
      <c r="D180" s="133" t="str">
        <f t="shared" si="2"/>
        <v>L5-5</v>
      </c>
    </row>
    <row r="181" spans="1:4" x14ac:dyDescent="0.3">
      <c r="A181" s="137" t="s">
        <v>519</v>
      </c>
      <c r="B181" s="137" t="s">
        <v>52</v>
      </c>
      <c r="C181" s="137">
        <v>5</v>
      </c>
      <c r="D181" s="133" t="str">
        <f t="shared" si="2"/>
        <v>L5-5</v>
      </c>
    </row>
    <row r="182" spans="1:4" x14ac:dyDescent="0.3">
      <c r="A182" s="137" t="s">
        <v>488</v>
      </c>
      <c r="B182" s="137" t="s">
        <v>52</v>
      </c>
      <c r="C182" s="137">
        <v>5</v>
      </c>
      <c r="D182" s="133" t="str">
        <f t="shared" si="2"/>
        <v>L5-5</v>
      </c>
    </row>
    <row r="183" spans="1:4" x14ac:dyDescent="0.3">
      <c r="A183" s="137" t="s">
        <v>415</v>
      </c>
      <c r="B183" s="137" t="s">
        <v>54</v>
      </c>
      <c r="C183" s="137">
        <v>1</v>
      </c>
      <c r="D183" s="133" t="str">
        <f t="shared" si="2"/>
        <v>L6-1</v>
      </c>
    </row>
    <row r="184" spans="1:4" x14ac:dyDescent="0.3">
      <c r="A184" s="137" t="s">
        <v>1115</v>
      </c>
      <c r="B184" s="137" t="s">
        <v>54</v>
      </c>
      <c r="C184" s="137">
        <v>1</v>
      </c>
      <c r="D184" s="133" t="str">
        <f t="shared" si="2"/>
        <v>L6-1</v>
      </c>
    </row>
    <row r="185" spans="1:4" x14ac:dyDescent="0.3">
      <c r="A185" s="137" t="s">
        <v>1126</v>
      </c>
      <c r="B185" s="137" t="s">
        <v>54</v>
      </c>
      <c r="C185" s="137">
        <v>1</v>
      </c>
      <c r="D185" s="133" t="str">
        <f t="shared" si="2"/>
        <v>L6-1</v>
      </c>
    </row>
    <row r="186" spans="1:4" x14ac:dyDescent="0.3">
      <c r="A186" s="137" t="s">
        <v>780</v>
      </c>
      <c r="B186" s="137" t="s">
        <v>54</v>
      </c>
      <c r="C186" s="137">
        <v>2</v>
      </c>
      <c r="D186" s="133" t="str">
        <f t="shared" si="2"/>
        <v>L6-2</v>
      </c>
    </row>
    <row r="187" spans="1:4" x14ac:dyDescent="0.3">
      <c r="A187" s="137" t="s">
        <v>784</v>
      </c>
      <c r="B187" s="137" t="s">
        <v>54</v>
      </c>
      <c r="C187" s="137">
        <v>2</v>
      </c>
      <c r="D187" s="133" t="str">
        <f t="shared" si="2"/>
        <v>L6-2</v>
      </c>
    </row>
    <row r="188" spans="1:4" x14ac:dyDescent="0.3">
      <c r="A188" s="137" t="s">
        <v>786</v>
      </c>
      <c r="B188" s="137" t="s">
        <v>54</v>
      </c>
      <c r="C188" s="137">
        <v>2</v>
      </c>
      <c r="D188" s="133" t="str">
        <f t="shared" si="2"/>
        <v>L6-2</v>
      </c>
    </row>
    <row r="189" spans="1:4" x14ac:dyDescent="0.3">
      <c r="A189" s="137" t="s">
        <v>788</v>
      </c>
      <c r="B189" s="137" t="s">
        <v>54</v>
      </c>
      <c r="C189" s="137">
        <v>2</v>
      </c>
      <c r="D189" s="133" t="str">
        <f t="shared" si="2"/>
        <v>L6-2</v>
      </c>
    </row>
    <row r="190" spans="1:4" x14ac:dyDescent="0.3">
      <c r="A190" s="137" t="s">
        <v>790</v>
      </c>
      <c r="B190" s="137" t="s">
        <v>54</v>
      </c>
      <c r="C190" s="137">
        <v>2</v>
      </c>
      <c r="D190" s="133" t="str">
        <f t="shared" si="2"/>
        <v>L6-2</v>
      </c>
    </row>
    <row r="191" spans="1:4" x14ac:dyDescent="0.3">
      <c r="A191" s="137" t="s">
        <v>792</v>
      </c>
      <c r="B191" s="137" t="s">
        <v>54</v>
      </c>
      <c r="C191" s="137">
        <v>2</v>
      </c>
      <c r="D191" s="133" t="str">
        <f t="shared" si="2"/>
        <v>L6-2</v>
      </c>
    </row>
    <row r="192" spans="1:4" x14ac:dyDescent="0.3">
      <c r="A192" s="137" t="s">
        <v>795</v>
      </c>
      <c r="B192" s="137" t="s">
        <v>54</v>
      </c>
      <c r="C192" s="137">
        <v>2</v>
      </c>
      <c r="D192" s="133" t="str">
        <f t="shared" si="2"/>
        <v>L6-2</v>
      </c>
    </row>
    <row r="193" spans="1:4" x14ac:dyDescent="0.3">
      <c r="A193" s="137" t="s">
        <v>797</v>
      </c>
      <c r="B193" s="137" t="s">
        <v>54</v>
      </c>
      <c r="C193" s="137">
        <v>2</v>
      </c>
      <c r="D193" s="133" t="str">
        <f t="shared" si="2"/>
        <v>L6-2</v>
      </c>
    </row>
    <row r="194" spans="1:4" x14ac:dyDescent="0.3">
      <c r="A194" s="137" t="s">
        <v>799</v>
      </c>
      <c r="B194" s="137" t="s">
        <v>54</v>
      </c>
      <c r="C194" s="137">
        <v>2</v>
      </c>
      <c r="D194" s="133" t="str">
        <f t="shared" ref="D194:D257" si="3">B194&amp;"-"&amp;C194</f>
        <v>L6-2</v>
      </c>
    </row>
    <row r="195" spans="1:4" x14ac:dyDescent="0.3">
      <c r="A195" s="137" t="s">
        <v>542</v>
      </c>
      <c r="B195" s="137" t="s">
        <v>54</v>
      </c>
      <c r="C195" s="137">
        <v>3</v>
      </c>
      <c r="D195" s="133" t="str">
        <f t="shared" si="3"/>
        <v>L6-3</v>
      </c>
    </row>
    <row r="196" spans="1:4" x14ac:dyDescent="0.3">
      <c r="A196" s="137" t="s">
        <v>842</v>
      </c>
      <c r="B196" s="137" t="s">
        <v>54</v>
      </c>
      <c r="C196" s="137">
        <v>3</v>
      </c>
      <c r="D196" s="133" t="str">
        <f t="shared" si="3"/>
        <v>L6-3</v>
      </c>
    </row>
    <row r="197" spans="1:4" x14ac:dyDescent="0.3">
      <c r="A197" s="137" t="s">
        <v>844</v>
      </c>
      <c r="B197" s="137" t="s">
        <v>54</v>
      </c>
      <c r="C197" s="137">
        <v>3</v>
      </c>
      <c r="D197" s="133" t="str">
        <f t="shared" si="3"/>
        <v>L6-3</v>
      </c>
    </row>
    <row r="198" spans="1:4" x14ac:dyDescent="0.3">
      <c r="A198" s="137" t="s">
        <v>1130</v>
      </c>
      <c r="B198" s="137" t="s">
        <v>54</v>
      </c>
      <c r="C198" s="137">
        <v>3</v>
      </c>
      <c r="D198" s="133" t="str">
        <f t="shared" si="3"/>
        <v>L6-3</v>
      </c>
    </row>
    <row r="199" spans="1:4" x14ac:dyDescent="0.3">
      <c r="A199" s="137" t="s">
        <v>1122</v>
      </c>
      <c r="B199" s="137" t="s">
        <v>54</v>
      </c>
      <c r="C199" s="137">
        <v>4</v>
      </c>
      <c r="D199" s="133" t="str">
        <f t="shared" si="3"/>
        <v>L6-4</v>
      </c>
    </row>
    <row r="200" spans="1:4" x14ac:dyDescent="0.3">
      <c r="A200" s="137" t="s">
        <v>1103</v>
      </c>
      <c r="B200" s="137" t="s">
        <v>54</v>
      </c>
      <c r="C200" s="137">
        <v>4</v>
      </c>
      <c r="D200" s="133" t="str">
        <f t="shared" si="3"/>
        <v>L6-4</v>
      </c>
    </row>
    <row r="201" spans="1:4" x14ac:dyDescent="0.3">
      <c r="A201" s="137" t="s">
        <v>1111</v>
      </c>
      <c r="B201" s="137" t="s">
        <v>54</v>
      </c>
      <c r="C201" s="137">
        <v>4</v>
      </c>
      <c r="D201" s="133" t="str">
        <f t="shared" si="3"/>
        <v>L6-4</v>
      </c>
    </row>
    <row r="202" spans="1:4" x14ac:dyDescent="0.3">
      <c r="A202" s="137" t="s">
        <v>1128</v>
      </c>
      <c r="B202" s="137" t="s">
        <v>54</v>
      </c>
      <c r="C202" s="137">
        <v>4</v>
      </c>
      <c r="D202" s="133" t="str">
        <f t="shared" si="3"/>
        <v>L6-4</v>
      </c>
    </row>
    <row r="203" spans="1:4" x14ac:dyDescent="0.3">
      <c r="A203" s="137" t="s">
        <v>620</v>
      </c>
      <c r="B203" s="137" t="s">
        <v>54</v>
      </c>
      <c r="C203" s="137">
        <v>5</v>
      </c>
      <c r="D203" s="133" t="str">
        <f t="shared" si="3"/>
        <v>L6-5</v>
      </c>
    </row>
    <row r="204" spans="1:4" x14ac:dyDescent="0.3">
      <c r="A204" s="137" t="s">
        <v>1054</v>
      </c>
      <c r="B204" s="137" t="s">
        <v>54</v>
      </c>
      <c r="C204" s="137">
        <v>5</v>
      </c>
      <c r="D204" s="133" t="str">
        <f t="shared" si="3"/>
        <v>L6-5</v>
      </c>
    </row>
    <row r="205" spans="1:4" x14ac:dyDescent="0.3">
      <c r="A205" s="137" t="s">
        <v>2139</v>
      </c>
      <c r="B205" s="137" t="s">
        <v>54</v>
      </c>
      <c r="C205" s="137">
        <v>5</v>
      </c>
      <c r="D205" s="133" t="str">
        <f t="shared" si="3"/>
        <v>L6-5</v>
      </c>
    </row>
    <row r="206" spans="1:4" x14ac:dyDescent="0.3">
      <c r="A206" s="138" t="s">
        <v>1056</v>
      </c>
      <c r="B206" s="137" t="s">
        <v>54</v>
      </c>
      <c r="C206" s="137">
        <v>5</v>
      </c>
      <c r="D206" s="133" t="str">
        <f t="shared" si="3"/>
        <v>L6-5</v>
      </c>
    </row>
    <row r="207" spans="1:4" x14ac:dyDescent="0.3">
      <c r="A207" s="138" t="s">
        <v>1059</v>
      </c>
      <c r="B207" s="137" t="s">
        <v>54</v>
      </c>
      <c r="C207" s="137">
        <v>5</v>
      </c>
      <c r="D207" s="133" t="str">
        <f t="shared" si="3"/>
        <v>L6-5</v>
      </c>
    </row>
    <row r="208" spans="1:4" x14ac:dyDescent="0.3">
      <c r="A208" s="138" t="s">
        <v>1062</v>
      </c>
      <c r="B208" s="137" t="s">
        <v>54</v>
      </c>
      <c r="C208" s="137">
        <v>5</v>
      </c>
      <c r="D208" s="133" t="str">
        <f t="shared" si="3"/>
        <v>L6-5</v>
      </c>
    </row>
    <row r="209" spans="1:4" x14ac:dyDescent="0.3">
      <c r="A209" s="138" t="s">
        <v>1064</v>
      </c>
      <c r="B209" s="137" t="s">
        <v>54</v>
      </c>
      <c r="C209" s="137">
        <v>5</v>
      </c>
      <c r="D209" s="133" t="str">
        <f t="shared" si="3"/>
        <v>L6-5</v>
      </c>
    </row>
    <row r="210" spans="1:4" x14ac:dyDescent="0.3">
      <c r="A210" s="137" t="s">
        <v>550</v>
      </c>
      <c r="B210" s="137" t="s">
        <v>54</v>
      </c>
      <c r="C210" s="137">
        <v>6</v>
      </c>
      <c r="D210" s="133" t="str">
        <f t="shared" si="3"/>
        <v>L6-6</v>
      </c>
    </row>
    <row r="211" spans="1:4" x14ac:dyDescent="0.3">
      <c r="A211" s="137" t="s">
        <v>583</v>
      </c>
      <c r="B211" s="137" t="s">
        <v>54</v>
      </c>
      <c r="C211" s="137">
        <v>6</v>
      </c>
      <c r="D211" s="133" t="str">
        <f t="shared" si="3"/>
        <v>L6-6</v>
      </c>
    </row>
    <row r="212" spans="1:4" x14ac:dyDescent="0.3">
      <c r="A212" s="137" t="s">
        <v>565</v>
      </c>
      <c r="B212" s="137" t="s">
        <v>54</v>
      </c>
      <c r="C212" s="137">
        <v>6</v>
      </c>
      <c r="D212" s="133" t="str">
        <f t="shared" si="3"/>
        <v>L6-6</v>
      </c>
    </row>
    <row r="213" spans="1:4" x14ac:dyDescent="0.3">
      <c r="A213" s="137" t="s">
        <v>546</v>
      </c>
      <c r="B213" s="137" t="s">
        <v>54</v>
      </c>
      <c r="C213" s="137">
        <v>6</v>
      </c>
      <c r="D213" s="133" t="str">
        <f t="shared" si="3"/>
        <v>L6-6</v>
      </c>
    </row>
    <row r="214" spans="1:4" x14ac:dyDescent="0.3">
      <c r="A214" s="137" t="s">
        <v>592</v>
      </c>
      <c r="B214" s="137" t="s">
        <v>54</v>
      </c>
      <c r="C214" s="137">
        <v>6</v>
      </c>
      <c r="D214" s="133" t="str">
        <f t="shared" si="3"/>
        <v>L6-6</v>
      </c>
    </row>
    <row r="215" spans="1:4" x14ac:dyDescent="0.3">
      <c r="A215" s="137" t="s">
        <v>597</v>
      </c>
      <c r="B215" s="137" t="s">
        <v>54</v>
      </c>
      <c r="C215" s="137">
        <v>6</v>
      </c>
      <c r="D215" s="133" t="str">
        <f t="shared" si="3"/>
        <v>L6-6</v>
      </c>
    </row>
    <row r="216" spans="1:4" x14ac:dyDescent="0.3">
      <c r="A216" s="137" t="s">
        <v>572</v>
      </c>
      <c r="B216" s="137" t="s">
        <v>54</v>
      </c>
      <c r="C216" s="137">
        <v>6</v>
      </c>
      <c r="D216" s="133" t="str">
        <f t="shared" si="3"/>
        <v>L6-6</v>
      </c>
    </row>
    <row r="217" spans="1:4" x14ac:dyDescent="0.3">
      <c r="A217" s="137" t="s">
        <v>1107</v>
      </c>
      <c r="B217" s="137" t="s">
        <v>54</v>
      </c>
      <c r="C217" s="137">
        <v>6</v>
      </c>
      <c r="D217" s="133" t="str">
        <f t="shared" si="3"/>
        <v>L6-6</v>
      </c>
    </row>
    <row r="218" spans="1:4" x14ac:dyDescent="0.3">
      <c r="A218" s="137" t="s">
        <v>233</v>
      </c>
      <c r="B218" s="137" t="s">
        <v>54</v>
      </c>
      <c r="C218" s="137">
        <v>6</v>
      </c>
      <c r="D218" s="133" t="str">
        <f t="shared" si="3"/>
        <v>L6-6</v>
      </c>
    </row>
    <row r="219" spans="1:4" x14ac:dyDescent="0.3">
      <c r="A219" s="137" t="s">
        <v>603</v>
      </c>
      <c r="B219" s="137" t="s">
        <v>54</v>
      </c>
      <c r="C219" s="137">
        <v>7</v>
      </c>
      <c r="D219" s="133" t="str">
        <f t="shared" si="3"/>
        <v>L6-7</v>
      </c>
    </row>
    <row r="220" spans="1:4" x14ac:dyDescent="0.3">
      <c r="A220" s="137" t="s">
        <v>1117</v>
      </c>
      <c r="B220" s="137" t="s">
        <v>54</v>
      </c>
      <c r="C220" s="137">
        <v>7</v>
      </c>
      <c r="D220" s="133" t="str">
        <f t="shared" si="3"/>
        <v>L6-7</v>
      </c>
    </row>
    <row r="221" spans="1:4" x14ac:dyDescent="0.3">
      <c r="A221" s="137" t="s">
        <v>608</v>
      </c>
      <c r="B221" s="137" t="s">
        <v>54</v>
      </c>
      <c r="C221" s="137">
        <v>7</v>
      </c>
      <c r="D221" s="133" t="str">
        <f t="shared" si="3"/>
        <v>L6-7</v>
      </c>
    </row>
    <row r="222" spans="1:4" x14ac:dyDescent="0.3">
      <c r="A222" s="137" t="s">
        <v>588</v>
      </c>
      <c r="B222" s="137" t="s">
        <v>54</v>
      </c>
      <c r="C222" s="137">
        <v>7</v>
      </c>
      <c r="D222" s="133" t="str">
        <f t="shared" si="3"/>
        <v>L6-7</v>
      </c>
    </row>
    <row r="223" spans="1:4" x14ac:dyDescent="0.3">
      <c r="A223" s="137" t="s">
        <v>578</v>
      </c>
      <c r="B223" s="137" t="s">
        <v>54</v>
      </c>
      <c r="C223" s="137">
        <v>7</v>
      </c>
      <c r="D223" s="133" t="str">
        <f t="shared" si="3"/>
        <v>L6-7</v>
      </c>
    </row>
    <row r="224" spans="1:4" x14ac:dyDescent="0.3">
      <c r="A224" s="137" t="s">
        <v>556</v>
      </c>
      <c r="B224" s="137" t="s">
        <v>54</v>
      </c>
      <c r="C224" s="137">
        <v>7</v>
      </c>
      <c r="D224" s="133" t="str">
        <f t="shared" si="3"/>
        <v>L6-7</v>
      </c>
    </row>
    <row r="225" spans="1:4" x14ac:dyDescent="0.3">
      <c r="A225" s="137" t="s">
        <v>561</v>
      </c>
      <c r="B225" s="137" t="s">
        <v>54</v>
      </c>
      <c r="C225" s="137">
        <v>7</v>
      </c>
      <c r="D225" s="133" t="str">
        <f t="shared" si="3"/>
        <v>L6-7</v>
      </c>
    </row>
    <row r="226" spans="1:4" x14ac:dyDescent="0.3">
      <c r="A226" s="137" t="s">
        <v>614</v>
      </c>
      <c r="B226" s="137" t="s">
        <v>54</v>
      </c>
      <c r="C226" s="137">
        <v>7</v>
      </c>
      <c r="D226" s="133" t="str">
        <f t="shared" si="3"/>
        <v>L6-7</v>
      </c>
    </row>
    <row r="227" spans="1:4" x14ac:dyDescent="0.3">
      <c r="A227" s="137" t="s">
        <v>1046</v>
      </c>
      <c r="B227" s="137" t="s">
        <v>54</v>
      </c>
      <c r="C227" s="137">
        <v>7</v>
      </c>
      <c r="D227" s="133" t="str">
        <f t="shared" si="3"/>
        <v>L6-7</v>
      </c>
    </row>
    <row r="228" spans="1:4" x14ac:dyDescent="0.3">
      <c r="A228" s="137" t="s">
        <v>1010</v>
      </c>
      <c r="B228" s="137" t="s">
        <v>54</v>
      </c>
      <c r="C228" s="137">
        <v>7</v>
      </c>
      <c r="D228" s="133" t="str">
        <f t="shared" si="3"/>
        <v>L6-7</v>
      </c>
    </row>
    <row r="229" spans="1:4" x14ac:dyDescent="0.3">
      <c r="A229" s="137" t="s">
        <v>1466</v>
      </c>
      <c r="B229" s="137" t="s">
        <v>54</v>
      </c>
      <c r="C229" s="137">
        <v>7</v>
      </c>
      <c r="D229" s="133" t="str">
        <f t="shared" si="3"/>
        <v>L6-7</v>
      </c>
    </row>
    <row r="230" spans="1:4" x14ac:dyDescent="0.3">
      <c r="A230" s="137" t="s">
        <v>1038</v>
      </c>
      <c r="B230" s="137" t="s">
        <v>54</v>
      </c>
      <c r="C230" s="137">
        <v>7</v>
      </c>
      <c r="D230" s="133" t="str">
        <f t="shared" si="3"/>
        <v>L6-7</v>
      </c>
    </row>
    <row r="231" spans="1:4" x14ac:dyDescent="0.3">
      <c r="A231" s="137" t="s">
        <v>533</v>
      </c>
      <c r="B231" s="137" t="s">
        <v>54</v>
      </c>
      <c r="C231" s="137">
        <v>7</v>
      </c>
      <c r="D231" s="133" t="str">
        <f t="shared" si="3"/>
        <v>L6-7</v>
      </c>
    </row>
    <row r="232" spans="1:4" x14ac:dyDescent="0.3">
      <c r="A232" s="137" t="s">
        <v>540</v>
      </c>
      <c r="B232" s="137" t="s">
        <v>54</v>
      </c>
      <c r="C232" s="137">
        <v>7</v>
      </c>
      <c r="D232" s="133" t="str">
        <f t="shared" si="3"/>
        <v>L6-7</v>
      </c>
    </row>
    <row r="233" spans="1:4" x14ac:dyDescent="0.3">
      <c r="A233" s="137" t="s">
        <v>1050</v>
      </c>
      <c r="B233" s="137" t="s">
        <v>54</v>
      </c>
      <c r="C233" s="137">
        <v>7</v>
      </c>
      <c r="D233" s="133" t="str">
        <f t="shared" si="3"/>
        <v>L6-7</v>
      </c>
    </row>
    <row r="234" spans="1:4" x14ac:dyDescent="0.3">
      <c r="A234" s="137" t="s">
        <v>767</v>
      </c>
      <c r="B234" s="137" t="s">
        <v>54</v>
      </c>
      <c r="C234" s="137">
        <v>8</v>
      </c>
      <c r="D234" s="133" t="str">
        <f t="shared" si="3"/>
        <v>L6-8</v>
      </c>
    </row>
    <row r="235" spans="1:4" x14ac:dyDescent="0.3">
      <c r="A235" s="137" t="s">
        <v>769</v>
      </c>
      <c r="B235" s="137" t="s">
        <v>54</v>
      </c>
      <c r="C235" s="137">
        <v>8</v>
      </c>
      <c r="D235" s="133" t="str">
        <f t="shared" si="3"/>
        <v>L6-8</v>
      </c>
    </row>
    <row r="236" spans="1:4" x14ac:dyDescent="0.3">
      <c r="A236" s="137" t="s">
        <v>1388</v>
      </c>
      <c r="B236" s="137" t="s">
        <v>55</v>
      </c>
      <c r="C236" s="137">
        <v>1</v>
      </c>
      <c r="D236" s="133" t="str">
        <f t="shared" si="3"/>
        <v>L7-1</v>
      </c>
    </row>
    <row r="237" spans="1:4" x14ac:dyDescent="0.3">
      <c r="A237" s="137" t="s">
        <v>1369</v>
      </c>
      <c r="B237" s="137" t="s">
        <v>55</v>
      </c>
      <c r="C237" s="137">
        <v>2</v>
      </c>
      <c r="D237" s="133" t="str">
        <f t="shared" si="3"/>
        <v>L7-2</v>
      </c>
    </row>
    <row r="238" spans="1:4" x14ac:dyDescent="0.3">
      <c r="A238" s="137" t="s">
        <v>2412</v>
      </c>
      <c r="B238" s="137" t="s">
        <v>55</v>
      </c>
      <c r="C238" s="137">
        <v>2</v>
      </c>
      <c r="D238" s="133" t="str">
        <f t="shared" si="3"/>
        <v>L7-2</v>
      </c>
    </row>
    <row r="239" spans="1:4" x14ac:dyDescent="0.3">
      <c r="A239" s="137" t="s">
        <v>1382</v>
      </c>
      <c r="B239" s="137" t="s">
        <v>55</v>
      </c>
      <c r="C239" s="137">
        <v>2</v>
      </c>
      <c r="D239" s="133" t="str">
        <f t="shared" si="3"/>
        <v>L7-2</v>
      </c>
    </row>
    <row r="240" spans="1:4" x14ac:dyDescent="0.3">
      <c r="A240" s="137" t="s">
        <v>1384</v>
      </c>
      <c r="B240" s="137" t="s">
        <v>55</v>
      </c>
      <c r="C240" s="137">
        <v>2</v>
      </c>
      <c r="D240" s="133" t="str">
        <f t="shared" si="3"/>
        <v>L7-2</v>
      </c>
    </row>
    <row r="241" spans="1:4" x14ac:dyDescent="0.3">
      <c r="A241" s="137" t="s">
        <v>1386</v>
      </c>
      <c r="B241" s="137" t="s">
        <v>55</v>
      </c>
      <c r="C241" s="137">
        <v>2</v>
      </c>
      <c r="D241" s="133" t="str">
        <f t="shared" si="3"/>
        <v>L7-2</v>
      </c>
    </row>
    <row r="242" spans="1:4" x14ac:dyDescent="0.3">
      <c r="A242" s="137" t="s">
        <v>1374</v>
      </c>
      <c r="B242" s="137" t="s">
        <v>55</v>
      </c>
      <c r="C242" s="137">
        <v>2</v>
      </c>
      <c r="D242" s="133" t="str">
        <f t="shared" si="3"/>
        <v>L7-2</v>
      </c>
    </row>
    <row r="243" spans="1:4" x14ac:dyDescent="0.3">
      <c r="A243" s="137" t="s">
        <v>1378</v>
      </c>
      <c r="B243" s="137" t="s">
        <v>55</v>
      </c>
      <c r="C243" s="137">
        <v>2</v>
      </c>
      <c r="D243" s="133" t="str">
        <f t="shared" si="3"/>
        <v>L7-2</v>
      </c>
    </row>
    <row r="244" spans="1:4" x14ac:dyDescent="0.3">
      <c r="A244" s="137" t="s">
        <v>919</v>
      </c>
      <c r="B244" s="137" t="s">
        <v>56</v>
      </c>
      <c r="C244" s="137">
        <v>1</v>
      </c>
      <c r="D244" s="133" t="str">
        <f t="shared" si="3"/>
        <v>L8-1</v>
      </c>
    </row>
    <row r="245" spans="1:4" x14ac:dyDescent="0.3">
      <c r="A245" s="137" t="s">
        <v>1453</v>
      </c>
      <c r="B245" s="137" t="s">
        <v>56</v>
      </c>
      <c r="C245" s="137">
        <v>1</v>
      </c>
      <c r="D245" s="133" t="str">
        <f t="shared" si="3"/>
        <v>L8-1</v>
      </c>
    </row>
    <row r="246" spans="1:4" x14ac:dyDescent="0.3">
      <c r="A246" s="137" t="s">
        <v>2413</v>
      </c>
      <c r="B246" s="137" t="s">
        <v>56</v>
      </c>
      <c r="C246" s="137">
        <v>1</v>
      </c>
      <c r="D246" s="133" t="str">
        <f t="shared" si="3"/>
        <v>L8-1</v>
      </c>
    </row>
    <row r="247" spans="1:4" x14ac:dyDescent="0.3">
      <c r="A247" s="137" t="s">
        <v>939</v>
      </c>
      <c r="B247" s="137" t="s">
        <v>56</v>
      </c>
      <c r="C247" s="137">
        <v>2</v>
      </c>
      <c r="D247" s="133" t="str">
        <f t="shared" si="3"/>
        <v>L8-2</v>
      </c>
    </row>
    <row r="248" spans="1:4" x14ac:dyDescent="0.3">
      <c r="A248" s="137" t="s">
        <v>945</v>
      </c>
      <c r="B248" s="137" t="s">
        <v>56</v>
      </c>
      <c r="C248" s="137">
        <v>2</v>
      </c>
      <c r="D248" s="133" t="str">
        <f t="shared" si="3"/>
        <v>L8-2</v>
      </c>
    </row>
    <row r="249" spans="1:4" x14ac:dyDescent="0.3">
      <c r="A249" s="137" t="s">
        <v>937</v>
      </c>
      <c r="B249" s="137" t="s">
        <v>56</v>
      </c>
      <c r="C249" s="137">
        <v>2</v>
      </c>
      <c r="D249" s="133" t="str">
        <f t="shared" si="3"/>
        <v>L8-2</v>
      </c>
    </row>
    <row r="250" spans="1:4" x14ac:dyDescent="0.3">
      <c r="A250" s="137" t="s">
        <v>948</v>
      </c>
      <c r="B250" s="137" t="s">
        <v>56</v>
      </c>
      <c r="C250" s="137">
        <v>2</v>
      </c>
      <c r="D250" s="133" t="str">
        <f t="shared" si="3"/>
        <v>L8-2</v>
      </c>
    </row>
    <row r="251" spans="1:4" x14ac:dyDescent="0.3">
      <c r="A251" s="137" t="s">
        <v>953</v>
      </c>
      <c r="B251" s="137" t="s">
        <v>56</v>
      </c>
      <c r="C251" s="137">
        <v>2</v>
      </c>
      <c r="D251" s="133" t="str">
        <f t="shared" si="3"/>
        <v>L8-2</v>
      </c>
    </row>
    <row r="252" spans="1:4" x14ac:dyDescent="0.3">
      <c r="A252" s="137" t="s">
        <v>943</v>
      </c>
      <c r="B252" s="137" t="s">
        <v>56</v>
      </c>
      <c r="C252" s="137">
        <v>2</v>
      </c>
      <c r="D252" s="133" t="str">
        <f t="shared" si="3"/>
        <v>L8-2</v>
      </c>
    </row>
    <row r="253" spans="1:4" x14ac:dyDescent="0.3">
      <c r="A253" s="137" t="s">
        <v>1132</v>
      </c>
      <c r="B253" s="137" t="s">
        <v>56</v>
      </c>
      <c r="C253" s="137">
        <v>3</v>
      </c>
      <c r="D253" s="133" t="str">
        <f t="shared" si="3"/>
        <v>L8-3</v>
      </c>
    </row>
    <row r="254" spans="1:4" x14ac:dyDescent="0.3">
      <c r="A254" s="137" t="s">
        <v>1283</v>
      </c>
      <c r="B254" s="137" t="s">
        <v>56</v>
      </c>
      <c r="C254" s="137">
        <v>3</v>
      </c>
      <c r="D254" s="133" t="str">
        <f t="shared" si="3"/>
        <v>L8-3</v>
      </c>
    </row>
    <row r="255" spans="1:4" x14ac:dyDescent="0.3">
      <c r="A255" s="137" t="s">
        <v>1285</v>
      </c>
      <c r="B255" s="137" t="s">
        <v>56</v>
      </c>
      <c r="C255" s="137">
        <v>3</v>
      </c>
      <c r="D255" s="133" t="str">
        <f t="shared" si="3"/>
        <v>L8-3</v>
      </c>
    </row>
    <row r="256" spans="1:4" x14ac:dyDescent="0.3">
      <c r="A256" s="137" t="s">
        <v>1287</v>
      </c>
      <c r="B256" s="137" t="s">
        <v>56</v>
      </c>
      <c r="C256" s="137">
        <v>3</v>
      </c>
      <c r="D256" s="133" t="str">
        <f t="shared" si="3"/>
        <v>L8-3</v>
      </c>
    </row>
    <row r="257" spans="1:4" x14ac:dyDescent="0.3">
      <c r="A257" s="137" t="s">
        <v>1289</v>
      </c>
      <c r="B257" s="137" t="s">
        <v>56</v>
      </c>
      <c r="C257" s="137">
        <v>3</v>
      </c>
      <c r="D257" s="133" t="str">
        <f t="shared" si="3"/>
        <v>L8-3</v>
      </c>
    </row>
    <row r="258" spans="1:4" x14ac:dyDescent="0.3">
      <c r="A258" s="137" t="s">
        <v>1291</v>
      </c>
      <c r="B258" s="137" t="s">
        <v>56</v>
      </c>
      <c r="C258" s="137">
        <v>3</v>
      </c>
      <c r="D258" s="133" t="str">
        <f t="shared" ref="D258:D321" si="4">B258&amp;"-"&amp;C258</f>
        <v>L8-3</v>
      </c>
    </row>
    <row r="259" spans="1:4" x14ac:dyDescent="0.3">
      <c r="A259" s="137" t="s">
        <v>1293</v>
      </c>
      <c r="B259" s="137" t="s">
        <v>56</v>
      </c>
      <c r="C259" s="137">
        <v>3</v>
      </c>
      <c r="D259" s="133" t="str">
        <f t="shared" si="4"/>
        <v>L8-3</v>
      </c>
    </row>
    <row r="260" spans="1:4" x14ac:dyDescent="0.3">
      <c r="A260" s="137" t="s">
        <v>1295</v>
      </c>
      <c r="B260" s="137" t="s">
        <v>56</v>
      </c>
      <c r="C260" s="137">
        <v>3</v>
      </c>
      <c r="D260" s="133" t="str">
        <f t="shared" si="4"/>
        <v>L8-3</v>
      </c>
    </row>
    <row r="261" spans="1:4" x14ac:dyDescent="0.3">
      <c r="A261" s="137" t="s">
        <v>1297</v>
      </c>
      <c r="B261" s="137" t="s">
        <v>56</v>
      </c>
      <c r="C261" s="137">
        <v>3</v>
      </c>
      <c r="D261" s="133" t="str">
        <f t="shared" si="4"/>
        <v>L8-3</v>
      </c>
    </row>
    <row r="262" spans="1:4" x14ac:dyDescent="0.3">
      <c r="A262" s="137" t="s">
        <v>1299</v>
      </c>
      <c r="B262" s="137" t="s">
        <v>56</v>
      </c>
      <c r="C262" s="137">
        <v>3</v>
      </c>
      <c r="D262" s="133" t="str">
        <f t="shared" si="4"/>
        <v>L8-3</v>
      </c>
    </row>
    <row r="263" spans="1:4" x14ac:dyDescent="0.3">
      <c r="A263" s="137" t="s">
        <v>1301</v>
      </c>
      <c r="B263" s="137" t="s">
        <v>56</v>
      </c>
      <c r="C263" s="137">
        <v>3</v>
      </c>
      <c r="D263" s="133" t="str">
        <f t="shared" si="4"/>
        <v>L8-3</v>
      </c>
    </row>
    <row r="264" spans="1:4" x14ac:dyDescent="0.3">
      <c r="A264" s="137" t="s">
        <v>1303</v>
      </c>
      <c r="B264" s="137" t="s">
        <v>56</v>
      </c>
      <c r="C264" s="137">
        <v>3</v>
      </c>
      <c r="D264" s="133" t="str">
        <f t="shared" si="4"/>
        <v>L8-3</v>
      </c>
    </row>
    <row r="265" spans="1:4" x14ac:dyDescent="0.3">
      <c r="A265" s="137" t="s">
        <v>1305</v>
      </c>
      <c r="B265" s="137" t="s">
        <v>56</v>
      </c>
      <c r="C265" s="137">
        <v>3</v>
      </c>
      <c r="D265" s="133" t="str">
        <f t="shared" si="4"/>
        <v>L8-3</v>
      </c>
    </row>
    <row r="266" spans="1:4" x14ac:dyDescent="0.3">
      <c r="A266" s="137" t="s">
        <v>1307</v>
      </c>
      <c r="B266" s="137" t="s">
        <v>56</v>
      </c>
      <c r="C266" s="137">
        <v>3</v>
      </c>
      <c r="D266" s="133" t="str">
        <f t="shared" si="4"/>
        <v>L8-3</v>
      </c>
    </row>
    <row r="267" spans="1:4" x14ac:dyDescent="0.3">
      <c r="A267" s="137" t="s">
        <v>1309</v>
      </c>
      <c r="B267" s="137" t="s">
        <v>56</v>
      </c>
      <c r="C267" s="137">
        <v>3</v>
      </c>
      <c r="D267" s="133" t="str">
        <f t="shared" si="4"/>
        <v>L8-3</v>
      </c>
    </row>
    <row r="268" spans="1:4" x14ac:dyDescent="0.3">
      <c r="A268" s="137" t="s">
        <v>1311</v>
      </c>
      <c r="B268" s="137" t="s">
        <v>56</v>
      </c>
      <c r="C268" s="137">
        <v>3</v>
      </c>
      <c r="D268" s="133" t="str">
        <f t="shared" si="4"/>
        <v>L8-3</v>
      </c>
    </row>
    <row r="269" spans="1:4" x14ac:dyDescent="0.3">
      <c r="A269" s="137" t="s">
        <v>1313</v>
      </c>
      <c r="B269" s="137" t="s">
        <v>56</v>
      </c>
      <c r="C269" s="137">
        <v>3</v>
      </c>
      <c r="D269" s="133" t="str">
        <f t="shared" si="4"/>
        <v>L8-3</v>
      </c>
    </row>
    <row r="270" spans="1:4" x14ac:dyDescent="0.3">
      <c r="A270" s="137" t="s">
        <v>1315</v>
      </c>
      <c r="B270" s="137" t="s">
        <v>56</v>
      </c>
      <c r="C270" s="137">
        <v>3</v>
      </c>
      <c r="D270" s="133" t="str">
        <f t="shared" si="4"/>
        <v>L8-3</v>
      </c>
    </row>
    <row r="271" spans="1:4" x14ac:dyDescent="0.3">
      <c r="A271" s="137" t="s">
        <v>1317</v>
      </c>
      <c r="B271" s="137" t="s">
        <v>56</v>
      </c>
      <c r="C271" s="137">
        <v>3</v>
      </c>
      <c r="D271" s="133" t="str">
        <f t="shared" si="4"/>
        <v>L8-3</v>
      </c>
    </row>
    <row r="272" spans="1:4" x14ac:dyDescent="0.3">
      <c r="A272" s="137" t="s">
        <v>1319</v>
      </c>
      <c r="B272" s="137" t="s">
        <v>56</v>
      </c>
      <c r="C272" s="137">
        <v>3</v>
      </c>
      <c r="D272" s="133" t="str">
        <f t="shared" si="4"/>
        <v>L8-3</v>
      </c>
    </row>
    <row r="273" spans="1:4" x14ac:dyDescent="0.3">
      <c r="A273" s="137" t="s">
        <v>1321</v>
      </c>
      <c r="B273" s="137" t="s">
        <v>56</v>
      </c>
      <c r="C273" s="137">
        <v>3</v>
      </c>
      <c r="D273" s="133" t="str">
        <f t="shared" si="4"/>
        <v>L8-3</v>
      </c>
    </row>
    <row r="274" spans="1:4" x14ac:dyDescent="0.3">
      <c r="A274" s="137" t="s">
        <v>1323</v>
      </c>
      <c r="B274" s="137" t="s">
        <v>56</v>
      </c>
      <c r="C274" s="137">
        <v>3</v>
      </c>
      <c r="D274" s="133" t="str">
        <f t="shared" si="4"/>
        <v>L8-3</v>
      </c>
    </row>
    <row r="275" spans="1:4" x14ac:dyDescent="0.3">
      <c r="A275" s="137" t="s">
        <v>1325</v>
      </c>
      <c r="B275" s="137" t="s">
        <v>56</v>
      </c>
      <c r="C275" s="137">
        <v>3</v>
      </c>
      <c r="D275" s="133" t="str">
        <f t="shared" si="4"/>
        <v>L8-3</v>
      </c>
    </row>
    <row r="276" spans="1:4" x14ac:dyDescent="0.3">
      <c r="A276" s="137" t="s">
        <v>1327</v>
      </c>
      <c r="B276" s="137" t="s">
        <v>56</v>
      </c>
      <c r="C276" s="137">
        <v>3</v>
      </c>
      <c r="D276" s="133" t="str">
        <f t="shared" si="4"/>
        <v>L8-3</v>
      </c>
    </row>
    <row r="277" spans="1:4" x14ac:dyDescent="0.3">
      <c r="A277" s="137" t="s">
        <v>1329</v>
      </c>
      <c r="B277" s="137" t="s">
        <v>56</v>
      </c>
      <c r="C277" s="137">
        <v>3</v>
      </c>
      <c r="D277" s="133" t="str">
        <f t="shared" si="4"/>
        <v>L8-3</v>
      </c>
    </row>
    <row r="278" spans="1:4" x14ac:dyDescent="0.3">
      <c r="A278" s="137" t="s">
        <v>1331</v>
      </c>
      <c r="B278" s="137" t="s">
        <v>56</v>
      </c>
      <c r="C278" s="137">
        <v>3</v>
      </c>
      <c r="D278" s="133" t="str">
        <f t="shared" si="4"/>
        <v>L8-3</v>
      </c>
    </row>
    <row r="279" spans="1:4" x14ac:dyDescent="0.3">
      <c r="A279" s="137" t="s">
        <v>1335</v>
      </c>
      <c r="B279" s="137" t="s">
        <v>56</v>
      </c>
      <c r="C279" s="137">
        <v>3</v>
      </c>
      <c r="D279" s="133" t="str">
        <f t="shared" si="4"/>
        <v>L8-3</v>
      </c>
    </row>
    <row r="280" spans="1:4" x14ac:dyDescent="0.3">
      <c r="A280" s="137" t="s">
        <v>1337</v>
      </c>
      <c r="B280" s="137" t="s">
        <v>56</v>
      </c>
      <c r="C280" s="137">
        <v>3</v>
      </c>
      <c r="D280" s="133" t="str">
        <f t="shared" si="4"/>
        <v>L8-3</v>
      </c>
    </row>
    <row r="281" spans="1:4" x14ac:dyDescent="0.3">
      <c r="A281" s="137" t="s">
        <v>1339</v>
      </c>
      <c r="B281" s="137" t="s">
        <v>56</v>
      </c>
      <c r="C281" s="137">
        <v>3</v>
      </c>
      <c r="D281" s="133" t="str">
        <f t="shared" si="4"/>
        <v>L8-3</v>
      </c>
    </row>
    <row r="282" spans="1:4" x14ac:dyDescent="0.3">
      <c r="A282" s="137" t="s">
        <v>1341</v>
      </c>
      <c r="B282" s="137" t="s">
        <v>56</v>
      </c>
      <c r="C282" s="137">
        <v>3</v>
      </c>
      <c r="D282" s="133" t="str">
        <f t="shared" si="4"/>
        <v>L8-3</v>
      </c>
    </row>
    <row r="283" spans="1:4" x14ac:dyDescent="0.3">
      <c r="A283" s="137" t="s">
        <v>1343</v>
      </c>
      <c r="B283" s="137" t="s">
        <v>56</v>
      </c>
      <c r="C283" s="137">
        <v>3</v>
      </c>
      <c r="D283" s="133" t="str">
        <f t="shared" si="4"/>
        <v>L8-3</v>
      </c>
    </row>
    <row r="284" spans="1:4" x14ac:dyDescent="0.3">
      <c r="A284" s="137" t="s">
        <v>1345</v>
      </c>
      <c r="B284" s="137" t="s">
        <v>56</v>
      </c>
      <c r="C284" s="137">
        <v>3</v>
      </c>
      <c r="D284" s="133" t="str">
        <f t="shared" si="4"/>
        <v>L8-3</v>
      </c>
    </row>
    <row r="285" spans="1:4" x14ac:dyDescent="0.3">
      <c r="A285" s="137" t="s">
        <v>1347</v>
      </c>
      <c r="B285" s="137" t="s">
        <v>56</v>
      </c>
      <c r="C285" s="137">
        <v>3</v>
      </c>
      <c r="D285" s="133" t="str">
        <f t="shared" si="4"/>
        <v>L8-3</v>
      </c>
    </row>
    <row r="286" spans="1:4" x14ac:dyDescent="0.3">
      <c r="A286" s="137" t="s">
        <v>1349</v>
      </c>
      <c r="B286" s="137" t="s">
        <v>56</v>
      </c>
      <c r="C286" s="137">
        <v>3</v>
      </c>
      <c r="D286" s="133" t="str">
        <f t="shared" si="4"/>
        <v>L8-3</v>
      </c>
    </row>
    <row r="287" spans="1:4" x14ac:dyDescent="0.3">
      <c r="A287" s="137" t="s">
        <v>1351</v>
      </c>
      <c r="B287" s="137" t="s">
        <v>56</v>
      </c>
      <c r="C287" s="137">
        <v>3</v>
      </c>
      <c r="D287" s="133" t="str">
        <f t="shared" si="4"/>
        <v>L8-3</v>
      </c>
    </row>
    <row r="288" spans="1:4" x14ac:dyDescent="0.3">
      <c r="A288" s="137" t="s">
        <v>1353</v>
      </c>
      <c r="B288" s="137" t="s">
        <v>56</v>
      </c>
      <c r="C288" s="137">
        <v>3</v>
      </c>
      <c r="D288" s="133" t="str">
        <f t="shared" si="4"/>
        <v>L8-3</v>
      </c>
    </row>
    <row r="289" spans="1:4" x14ac:dyDescent="0.3">
      <c r="A289" s="137" t="s">
        <v>1355</v>
      </c>
      <c r="B289" s="137" t="s">
        <v>56</v>
      </c>
      <c r="C289" s="137">
        <v>3</v>
      </c>
      <c r="D289" s="133" t="str">
        <f t="shared" si="4"/>
        <v>L8-3</v>
      </c>
    </row>
    <row r="290" spans="1:4" x14ac:dyDescent="0.3">
      <c r="A290" s="138" t="s">
        <v>1207</v>
      </c>
      <c r="B290" s="137" t="s">
        <v>56</v>
      </c>
      <c r="C290" s="137">
        <v>4</v>
      </c>
      <c r="D290" s="133" t="str">
        <f t="shared" si="4"/>
        <v>L8-4</v>
      </c>
    </row>
    <row r="291" spans="1:4" x14ac:dyDescent="0.3">
      <c r="A291" s="137" t="s">
        <v>1364</v>
      </c>
      <c r="B291" s="137" t="s">
        <v>56</v>
      </c>
      <c r="C291" s="137">
        <v>4</v>
      </c>
      <c r="D291" s="133" t="str">
        <f t="shared" si="4"/>
        <v>L8-4</v>
      </c>
    </row>
    <row r="292" spans="1:4" x14ac:dyDescent="0.3">
      <c r="A292" s="137" t="s">
        <v>1367</v>
      </c>
      <c r="B292" s="137" t="s">
        <v>56</v>
      </c>
      <c r="C292" s="137">
        <v>4</v>
      </c>
      <c r="D292" s="133" t="str">
        <f t="shared" si="4"/>
        <v>L8-4</v>
      </c>
    </row>
    <row r="293" spans="1:4" x14ac:dyDescent="0.3">
      <c r="A293" s="137" t="s">
        <v>1360</v>
      </c>
      <c r="B293" s="137" t="s">
        <v>56</v>
      </c>
      <c r="C293" s="137">
        <v>5</v>
      </c>
      <c r="D293" s="133" t="str">
        <f t="shared" si="4"/>
        <v>L8-5</v>
      </c>
    </row>
    <row r="294" spans="1:4" x14ac:dyDescent="0.3">
      <c r="A294" s="137" t="s">
        <v>1362</v>
      </c>
      <c r="B294" s="137" t="s">
        <v>56</v>
      </c>
      <c r="C294" s="137">
        <v>5</v>
      </c>
      <c r="D294" s="133" t="str">
        <f t="shared" si="4"/>
        <v>L8-5</v>
      </c>
    </row>
    <row r="295" spans="1:4" x14ac:dyDescent="0.3">
      <c r="A295" s="137" t="s">
        <v>1357</v>
      </c>
      <c r="B295" s="137" t="s">
        <v>56</v>
      </c>
      <c r="C295" s="137">
        <v>5</v>
      </c>
      <c r="D295" s="133" t="str">
        <f t="shared" si="4"/>
        <v>L8-5</v>
      </c>
    </row>
    <row r="296" spans="1:4" x14ac:dyDescent="0.3">
      <c r="A296" s="137" t="s">
        <v>933</v>
      </c>
      <c r="B296" s="137" t="s">
        <v>56</v>
      </c>
      <c r="C296" s="137">
        <v>7</v>
      </c>
      <c r="D296" s="133" t="str">
        <f t="shared" si="4"/>
        <v>L8-7</v>
      </c>
    </row>
    <row r="297" spans="1:4" x14ac:dyDescent="0.3">
      <c r="A297" s="137" t="s">
        <v>2414</v>
      </c>
      <c r="B297" s="137" t="s">
        <v>57</v>
      </c>
      <c r="C297" s="137">
        <v>1</v>
      </c>
      <c r="D297" s="133" t="str">
        <f t="shared" si="4"/>
        <v>L9-1</v>
      </c>
    </row>
    <row r="298" spans="1:4" x14ac:dyDescent="0.3">
      <c r="A298" s="137" t="s">
        <v>2415</v>
      </c>
      <c r="B298" s="137" t="s">
        <v>57</v>
      </c>
      <c r="C298" s="137">
        <v>1</v>
      </c>
      <c r="D298" s="133" t="str">
        <f t="shared" si="4"/>
        <v>L9-1</v>
      </c>
    </row>
    <row r="299" spans="1:4" x14ac:dyDescent="0.3">
      <c r="A299" s="137" t="s">
        <v>2416</v>
      </c>
      <c r="B299" s="137" t="s">
        <v>57</v>
      </c>
      <c r="C299" s="137">
        <v>1</v>
      </c>
      <c r="D299" s="133" t="str">
        <f t="shared" si="4"/>
        <v>L9-1</v>
      </c>
    </row>
    <row r="300" spans="1:4" x14ac:dyDescent="0.3">
      <c r="A300" s="137" t="s">
        <v>1924</v>
      </c>
      <c r="B300" s="137" t="s">
        <v>57</v>
      </c>
      <c r="C300" s="137">
        <v>1</v>
      </c>
      <c r="D300" s="133" t="str">
        <f t="shared" si="4"/>
        <v>L9-1</v>
      </c>
    </row>
    <row r="301" spans="1:4" x14ac:dyDescent="0.3">
      <c r="A301" s="137" t="s">
        <v>2417</v>
      </c>
      <c r="B301" s="137" t="s">
        <v>57</v>
      </c>
      <c r="C301" s="137">
        <v>2</v>
      </c>
      <c r="D301" s="133" t="str">
        <f t="shared" si="4"/>
        <v>L9-2</v>
      </c>
    </row>
    <row r="302" spans="1:4" x14ac:dyDescent="0.3">
      <c r="A302" s="137" t="s">
        <v>2418</v>
      </c>
      <c r="B302" s="137" t="s">
        <v>57</v>
      </c>
      <c r="C302" s="137">
        <v>2</v>
      </c>
      <c r="D302" s="133" t="str">
        <f t="shared" si="4"/>
        <v>L9-2</v>
      </c>
    </row>
    <row r="303" spans="1:4" x14ac:dyDescent="0.3">
      <c r="A303" s="137" t="s">
        <v>2419</v>
      </c>
      <c r="B303" s="137" t="s">
        <v>57</v>
      </c>
      <c r="C303" s="137">
        <v>2</v>
      </c>
      <c r="D303" s="133" t="str">
        <f t="shared" si="4"/>
        <v>L9-2</v>
      </c>
    </row>
    <row r="304" spans="1:4" x14ac:dyDescent="0.3">
      <c r="A304" s="137" t="s">
        <v>2420</v>
      </c>
      <c r="B304" s="137" t="s">
        <v>57</v>
      </c>
      <c r="C304" s="137">
        <v>2</v>
      </c>
      <c r="D304" s="133" t="str">
        <f t="shared" si="4"/>
        <v>L9-2</v>
      </c>
    </row>
    <row r="305" spans="1:4" x14ac:dyDescent="0.3">
      <c r="A305" s="137" t="s">
        <v>2421</v>
      </c>
      <c r="B305" s="137" t="s">
        <v>57</v>
      </c>
      <c r="C305" s="137">
        <v>2</v>
      </c>
      <c r="D305" s="133" t="str">
        <f t="shared" si="4"/>
        <v>L9-2</v>
      </c>
    </row>
    <row r="306" spans="1:4" x14ac:dyDescent="0.3">
      <c r="A306" s="137" t="s">
        <v>2422</v>
      </c>
      <c r="B306" s="137" t="s">
        <v>57</v>
      </c>
      <c r="C306" s="137">
        <v>2</v>
      </c>
      <c r="D306" s="133" t="str">
        <f t="shared" si="4"/>
        <v>L9-2</v>
      </c>
    </row>
    <row r="307" spans="1:4" x14ac:dyDescent="0.3">
      <c r="A307" s="137" t="s">
        <v>2423</v>
      </c>
      <c r="B307" s="137" t="s">
        <v>57</v>
      </c>
      <c r="C307" s="137">
        <v>2</v>
      </c>
      <c r="D307" s="133" t="str">
        <f t="shared" si="4"/>
        <v>L9-2</v>
      </c>
    </row>
    <row r="308" spans="1:4" x14ac:dyDescent="0.3">
      <c r="A308" s="137" t="s">
        <v>2424</v>
      </c>
      <c r="B308" s="137" t="s">
        <v>57</v>
      </c>
      <c r="C308" s="137">
        <v>2</v>
      </c>
      <c r="D308" s="133" t="str">
        <f t="shared" si="4"/>
        <v>L9-2</v>
      </c>
    </row>
    <row r="309" spans="1:4" x14ac:dyDescent="0.3">
      <c r="A309" s="137" t="s">
        <v>2425</v>
      </c>
      <c r="B309" s="137" t="s">
        <v>57</v>
      </c>
      <c r="C309" s="137">
        <v>2</v>
      </c>
      <c r="D309" s="133" t="str">
        <f t="shared" si="4"/>
        <v>L9-2</v>
      </c>
    </row>
    <row r="310" spans="1:4" x14ac:dyDescent="0.3">
      <c r="A310" s="137" t="s">
        <v>2426</v>
      </c>
      <c r="B310" s="137" t="s">
        <v>57</v>
      </c>
      <c r="C310" s="137">
        <v>2</v>
      </c>
      <c r="D310" s="133" t="str">
        <f t="shared" si="4"/>
        <v>L9-2</v>
      </c>
    </row>
    <row r="311" spans="1:4" x14ac:dyDescent="0.3">
      <c r="A311" s="137" t="s">
        <v>2427</v>
      </c>
      <c r="B311" s="137" t="s">
        <v>57</v>
      </c>
      <c r="C311" s="137">
        <v>2</v>
      </c>
      <c r="D311" s="133" t="str">
        <f t="shared" si="4"/>
        <v>L9-2</v>
      </c>
    </row>
    <row r="312" spans="1:4" x14ac:dyDescent="0.3">
      <c r="A312" s="137" t="s">
        <v>2428</v>
      </c>
      <c r="B312" s="137" t="s">
        <v>57</v>
      </c>
      <c r="C312" s="137">
        <v>2</v>
      </c>
      <c r="D312" s="133" t="str">
        <f t="shared" si="4"/>
        <v>L9-2</v>
      </c>
    </row>
    <row r="313" spans="1:4" x14ac:dyDescent="0.3">
      <c r="A313" s="137" t="s">
        <v>2429</v>
      </c>
      <c r="B313" s="137" t="s">
        <v>57</v>
      </c>
      <c r="C313" s="137">
        <v>2</v>
      </c>
      <c r="D313" s="133" t="str">
        <f t="shared" si="4"/>
        <v>L9-2</v>
      </c>
    </row>
    <row r="314" spans="1:4" x14ac:dyDescent="0.3">
      <c r="A314" s="137" t="s">
        <v>2430</v>
      </c>
      <c r="B314" s="137" t="s">
        <v>57</v>
      </c>
      <c r="C314" s="137">
        <v>2</v>
      </c>
      <c r="D314" s="133" t="str">
        <f t="shared" si="4"/>
        <v>L9-2</v>
      </c>
    </row>
    <row r="315" spans="1:4" x14ac:dyDescent="0.3">
      <c r="A315" s="137" t="s">
        <v>2431</v>
      </c>
      <c r="B315" s="137" t="s">
        <v>57</v>
      </c>
      <c r="C315" s="137">
        <v>2</v>
      </c>
      <c r="D315" s="133" t="str">
        <f t="shared" si="4"/>
        <v>L9-2</v>
      </c>
    </row>
    <row r="316" spans="1:4" x14ac:dyDescent="0.3">
      <c r="A316" s="137" t="s">
        <v>2432</v>
      </c>
      <c r="B316" s="137" t="s">
        <v>57</v>
      </c>
      <c r="C316" s="137">
        <v>2</v>
      </c>
      <c r="D316" s="133" t="str">
        <f t="shared" si="4"/>
        <v>L9-2</v>
      </c>
    </row>
    <row r="317" spans="1:4" x14ac:dyDescent="0.3">
      <c r="A317" s="137" t="s">
        <v>2433</v>
      </c>
      <c r="B317" s="137" t="s">
        <v>57</v>
      </c>
      <c r="C317" s="137">
        <v>2</v>
      </c>
      <c r="D317" s="133" t="str">
        <f t="shared" si="4"/>
        <v>L9-2</v>
      </c>
    </row>
    <row r="318" spans="1:4" x14ac:dyDescent="0.3">
      <c r="A318" s="137" t="s">
        <v>2434</v>
      </c>
      <c r="B318" s="137" t="s">
        <v>57</v>
      </c>
      <c r="C318" s="137">
        <v>2</v>
      </c>
      <c r="D318" s="133" t="str">
        <f t="shared" si="4"/>
        <v>L9-2</v>
      </c>
    </row>
    <row r="319" spans="1:4" x14ac:dyDescent="0.3">
      <c r="A319" s="137" t="s">
        <v>2435</v>
      </c>
      <c r="B319" s="137" t="s">
        <v>57</v>
      </c>
      <c r="C319" s="137">
        <v>2</v>
      </c>
      <c r="D319" s="133" t="str">
        <f t="shared" si="4"/>
        <v>L9-2</v>
      </c>
    </row>
    <row r="320" spans="1:4" x14ac:dyDescent="0.3">
      <c r="A320" s="137" t="s">
        <v>2436</v>
      </c>
      <c r="B320" s="137" t="s">
        <v>57</v>
      </c>
      <c r="C320" s="137">
        <v>2</v>
      </c>
      <c r="D320" s="133" t="str">
        <f t="shared" si="4"/>
        <v>L9-2</v>
      </c>
    </row>
    <row r="321" spans="1:4" x14ac:dyDescent="0.3">
      <c r="A321" s="137" t="s">
        <v>2437</v>
      </c>
      <c r="B321" s="137" t="s">
        <v>57</v>
      </c>
      <c r="C321" s="137">
        <v>2</v>
      </c>
      <c r="D321" s="133" t="str">
        <f t="shared" si="4"/>
        <v>L9-2</v>
      </c>
    </row>
    <row r="322" spans="1:4" x14ac:dyDescent="0.3">
      <c r="A322" s="137" t="s">
        <v>2438</v>
      </c>
      <c r="B322" s="137" t="s">
        <v>57</v>
      </c>
      <c r="C322" s="137">
        <v>2</v>
      </c>
      <c r="D322" s="133" t="str">
        <f t="shared" ref="D322:D333" si="5">B322&amp;"-"&amp;C322</f>
        <v>L9-2</v>
      </c>
    </row>
    <row r="323" spans="1:4" x14ac:dyDescent="0.3">
      <c r="A323" s="137" t="s">
        <v>2439</v>
      </c>
      <c r="B323" s="137" t="s">
        <v>57</v>
      </c>
      <c r="C323" s="137">
        <v>2</v>
      </c>
      <c r="D323" s="133" t="str">
        <f t="shared" si="5"/>
        <v>L9-2</v>
      </c>
    </row>
    <row r="324" spans="1:4" x14ac:dyDescent="0.3">
      <c r="A324" s="137" t="s">
        <v>2440</v>
      </c>
      <c r="B324" s="137" t="s">
        <v>57</v>
      </c>
      <c r="C324" s="137">
        <v>2</v>
      </c>
      <c r="D324" s="133" t="str">
        <f t="shared" si="5"/>
        <v>L9-2</v>
      </c>
    </row>
    <row r="325" spans="1:4" x14ac:dyDescent="0.3">
      <c r="A325" s="137" t="s">
        <v>2441</v>
      </c>
      <c r="B325" s="137" t="s">
        <v>57</v>
      </c>
      <c r="C325" s="137">
        <v>2</v>
      </c>
      <c r="D325" s="133" t="str">
        <f t="shared" si="5"/>
        <v>L9-2</v>
      </c>
    </row>
    <row r="326" spans="1:4" x14ac:dyDescent="0.3">
      <c r="A326" s="138" t="s">
        <v>1598</v>
      </c>
      <c r="B326" s="137" t="s">
        <v>57</v>
      </c>
      <c r="C326" s="137">
        <v>2</v>
      </c>
      <c r="D326" s="133" t="str">
        <f t="shared" si="5"/>
        <v>L9-2</v>
      </c>
    </row>
    <row r="327" spans="1:4" x14ac:dyDescent="0.3">
      <c r="A327" s="137" t="s">
        <v>2442</v>
      </c>
      <c r="B327" s="137" t="s">
        <v>57</v>
      </c>
      <c r="C327" s="137">
        <v>3</v>
      </c>
      <c r="D327" s="133" t="str">
        <f t="shared" si="5"/>
        <v>L9-3</v>
      </c>
    </row>
    <row r="328" spans="1:4" x14ac:dyDescent="0.3">
      <c r="A328" s="137" t="s">
        <v>2443</v>
      </c>
      <c r="B328" s="137" t="s">
        <v>57</v>
      </c>
      <c r="C328" s="137">
        <v>3</v>
      </c>
      <c r="D328" s="133" t="str">
        <f t="shared" si="5"/>
        <v>L9-3</v>
      </c>
    </row>
    <row r="329" spans="1:4" x14ac:dyDescent="0.3">
      <c r="A329" s="137" t="s">
        <v>2444</v>
      </c>
      <c r="B329" s="137" t="s">
        <v>57</v>
      </c>
      <c r="C329" s="137">
        <v>3</v>
      </c>
      <c r="D329" s="133" t="str">
        <f t="shared" si="5"/>
        <v>L9-3</v>
      </c>
    </row>
    <row r="330" spans="1:4" x14ac:dyDescent="0.3">
      <c r="A330" s="137" t="s">
        <v>2445</v>
      </c>
      <c r="B330" s="137" t="s">
        <v>57</v>
      </c>
      <c r="C330" s="137">
        <v>3</v>
      </c>
      <c r="D330" s="133" t="str">
        <f t="shared" si="5"/>
        <v>L9-3</v>
      </c>
    </row>
    <row r="331" spans="1:4" x14ac:dyDescent="0.3">
      <c r="A331" s="137" t="s">
        <v>2446</v>
      </c>
      <c r="B331" s="137" t="s">
        <v>57</v>
      </c>
      <c r="C331" s="137">
        <v>3</v>
      </c>
      <c r="D331" s="133" t="str">
        <f t="shared" si="5"/>
        <v>L9-3</v>
      </c>
    </row>
    <row r="332" spans="1:4" x14ac:dyDescent="0.3">
      <c r="A332" s="137" t="s">
        <v>2447</v>
      </c>
      <c r="B332" s="137" t="s">
        <v>57</v>
      </c>
      <c r="C332" s="137">
        <v>3</v>
      </c>
      <c r="D332" s="133" t="str">
        <f t="shared" si="5"/>
        <v>L9-3</v>
      </c>
    </row>
    <row r="333" spans="1:4" x14ac:dyDescent="0.3">
      <c r="A333" s="137" t="s">
        <v>312</v>
      </c>
      <c r="B333" s="137" t="s">
        <v>57</v>
      </c>
      <c r="C333" s="137">
        <v>9</v>
      </c>
      <c r="D333" s="133" t="str">
        <f t="shared" si="5"/>
        <v>L9-9</v>
      </c>
    </row>
  </sheetData>
  <phoneticPr fontId="3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49"/>
  <sheetViews>
    <sheetView workbookViewId="0">
      <selection activeCell="I14" sqref="I14"/>
    </sheetView>
  </sheetViews>
  <sheetFormatPr defaultRowHeight="14.5" x14ac:dyDescent="0.3"/>
  <cols>
    <col min="1" max="1" width="10.19921875" style="293" bestFit="1" customWidth="1"/>
  </cols>
  <sheetData>
    <row r="1" spans="1:7" ht="16.5" customHeight="1" x14ac:dyDescent="0.3">
      <c r="A1" t="s">
        <v>2448</v>
      </c>
      <c r="B1" t="s">
        <v>369</v>
      </c>
      <c r="C1" t="s">
        <v>2185</v>
      </c>
      <c r="D1" s="315" t="s">
        <v>379</v>
      </c>
      <c r="F1" t="s">
        <v>59</v>
      </c>
      <c r="G1" t="s">
        <v>647</v>
      </c>
    </row>
    <row r="2" spans="1:7" ht="16.5" customHeight="1" x14ac:dyDescent="0.3">
      <c r="B2" t="s">
        <v>379</v>
      </c>
      <c r="D2" s="315" t="s">
        <v>391</v>
      </c>
      <c r="G2" t="s">
        <v>840</v>
      </c>
    </row>
    <row r="3" spans="1:7" ht="16.5" customHeight="1" x14ac:dyDescent="0.3">
      <c r="B3" t="s">
        <v>381</v>
      </c>
      <c r="D3" s="315" t="s">
        <v>369</v>
      </c>
      <c r="G3" t="s">
        <v>829</v>
      </c>
    </row>
    <row r="4" spans="1:7" ht="16.5" customHeight="1" x14ac:dyDescent="0.3">
      <c r="B4" t="s">
        <v>387</v>
      </c>
      <c r="D4" s="315" t="s">
        <v>679</v>
      </c>
      <c r="G4" t="s">
        <v>637</v>
      </c>
    </row>
    <row r="5" spans="1:7" ht="16.5" customHeight="1" x14ac:dyDescent="0.3">
      <c r="B5" t="s">
        <v>389</v>
      </c>
      <c r="D5" s="315" t="s">
        <v>675</v>
      </c>
      <c r="G5" t="s">
        <v>827</v>
      </c>
    </row>
    <row r="6" spans="1:7" ht="16.5" customHeight="1" x14ac:dyDescent="0.3">
      <c r="B6" t="s">
        <v>391</v>
      </c>
      <c r="D6" s="315" t="s">
        <v>831</v>
      </c>
      <c r="G6" t="s">
        <v>474</v>
      </c>
    </row>
    <row r="7" spans="1:7" ht="16.5" customHeight="1" x14ac:dyDescent="0.3">
      <c r="B7" t="s">
        <v>393</v>
      </c>
      <c r="D7" s="315" t="s">
        <v>381</v>
      </c>
      <c r="G7" t="s">
        <v>664</v>
      </c>
    </row>
    <row r="8" spans="1:7" ht="16.5" customHeight="1" x14ac:dyDescent="0.3">
      <c r="B8" t="s">
        <v>444</v>
      </c>
      <c r="D8" s="315" t="s">
        <v>393</v>
      </c>
      <c r="G8" t="s">
        <v>640</v>
      </c>
    </row>
    <row r="9" spans="1:7" ht="16.5" customHeight="1" x14ac:dyDescent="0.3">
      <c r="B9" t="s">
        <v>448</v>
      </c>
      <c r="D9" s="315" t="s">
        <v>466</v>
      </c>
      <c r="G9" t="s">
        <v>757</v>
      </c>
    </row>
    <row r="10" spans="1:7" ht="16.5" customHeight="1" x14ac:dyDescent="0.3">
      <c r="B10" t="s">
        <v>446</v>
      </c>
      <c r="D10" s="315" t="s">
        <v>472</v>
      </c>
      <c r="G10" t="s">
        <v>683</v>
      </c>
    </row>
    <row r="11" spans="1:7" ht="16.5" customHeight="1" x14ac:dyDescent="0.3">
      <c r="B11" t="s">
        <v>452</v>
      </c>
      <c r="D11" s="315" t="s">
        <v>476</v>
      </c>
      <c r="G11" t="s">
        <v>685</v>
      </c>
    </row>
    <row r="12" spans="1:7" ht="16.5" customHeight="1" x14ac:dyDescent="0.3">
      <c r="B12" t="s">
        <v>466</v>
      </c>
      <c r="D12" s="315" t="s">
        <v>629</v>
      </c>
      <c r="G12" t="s">
        <v>654</v>
      </c>
    </row>
    <row r="13" spans="1:7" ht="16.5" customHeight="1" x14ac:dyDescent="0.3">
      <c r="B13" t="s">
        <v>472</v>
      </c>
      <c r="D13" s="315" t="s">
        <v>635</v>
      </c>
      <c r="G13" t="s">
        <v>656</v>
      </c>
    </row>
    <row r="14" spans="1:7" ht="16.5" customHeight="1" x14ac:dyDescent="0.3">
      <c r="B14" t="s">
        <v>474</v>
      </c>
      <c r="D14" s="315" t="s">
        <v>444</v>
      </c>
      <c r="G14" t="s">
        <v>836</v>
      </c>
    </row>
    <row r="15" spans="1:7" ht="16.5" customHeight="1" x14ac:dyDescent="0.3">
      <c r="B15" t="s">
        <v>476</v>
      </c>
      <c r="D15" s="315" t="s">
        <v>446</v>
      </c>
      <c r="G15" t="s">
        <v>469</v>
      </c>
    </row>
    <row r="16" spans="1:7" ht="16.5" customHeight="1" x14ac:dyDescent="0.3">
      <c r="B16" t="s">
        <v>469</v>
      </c>
      <c r="D16" s="315" t="s">
        <v>452</v>
      </c>
    </row>
    <row r="17" spans="2:8" ht="16.5" customHeight="1" x14ac:dyDescent="0.3">
      <c r="B17" t="s">
        <v>629</v>
      </c>
      <c r="D17" s="315" t="s">
        <v>761</v>
      </c>
      <c r="G17" t="s">
        <v>664</v>
      </c>
      <c r="H17" t="s">
        <v>2118</v>
      </c>
    </row>
    <row r="18" spans="2:8" ht="16.5" customHeight="1" x14ac:dyDescent="0.3">
      <c r="B18" t="s">
        <v>637</v>
      </c>
      <c r="D18" s="315" t="s">
        <v>448</v>
      </c>
      <c r="G18" t="s">
        <v>840</v>
      </c>
      <c r="H18" t="s">
        <v>2126</v>
      </c>
    </row>
    <row r="19" spans="2:8" ht="16.5" customHeight="1" x14ac:dyDescent="0.3">
      <c r="B19" t="s">
        <v>635</v>
      </c>
      <c r="D19" s="315" t="s">
        <v>658</v>
      </c>
    </row>
    <row r="20" spans="2:8" ht="16.5" customHeight="1" x14ac:dyDescent="0.3">
      <c r="B20" t="s">
        <v>640</v>
      </c>
      <c r="D20" s="315" t="s">
        <v>387</v>
      </c>
    </row>
    <row r="21" spans="2:8" ht="16.5" customHeight="1" x14ac:dyDescent="0.3">
      <c r="B21" t="s">
        <v>647</v>
      </c>
      <c r="D21" s="315" t="s">
        <v>389</v>
      </c>
    </row>
    <row r="22" spans="2:8" ht="16.5" customHeight="1" x14ac:dyDescent="0.3">
      <c r="B22" t="s">
        <v>675</v>
      </c>
      <c r="D22" s="315" t="s">
        <v>463</v>
      </c>
    </row>
    <row r="23" spans="2:8" ht="16.5" customHeight="1" x14ac:dyDescent="0.3">
      <c r="B23" t="s">
        <v>679</v>
      </c>
      <c r="D23" s="315"/>
    </row>
    <row r="24" spans="2:8" ht="16.5" customHeight="1" x14ac:dyDescent="0.3">
      <c r="B24" t="s">
        <v>654</v>
      </c>
      <c r="D24" s="315"/>
    </row>
    <row r="25" spans="2:8" ht="16.5" customHeight="1" x14ac:dyDescent="0.3">
      <c r="B25" t="s">
        <v>683</v>
      </c>
      <c r="D25" s="315"/>
    </row>
    <row r="26" spans="2:8" ht="16.5" customHeight="1" x14ac:dyDescent="0.3">
      <c r="B26" t="s">
        <v>685</v>
      </c>
      <c r="D26" s="315"/>
    </row>
    <row r="27" spans="2:8" ht="16.5" customHeight="1" x14ac:dyDescent="0.3">
      <c r="B27" t="s">
        <v>664</v>
      </c>
      <c r="D27" s="315"/>
    </row>
    <row r="28" spans="2:8" ht="16.5" customHeight="1" x14ac:dyDescent="0.3">
      <c r="B28" t="s">
        <v>658</v>
      </c>
      <c r="D28" s="315"/>
    </row>
    <row r="29" spans="2:8" ht="16.5" customHeight="1" x14ac:dyDescent="0.3">
      <c r="B29" t="s">
        <v>656</v>
      </c>
      <c r="D29" s="315"/>
    </row>
    <row r="30" spans="2:8" ht="16.5" customHeight="1" x14ac:dyDescent="0.3">
      <c r="B30" t="s">
        <v>463</v>
      </c>
      <c r="D30" s="315"/>
    </row>
    <row r="31" spans="2:8" ht="16.5" customHeight="1" x14ac:dyDescent="0.3">
      <c r="B31" t="s">
        <v>757</v>
      </c>
      <c r="D31" s="315"/>
    </row>
    <row r="32" spans="2:8" ht="16.5" customHeight="1" x14ac:dyDescent="0.3">
      <c r="B32" t="s">
        <v>761</v>
      </c>
      <c r="D32" s="315"/>
    </row>
    <row r="33" spans="2:3" x14ac:dyDescent="0.3">
      <c r="B33" t="s">
        <v>827</v>
      </c>
    </row>
    <row r="34" spans="2:3" x14ac:dyDescent="0.3">
      <c r="B34" t="s">
        <v>829</v>
      </c>
    </row>
    <row r="35" spans="2:3" x14ac:dyDescent="0.3">
      <c r="B35" t="s">
        <v>836</v>
      </c>
    </row>
    <row r="36" spans="2:3" x14ac:dyDescent="0.3">
      <c r="B36" t="s">
        <v>831</v>
      </c>
    </row>
    <row r="37" spans="2:3" x14ac:dyDescent="0.3">
      <c r="B37" t="s">
        <v>840</v>
      </c>
    </row>
    <row r="39" spans="2:3" x14ac:dyDescent="0.3">
      <c r="B39" t="s">
        <v>759</v>
      </c>
      <c r="C39" t="s">
        <v>2120</v>
      </c>
    </row>
    <row r="41" spans="2:3" x14ac:dyDescent="0.3">
      <c r="C41" t="s">
        <v>1681</v>
      </c>
    </row>
    <row r="42" spans="2:3" x14ac:dyDescent="0.3">
      <c r="C42" t="s">
        <v>1684</v>
      </c>
    </row>
    <row r="43" spans="2:3" x14ac:dyDescent="0.3">
      <c r="B43" t="s">
        <v>454</v>
      </c>
      <c r="C43" t="s">
        <v>1690</v>
      </c>
    </row>
    <row r="44" spans="2:3" x14ac:dyDescent="0.3">
      <c r="C44" t="s">
        <v>1780</v>
      </c>
    </row>
    <row r="45" spans="2:3" x14ac:dyDescent="0.3">
      <c r="C45" t="s">
        <v>1884</v>
      </c>
    </row>
    <row r="46" spans="2:3" x14ac:dyDescent="0.3">
      <c r="C46" t="s">
        <v>1938</v>
      </c>
    </row>
    <row r="47" spans="2:3" x14ac:dyDescent="0.3">
      <c r="C47" t="s">
        <v>1939</v>
      </c>
    </row>
    <row r="48" spans="2:3" x14ac:dyDescent="0.3">
      <c r="C48" t="s">
        <v>1940</v>
      </c>
    </row>
    <row r="49" spans="3:3" x14ac:dyDescent="0.3">
      <c r="C49" t="s">
        <v>1941</v>
      </c>
    </row>
  </sheetData>
  <phoneticPr fontId="3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J47"/>
  <sheetViews>
    <sheetView topLeftCell="A13" workbookViewId="0">
      <selection activeCell="G42" sqref="G42"/>
    </sheetView>
  </sheetViews>
  <sheetFormatPr defaultRowHeight="14.5" x14ac:dyDescent="0.3"/>
  <cols>
    <col min="5" max="5" width="30.09765625" style="293" customWidth="1"/>
    <col min="6" max="6" width="10.19921875" style="293" bestFit="1" customWidth="1"/>
  </cols>
  <sheetData>
    <row r="1" spans="1:10" ht="16.5" customHeight="1" x14ac:dyDescent="0.3">
      <c r="A1" s="278" t="s">
        <v>2449</v>
      </c>
      <c r="B1" s="315" t="s">
        <v>284</v>
      </c>
      <c r="C1" t="s">
        <v>854</v>
      </c>
      <c r="D1" t="s">
        <v>1700</v>
      </c>
      <c r="F1" s="278" t="s">
        <v>2449</v>
      </c>
      <c r="G1" t="s">
        <v>369</v>
      </c>
      <c r="I1" t="s">
        <v>685</v>
      </c>
      <c r="J1" t="s">
        <v>2117</v>
      </c>
    </row>
    <row r="2" spans="1:10" ht="16.5" customHeight="1" x14ac:dyDescent="0.3">
      <c r="B2" s="315" t="s">
        <v>199</v>
      </c>
      <c r="C2" t="s">
        <v>860</v>
      </c>
      <c r="D2" t="s">
        <v>1734</v>
      </c>
      <c r="G2" t="s">
        <v>379</v>
      </c>
      <c r="I2" t="s">
        <v>664</v>
      </c>
      <c r="J2" t="s">
        <v>2118</v>
      </c>
    </row>
    <row r="3" spans="1:10" ht="16.5" customHeight="1" x14ac:dyDescent="0.3">
      <c r="B3" s="315" t="s">
        <v>201</v>
      </c>
      <c r="C3" t="s">
        <v>218</v>
      </c>
      <c r="D3" t="s">
        <v>1744</v>
      </c>
      <c r="G3" t="s">
        <v>381</v>
      </c>
      <c r="I3" t="s">
        <v>759</v>
      </c>
      <c r="J3" t="s">
        <v>2120</v>
      </c>
    </row>
    <row r="4" spans="1:10" ht="16.5" customHeight="1" x14ac:dyDescent="0.3">
      <c r="B4" s="315" t="s">
        <v>205</v>
      </c>
      <c r="C4" t="s">
        <v>429</v>
      </c>
      <c r="D4" t="s">
        <v>1779</v>
      </c>
      <c r="G4" t="s">
        <v>387</v>
      </c>
      <c r="I4" t="s">
        <v>840</v>
      </c>
      <c r="J4" t="s">
        <v>2126</v>
      </c>
    </row>
    <row r="5" spans="1:10" ht="16.5" customHeight="1" x14ac:dyDescent="0.3">
      <c r="B5" s="315" t="s">
        <v>207</v>
      </c>
      <c r="C5" t="s">
        <v>261</v>
      </c>
      <c r="D5" t="s">
        <v>1933</v>
      </c>
      <c r="G5" t="s">
        <v>389</v>
      </c>
    </row>
    <row r="6" spans="1:10" ht="16.5" customHeight="1" x14ac:dyDescent="0.3">
      <c r="B6" s="77" t="s">
        <v>212</v>
      </c>
      <c r="C6" t="s">
        <v>261</v>
      </c>
      <c r="D6" t="s">
        <v>2000</v>
      </c>
      <c r="G6" t="s">
        <v>391</v>
      </c>
    </row>
    <row r="7" spans="1:10" ht="16.5" customHeight="1" x14ac:dyDescent="0.3">
      <c r="B7" s="315" t="s">
        <v>215</v>
      </c>
      <c r="G7" t="s">
        <v>393</v>
      </c>
    </row>
    <row r="8" spans="1:10" ht="16.5" customHeight="1" x14ac:dyDescent="0.3">
      <c r="B8" s="315" t="s">
        <v>218</v>
      </c>
      <c r="C8" t="s">
        <v>205</v>
      </c>
      <c r="D8" t="s">
        <v>2065</v>
      </c>
      <c r="G8" t="s">
        <v>444</v>
      </c>
    </row>
    <row r="9" spans="1:10" ht="16.5" customHeight="1" x14ac:dyDescent="0.3">
      <c r="B9" s="72" t="s">
        <v>221</v>
      </c>
      <c r="D9" t="s">
        <v>2066</v>
      </c>
      <c r="G9" t="s">
        <v>448</v>
      </c>
      <c r="J9" t="s">
        <v>1681</v>
      </c>
    </row>
    <row r="10" spans="1:10" ht="16.5" customHeight="1" x14ac:dyDescent="0.3">
      <c r="B10" s="315" t="s">
        <v>238</v>
      </c>
      <c r="C10" t="s">
        <v>241</v>
      </c>
      <c r="D10" t="s">
        <v>2073</v>
      </c>
      <c r="G10" t="s">
        <v>446</v>
      </c>
      <c r="J10" t="s">
        <v>1684</v>
      </c>
    </row>
    <row r="11" spans="1:10" ht="16.5" customHeight="1" x14ac:dyDescent="0.3">
      <c r="B11" s="315" t="s">
        <v>241</v>
      </c>
      <c r="D11" t="s">
        <v>2077</v>
      </c>
      <c r="G11" t="s">
        <v>452</v>
      </c>
      <c r="J11" t="s">
        <v>1690</v>
      </c>
    </row>
    <row r="12" spans="1:10" ht="16.5" customHeight="1" x14ac:dyDescent="0.3">
      <c r="B12" s="315" t="s">
        <v>224</v>
      </c>
      <c r="D12" t="s">
        <v>2087</v>
      </c>
      <c r="G12" t="s">
        <v>466</v>
      </c>
      <c r="I12" t="s">
        <v>469</v>
      </c>
      <c r="J12" t="s">
        <v>1780</v>
      </c>
    </row>
    <row r="13" spans="1:10" ht="16.5" customHeight="1" x14ac:dyDescent="0.3">
      <c r="B13" s="315" t="s">
        <v>228</v>
      </c>
      <c r="D13" t="s">
        <v>2089</v>
      </c>
      <c r="G13" t="s">
        <v>472</v>
      </c>
      <c r="I13" t="s">
        <v>654</v>
      </c>
      <c r="J13" t="s">
        <v>1884</v>
      </c>
    </row>
    <row r="14" spans="1:10" ht="16.5" customHeight="1" x14ac:dyDescent="0.3">
      <c r="B14" s="315" t="s">
        <v>230</v>
      </c>
      <c r="C14" t="s">
        <v>258</v>
      </c>
      <c r="D14" t="s">
        <v>2090</v>
      </c>
      <c r="G14" t="s">
        <v>474</v>
      </c>
      <c r="I14" t="s">
        <v>442</v>
      </c>
      <c r="J14" t="s">
        <v>1938</v>
      </c>
    </row>
    <row r="15" spans="1:10" ht="16.5" customHeight="1" x14ac:dyDescent="0.3">
      <c r="B15" s="315" t="s">
        <v>258</v>
      </c>
      <c r="D15" t="s">
        <v>2091</v>
      </c>
      <c r="G15" t="s">
        <v>476</v>
      </c>
      <c r="I15" t="s">
        <v>448</v>
      </c>
      <c r="J15" t="s">
        <v>1939</v>
      </c>
    </row>
    <row r="16" spans="1:10" ht="16.5" customHeight="1" x14ac:dyDescent="0.3">
      <c r="B16" s="315" t="s">
        <v>261</v>
      </c>
      <c r="D16" t="s">
        <v>2095</v>
      </c>
      <c r="G16" t="s">
        <v>469</v>
      </c>
      <c r="I16" t="s">
        <v>454</v>
      </c>
      <c r="J16" t="s">
        <v>1940</v>
      </c>
    </row>
    <row r="17" spans="2:10" ht="16.5" customHeight="1" x14ac:dyDescent="0.3">
      <c r="B17" s="315" t="s">
        <v>263</v>
      </c>
      <c r="D17" t="s">
        <v>2096</v>
      </c>
      <c r="G17" t="s">
        <v>629</v>
      </c>
      <c r="J17" t="s">
        <v>1941</v>
      </c>
    </row>
    <row r="18" spans="2:10" ht="16.5" customHeight="1" x14ac:dyDescent="0.3">
      <c r="B18" s="315" t="s">
        <v>271</v>
      </c>
      <c r="C18" t="s">
        <v>869</v>
      </c>
      <c r="D18" t="s">
        <v>2130</v>
      </c>
      <c r="G18" t="s">
        <v>637</v>
      </c>
    </row>
    <row r="19" spans="2:10" ht="16.5" customHeight="1" x14ac:dyDescent="0.3">
      <c r="B19" s="315" t="s">
        <v>268</v>
      </c>
      <c r="C19" t="s">
        <v>885</v>
      </c>
      <c r="D19" t="s">
        <v>2131</v>
      </c>
      <c r="G19" t="s">
        <v>635</v>
      </c>
    </row>
    <row r="20" spans="2:10" ht="16.5" customHeight="1" x14ac:dyDescent="0.3">
      <c r="B20" s="315" t="s">
        <v>1430</v>
      </c>
      <c r="G20" t="s">
        <v>640</v>
      </c>
    </row>
    <row r="21" spans="2:10" ht="16.5" customHeight="1" x14ac:dyDescent="0.3">
      <c r="B21" s="315" t="s">
        <v>1433</v>
      </c>
      <c r="G21" t="s">
        <v>647</v>
      </c>
    </row>
    <row r="22" spans="2:10" ht="16.5" customHeight="1" x14ac:dyDescent="0.3">
      <c r="B22" s="315" t="s">
        <v>288</v>
      </c>
      <c r="G22" t="s">
        <v>675</v>
      </c>
    </row>
    <row r="23" spans="2:10" ht="16.5" customHeight="1" x14ac:dyDescent="0.3">
      <c r="B23" s="315" t="s">
        <v>1438</v>
      </c>
      <c r="G23" t="s">
        <v>679</v>
      </c>
    </row>
    <row r="24" spans="2:10" ht="16.5" customHeight="1" x14ac:dyDescent="0.3">
      <c r="B24" s="315" t="s">
        <v>1441</v>
      </c>
      <c r="G24" t="s">
        <v>654</v>
      </c>
    </row>
    <row r="25" spans="2:10" ht="16.5" customHeight="1" x14ac:dyDescent="0.3">
      <c r="B25" s="315" t="s">
        <v>1443</v>
      </c>
      <c r="G25" t="s">
        <v>683</v>
      </c>
    </row>
    <row r="26" spans="2:10" ht="16.5" customHeight="1" x14ac:dyDescent="0.3">
      <c r="B26" s="315" t="s">
        <v>1435</v>
      </c>
      <c r="G26" t="s">
        <v>685</v>
      </c>
    </row>
    <row r="27" spans="2:10" ht="16.5" customHeight="1" x14ac:dyDescent="0.3">
      <c r="B27" s="315" t="s">
        <v>292</v>
      </c>
      <c r="G27" t="s">
        <v>664</v>
      </c>
    </row>
    <row r="28" spans="2:10" ht="16.5" customHeight="1" x14ac:dyDescent="0.3">
      <c r="B28" s="315" t="s">
        <v>295</v>
      </c>
      <c r="G28" t="s">
        <v>658</v>
      </c>
    </row>
    <row r="29" spans="2:10" ht="16.5" customHeight="1" x14ac:dyDescent="0.3">
      <c r="B29" s="315" t="s">
        <v>297</v>
      </c>
      <c r="G29" t="s">
        <v>656</v>
      </c>
    </row>
    <row r="30" spans="2:10" ht="16.5" customHeight="1" x14ac:dyDescent="0.3">
      <c r="B30" s="315" t="s">
        <v>301</v>
      </c>
      <c r="G30" t="s">
        <v>463</v>
      </c>
    </row>
    <row r="31" spans="2:10" ht="16.5" customHeight="1" x14ac:dyDescent="0.3">
      <c r="B31" s="315" t="s">
        <v>305</v>
      </c>
      <c r="G31" t="s">
        <v>757</v>
      </c>
    </row>
    <row r="32" spans="2:10" ht="16.5" customHeight="1" x14ac:dyDescent="0.3">
      <c r="B32" s="315" t="s">
        <v>337</v>
      </c>
      <c r="G32" t="s">
        <v>761</v>
      </c>
    </row>
    <row r="33" spans="2:7" ht="16.5" customHeight="1" x14ac:dyDescent="0.3">
      <c r="B33" s="315" t="s">
        <v>340</v>
      </c>
      <c r="G33" t="s">
        <v>827</v>
      </c>
    </row>
    <row r="34" spans="2:7" ht="16.5" customHeight="1" x14ac:dyDescent="0.3">
      <c r="B34" s="315" t="s">
        <v>429</v>
      </c>
      <c r="G34" t="s">
        <v>829</v>
      </c>
    </row>
    <row r="35" spans="2:7" ht="16.5" customHeight="1" x14ac:dyDescent="0.3">
      <c r="B35" s="315" t="s">
        <v>433</v>
      </c>
      <c r="G35" t="s">
        <v>836</v>
      </c>
    </row>
    <row r="36" spans="2:7" ht="16.5" customHeight="1" x14ac:dyDescent="0.3">
      <c r="B36" s="315" t="s">
        <v>436</v>
      </c>
      <c r="G36" t="s">
        <v>831</v>
      </c>
    </row>
    <row r="37" spans="2:7" ht="16.5" customHeight="1" x14ac:dyDescent="0.3">
      <c r="B37" s="315" t="s">
        <v>732</v>
      </c>
      <c r="G37" t="s">
        <v>840</v>
      </c>
    </row>
    <row r="38" spans="2:7" ht="16.5" customHeight="1" x14ac:dyDescent="0.3">
      <c r="B38" s="315" t="s">
        <v>875</v>
      </c>
    </row>
    <row r="39" spans="2:7" ht="16.5" customHeight="1" x14ac:dyDescent="0.3">
      <c r="B39" s="315" t="s">
        <v>809</v>
      </c>
      <c r="G39" t="s">
        <v>759</v>
      </c>
    </row>
    <row r="40" spans="2:7" ht="16.5" customHeight="1" x14ac:dyDescent="0.3">
      <c r="B40" s="315" t="s">
        <v>866</v>
      </c>
      <c r="G40" s="278"/>
    </row>
    <row r="41" spans="2:7" ht="16.5" customHeight="1" x14ac:dyDescent="0.3">
      <c r="B41" s="315" t="s">
        <v>880</v>
      </c>
      <c r="G41" s="278"/>
    </row>
    <row r="42" spans="2:7" ht="16.5" customHeight="1" x14ac:dyDescent="0.3">
      <c r="B42" s="315" t="s">
        <v>883</v>
      </c>
      <c r="G42" t="s">
        <v>454</v>
      </c>
    </row>
    <row r="43" spans="2:7" ht="16.5" customHeight="1" x14ac:dyDescent="0.3">
      <c r="B43" s="315" t="s">
        <v>885</v>
      </c>
      <c r="G43" s="278"/>
    </row>
    <row r="45" spans="2:7" x14ac:dyDescent="0.3">
      <c r="B45" t="s">
        <v>854</v>
      </c>
    </row>
    <row r="46" spans="2:7" x14ac:dyDescent="0.3">
      <c r="B46" t="s">
        <v>860</v>
      </c>
    </row>
    <row r="47" spans="2:7" x14ac:dyDescent="0.3">
      <c r="B47" t="s">
        <v>869</v>
      </c>
    </row>
  </sheetData>
  <phoneticPr fontId="3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332"/>
  <sheetViews>
    <sheetView topLeftCell="A79" workbookViewId="0">
      <selection activeCell="B84" sqref="B84"/>
    </sheetView>
  </sheetViews>
  <sheetFormatPr defaultColWidth="8.69921875" defaultRowHeight="14.5" x14ac:dyDescent="0.3"/>
  <cols>
    <col min="1" max="1" width="10.09765625" style="268" customWidth="1"/>
    <col min="2" max="2" width="39.69921875" style="267" customWidth="1"/>
    <col min="3" max="3" width="13.59765625" style="268" bestFit="1" customWidth="1"/>
    <col min="4" max="4" width="14.19921875" style="268" customWidth="1"/>
    <col min="5" max="5" width="15.19921875" style="267" bestFit="1" customWidth="1"/>
    <col min="6" max="6" width="30.8984375" style="267" bestFit="1" customWidth="1"/>
    <col min="7" max="10" width="8.69921875" style="267" customWidth="1"/>
    <col min="11" max="16384" width="8.69921875" style="267"/>
  </cols>
  <sheetData>
    <row r="1" spans="1:6" x14ac:dyDescent="0.3">
      <c r="A1" s="268" t="s">
        <v>2405</v>
      </c>
      <c r="B1" s="267" t="s">
        <v>2450</v>
      </c>
      <c r="C1" s="268" t="s">
        <v>2406</v>
      </c>
      <c r="D1" s="268" t="s">
        <v>2407</v>
      </c>
      <c r="E1" s="268" t="s">
        <v>30</v>
      </c>
      <c r="F1" s="268" t="s">
        <v>100</v>
      </c>
    </row>
    <row r="2" spans="1:6" x14ac:dyDescent="0.3">
      <c r="A2" s="268" t="s">
        <v>457</v>
      </c>
      <c r="B2" s="267" t="s">
        <v>2451</v>
      </c>
      <c r="C2" s="268" t="s">
        <v>51</v>
      </c>
      <c r="D2" s="268">
        <v>6</v>
      </c>
      <c r="E2" s="267" t="s">
        <v>2452</v>
      </c>
      <c r="F2" s="267" t="s">
        <v>2453</v>
      </c>
    </row>
    <row r="3" spans="1:6" x14ac:dyDescent="0.3">
      <c r="A3" s="268" t="s">
        <v>459</v>
      </c>
      <c r="B3" s="267" t="s">
        <v>2454</v>
      </c>
      <c r="C3" s="268" t="s">
        <v>51</v>
      </c>
      <c r="D3" s="268">
        <v>6</v>
      </c>
      <c r="E3" s="267" t="s">
        <v>2452</v>
      </c>
      <c r="F3" s="267" t="s">
        <v>2453</v>
      </c>
    </row>
    <row r="4" spans="1:6" x14ac:dyDescent="0.3">
      <c r="A4" s="268" t="s">
        <v>454</v>
      </c>
      <c r="B4" s="267" t="s">
        <v>2455</v>
      </c>
      <c r="C4" s="268" t="s">
        <v>51</v>
      </c>
      <c r="D4" s="268">
        <v>6</v>
      </c>
      <c r="E4" s="267" t="s">
        <v>2452</v>
      </c>
      <c r="F4" s="267" t="s">
        <v>2453</v>
      </c>
    </row>
    <row r="5" spans="1:6" x14ac:dyDescent="0.3">
      <c r="A5" s="268" t="s">
        <v>463</v>
      </c>
      <c r="B5" s="267" t="s">
        <v>2456</v>
      </c>
      <c r="C5" s="268" t="s">
        <v>51</v>
      </c>
      <c r="D5" s="268">
        <v>6</v>
      </c>
      <c r="E5" s="267" t="s">
        <v>2452</v>
      </c>
      <c r="F5" s="267" t="s">
        <v>2453</v>
      </c>
    </row>
    <row r="6" spans="1:6" x14ac:dyDescent="0.3">
      <c r="A6" s="268" t="s">
        <v>627</v>
      </c>
      <c r="B6" s="267" t="s">
        <v>2457</v>
      </c>
      <c r="C6" s="268" t="s">
        <v>51</v>
      </c>
      <c r="D6" s="268">
        <v>5</v>
      </c>
      <c r="E6" s="267" t="s">
        <v>2452</v>
      </c>
      <c r="F6" s="267" t="s">
        <v>2458</v>
      </c>
    </row>
    <row r="7" spans="1:6" x14ac:dyDescent="0.3">
      <c r="A7" s="268" t="s">
        <v>629</v>
      </c>
      <c r="B7" s="267" t="s">
        <v>2459</v>
      </c>
      <c r="C7" s="268" t="s">
        <v>51</v>
      </c>
      <c r="D7" s="268">
        <v>5</v>
      </c>
      <c r="E7" s="267" t="s">
        <v>2452</v>
      </c>
      <c r="F7" s="267" t="s">
        <v>2458</v>
      </c>
    </row>
    <row r="8" spans="1:6" x14ac:dyDescent="0.3">
      <c r="A8" s="268" t="s">
        <v>635</v>
      </c>
      <c r="B8" s="267" t="s">
        <v>2460</v>
      </c>
      <c r="C8" s="268" t="s">
        <v>51</v>
      </c>
      <c r="D8" s="268">
        <v>5</v>
      </c>
      <c r="E8" s="267" t="s">
        <v>2452</v>
      </c>
      <c r="F8" s="267" t="s">
        <v>2458</v>
      </c>
    </row>
    <row r="9" spans="1:6" x14ac:dyDescent="0.3">
      <c r="A9" s="268" t="s">
        <v>420</v>
      </c>
      <c r="B9" s="267" t="s">
        <v>2461</v>
      </c>
      <c r="C9" s="268" t="s">
        <v>51</v>
      </c>
      <c r="D9" s="268">
        <v>7</v>
      </c>
      <c r="E9" s="267" t="s">
        <v>2452</v>
      </c>
      <c r="F9" s="267" t="s">
        <v>2462</v>
      </c>
    </row>
    <row r="10" spans="1:6" x14ac:dyDescent="0.3">
      <c r="A10" s="268" t="s">
        <v>683</v>
      </c>
      <c r="B10" s="267" t="s">
        <v>2463</v>
      </c>
      <c r="C10" s="268" t="s">
        <v>51</v>
      </c>
      <c r="D10" s="268">
        <v>7</v>
      </c>
      <c r="E10" s="267" t="s">
        <v>2452</v>
      </c>
      <c r="F10" s="267" t="s">
        <v>2462</v>
      </c>
    </row>
    <row r="11" spans="1:6" x14ac:dyDescent="0.3">
      <c r="A11" s="268" t="s">
        <v>685</v>
      </c>
      <c r="B11" s="267" t="s">
        <v>2464</v>
      </c>
      <c r="C11" s="268" t="s">
        <v>51</v>
      </c>
      <c r="D11" s="268">
        <v>7</v>
      </c>
      <c r="E11" s="267" t="s">
        <v>2452</v>
      </c>
      <c r="F11" s="267" t="s">
        <v>2462</v>
      </c>
    </row>
    <row r="12" spans="1:6" x14ac:dyDescent="0.3">
      <c r="A12" s="268" t="s">
        <v>969</v>
      </c>
      <c r="B12" s="267" t="s">
        <v>970</v>
      </c>
      <c r="C12" s="268" t="s">
        <v>52</v>
      </c>
      <c r="D12" s="268">
        <v>1</v>
      </c>
      <c r="E12" s="267" t="s">
        <v>2465</v>
      </c>
      <c r="F12" s="267" t="s">
        <v>2466</v>
      </c>
    </row>
    <row r="13" spans="1:6" x14ac:dyDescent="0.3">
      <c r="A13" s="268" t="s">
        <v>976</v>
      </c>
      <c r="B13" s="267" t="s">
        <v>2467</v>
      </c>
      <c r="C13" s="268" t="s">
        <v>52</v>
      </c>
      <c r="D13" s="268">
        <v>1</v>
      </c>
      <c r="E13" s="267" t="s">
        <v>2465</v>
      </c>
      <c r="F13" s="267" t="s">
        <v>2466</v>
      </c>
    </row>
    <row r="14" spans="1:6" x14ac:dyDescent="0.3">
      <c r="A14" s="268" t="s">
        <v>982</v>
      </c>
      <c r="B14" s="267" t="s">
        <v>983</v>
      </c>
      <c r="C14" s="268" t="s">
        <v>52</v>
      </c>
      <c r="D14" s="268">
        <v>1</v>
      </c>
      <c r="E14" s="267" t="s">
        <v>2465</v>
      </c>
      <c r="F14" s="267" t="s">
        <v>2466</v>
      </c>
    </row>
    <row r="15" spans="1:6" x14ac:dyDescent="0.3">
      <c r="A15" s="268" t="s">
        <v>988</v>
      </c>
      <c r="B15" s="267" t="s">
        <v>989</v>
      </c>
      <c r="C15" s="268" t="s">
        <v>52</v>
      </c>
      <c r="D15" s="268">
        <v>1</v>
      </c>
      <c r="E15" s="267" t="s">
        <v>2465</v>
      </c>
      <c r="F15" s="267" t="s">
        <v>2466</v>
      </c>
    </row>
    <row r="16" spans="1:6" x14ac:dyDescent="0.3">
      <c r="A16" s="268" t="s">
        <v>1018</v>
      </c>
      <c r="B16" s="267" t="s">
        <v>2468</v>
      </c>
      <c r="C16" s="268" t="s">
        <v>52</v>
      </c>
      <c r="D16" s="268">
        <v>2</v>
      </c>
      <c r="E16" s="267" t="s">
        <v>2465</v>
      </c>
      <c r="F16" s="267" t="s">
        <v>2469</v>
      </c>
    </row>
    <row r="17" spans="1:6" x14ac:dyDescent="0.3">
      <c r="A17" s="268" t="s">
        <v>838</v>
      </c>
      <c r="B17" s="267" t="s">
        <v>839</v>
      </c>
      <c r="C17" s="268" t="s">
        <v>51</v>
      </c>
      <c r="D17" s="268">
        <v>3</v>
      </c>
      <c r="E17" s="267" t="s">
        <v>2452</v>
      </c>
      <c r="F17" s="267" t="s">
        <v>2148</v>
      </c>
    </row>
    <row r="18" spans="1:6" x14ac:dyDescent="0.3">
      <c r="A18" s="268" t="s">
        <v>2139</v>
      </c>
      <c r="B18" s="267" t="s">
        <v>2470</v>
      </c>
      <c r="C18" s="268" t="s">
        <v>54</v>
      </c>
      <c r="D18" s="268">
        <v>5</v>
      </c>
      <c r="E18" s="267" t="s">
        <v>2471</v>
      </c>
      <c r="F18" s="267" t="s">
        <v>2472</v>
      </c>
    </row>
    <row r="19" spans="1:6" x14ac:dyDescent="0.3">
      <c r="A19" s="268" t="s">
        <v>961</v>
      </c>
      <c r="B19" s="267" t="s">
        <v>962</v>
      </c>
      <c r="C19" s="268" t="s">
        <v>52</v>
      </c>
      <c r="D19" s="268">
        <v>7</v>
      </c>
      <c r="E19" s="267" t="s">
        <v>2465</v>
      </c>
      <c r="F19" s="267" t="s">
        <v>2473</v>
      </c>
    </row>
    <row r="20" spans="1:6" x14ac:dyDescent="0.3">
      <c r="A20" s="268" t="s">
        <v>1351</v>
      </c>
      <c r="B20" s="267" t="s">
        <v>1352</v>
      </c>
      <c r="C20" s="268" t="s">
        <v>56</v>
      </c>
      <c r="D20" s="268">
        <v>3</v>
      </c>
      <c r="E20" s="267" t="s">
        <v>2474</v>
      </c>
      <c r="F20" s="267" t="s">
        <v>2475</v>
      </c>
    </row>
    <row r="21" spans="1:6" x14ac:dyDescent="0.3">
      <c r="A21" s="268" t="s">
        <v>256</v>
      </c>
      <c r="B21" s="267" t="s">
        <v>257</v>
      </c>
      <c r="C21" s="268" t="s">
        <v>49</v>
      </c>
      <c r="D21" s="268">
        <v>3</v>
      </c>
      <c r="E21" s="267" t="s">
        <v>2476</v>
      </c>
      <c r="F21" s="267" t="s">
        <v>2477</v>
      </c>
    </row>
    <row r="22" spans="1:6" x14ac:dyDescent="0.3">
      <c r="A22" s="268" t="s">
        <v>1066</v>
      </c>
      <c r="B22" s="267" t="s">
        <v>2478</v>
      </c>
      <c r="C22" s="268" t="s">
        <v>52</v>
      </c>
      <c r="D22" s="268">
        <v>3</v>
      </c>
      <c r="E22" s="267" t="s">
        <v>2465</v>
      </c>
      <c r="F22" s="267" t="s">
        <v>2479</v>
      </c>
    </row>
    <row r="23" spans="1:6" x14ac:dyDescent="0.3">
      <c r="A23" s="268" t="s">
        <v>1073</v>
      </c>
      <c r="B23" s="267" t="s">
        <v>2480</v>
      </c>
      <c r="C23" s="268" t="s">
        <v>52</v>
      </c>
      <c r="D23" s="268">
        <v>3</v>
      </c>
      <c r="E23" s="267" t="s">
        <v>2465</v>
      </c>
      <c r="F23" s="267" t="s">
        <v>2479</v>
      </c>
    </row>
    <row r="24" spans="1:6" x14ac:dyDescent="0.3">
      <c r="A24" s="268" t="s">
        <v>1445</v>
      </c>
      <c r="B24" s="267" t="s">
        <v>1446</v>
      </c>
      <c r="C24" s="268" t="s">
        <v>52</v>
      </c>
      <c r="D24" s="268">
        <v>3</v>
      </c>
      <c r="E24" s="267" t="s">
        <v>2465</v>
      </c>
      <c r="F24" s="267" t="s">
        <v>2479</v>
      </c>
    </row>
    <row r="25" spans="1:6" x14ac:dyDescent="0.3">
      <c r="A25" s="268" t="s">
        <v>1448</v>
      </c>
      <c r="B25" s="267" t="s">
        <v>1449</v>
      </c>
      <c r="C25" s="268" t="s">
        <v>52</v>
      </c>
      <c r="D25" s="268">
        <v>3</v>
      </c>
      <c r="E25" s="267" t="s">
        <v>2465</v>
      </c>
      <c r="F25" s="267" t="s">
        <v>2479</v>
      </c>
    </row>
    <row r="26" spans="1:6" x14ac:dyDescent="0.3">
      <c r="A26" s="268" t="s">
        <v>1086</v>
      </c>
      <c r="B26" s="267" t="s">
        <v>2481</v>
      </c>
      <c r="C26" s="268" t="s">
        <v>52</v>
      </c>
      <c r="D26" s="268">
        <v>3</v>
      </c>
      <c r="E26" s="267" t="s">
        <v>2465</v>
      </c>
      <c r="F26" s="267" t="s">
        <v>2479</v>
      </c>
    </row>
    <row r="27" spans="1:6" x14ac:dyDescent="0.3">
      <c r="A27" s="268" t="s">
        <v>1092</v>
      </c>
      <c r="B27" s="267" t="s">
        <v>1093</v>
      </c>
      <c r="C27" s="268" t="s">
        <v>52</v>
      </c>
      <c r="D27" s="268">
        <v>3</v>
      </c>
      <c r="E27" s="267" t="s">
        <v>2465</v>
      </c>
      <c r="F27" s="267" t="s">
        <v>2479</v>
      </c>
    </row>
    <row r="28" spans="1:6" x14ac:dyDescent="0.3">
      <c r="A28" s="268" t="s">
        <v>1085</v>
      </c>
      <c r="B28" s="267" t="s">
        <v>2482</v>
      </c>
      <c r="C28" s="268" t="s">
        <v>52</v>
      </c>
      <c r="D28" s="268">
        <v>3</v>
      </c>
      <c r="E28" s="267" t="s">
        <v>2465</v>
      </c>
      <c r="F28" s="267" t="s">
        <v>2479</v>
      </c>
    </row>
    <row r="29" spans="1:6" x14ac:dyDescent="0.3">
      <c r="A29" s="268" t="s">
        <v>1090</v>
      </c>
      <c r="B29" s="267" t="s">
        <v>2483</v>
      </c>
      <c r="C29" s="268" t="s">
        <v>52</v>
      </c>
      <c r="D29" s="268">
        <v>3</v>
      </c>
      <c r="E29" s="267" t="s">
        <v>2465</v>
      </c>
      <c r="F29" s="267" t="s">
        <v>2479</v>
      </c>
    </row>
    <row r="30" spans="1:6" x14ac:dyDescent="0.3">
      <c r="A30" s="268" t="s">
        <v>887</v>
      </c>
      <c r="B30" s="267" t="s">
        <v>2484</v>
      </c>
      <c r="C30" s="268" t="s">
        <v>52</v>
      </c>
      <c r="D30" s="268">
        <v>4</v>
      </c>
      <c r="E30" s="267" t="s">
        <v>2465</v>
      </c>
      <c r="F30" s="267" t="s">
        <v>2485</v>
      </c>
    </row>
    <row r="31" spans="1:6" x14ac:dyDescent="0.3">
      <c r="A31" s="268" t="s">
        <v>484</v>
      </c>
      <c r="B31" s="267" t="s">
        <v>2486</v>
      </c>
      <c r="C31" s="268" t="s">
        <v>52</v>
      </c>
      <c r="D31" s="268">
        <v>5</v>
      </c>
      <c r="E31" s="267" t="s">
        <v>2465</v>
      </c>
      <c r="F31" s="267" t="s">
        <v>2487</v>
      </c>
    </row>
    <row r="32" spans="1:6" x14ac:dyDescent="0.3">
      <c r="A32" s="268" t="s">
        <v>498</v>
      </c>
      <c r="B32" s="267" t="s">
        <v>2488</v>
      </c>
      <c r="C32" s="268" t="s">
        <v>52</v>
      </c>
      <c r="D32" s="268">
        <v>5</v>
      </c>
      <c r="E32" s="267" t="s">
        <v>2465</v>
      </c>
      <c r="F32" s="267" t="s">
        <v>2487</v>
      </c>
    </row>
    <row r="33" spans="1:6" x14ac:dyDescent="0.3">
      <c r="A33" s="268" t="s">
        <v>490</v>
      </c>
      <c r="B33" s="267" t="s">
        <v>2489</v>
      </c>
      <c r="C33" s="268" t="s">
        <v>52</v>
      </c>
      <c r="D33" s="268">
        <v>5</v>
      </c>
      <c r="E33" s="267" t="s">
        <v>2465</v>
      </c>
      <c r="F33" s="267" t="s">
        <v>2487</v>
      </c>
    </row>
    <row r="34" spans="1:6" x14ac:dyDescent="0.3">
      <c r="A34" s="268" t="s">
        <v>496</v>
      </c>
      <c r="B34" s="267" t="s">
        <v>2490</v>
      </c>
      <c r="C34" s="268" t="s">
        <v>52</v>
      </c>
      <c r="D34" s="268">
        <v>5</v>
      </c>
      <c r="E34" s="267" t="s">
        <v>2465</v>
      </c>
      <c r="F34" s="267" t="s">
        <v>2487</v>
      </c>
    </row>
    <row r="35" spans="1:6" x14ac:dyDescent="0.3">
      <c r="A35" s="268" t="s">
        <v>507</v>
      </c>
      <c r="B35" s="267" t="s">
        <v>508</v>
      </c>
      <c r="C35" s="268" t="s">
        <v>52</v>
      </c>
      <c r="D35" s="268">
        <v>5</v>
      </c>
      <c r="E35" s="267" t="s">
        <v>2465</v>
      </c>
      <c r="F35" s="267" t="s">
        <v>2487</v>
      </c>
    </row>
    <row r="36" spans="1:6" x14ac:dyDescent="0.3">
      <c r="A36" s="268" t="s">
        <v>509</v>
      </c>
      <c r="B36" s="267" t="s">
        <v>2491</v>
      </c>
      <c r="C36" s="268" t="s">
        <v>52</v>
      </c>
      <c r="D36" s="268">
        <v>5</v>
      </c>
      <c r="E36" s="267" t="s">
        <v>2465</v>
      </c>
      <c r="F36" s="267" t="s">
        <v>2487</v>
      </c>
    </row>
    <row r="37" spans="1:6" x14ac:dyDescent="0.3">
      <c r="A37" s="268" t="s">
        <v>517</v>
      </c>
      <c r="B37" s="267" t="s">
        <v>518</v>
      </c>
      <c r="C37" s="268" t="s">
        <v>52</v>
      </c>
      <c r="D37" s="268">
        <v>5</v>
      </c>
      <c r="E37" s="267" t="s">
        <v>2465</v>
      </c>
      <c r="F37" s="267" t="s">
        <v>2487</v>
      </c>
    </row>
    <row r="38" spans="1:6" x14ac:dyDescent="0.3">
      <c r="A38" s="268" t="s">
        <v>492</v>
      </c>
      <c r="B38" s="267" t="s">
        <v>493</v>
      </c>
      <c r="C38" s="268" t="s">
        <v>52</v>
      </c>
      <c r="D38" s="268">
        <v>5</v>
      </c>
      <c r="E38" s="267" t="s">
        <v>2465</v>
      </c>
      <c r="F38" s="267" t="s">
        <v>2487</v>
      </c>
    </row>
    <row r="39" spans="1:6" x14ac:dyDescent="0.3">
      <c r="A39" s="268" t="s">
        <v>478</v>
      </c>
      <c r="B39" s="267" t="s">
        <v>2492</v>
      </c>
      <c r="C39" s="268" t="s">
        <v>52</v>
      </c>
      <c r="D39" s="268">
        <v>5</v>
      </c>
      <c r="E39" s="267" t="s">
        <v>2465</v>
      </c>
      <c r="F39" s="267" t="s">
        <v>2487</v>
      </c>
    </row>
    <row r="40" spans="1:6" x14ac:dyDescent="0.3">
      <c r="A40" s="268" t="s">
        <v>482</v>
      </c>
      <c r="B40" s="267" t="s">
        <v>2493</v>
      </c>
      <c r="C40" s="268" t="s">
        <v>52</v>
      </c>
      <c r="D40" s="268">
        <v>5</v>
      </c>
      <c r="E40" s="267" t="s">
        <v>2465</v>
      </c>
      <c r="F40" s="267" t="s">
        <v>2487</v>
      </c>
    </row>
    <row r="41" spans="1:6" x14ac:dyDescent="0.3">
      <c r="A41" s="268" t="s">
        <v>515</v>
      </c>
      <c r="B41" s="267" t="s">
        <v>2494</v>
      </c>
      <c r="C41" s="268" t="s">
        <v>52</v>
      </c>
      <c r="D41" s="268">
        <v>5</v>
      </c>
      <c r="E41" s="267" t="s">
        <v>2465</v>
      </c>
      <c r="F41" s="267" t="s">
        <v>2487</v>
      </c>
    </row>
    <row r="42" spans="1:6" x14ac:dyDescent="0.3">
      <c r="A42" s="268" t="s">
        <v>527</v>
      </c>
      <c r="B42" s="267" t="s">
        <v>2495</v>
      </c>
      <c r="C42" s="268" t="s">
        <v>52</v>
      </c>
      <c r="D42" s="268">
        <v>5</v>
      </c>
      <c r="E42" s="267" t="s">
        <v>2465</v>
      </c>
      <c r="F42" s="267" t="s">
        <v>2487</v>
      </c>
    </row>
    <row r="43" spans="1:6" x14ac:dyDescent="0.3">
      <c r="A43" s="268" t="s">
        <v>529</v>
      </c>
      <c r="B43" s="267" t="s">
        <v>2496</v>
      </c>
      <c r="C43" s="268" t="s">
        <v>52</v>
      </c>
      <c r="D43" s="268">
        <v>5</v>
      </c>
      <c r="E43" s="267" t="s">
        <v>2465</v>
      </c>
      <c r="F43" s="267" t="s">
        <v>2487</v>
      </c>
    </row>
    <row r="44" spans="1:6" x14ac:dyDescent="0.3">
      <c r="A44" s="268" t="s">
        <v>531</v>
      </c>
      <c r="B44" s="267" t="s">
        <v>2497</v>
      </c>
      <c r="C44" s="268" t="s">
        <v>52</v>
      </c>
      <c r="D44" s="268">
        <v>5</v>
      </c>
      <c r="E44" s="267" t="s">
        <v>2465</v>
      </c>
      <c r="F44" s="267" t="s">
        <v>2487</v>
      </c>
    </row>
    <row r="45" spans="1:6" x14ac:dyDescent="0.3">
      <c r="A45" s="268" t="s">
        <v>415</v>
      </c>
      <c r="B45" s="267" t="s">
        <v>2498</v>
      </c>
      <c r="C45" s="268" t="s">
        <v>54</v>
      </c>
      <c r="D45" s="268">
        <v>1</v>
      </c>
      <c r="E45" s="267" t="s">
        <v>2471</v>
      </c>
      <c r="F45" s="267" t="s">
        <v>2499</v>
      </c>
    </row>
    <row r="46" spans="1:6" x14ac:dyDescent="0.3">
      <c r="A46" s="268" t="s">
        <v>1115</v>
      </c>
      <c r="B46" s="267" t="s">
        <v>2500</v>
      </c>
      <c r="C46" s="268" t="s">
        <v>54</v>
      </c>
      <c r="D46" s="268">
        <v>1</v>
      </c>
      <c r="E46" s="267" t="s">
        <v>2471</v>
      </c>
      <c r="F46" s="267" t="s">
        <v>2499</v>
      </c>
    </row>
    <row r="47" spans="1:6" x14ac:dyDescent="0.3">
      <c r="A47" s="268" t="s">
        <v>1283</v>
      </c>
      <c r="B47" s="267" t="s">
        <v>2053</v>
      </c>
      <c r="C47" s="268" t="s">
        <v>56</v>
      </c>
      <c r="D47" s="268">
        <v>3</v>
      </c>
      <c r="E47" s="267" t="s">
        <v>2474</v>
      </c>
      <c r="F47" s="267" t="s">
        <v>2475</v>
      </c>
    </row>
    <row r="48" spans="1:6" x14ac:dyDescent="0.3">
      <c r="A48" s="268" t="s">
        <v>408</v>
      </c>
      <c r="B48" s="267" t="s">
        <v>409</v>
      </c>
      <c r="C48" s="268" t="s">
        <v>51</v>
      </c>
      <c r="D48" s="268">
        <v>1</v>
      </c>
      <c r="E48" s="267" t="s">
        <v>2452</v>
      </c>
      <c r="F48" s="267" t="s">
        <v>370</v>
      </c>
    </row>
    <row r="49" spans="1:6" x14ac:dyDescent="0.3">
      <c r="A49" s="268" t="s">
        <v>780</v>
      </c>
      <c r="B49" s="267" t="s">
        <v>781</v>
      </c>
      <c r="C49" s="268" t="s">
        <v>54</v>
      </c>
      <c r="D49" s="268">
        <v>2</v>
      </c>
      <c r="E49" s="267" t="s">
        <v>2471</v>
      </c>
      <c r="F49" s="267" t="s">
        <v>2501</v>
      </c>
    </row>
    <row r="50" spans="1:6" x14ac:dyDescent="0.3">
      <c r="A50" s="268" t="s">
        <v>784</v>
      </c>
      <c r="B50" s="267" t="s">
        <v>785</v>
      </c>
      <c r="C50" s="268" t="s">
        <v>54</v>
      </c>
      <c r="D50" s="268">
        <v>2</v>
      </c>
      <c r="E50" s="267" t="s">
        <v>2471</v>
      </c>
      <c r="F50" s="267" t="s">
        <v>2501</v>
      </c>
    </row>
    <row r="51" spans="1:6" x14ac:dyDescent="0.3">
      <c r="A51" s="268" t="s">
        <v>786</v>
      </c>
      <c r="B51" s="267" t="s">
        <v>787</v>
      </c>
      <c r="C51" s="268" t="s">
        <v>54</v>
      </c>
      <c r="D51" s="268">
        <v>2</v>
      </c>
      <c r="E51" s="267" t="s">
        <v>2471</v>
      </c>
      <c r="F51" s="267" t="s">
        <v>2501</v>
      </c>
    </row>
    <row r="52" spans="1:6" x14ac:dyDescent="0.3">
      <c r="A52" s="268" t="s">
        <v>788</v>
      </c>
      <c r="B52" s="267" t="s">
        <v>789</v>
      </c>
      <c r="C52" s="268" t="s">
        <v>54</v>
      </c>
      <c r="D52" s="268">
        <v>2</v>
      </c>
      <c r="E52" s="267" t="s">
        <v>2471</v>
      </c>
      <c r="F52" s="267" t="s">
        <v>2501</v>
      </c>
    </row>
    <row r="53" spans="1:6" x14ac:dyDescent="0.3">
      <c r="A53" s="268" t="s">
        <v>790</v>
      </c>
      <c r="B53" s="267" t="s">
        <v>791</v>
      </c>
      <c r="C53" s="268" t="s">
        <v>54</v>
      </c>
      <c r="D53" s="268">
        <v>2</v>
      </c>
      <c r="E53" s="267" t="s">
        <v>2471</v>
      </c>
      <c r="F53" s="267" t="s">
        <v>2501</v>
      </c>
    </row>
    <row r="54" spans="1:6" x14ac:dyDescent="0.3">
      <c r="A54" s="268" t="s">
        <v>792</v>
      </c>
      <c r="B54" s="267" t="s">
        <v>793</v>
      </c>
      <c r="C54" s="268" t="s">
        <v>54</v>
      </c>
      <c r="D54" s="268">
        <v>2</v>
      </c>
      <c r="E54" s="267" t="s">
        <v>2471</v>
      </c>
      <c r="F54" s="267" t="s">
        <v>2501</v>
      </c>
    </row>
    <row r="55" spans="1:6" x14ac:dyDescent="0.3">
      <c r="A55" s="268" t="s">
        <v>795</v>
      </c>
      <c r="B55" s="267" t="s">
        <v>796</v>
      </c>
      <c r="C55" s="268" t="s">
        <v>54</v>
      </c>
      <c r="D55" s="268">
        <v>2</v>
      </c>
      <c r="E55" s="267" t="s">
        <v>2471</v>
      </c>
      <c r="F55" s="267" t="s">
        <v>2501</v>
      </c>
    </row>
    <row r="56" spans="1:6" x14ac:dyDescent="0.3">
      <c r="A56" s="268" t="s">
        <v>797</v>
      </c>
      <c r="B56" s="267" t="s">
        <v>798</v>
      </c>
      <c r="C56" s="268" t="s">
        <v>54</v>
      </c>
      <c r="D56" s="268">
        <v>2</v>
      </c>
      <c r="E56" s="267" t="s">
        <v>2471</v>
      </c>
      <c r="F56" s="267" t="s">
        <v>2501</v>
      </c>
    </row>
    <row r="57" spans="1:6" x14ac:dyDescent="0.3">
      <c r="A57" s="268" t="s">
        <v>799</v>
      </c>
      <c r="B57" s="267" t="s">
        <v>800</v>
      </c>
      <c r="C57" s="268" t="s">
        <v>54</v>
      </c>
      <c r="D57" s="268">
        <v>2</v>
      </c>
      <c r="E57" s="267" t="s">
        <v>2471</v>
      </c>
      <c r="F57" s="267" t="s">
        <v>2501</v>
      </c>
    </row>
    <row r="58" spans="1:6" x14ac:dyDescent="0.3">
      <c r="A58" s="268" t="s">
        <v>1130</v>
      </c>
      <c r="B58" s="267" t="s">
        <v>1131</v>
      </c>
      <c r="C58" s="268" t="s">
        <v>54</v>
      </c>
      <c r="D58" s="268">
        <v>3</v>
      </c>
      <c r="E58" s="267" t="s">
        <v>2471</v>
      </c>
      <c r="F58" s="267" t="s">
        <v>2502</v>
      </c>
    </row>
    <row r="59" spans="1:6" x14ac:dyDescent="0.3">
      <c r="A59" s="268" t="s">
        <v>919</v>
      </c>
      <c r="B59" s="267" t="s">
        <v>2503</v>
      </c>
      <c r="C59" s="268" t="s">
        <v>56</v>
      </c>
      <c r="D59" s="268">
        <v>1</v>
      </c>
      <c r="E59" s="267" t="s">
        <v>2474</v>
      </c>
      <c r="F59" s="267" t="s">
        <v>2504</v>
      </c>
    </row>
    <row r="60" spans="1:6" x14ac:dyDescent="0.3">
      <c r="A60" s="268" t="s">
        <v>550</v>
      </c>
      <c r="B60" s="267" t="s">
        <v>2505</v>
      </c>
      <c r="C60" s="268" t="s">
        <v>54</v>
      </c>
      <c r="D60" s="268">
        <v>6</v>
      </c>
      <c r="E60" s="267" t="s">
        <v>2471</v>
      </c>
      <c r="F60" s="267" t="s">
        <v>549</v>
      </c>
    </row>
    <row r="61" spans="1:6" x14ac:dyDescent="0.3">
      <c r="A61" s="268" t="s">
        <v>583</v>
      </c>
      <c r="B61" s="267" t="s">
        <v>2506</v>
      </c>
      <c r="C61" s="268" t="s">
        <v>54</v>
      </c>
      <c r="D61" s="268">
        <v>6</v>
      </c>
      <c r="E61" s="267" t="s">
        <v>2471</v>
      </c>
      <c r="F61" s="267" t="s">
        <v>549</v>
      </c>
    </row>
    <row r="62" spans="1:6" x14ac:dyDescent="0.3">
      <c r="A62" s="268" t="s">
        <v>565</v>
      </c>
      <c r="B62" s="267" t="s">
        <v>2507</v>
      </c>
      <c r="C62" s="268" t="s">
        <v>54</v>
      </c>
      <c r="D62" s="268">
        <v>6</v>
      </c>
      <c r="E62" s="267" t="s">
        <v>2471</v>
      </c>
      <c r="F62" s="267" t="s">
        <v>549</v>
      </c>
    </row>
    <row r="63" spans="1:6" x14ac:dyDescent="0.3">
      <c r="A63" s="268" t="s">
        <v>546</v>
      </c>
      <c r="B63" s="267" t="s">
        <v>2508</v>
      </c>
      <c r="C63" s="268" t="s">
        <v>54</v>
      </c>
      <c r="D63" s="268">
        <v>6</v>
      </c>
      <c r="E63" s="267" t="s">
        <v>2471</v>
      </c>
      <c r="F63" s="267" t="s">
        <v>549</v>
      </c>
    </row>
    <row r="64" spans="1:6" x14ac:dyDescent="0.3">
      <c r="A64" s="268" t="s">
        <v>592</v>
      </c>
      <c r="B64" s="267" t="s">
        <v>2509</v>
      </c>
      <c r="C64" s="268" t="s">
        <v>54</v>
      </c>
      <c r="D64" s="268">
        <v>6</v>
      </c>
      <c r="E64" s="267" t="s">
        <v>2471</v>
      </c>
      <c r="F64" s="267" t="s">
        <v>549</v>
      </c>
    </row>
    <row r="65" spans="1:6" x14ac:dyDescent="0.3">
      <c r="A65" s="268" t="s">
        <v>597</v>
      </c>
      <c r="B65" s="267" t="s">
        <v>2510</v>
      </c>
      <c r="C65" s="268" t="s">
        <v>54</v>
      </c>
      <c r="D65" s="268">
        <v>6</v>
      </c>
      <c r="E65" s="267" t="s">
        <v>2471</v>
      </c>
      <c r="F65" s="267" t="s">
        <v>549</v>
      </c>
    </row>
    <row r="66" spans="1:6" x14ac:dyDescent="0.3">
      <c r="A66" s="268" t="s">
        <v>572</v>
      </c>
      <c r="B66" s="267" t="s">
        <v>2511</v>
      </c>
      <c r="C66" s="268" t="s">
        <v>54</v>
      </c>
      <c r="D66" s="268">
        <v>6</v>
      </c>
      <c r="E66" s="267" t="s">
        <v>2471</v>
      </c>
      <c r="F66" s="267" t="s">
        <v>549</v>
      </c>
    </row>
    <row r="67" spans="1:6" x14ac:dyDescent="0.3">
      <c r="A67" s="268" t="s">
        <v>603</v>
      </c>
      <c r="B67" s="267" t="s">
        <v>2512</v>
      </c>
      <c r="C67" s="268" t="s">
        <v>54</v>
      </c>
      <c r="D67" s="268">
        <v>7</v>
      </c>
      <c r="E67" s="267" t="s">
        <v>2471</v>
      </c>
      <c r="F67" s="267" t="s">
        <v>2513</v>
      </c>
    </row>
    <row r="68" spans="1:6" x14ac:dyDescent="0.3">
      <c r="A68" s="268" t="s">
        <v>1117</v>
      </c>
      <c r="B68" s="267" t="s">
        <v>2514</v>
      </c>
      <c r="C68" s="268" t="s">
        <v>54</v>
      </c>
      <c r="D68" s="268">
        <v>7</v>
      </c>
      <c r="E68" s="267" t="s">
        <v>2471</v>
      </c>
      <c r="F68" s="267" t="s">
        <v>2513</v>
      </c>
    </row>
    <row r="69" spans="1:6" x14ac:dyDescent="0.3">
      <c r="A69" s="268" t="s">
        <v>608</v>
      </c>
      <c r="B69" s="267" t="s">
        <v>2515</v>
      </c>
      <c r="C69" s="268" t="s">
        <v>54</v>
      </c>
      <c r="D69" s="268">
        <v>7</v>
      </c>
      <c r="E69" s="267" t="s">
        <v>2471</v>
      </c>
      <c r="F69" s="267" t="s">
        <v>2513</v>
      </c>
    </row>
    <row r="70" spans="1:6" x14ac:dyDescent="0.3">
      <c r="A70" s="268" t="s">
        <v>588</v>
      </c>
      <c r="B70" s="267" t="s">
        <v>589</v>
      </c>
      <c r="C70" s="268" t="s">
        <v>54</v>
      </c>
      <c r="D70" s="268">
        <v>7</v>
      </c>
      <c r="E70" s="267" t="s">
        <v>2471</v>
      </c>
      <c r="F70" s="267" t="s">
        <v>2513</v>
      </c>
    </row>
    <row r="71" spans="1:6" x14ac:dyDescent="0.3">
      <c r="A71" s="268" t="s">
        <v>578</v>
      </c>
      <c r="B71" s="267" t="s">
        <v>579</v>
      </c>
      <c r="C71" s="268" t="s">
        <v>54</v>
      </c>
      <c r="D71" s="268">
        <v>7</v>
      </c>
      <c r="E71" s="267" t="s">
        <v>2471</v>
      </c>
      <c r="F71" s="267" t="s">
        <v>2513</v>
      </c>
    </row>
    <row r="72" spans="1:6" x14ac:dyDescent="0.3">
      <c r="A72" s="268" t="s">
        <v>556</v>
      </c>
      <c r="B72" s="267" t="s">
        <v>2516</v>
      </c>
      <c r="C72" s="268" t="s">
        <v>54</v>
      </c>
      <c r="D72" s="268">
        <v>7</v>
      </c>
      <c r="E72" s="267" t="s">
        <v>2471</v>
      </c>
      <c r="F72" s="267" t="s">
        <v>2513</v>
      </c>
    </row>
    <row r="73" spans="1:6" x14ac:dyDescent="0.3">
      <c r="A73" s="268" t="s">
        <v>561</v>
      </c>
      <c r="B73" s="267" t="s">
        <v>2517</v>
      </c>
      <c r="C73" s="268" t="s">
        <v>54</v>
      </c>
      <c r="D73" s="268">
        <v>7</v>
      </c>
      <c r="E73" s="267" t="s">
        <v>2471</v>
      </c>
      <c r="F73" s="267" t="s">
        <v>2513</v>
      </c>
    </row>
    <row r="74" spans="1:6" x14ac:dyDescent="0.3">
      <c r="A74" s="268" t="s">
        <v>614</v>
      </c>
      <c r="B74" s="267" t="s">
        <v>2518</v>
      </c>
      <c r="C74" s="268" t="s">
        <v>54</v>
      </c>
      <c r="D74" s="268">
        <v>7</v>
      </c>
      <c r="E74" s="267" t="s">
        <v>2471</v>
      </c>
      <c r="F74" s="267" t="s">
        <v>2513</v>
      </c>
    </row>
    <row r="75" spans="1:6" x14ac:dyDescent="0.3">
      <c r="A75" s="268" t="s">
        <v>1046</v>
      </c>
      <c r="B75" s="267" t="s">
        <v>1049</v>
      </c>
      <c r="C75" s="268" t="s">
        <v>54</v>
      </c>
      <c r="D75" s="268">
        <v>7</v>
      </c>
      <c r="E75" s="267" t="s">
        <v>2471</v>
      </c>
      <c r="F75" s="267" t="s">
        <v>2513</v>
      </c>
    </row>
    <row r="76" spans="1:6" x14ac:dyDescent="0.3">
      <c r="A76" s="268" t="s">
        <v>1010</v>
      </c>
      <c r="B76" s="267" t="s">
        <v>2519</v>
      </c>
      <c r="C76" s="268" t="s">
        <v>54</v>
      </c>
      <c r="D76" s="268">
        <v>7</v>
      </c>
      <c r="E76" s="267" t="s">
        <v>2471</v>
      </c>
      <c r="F76" s="267" t="s">
        <v>2513</v>
      </c>
    </row>
    <row r="77" spans="1:6" x14ac:dyDescent="0.3">
      <c r="A77" s="268" t="s">
        <v>1466</v>
      </c>
      <c r="B77" s="267" t="s">
        <v>2520</v>
      </c>
      <c r="C77" s="268" t="s">
        <v>54</v>
      </c>
      <c r="D77" s="268">
        <v>7</v>
      </c>
      <c r="E77" s="267" t="s">
        <v>2471</v>
      </c>
      <c r="F77" s="267" t="s">
        <v>2513</v>
      </c>
    </row>
    <row r="78" spans="1:6" x14ac:dyDescent="0.3">
      <c r="A78" s="268" t="s">
        <v>1038</v>
      </c>
      <c r="B78" s="267" t="s">
        <v>1039</v>
      </c>
      <c r="C78" s="268" t="s">
        <v>54</v>
      </c>
      <c r="D78" s="268">
        <v>7</v>
      </c>
      <c r="E78" s="267" t="s">
        <v>2471</v>
      </c>
      <c r="F78" s="267" t="s">
        <v>2513</v>
      </c>
    </row>
    <row r="79" spans="1:6" x14ac:dyDescent="0.3">
      <c r="A79" s="268" t="s">
        <v>533</v>
      </c>
      <c r="B79" s="267" t="s">
        <v>534</v>
      </c>
      <c r="C79" s="268" t="s">
        <v>54</v>
      </c>
      <c r="D79" s="268">
        <v>7</v>
      </c>
      <c r="E79" s="267" t="s">
        <v>2471</v>
      </c>
      <c r="F79" s="267" t="s">
        <v>2513</v>
      </c>
    </row>
    <row r="80" spans="1:6" x14ac:dyDescent="0.3">
      <c r="A80" s="268" t="s">
        <v>540</v>
      </c>
      <c r="B80" s="267" t="s">
        <v>541</v>
      </c>
      <c r="C80" s="268" t="s">
        <v>54</v>
      </c>
      <c r="D80" s="268">
        <v>7</v>
      </c>
      <c r="E80" s="267" t="s">
        <v>2471</v>
      </c>
      <c r="F80" s="267" t="s">
        <v>2513</v>
      </c>
    </row>
    <row r="81" spans="1:6" x14ac:dyDescent="0.3">
      <c r="A81" s="268" t="s">
        <v>767</v>
      </c>
      <c r="B81" s="267" t="s">
        <v>768</v>
      </c>
      <c r="C81" s="268" t="s">
        <v>54</v>
      </c>
      <c r="D81" s="268">
        <v>8</v>
      </c>
      <c r="E81" s="267" t="s">
        <v>2471</v>
      </c>
      <c r="F81" s="267" t="s">
        <v>2462</v>
      </c>
    </row>
    <row r="82" spans="1:6" x14ac:dyDescent="0.3">
      <c r="A82" s="268" t="s">
        <v>769</v>
      </c>
      <c r="B82" s="267" t="s">
        <v>770</v>
      </c>
      <c r="C82" s="268" t="s">
        <v>54</v>
      </c>
      <c r="D82" s="268">
        <v>8</v>
      </c>
      <c r="E82" s="267" t="s">
        <v>2471</v>
      </c>
      <c r="F82" s="267" t="s">
        <v>2462</v>
      </c>
    </row>
    <row r="83" spans="1:6" x14ac:dyDescent="0.3">
      <c r="A83" s="268" t="s">
        <v>2412</v>
      </c>
      <c r="B83" s="267" t="s">
        <v>2521</v>
      </c>
      <c r="C83" s="268" t="s">
        <v>55</v>
      </c>
      <c r="D83" s="268">
        <v>2</v>
      </c>
      <c r="E83" s="267" t="s">
        <v>2522</v>
      </c>
      <c r="F83" s="267" t="s">
        <v>2523</v>
      </c>
    </row>
    <row r="84" spans="1:6" x14ac:dyDescent="0.3">
      <c r="A84" s="268" t="s">
        <v>939</v>
      </c>
      <c r="B84" s="267" t="s">
        <v>940</v>
      </c>
      <c r="C84" s="268" t="s">
        <v>56</v>
      </c>
      <c r="D84" s="268">
        <v>2</v>
      </c>
      <c r="E84" s="267" t="s">
        <v>2474</v>
      </c>
      <c r="F84" s="267" t="s">
        <v>2524</v>
      </c>
    </row>
    <row r="85" spans="1:6" x14ac:dyDescent="0.3">
      <c r="A85" s="268" t="s">
        <v>945</v>
      </c>
      <c r="B85" s="267" t="s">
        <v>946</v>
      </c>
      <c r="C85" s="268" t="s">
        <v>56</v>
      </c>
      <c r="D85" s="268">
        <v>2</v>
      </c>
      <c r="E85" s="267" t="s">
        <v>2474</v>
      </c>
      <c r="F85" s="267" t="s">
        <v>2524</v>
      </c>
    </row>
    <row r="86" spans="1:6" x14ac:dyDescent="0.3">
      <c r="A86" s="268" t="s">
        <v>1132</v>
      </c>
      <c r="B86" s="267" t="s">
        <v>2525</v>
      </c>
      <c r="C86" s="268" t="s">
        <v>56</v>
      </c>
      <c r="D86" s="268">
        <v>3</v>
      </c>
      <c r="E86" s="267" t="s">
        <v>2474</v>
      </c>
      <c r="F86" s="267" t="s">
        <v>2475</v>
      </c>
    </row>
    <row r="87" spans="1:6" x14ac:dyDescent="0.3">
      <c r="A87" s="268" t="s">
        <v>937</v>
      </c>
      <c r="B87" s="267" t="s">
        <v>938</v>
      </c>
      <c r="C87" s="268" t="s">
        <v>56</v>
      </c>
      <c r="D87" s="268">
        <v>2</v>
      </c>
      <c r="E87" s="267" t="s">
        <v>2474</v>
      </c>
      <c r="F87" s="267" t="s">
        <v>2524</v>
      </c>
    </row>
    <row r="88" spans="1:6" x14ac:dyDescent="0.3">
      <c r="A88" s="268" t="s">
        <v>948</v>
      </c>
      <c r="B88" s="267" t="s">
        <v>949</v>
      </c>
      <c r="C88" s="268" t="s">
        <v>56</v>
      </c>
      <c r="D88" s="268">
        <v>2</v>
      </c>
      <c r="E88" s="267" t="s">
        <v>2474</v>
      </c>
      <c r="F88" s="267" t="s">
        <v>2524</v>
      </c>
    </row>
    <row r="89" spans="1:6" x14ac:dyDescent="0.3">
      <c r="A89" s="268" t="s">
        <v>953</v>
      </c>
      <c r="B89" s="267" t="s">
        <v>2526</v>
      </c>
      <c r="C89" s="268" t="s">
        <v>56</v>
      </c>
      <c r="D89" s="268">
        <v>2</v>
      </c>
      <c r="E89" s="267" t="s">
        <v>2474</v>
      </c>
      <c r="F89" s="267" t="s">
        <v>2524</v>
      </c>
    </row>
    <row r="90" spans="1:6" x14ac:dyDescent="0.3">
      <c r="A90" s="268" t="s">
        <v>1364</v>
      </c>
      <c r="B90" s="267" t="s">
        <v>2527</v>
      </c>
      <c r="C90" s="268" t="s">
        <v>56</v>
      </c>
      <c r="D90" s="268">
        <v>4</v>
      </c>
      <c r="E90" s="267" t="s">
        <v>2474</v>
      </c>
      <c r="F90" s="267" t="s">
        <v>2528</v>
      </c>
    </row>
    <row r="91" spans="1:6" x14ac:dyDescent="0.3">
      <c r="A91" s="268" t="s">
        <v>1367</v>
      </c>
      <c r="B91" s="267" t="s">
        <v>2529</v>
      </c>
      <c r="C91" s="268" t="s">
        <v>56</v>
      </c>
      <c r="D91" s="268">
        <v>4</v>
      </c>
      <c r="E91" s="267" t="s">
        <v>2474</v>
      </c>
      <c r="F91" s="267" t="s">
        <v>2528</v>
      </c>
    </row>
    <row r="92" spans="1:6" x14ac:dyDescent="0.3">
      <c r="A92" s="268" t="s">
        <v>312</v>
      </c>
      <c r="B92" s="267" t="s">
        <v>313</v>
      </c>
      <c r="C92" s="268" t="s">
        <v>57</v>
      </c>
      <c r="D92" s="268">
        <v>9</v>
      </c>
      <c r="E92" s="267" t="s">
        <v>2530</v>
      </c>
      <c r="F92" s="267" t="s">
        <v>1492</v>
      </c>
    </row>
    <row r="93" spans="1:6" x14ac:dyDescent="0.3">
      <c r="A93" s="268" t="s">
        <v>2414</v>
      </c>
      <c r="B93" s="267" t="s">
        <v>2531</v>
      </c>
      <c r="C93" s="268" t="s">
        <v>57</v>
      </c>
      <c r="D93" s="268">
        <v>1</v>
      </c>
      <c r="E93" s="267" t="s">
        <v>2530</v>
      </c>
      <c r="F93" s="267" t="s">
        <v>2532</v>
      </c>
    </row>
    <row r="94" spans="1:6" x14ac:dyDescent="0.3">
      <c r="A94" s="268" t="s">
        <v>2415</v>
      </c>
      <c r="B94" s="267" t="s">
        <v>2533</v>
      </c>
      <c r="C94" s="268" t="s">
        <v>57</v>
      </c>
      <c r="D94" s="268">
        <v>1</v>
      </c>
      <c r="E94" s="267" t="s">
        <v>2530</v>
      </c>
      <c r="F94" s="267" t="s">
        <v>2532</v>
      </c>
    </row>
    <row r="95" spans="1:6" x14ac:dyDescent="0.3">
      <c r="A95" s="268" t="s">
        <v>2416</v>
      </c>
      <c r="B95" s="267" t="s">
        <v>2534</v>
      </c>
      <c r="C95" s="268" t="s">
        <v>57</v>
      </c>
      <c r="D95" s="268">
        <v>1</v>
      </c>
      <c r="E95" s="267" t="s">
        <v>2530</v>
      </c>
      <c r="F95" s="267" t="s">
        <v>2532</v>
      </c>
    </row>
    <row r="96" spans="1:6" x14ac:dyDescent="0.3">
      <c r="A96" s="268" t="s">
        <v>1924</v>
      </c>
      <c r="B96" s="267" t="s">
        <v>2535</v>
      </c>
      <c r="C96" s="268" t="s">
        <v>57</v>
      </c>
      <c r="D96" s="268">
        <v>1</v>
      </c>
      <c r="E96" s="267" t="s">
        <v>2530</v>
      </c>
      <c r="F96" s="267" t="s">
        <v>2532</v>
      </c>
    </row>
    <row r="97" spans="1:6" x14ac:dyDescent="0.3">
      <c r="A97" s="268" t="s">
        <v>2417</v>
      </c>
      <c r="B97" s="267" t="s">
        <v>2536</v>
      </c>
      <c r="C97" s="268" t="s">
        <v>57</v>
      </c>
      <c r="D97" s="268">
        <v>2</v>
      </c>
      <c r="E97" s="267" t="s">
        <v>2530</v>
      </c>
      <c r="F97" s="267" t="s">
        <v>2537</v>
      </c>
    </row>
    <row r="98" spans="1:6" x14ac:dyDescent="0.3">
      <c r="A98" s="268" t="s">
        <v>2418</v>
      </c>
      <c r="B98" s="267" t="s">
        <v>2538</v>
      </c>
      <c r="C98" s="268" t="s">
        <v>57</v>
      </c>
      <c r="D98" s="268">
        <v>2</v>
      </c>
      <c r="E98" s="267" t="s">
        <v>2530</v>
      </c>
      <c r="F98" s="267" t="s">
        <v>2537</v>
      </c>
    </row>
    <row r="99" spans="1:6" x14ac:dyDescent="0.3">
      <c r="A99" s="268" t="s">
        <v>2419</v>
      </c>
      <c r="B99" s="267" t="s">
        <v>2539</v>
      </c>
      <c r="C99" s="268" t="s">
        <v>57</v>
      </c>
      <c r="D99" s="268">
        <v>2</v>
      </c>
      <c r="E99" s="267" t="s">
        <v>2530</v>
      </c>
      <c r="F99" s="267" t="s">
        <v>2537</v>
      </c>
    </row>
    <row r="100" spans="1:6" x14ac:dyDescent="0.3">
      <c r="A100" s="268" t="s">
        <v>2420</v>
      </c>
      <c r="B100" s="267" t="s">
        <v>2540</v>
      </c>
      <c r="C100" s="268" t="s">
        <v>57</v>
      </c>
      <c r="D100" s="268">
        <v>2</v>
      </c>
      <c r="E100" s="267" t="s">
        <v>2530</v>
      </c>
      <c r="F100" s="267" t="s">
        <v>2537</v>
      </c>
    </row>
    <row r="101" spans="1:6" x14ac:dyDescent="0.3">
      <c r="A101" s="268" t="s">
        <v>2421</v>
      </c>
      <c r="B101" s="267" t="s">
        <v>2541</v>
      </c>
      <c r="C101" s="268" t="s">
        <v>57</v>
      </c>
      <c r="D101" s="268">
        <v>2</v>
      </c>
      <c r="E101" s="267" t="s">
        <v>2530</v>
      </c>
      <c r="F101" s="267" t="s">
        <v>2537</v>
      </c>
    </row>
    <row r="102" spans="1:6" x14ac:dyDescent="0.3">
      <c r="A102" s="268" t="s">
        <v>2422</v>
      </c>
      <c r="B102" s="267" t="s">
        <v>2542</v>
      </c>
      <c r="C102" s="268" t="s">
        <v>57</v>
      </c>
      <c r="D102" s="268">
        <v>2</v>
      </c>
      <c r="E102" s="267" t="s">
        <v>2530</v>
      </c>
      <c r="F102" s="267" t="s">
        <v>2537</v>
      </c>
    </row>
    <row r="103" spans="1:6" x14ac:dyDescent="0.3">
      <c r="A103" s="268" t="s">
        <v>2423</v>
      </c>
      <c r="B103" s="267" t="s">
        <v>2543</v>
      </c>
      <c r="C103" s="268" t="s">
        <v>57</v>
      </c>
      <c r="D103" s="268">
        <v>2</v>
      </c>
      <c r="E103" s="267" t="s">
        <v>2530</v>
      </c>
      <c r="F103" s="267" t="s">
        <v>2537</v>
      </c>
    </row>
    <row r="104" spans="1:6" x14ac:dyDescent="0.3">
      <c r="A104" s="268" t="s">
        <v>2424</v>
      </c>
      <c r="B104" s="267" t="s">
        <v>2544</v>
      </c>
      <c r="C104" s="268" t="s">
        <v>57</v>
      </c>
      <c r="D104" s="268">
        <v>2</v>
      </c>
      <c r="E104" s="267" t="s">
        <v>2530</v>
      </c>
      <c r="F104" s="267" t="s">
        <v>2537</v>
      </c>
    </row>
    <row r="105" spans="1:6" x14ac:dyDescent="0.3">
      <c r="A105" s="268" t="s">
        <v>2425</v>
      </c>
      <c r="B105" s="267" t="s">
        <v>2545</v>
      </c>
      <c r="C105" s="268" t="s">
        <v>57</v>
      </c>
      <c r="D105" s="268">
        <v>2</v>
      </c>
      <c r="E105" s="267" t="s">
        <v>2530</v>
      </c>
      <c r="F105" s="267" t="s">
        <v>2537</v>
      </c>
    </row>
    <row r="106" spans="1:6" x14ac:dyDescent="0.3">
      <c r="A106" s="268" t="s">
        <v>2442</v>
      </c>
      <c r="B106" s="267" t="s">
        <v>2546</v>
      </c>
      <c r="C106" s="268" t="s">
        <v>57</v>
      </c>
      <c r="D106" s="268">
        <v>3</v>
      </c>
      <c r="E106" s="267" t="s">
        <v>2530</v>
      </c>
      <c r="F106" s="267" t="s">
        <v>2547</v>
      </c>
    </row>
    <row r="107" spans="1:6" x14ac:dyDescent="0.3">
      <c r="A107" s="268" t="s">
        <v>2443</v>
      </c>
      <c r="B107" s="267" t="s">
        <v>2548</v>
      </c>
      <c r="C107" s="268" t="s">
        <v>57</v>
      </c>
      <c r="D107" s="268">
        <v>3</v>
      </c>
      <c r="E107" s="267" t="s">
        <v>2530</v>
      </c>
      <c r="F107" s="267" t="s">
        <v>2547</v>
      </c>
    </row>
    <row r="108" spans="1:6" x14ac:dyDescent="0.3">
      <c r="A108" s="268" t="s">
        <v>2444</v>
      </c>
      <c r="B108" s="267" t="s">
        <v>2549</v>
      </c>
      <c r="C108" s="268" t="s">
        <v>57</v>
      </c>
      <c r="D108" s="268">
        <v>3</v>
      </c>
      <c r="E108" s="267" t="s">
        <v>2530</v>
      </c>
      <c r="F108" s="267" t="s">
        <v>2547</v>
      </c>
    </row>
    <row r="109" spans="1:6" x14ac:dyDescent="0.3">
      <c r="A109" s="268" t="s">
        <v>2445</v>
      </c>
      <c r="B109" s="267" t="s">
        <v>2550</v>
      </c>
      <c r="C109" s="268" t="s">
        <v>57</v>
      </c>
      <c r="D109" s="268">
        <v>3</v>
      </c>
      <c r="E109" s="267" t="s">
        <v>2530</v>
      </c>
      <c r="F109" s="267" t="s">
        <v>2547</v>
      </c>
    </row>
    <row r="110" spans="1:6" x14ac:dyDescent="0.3">
      <c r="A110" s="268" t="s">
        <v>2446</v>
      </c>
      <c r="B110" s="267" t="s">
        <v>2551</v>
      </c>
      <c r="C110" s="268" t="s">
        <v>57</v>
      </c>
      <c r="D110" s="268">
        <v>3</v>
      </c>
      <c r="E110" s="267" t="s">
        <v>2530</v>
      </c>
      <c r="F110" s="267" t="s">
        <v>2547</v>
      </c>
    </row>
    <row r="111" spans="1:6" x14ac:dyDescent="0.3">
      <c r="A111" s="268" t="s">
        <v>2447</v>
      </c>
      <c r="B111" s="267" t="s">
        <v>2552</v>
      </c>
      <c r="C111" s="268" t="s">
        <v>57</v>
      </c>
      <c r="D111" s="268">
        <v>3</v>
      </c>
      <c r="E111" s="267" t="s">
        <v>2530</v>
      </c>
      <c r="F111" s="267" t="s">
        <v>2547</v>
      </c>
    </row>
    <row r="112" spans="1:6" x14ac:dyDescent="0.3">
      <c r="A112" s="268" t="s">
        <v>2428</v>
      </c>
      <c r="B112" s="267" t="s">
        <v>2553</v>
      </c>
      <c r="C112" s="268" t="s">
        <v>57</v>
      </c>
      <c r="D112" s="268">
        <v>2</v>
      </c>
      <c r="E112" s="267" t="s">
        <v>2530</v>
      </c>
      <c r="F112" s="267" t="s">
        <v>2537</v>
      </c>
    </row>
    <row r="113" spans="1:6" x14ac:dyDescent="0.3">
      <c r="A113" s="268" t="s">
        <v>1384</v>
      </c>
      <c r="B113" s="267" t="s">
        <v>1385</v>
      </c>
      <c r="C113" s="268" t="s">
        <v>55</v>
      </c>
      <c r="D113" s="268">
        <v>2</v>
      </c>
      <c r="E113" s="267" t="s">
        <v>2522</v>
      </c>
      <c r="F113" s="267" t="s">
        <v>2523</v>
      </c>
    </row>
    <row r="114" spans="1:6" x14ac:dyDescent="0.3">
      <c r="A114" s="268" t="s">
        <v>244</v>
      </c>
      <c r="B114" s="267" t="s">
        <v>245</v>
      </c>
      <c r="C114" s="268" t="s">
        <v>49</v>
      </c>
      <c r="D114" s="268">
        <v>2</v>
      </c>
      <c r="E114" s="267" t="s">
        <v>2476</v>
      </c>
      <c r="F114" s="267" t="s">
        <v>2554</v>
      </c>
    </row>
    <row r="115" spans="1:6" x14ac:dyDescent="0.3">
      <c r="A115" s="268" t="s">
        <v>2426</v>
      </c>
      <c r="B115" s="267" t="s">
        <v>2555</v>
      </c>
      <c r="C115" s="268" t="s">
        <v>57</v>
      </c>
      <c r="D115" s="268">
        <v>2</v>
      </c>
      <c r="E115" s="267" t="s">
        <v>2530</v>
      </c>
      <c r="F115" s="267" t="s">
        <v>2537</v>
      </c>
    </row>
    <row r="116" spans="1:6" x14ac:dyDescent="0.3">
      <c r="A116" s="268" t="s">
        <v>1054</v>
      </c>
      <c r="B116" s="267" t="s">
        <v>1055</v>
      </c>
      <c r="C116" s="268" t="s">
        <v>54</v>
      </c>
      <c r="D116" s="268">
        <v>5</v>
      </c>
      <c r="E116" s="267" t="s">
        <v>2471</v>
      </c>
      <c r="F116" s="267" t="s">
        <v>2472</v>
      </c>
    </row>
    <row r="117" spans="1:6" x14ac:dyDescent="0.3">
      <c r="A117" s="268" t="s">
        <v>2427</v>
      </c>
      <c r="B117" s="267" t="s">
        <v>2556</v>
      </c>
      <c r="C117" s="268" t="s">
        <v>57</v>
      </c>
      <c r="D117" s="268">
        <v>2</v>
      </c>
      <c r="E117" s="267" t="s">
        <v>2530</v>
      </c>
      <c r="F117" s="267" t="s">
        <v>2537</v>
      </c>
    </row>
    <row r="118" spans="1:6" x14ac:dyDescent="0.3">
      <c r="A118" s="268" t="s">
        <v>2431</v>
      </c>
      <c r="B118" s="267" t="s">
        <v>2557</v>
      </c>
      <c r="C118" s="268" t="s">
        <v>57</v>
      </c>
      <c r="D118" s="268">
        <v>2</v>
      </c>
      <c r="E118" s="267" t="s">
        <v>2530</v>
      </c>
      <c r="F118" s="267" t="s">
        <v>2537</v>
      </c>
    </row>
    <row r="119" spans="1:6" x14ac:dyDescent="0.3">
      <c r="A119" s="268" t="s">
        <v>2430</v>
      </c>
      <c r="B119" s="267" t="s">
        <v>2558</v>
      </c>
      <c r="C119" s="268" t="s">
        <v>57</v>
      </c>
      <c r="D119" s="268">
        <v>2</v>
      </c>
      <c r="E119" s="267" t="s">
        <v>2530</v>
      </c>
      <c r="F119" s="267" t="s">
        <v>2537</v>
      </c>
    </row>
    <row r="120" spans="1:6" x14ac:dyDescent="0.3">
      <c r="A120" s="268" t="s">
        <v>2429</v>
      </c>
      <c r="B120" s="267" t="s">
        <v>2559</v>
      </c>
      <c r="C120" s="268" t="s">
        <v>57</v>
      </c>
      <c r="D120" s="268">
        <v>2</v>
      </c>
      <c r="E120" s="267" t="s">
        <v>2530</v>
      </c>
      <c r="F120" s="267" t="s">
        <v>2537</v>
      </c>
    </row>
    <row r="121" spans="1:6" x14ac:dyDescent="0.3">
      <c r="A121" s="268" t="s">
        <v>1103</v>
      </c>
      <c r="B121" s="267" t="s">
        <v>2560</v>
      </c>
      <c r="C121" s="268" t="s">
        <v>54</v>
      </c>
      <c r="D121" s="268">
        <v>4</v>
      </c>
      <c r="E121" s="267" t="s">
        <v>2471</v>
      </c>
      <c r="F121" s="267" t="s">
        <v>2561</v>
      </c>
    </row>
    <row r="122" spans="1:6" x14ac:dyDescent="0.3">
      <c r="A122" s="268" t="s">
        <v>1122</v>
      </c>
      <c r="B122" s="267" t="s">
        <v>2562</v>
      </c>
      <c r="C122" s="268" t="s">
        <v>54</v>
      </c>
      <c r="D122" s="268">
        <v>4</v>
      </c>
      <c r="E122" s="267" t="s">
        <v>2471</v>
      </c>
      <c r="F122" s="267" t="s">
        <v>2561</v>
      </c>
    </row>
    <row r="123" spans="1:6" x14ac:dyDescent="0.3">
      <c r="A123" s="268" t="s">
        <v>1111</v>
      </c>
      <c r="B123" s="267" t="s">
        <v>2563</v>
      </c>
      <c r="C123" s="268" t="s">
        <v>54</v>
      </c>
      <c r="D123" s="268">
        <v>4</v>
      </c>
      <c r="E123" s="267" t="s">
        <v>2471</v>
      </c>
      <c r="F123" s="267" t="s">
        <v>2561</v>
      </c>
    </row>
    <row r="124" spans="1:6" x14ac:dyDescent="0.3">
      <c r="A124" s="268" t="s">
        <v>631</v>
      </c>
      <c r="B124" s="267" t="s">
        <v>632</v>
      </c>
      <c r="C124" s="268" t="s">
        <v>51</v>
      </c>
      <c r="D124" s="268">
        <v>5</v>
      </c>
      <c r="E124" s="267" t="s">
        <v>2452</v>
      </c>
      <c r="F124" s="267" t="s">
        <v>2458</v>
      </c>
    </row>
    <row r="125" spans="1:6" x14ac:dyDescent="0.3">
      <c r="A125" s="268" t="s">
        <v>640</v>
      </c>
      <c r="B125" s="267" t="s">
        <v>2564</v>
      </c>
      <c r="C125" s="268" t="s">
        <v>51</v>
      </c>
      <c r="D125" s="268">
        <v>5</v>
      </c>
      <c r="E125" s="267" t="s">
        <v>2452</v>
      </c>
      <c r="F125" s="267" t="s">
        <v>2458</v>
      </c>
    </row>
    <row r="126" spans="1:6" x14ac:dyDescent="0.3">
      <c r="A126" s="268" t="s">
        <v>1081</v>
      </c>
      <c r="B126" s="267" t="s">
        <v>1082</v>
      </c>
      <c r="C126" s="268" t="s">
        <v>52</v>
      </c>
      <c r="D126" s="268">
        <v>3</v>
      </c>
      <c r="E126" s="267" t="s">
        <v>2465</v>
      </c>
      <c r="F126" s="267" t="s">
        <v>2479</v>
      </c>
    </row>
    <row r="127" spans="1:6" x14ac:dyDescent="0.3">
      <c r="A127" s="268" t="s">
        <v>1360</v>
      </c>
      <c r="B127" s="267" t="s">
        <v>1361</v>
      </c>
      <c r="C127" s="268" t="s">
        <v>56</v>
      </c>
      <c r="D127" s="268">
        <v>5</v>
      </c>
      <c r="E127" s="267" t="s">
        <v>2474</v>
      </c>
      <c r="F127" s="267" t="s">
        <v>2565</v>
      </c>
    </row>
    <row r="128" spans="1:6" x14ac:dyDescent="0.3">
      <c r="A128" s="268" t="s">
        <v>1362</v>
      </c>
      <c r="B128" s="267" t="s">
        <v>1363</v>
      </c>
      <c r="C128" s="268" t="s">
        <v>56</v>
      </c>
      <c r="D128" s="268">
        <v>5</v>
      </c>
      <c r="E128" s="267" t="s">
        <v>2474</v>
      </c>
      <c r="F128" s="267" t="s">
        <v>2565</v>
      </c>
    </row>
    <row r="129" spans="1:6" x14ac:dyDescent="0.3">
      <c r="A129" s="268" t="s">
        <v>943</v>
      </c>
      <c r="B129" s="267" t="s">
        <v>944</v>
      </c>
      <c r="C129" s="268" t="s">
        <v>56</v>
      </c>
      <c r="D129" s="268">
        <v>2</v>
      </c>
      <c r="E129" s="267" t="s">
        <v>2474</v>
      </c>
      <c r="F129" s="267" t="s">
        <v>2524</v>
      </c>
    </row>
    <row r="130" spans="1:6" x14ac:dyDescent="0.3">
      <c r="A130" s="268" t="s">
        <v>2433</v>
      </c>
      <c r="B130" s="267" t="s">
        <v>2566</v>
      </c>
      <c r="C130" s="268" t="s">
        <v>57</v>
      </c>
      <c r="D130" s="268">
        <v>2</v>
      </c>
      <c r="E130" s="267" t="s">
        <v>2530</v>
      </c>
      <c r="F130" s="267" t="s">
        <v>2537</v>
      </c>
    </row>
    <row r="131" spans="1:6" x14ac:dyDescent="0.3">
      <c r="A131" s="268" t="s">
        <v>1050</v>
      </c>
      <c r="B131" s="267" t="s">
        <v>1051</v>
      </c>
      <c r="C131" s="268" t="s">
        <v>54</v>
      </c>
      <c r="D131" s="268">
        <v>7</v>
      </c>
      <c r="E131" s="267" t="s">
        <v>2471</v>
      </c>
      <c r="F131" s="267" t="s">
        <v>2513</v>
      </c>
    </row>
    <row r="132" spans="1:6" x14ac:dyDescent="0.3">
      <c r="A132" s="268" t="s">
        <v>280</v>
      </c>
      <c r="B132" s="267" t="s">
        <v>281</v>
      </c>
      <c r="C132" s="268" t="s">
        <v>49</v>
      </c>
      <c r="D132" s="268">
        <v>4</v>
      </c>
      <c r="E132" s="267" t="s">
        <v>2476</v>
      </c>
      <c r="F132" s="267" t="s">
        <v>2567</v>
      </c>
    </row>
    <row r="133" spans="1:6" x14ac:dyDescent="0.3">
      <c r="A133" s="268" t="s">
        <v>2441</v>
      </c>
      <c r="B133" s="267" t="s">
        <v>2568</v>
      </c>
      <c r="C133" s="268" t="s">
        <v>57</v>
      </c>
      <c r="D133" s="268">
        <v>2</v>
      </c>
      <c r="E133" s="267" t="s">
        <v>2530</v>
      </c>
      <c r="F133" s="267" t="s">
        <v>2537</v>
      </c>
    </row>
    <row r="134" spans="1:6" x14ac:dyDescent="0.3">
      <c r="A134" s="268" t="s">
        <v>2438</v>
      </c>
      <c r="B134" s="267" t="s">
        <v>2569</v>
      </c>
      <c r="C134" s="268" t="s">
        <v>57</v>
      </c>
      <c r="D134" s="268">
        <v>2</v>
      </c>
      <c r="E134" s="267" t="s">
        <v>2530</v>
      </c>
      <c r="F134" s="267" t="s">
        <v>2537</v>
      </c>
    </row>
    <row r="135" spans="1:6" x14ac:dyDescent="0.3">
      <c r="A135" s="268" t="s">
        <v>2434</v>
      </c>
      <c r="B135" s="267" t="s">
        <v>2570</v>
      </c>
      <c r="C135" s="268" t="s">
        <v>57</v>
      </c>
      <c r="D135" s="268">
        <v>2</v>
      </c>
      <c r="E135" s="267" t="s">
        <v>2530</v>
      </c>
      <c r="F135" s="267" t="s">
        <v>2537</v>
      </c>
    </row>
    <row r="136" spans="1:6" x14ac:dyDescent="0.3">
      <c r="A136" s="268" t="s">
        <v>2440</v>
      </c>
      <c r="B136" s="267" t="s">
        <v>2571</v>
      </c>
      <c r="C136" s="268" t="s">
        <v>57</v>
      </c>
      <c r="D136" s="268">
        <v>2</v>
      </c>
      <c r="E136" s="267" t="s">
        <v>2530</v>
      </c>
      <c r="F136" s="267" t="s">
        <v>2537</v>
      </c>
    </row>
    <row r="137" spans="1:6" x14ac:dyDescent="0.3">
      <c r="A137" s="268" t="s">
        <v>2439</v>
      </c>
      <c r="B137" s="267" t="s">
        <v>2572</v>
      </c>
      <c r="C137" s="268" t="s">
        <v>57</v>
      </c>
      <c r="D137" s="268">
        <v>2</v>
      </c>
      <c r="E137" s="267" t="s">
        <v>2530</v>
      </c>
      <c r="F137" s="267" t="s">
        <v>2537</v>
      </c>
    </row>
    <row r="138" spans="1:6" x14ac:dyDescent="0.3">
      <c r="A138" s="268" t="s">
        <v>1285</v>
      </c>
      <c r="B138" s="267" t="s">
        <v>1286</v>
      </c>
      <c r="C138" s="268" t="s">
        <v>56</v>
      </c>
      <c r="D138" s="268">
        <v>3</v>
      </c>
      <c r="E138" s="267" t="s">
        <v>2474</v>
      </c>
      <c r="F138" s="267" t="s">
        <v>2475</v>
      </c>
    </row>
    <row r="139" spans="1:6" x14ac:dyDescent="0.3">
      <c r="A139" s="268" t="s">
        <v>494</v>
      </c>
      <c r="B139" s="267" t="s">
        <v>2573</v>
      </c>
      <c r="C139" s="268" t="s">
        <v>52</v>
      </c>
      <c r="D139" s="268">
        <v>5</v>
      </c>
      <c r="E139" s="267" t="s">
        <v>2465</v>
      </c>
      <c r="F139" s="267" t="s">
        <v>2487</v>
      </c>
    </row>
    <row r="140" spans="1:6" x14ac:dyDescent="0.3">
      <c r="A140" s="268" t="s">
        <v>1287</v>
      </c>
      <c r="B140" s="267" t="s">
        <v>1288</v>
      </c>
      <c r="C140" s="268" t="s">
        <v>56</v>
      </c>
      <c r="D140" s="268">
        <v>3</v>
      </c>
      <c r="E140" s="267" t="s">
        <v>2474</v>
      </c>
      <c r="F140" s="267" t="s">
        <v>2475</v>
      </c>
    </row>
    <row r="141" spans="1:6" x14ac:dyDescent="0.3">
      <c r="A141" s="268" t="s">
        <v>1289</v>
      </c>
      <c r="B141" s="267" t="s">
        <v>1290</v>
      </c>
      <c r="C141" s="268" t="s">
        <v>56</v>
      </c>
      <c r="D141" s="268">
        <v>3</v>
      </c>
      <c r="E141" s="267" t="s">
        <v>2474</v>
      </c>
      <c r="F141" s="267" t="s">
        <v>2475</v>
      </c>
    </row>
    <row r="142" spans="1:6" x14ac:dyDescent="0.3">
      <c r="A142" s="268" t="s">
        <v>1291</v>
      </c>
      <c r="B142" s="267" t="s">
        <v>1292</v>
      </c>
      <c r="C142" s="268" t="s">
        <v>56</v>
      </c>
      <c r="D142" s="268">
        <v>3</v>
      </c>
      <c r="E142" s="267" t="s">
        <v>2474</v>
      </c>
      <c r="F142" s="267" t="s">
        <v>2475</v>
      </c>
    </row>
    <row r="143" spans="1:6" x14ac:dyDescent="0.3">
      <c r="A143" s="268" t="s">
        <v>1293</v>
      </c>
      <c r="B143" s="267" t="s">
        <v>1294</v>
      </c>
      <c r="C143" s="268" t="s">
        <v>56</v>
      </c>
      <c r="D143" s="268">
        <v>3</v>
      </c>
      <c r="E143" s="267" t="s">
        <v>2474</v>
      </c>
      <c r="F143" s="267" t="s">
        <v>2475</v>
      </c>
    </row>
    <row r="144" spans="1:6" x14ac:dyDescent="0.3">
      <c r="A144" s="268" t="s">
        <v>1096</v>
      </c>
      <c r="B144" s="267" t="s">
        <v>1097</v>
      </c>
      <c r="C144" s="268" t="s">
        <v>52</v>
      </c>
      <c r="D144" s="268">
        <v>3</v>
      </c>
      <c r="E144" s="267" t="s">
        <v>2465</v>
      </c>
      <c r="F144" s="267" t="s">
        <v>2479</v>
      </c>
    </row>
    <row r="145" spans="1:6" x14ac:dyDescent="0.3">
      <c r="A145" s="268" t="s">
        <v>913</v>
      </c>
      <c r="B145" s="267" t="s">
        <v>2574</v>
      </c>
      <c r="C145" s="268" t="s">
        <v>52</v>
      </c>
      <c r="D145" s="268">
        <v>4</v>
      </c>
      <c r="E145" s="267" t="s">
        <v>2465</v>
      </c>
      <c r="F145" s="267" t="s">
        <v>2485</v>
      </c>
    </row>
    <row r="146" spans="1:6" x14ac:dyDescent="0.3">
      <c r="A146" s="268" t="s">
        <v>1462</v>
      </c>
      <c r="B146" s="267" t="s">
        <v>2575</v>
      </c>
      <c r="C146" s="268" t="s">
        <v>52</v>
      </c>
      <c r="D146" s="268">
        <v>2</v>
      </c>
      <c r="E146" s="267" t="s">
        <v>2465</v>
      </c>
      <c r="F146" s="267" t="s">
        <v>2469</v>
      </c>
    </row>
    <row r="147" spans="1:6" x14ac:dyDescent="0.3">
      <c r="A147" s="268" t="s">
        <v>1456</v>
      </c>
      <c r="B147" s="267" t="s">
        <v>2576</v>
      </c>
      <c r="C147" s="268" t="s">
        <v>52</v>
      </c>
      <c r="D147" s="268">
        <v>2</v>
      </c>
      <c r="E147" s="267" t="s">
        <v>2465</v>
      </c>
      <c r="F147" s="267" t="s">
        <v>2469</v>
      </c>
    </row>
    <row r="148" spans="1:6" x14ac:dyDescent="0.3">
      <c r="A148" s="268" t="s">
        <v>1099</v>
      </c>
      <c r="B148" s="267" t="s">
        <v>2577</v>
      </c>
      <c r="C148" s="268" t="s">
        <v>52</v>
      </c>
      <c r="D148" s="268">
        <v>2</v>
      </c>
      <c r="E148" s="267" t="s">
        <v>2465</v>
      </c>
      <c r="F148" s="267" t="s">
        <v>2469</v>
      </c>
    </row>
    <row r="149" spans="1:6" x14ac:dyDescent="0.3">
      <c r="A149" s="268" t="s">
        <v>1459</v>
      </c>
      <c r="B149" s="267" t="s">
        <v>2578</v>
      </c>
      <c r="C149" s="268" t="s">
        <v>52</v>
      </c>
      <c r="D149" s="268">
        <v>2</v>
      </c>
      <c r="E149" s="267" t="s">
        <v>2465</v>
      </c>
      <c r="F149" s="267" t="s">
        <v>2469</v>
      </c>
    </row>
    <row r="150" spans="1:6" x14ac:dyDescent="0.3">
      <c r="A150" s="268" t="s">
        <v>1101</v>
      </c>
      <c r="B150" s="267" t="s">
        <v>2579</v>
      </c>
      <c r="C150" s="268" t="s">
        <v>52</v>
      </c>
      <c r="D150" s="268">
        <v>2</v>
      </c>
      <c r="E150" s="267" t="s">
        <v>2465</v>
      </c>
      <c r="F150" s="267" t="s">
        <v>2469</v>
      </c>
    </row>
    <row r="151" spans="1:6" x14ac:dyDescent="0.3">
      <c r="A151" s="268" t="s">
        <v>721</v>
      </c>
      <c r="B151" s="267" t="s">
        <v>722</v>
      </c>
      <c r="C151" s="268" t="s">
        <v>50</v>
      </c>
      <c r="D151" s="268">
        <v>5</v>
      </c>
      <c r="E151" s="267" t="s">
        <v>2580</v>
      </c>
      <c r="F151" s="267" t="s">
        <v>2581</v>
      </c>
    </row>
    <row r="152" spans="1:6" x14ac:dyDescent="0.3">
      <c r="A152" s="268" t="s">
        <v>864</v>
      </c>
      <c r="B152" s="267" t="s">
        <v>865</v>
      </c>
      <c r="C152" s="268" t="s">
        <v>49</v>
      </c>
      <c r="D152" s="268">
        <v>2</v>
      </c>
      <c r="E152" s="267" t="s">
        <v>2476</v>
      </c>
      <c r="F152" s="267" t="s">
        <v>2554</v>
      </c>
    </row>
    <row r="153" spans="1:6" x14ac:dyDescent="0.3">
      <c r="A153" s="268" t="s">
        <v>998</v>
      </c>
      <c r="B153" s="267" t="s">
        <v>999</v>
      </c>
      <c r="C153" s="268" t="s">
        <v>52</v>
      </c>
      <c r="D153" s="268">
        <v>1</v>
      </c>
      <c r="E153" s="267" t="s">
        <v>2465</v>
      </c>
      <c r="F153" s="267" t="s">
        <v>2466</v>
      </c>
    </row>
    <row r="154" spans="1:6" x14ac:dyDescent="0.3">
      <c r="A154" s="268" t="s">
        <v>959</v>
      </c>
      <c r="B154" s="267" t="s">
        <v>960</v>
      </c>
      <c r="C154" s="268" t="s">
        <v>52</v>
      </c>
      <c r="D154" s="268">
        <v>1</v>
      </c>
      <c r="E154" s="267" t="s">
        <v>2465</v>
      </c>
      <c r="F154" s="267" t="s">
        <v>2466</v>
      </c>
    </row>
    <row r="155" spans="1:6" x14ac:dyDescent="0.3">
      <c r="A155" s="268" t="s">
        <v>1056</v>
      </c>
      <c r="B155" s="267" t="s">
        <v>1057</v>
      </c>
      <c r="C155" s="268" t="s">
        <v>54</v>
      </c>
      <c r="D155" s="268">
        <v>5</v>
      </c>
      <c r="E155" s="267" t="s">
        <v>2471</v>
      </c>
      <c r="F155" s="267" t="s">
        <v>2472</v>
      </c>
    </row>
    <row r="156" spans="1:6" x14ac:dyDescent="0.3">
      <c r="A156" s="268" t="s">
        <v>369</v>
      </c>
      <c r="B156" s="267" t="s">
        <v>370</v>
      </c>
      <c r="C156" s="268" t="s">
        <v>51</v>
      </c>
      <c r="D156" s="268">
        <v>1</v>
      </c>
      <c r="E156" s="267" t="s">
        <v>2452</v>
      </c>
      <c r="F156" s="267" t="s">
        <v>370</v>
      </c>
    </row>
    <row r="157" spans="1:6" x14ac:dyDescent="0.3">
      <c r="A157" s="268" t="s">
        <v>371</v>
      </c>
      <c r="B157" s="267" t="s">
        <v>372</v>
      </c>
      <c r="C157" s="268" t="s">
        <v>51</v>
      </c>
      <c r="D157" s="268">
        <v>1</v>
      </c>
      <c r="E157" s="267" t="s">
        <v>2452</v>
      </c>
      <c r="F157" s="267" t="s">
        <v>370</v>
      </c>
    </row>
    <row r="158" spans="1:6" x14ac:dyDescent="0.3">
      <c r="A158" s="268" t="s">
        <v>373</v>
      </c>
      <c r="B158" s="267" t="s">
        <v>2582</v>
      </c>
      <c r="C158" s="268" t="s">
        <v>51</v>
      </c>
      <c r="D158" s="268">
        <v>1</v>
      </c>
      <c r="E158" s="267" t="s">
        <v>2452</v>
      </c>
      <c r="F158" s="267" t="s">
        <v>370</v>
      </c>
    </row>
    <row r="159" spans="1:6" x14ac:dyDescent="0.3">
      <c r="A159" s="268" t="s">
        <v>637</v>
      </c>
      <c r="B159" s="267" t="s">
        <v>2583</v>
      </c>
      <c r="C159" s="268" t="s">
        <v>51</v>
      </c>
      <c r="D159" s="268">
        <v>2</v>
      </c>
      <c r="E159" s="267" t="s">
        <v>2452</v>
      </c>
      <c r="F159" s="267" t="s">
        <v>2584</v>
      </c>
    </row>
    <row r="160" spans="1:6" x14ac:dyDescent="0.3">
      <c r="A160" s="268" t="s">
        <v>647</v>
      </c>
      <c r="B160" s="267" t="s">
        <v>2584</v>
      </c>
      <c r="C160" s="268" t="s">
        <v>51</v>
      </c>
      <c r="D160" s="268">
        <v>2</v>
      </c>
      <c r="E160" s="267" t="s">
        <v>2452</v>
      </c>
      <c r="F160" s="267" t="s">
        <v>2584</v>
      </c>
    </row>
    <row r="161" spans="1:6" x14ac:dyDescent="0.3">
      <c r="A161" s="268" t="s">
        <v>656</v>
      </c>
      <c r="B161" s="267" t="s">
        <v>2585</v>
      </c>
      <c r="C161" s="268" t="s">
        <v>51</v>
      </c>
      <c r="D161" s="268">
        <v>2</v>
      </c>
      <c r="E161" s="267" t="s">
        <v>2452</v>
      </c>
      <c r="F161" s="267" t="s">
        <v>2584</v>
      </c>
    </row>
    <row r="162" spans="1:6" x14ac:dyDescent="0.3">
      <c r="A162" s="268" t="s">
        <v>677</v>
      </c>
      <c r="B162" s="267" t="s">
        <v>2586</v>
      </c>
      <c r="C162" s="268" t="s">
        <v>51</v>
      </c>
      <c r="D162" s="268">
        <v>2</v>
      </c>
      <c r="E162" s="267" t="s">
        <v>2452</v>
      </c>
      <c r="F162" s="267" t="s">
        <v>2584</v>
      </c>
    </row>
    <row r="163" spans="1:6" x14ac:dyDescent="0.3">
      <c r="A163" s="268" t="s">
        <v>829</v>
      </c>
      <c r="B163" s="267" t="s">
        <v>2587</v>
      </c>
      <c r="C163" s="268" t="s">
        <v>51</v>
      </c>
      <c r="D163" s="268">
        <v>3</v>
      </c>
      <c r="E163" s="267" t="s">
        <v>2452</v>
      </c>
      <c r="F163" s="267" t="s">
        <v>2148</v>
      </c>
    </row>
    <row r="164" spans="1:6" x14ac:dyDescent="0.3">
      <c r="A164" s="268" t="s">
        <v>827</v>
      </c>
      <c r="B164" s="267" t="s">
        <v>2588</v>
      </c>
      <c r="C164" s="268" t="s">
        <v>51</v>
      </c>
      <c r="D164" s="268">
        <v>3</v>
      </c>
      <c r="E164" s="267" t="s">
        <v>2452</v>
      </c>
      <c r="F164" s="267" t="s">
        <v>2148</v>
      </c>
    </row>
    <row r="165" spans="1:6" x14ac:dyDescent="0.3">
      <c r="A165" s="268" t="s">
        <v>379</v>
      </c>
      <c r="B165" s="267" t="s">
        <v>2589</v>
      </c>
      <c r="C165" s="268" t="s">
        <v>51</v>
      </c>
      <c r="D165" s="268">
        <v>4</v>
      </c>
      <c r="E165" s="267" t="s">
        <v>2452</v>
      </c>
      <c r="F165" s="267" t="s">
        <v>2590</v>
      </c>
    </row>
    <row r="166" spans="1:6" x14ac:dyDescent="0.3">
      <c r="A166" s="268" t="s">
        <v>383</v>
      </c>
      <c r="B166" s="267" t="s">
        <v>2591</v>
      </c>
      <c r="C166" s="268" t="s">
        <v>51</v>
      </c>
      <c r="D166" s="268">
        <v>4</v>
      </c>
      <c r="E166" s="267" t="s">
        <v>2452</v>
      </c>
      <c r="F166" s="267" t="s">
        <v>2590</v>
      </c>
    </row>
    <row r="167" spans="1:6" x14ac:dyDescent="0.3">
      <c r="A167" s="268" t="s">
        <v>391</v>
      </c>
      <c r="B167" s="267" t="s">
        <v>2592</v>
      </c>
      <c r="C167" s="268" t="s">
        <v>51</v>
      </c>
      <c r="D167" s="268">
        <v>4</v>
      </c>
      <c r="E167" s="267" t="s">
        <v>2452</v>
      </c>
      <c r="F167" s="267" t="s">
        <v>2590</v>
      </c>
    </row>
    <row r="168" spans="1:6" x14ac:dyDescent="0.3">
      <c r="A168" s="268" t="s">
        <v>395</v>
      </c>
      <c r="B168" s="267" t="s">
        <v>2593</v>
      </c>
      <c r="C168" s="268" t="s">
        <v>51</v>
      </c>
      <c r="D168" s="268">
        <v>4</v>
      </c>
      <c r="E168" s="267" t="s">
        <v>2452</v>
      </c>
      <c r="F168" s="267" t="s">
        <v>2590</v>
      </c>
    </row>
    <row r="169" spans="1:6" x14ac:dyDescent="0.3">
      <c r="A169" s="268" t="s">
        <v>385</v>
      </c>
      <c r="B169" s="267" t="s">
        <v>2594</v>
      </c>
      <c r="C169" s="268" t="s">
        <v>51</v>
      </c>
      <c r="D169" s="268">
        <v>4</v>
      </c>
      <c r="E169" s="267" t="s">
        <v>2452</v>
      </c>
      <c r="F169" s="267" t="s">
        <v>2590</v>
      </c>
    </row>
    <row r="170" spans="1:6" x14ac:dyDescent="0.3">
      <c r="A170" s="268" t="s">
        <v>397</v>
      </c>
      <c r="B170" s="267" t="s">
        <v>398</v>
      </c>
      <c r="C170" s="268" t="s">
        <v>51</v>
      </c>
      <c r="D170" s="268">
        <v>4</v>
      </c>
      <c r="E170" s="267" t="s">
        <v>2452</v>
      </c>
      <c r="F170" s="267" t="s">
        <v>2590</v>
      </c>
    </row>
    <row r="171" spans="1:6" x14ac:dyDescent="0.3">
      <c r="A171" s="268" t="s">
        <v>466</v>
      </c>
      <c r="B171" s="267" t="s">
        <v>2595</v>
      </c>
      <c r="C171" s="268" t="s">
        <v>51</v>
      </c>
      <c r="D171" s="268">
        <v>4</v>
      </c>
      <c r="E171" s="267" t="s">
        <v>2452</v>
      </c>
      <c r="F171" s="267" t="s">
        <v>2590</v>
      </c>
    </row>
    <row r="172" spans="1:6" x14ac:dyDescent="0.3">
      <c r="A172" s="268" t="s">
        <v>469</v>
      </c>
      <c r="B172" s="267" t="s">
        <v>2596</v>
      </c>
      <c r="C172" s="268" t="s">
        <v>51</v>
      </c>
      <c r="D172" s="268">
        <v>4</v>
      </c>
      <c r="E172" s="267" t="s">
        <v>2452</v>
      </c>
      <c r="F172" s="267" t="s">
        <v>2590</v>
      </c>
    </row>
    <row r="173" spans="1:6" x14ac:dyDescent="0.3">
      <c r="A173" s="268" t="s">
        <v>474</v>
      </c>
      <c r="B173" s="267" t="s">
        <v>2597</v>
      </c>
      <c r="C173" s="268" t="s">
        <v>51</v>
      </c>
      <c r="D173" s="268">
        <v>4</v>
      </c>
      <c r="E173" s="267" t="s">
        <v>2452</v>
      </c>
      <c r="F173" s="267" t="s">
        <v>2590</v>
      </c>
    </row>
    <row r="174" spans="1:6" x14ac:dyDescent="0.3">
      <c r="A174" s="268" t="s">
        <v>476</v>
      </c>
      <c r="B174" s="267" t="s">
        <v>2598</v>
      </c>
      <c r="C174" s="268" t="s">
        <v>51</v>
      </c>
      <c r="D174" s="268">
        <v>4</v>
      </c>
      <c r="E174" s="267" t="s">
        <v>2452</v>
      </c>
      <c r="F174" s="267" t="s">
        <v>2590</v>
      </c>
    </row>
    <row r="175" spans="1:6" x14ac:dyDescent="0.3">
      <c r="A175" s="268" t="s">
        <v>664</v>
      </c>
      <c r="B175" s="267" t="s">
        <v>2599</v>
      </c>
      <c r="C175" s="268" t="s">
        <v>51</v>
      </c>
      <c r="D175" s="268">
        <v>4</v>
      </c>
      <c r="E175" s="267" t="s">
        <v>2452</v>
      </c>
      <c r="F175" s="267" t="s">
        <v>2590</v>
      </c>
    </row>
    <row r="176" spans="1:6" x14ac:dyDescent="0.3">
      <c r="A176" s="268" t="s">
        <v>440</v>
      </c>
      <c r="B176" s="267" t="s">
        <v>2600</v>
      </c>
      <c r="C176" s="268" t="s">
        <v>51</v>
      </c>
      <c r="D176" s="268">
        <v>6</v>
      </c>
      <c r="E176" s="267" t="s">
        <v>2452</v>
      </c>
      <c r="F176" s="267" t="s">
        <v>2453</v>
      </c>
    </row>
    <row r="177" spans="1:6" x14ac:dyDescent="0.3">
      <c r="A177" s="268" t="s">
        <v>444</v>
      </c>
      <c r="B177" s="267" t="s">
        <v>2601</v>
      </c>
      <c r="C177" s="268" t="s">
        <v>51</v>
      </c>
      <c r="D177" s="268">
        <v>6</v>
      </c>
      <c r="E177" s="267" t="s">
        <v>2452</v>
      </c>
      <c r="F177" s="267" t="s">
        <v>2453</v>
      </c>
    </row>
    <row r="178" spans="1:6" x14ac:dyDescent="0.3">
      <c r="A178" s="268" t="s">
        <v>446</v>
      </c>
      <c r="B178" s="267" t="s">
        <v>2602</v>
      </c>
      <c r="C178" s="268" t="s">
        <v>51</v>
      </c>
      <c r="D178" s="268">
        <v>6</v>
      </c>
      <c r="E178" s="267" t="s">
        <v>2452</v>
      </c>
      <c r="F178" s="267" t="s">
        <v>2453</v>
      </c>
    </row>
    <row r="179" spans="1:6" x14ac:dyDescent="0.3">
      <c r="A179" s="268" t="s">
        <v>450</v>
      </c>
      <c r="B179" s="267" t="s">
        <v>2603</v>
      </c>
      <c r="C179" s="268" t="s">
        <v>51</v>
      </c>
      <c r="D179" s="268">
        <v>6</v>
      </c>
      <c r="E179" s="267" t="s">
        <v>2452</v>
      </c>
      <c r="F179" s="267" t="s">
        <v>2453</v>
      </c>
    </row>
    <row r="180" spans="1:6" x14ac:dyDescent="0.3">
      <c r="A180" s="268" t="s">
        <v>452</v>
      </c>
      <c r="B180" s="267" t="s">
        <v>2604</v>
      </c>
      <c r="C180" s="268" t="s">
        <v>51</v>
      </c>
      <c r="D180" s="268">
        <v>6</v>
      </c>
      <c r="E180" s="267" t="s">
        <v>2452</v>
      </c>
      <c r="F180" s="267" t="s">
        <v>2453</v>
      </c>
    </row>
    <row r="181" spans="1:6" x14ac:dyDescent="0.3">
      <c r="A181" s="268" t="s">
        <v>757</v>
      </c>
      <c r="B181" s="267" t="s">
        <v>2605</v>
      </c>
      <c r="C181" s="268" t="s">
        <v>51</v>
      </c>
      <c r="D181" s="268">
        <v>6</v>
      </c>
      <c r="E181" s="267" t="s">
        <v>2452</v>
      </c>
      <c r="F181" s="267" t="s">
        <v>2453</v>
      </c>
    </row>
    <row r="182" spans="1:6" x14ac:dyDescent="0.3">
      <c r="A182" s="268" t="s">
        <v>759</v>
      </c>
      <c r="B182" s="267" t="s">
        <v>2606</v>
      </c>
      <c r="C182" s="268" t="s">
        <v>51</v>
      </c>
      <c r="D182" s="268">
        <v>6</v>
      </c>
      <c r="E182" s="267" t="s">
        <v>2452</v>
      </c>
      <c r="F182" s="267" t="s">
        <v>2453</v>
      </c>
    </row>
    <row r="183" spans="1:6" x14ac:dyDescent="0.3">
      <c r="A183" s="268" t="s">
        <v>761</v>
      </c>
      <c r="B183" s="267" t="s">
        <v>2607</v>
      </c>
      <c r="C183" s="268" t="s">
        <v>51</v>
      </c>
      <c r="D183" s="268">
        <v>6</v>
      </c>
      <c r="E183" s="267" t="s">
        <v>2452</v>
      </c>
      <c r="F183" s="267" t="s">
        <v>2453</v>
      </c>
    </row>
    <row r="184" spans="1:6" x14ac:dyDescent="0.3">
      <c r="A184" s="268" t="s">
        <v>992</v>
      </c>
      <c r="B184" s="267" t="s">
        <v>993</v>
      </c>
      <c r="C184" s="268" t="s">
        <v>52</v>
      </c>
      <c r="D184" s="268">
        <v>1</v>
      </c>
      <c r="E184" s="267" t="s">
        <v>2465</v>
      </c>
      <c r="F184" s="267" t="s">
        <v>2466</v>
      </c>
    </row>
    <row r="185" spans="1:6" x14ac:dyDescent="0.3">
      <c r="A185" s="268" t="s">
        <v>911</v>
      </c>
      <c r="B185" s="267" t="s">
        <v>912</v>
      </c>
      <c r="C185" s="268" t="s">
        <v>52</v>
      </c>
      <c r="D185" s="268">
        <v>4</v>
      </c>
      <c r="E185" s="267" t="s">
        <v>2465</v>
      </c>
      <c r="F185" s="267" t="s">
        <v>2485</v>
      </c>
    </row>
    <row r="186" spans="1:6" x14ac:dyDescent="0.3">
      <c r="A186" s="268" t="s">
        <v>1357</v>
      </c>
      <c r="B186" s="267" t="s">
        <v>1358</v>
      </c>
      <c r="C186" s="268" t="s">
        <v>56</v>
      </c>
      <c r="D186" s="268">
        <v>5</v>
      </c>
      <c r="E186" s="267" t="s">
        <v>2474</v>
      </c>
      <c r="F186" s="267" t="s">
        <v>2565</v>
      </c>
    </row>
    <row r="187" spans="1:6" x14ac:dyDescent="0.3">
      <c r="A187" s="268" t="s">
        <v>844</v>
      </c>
      <c r="B187" s="267" t="s">
        <v>845</v>
      </c>
      <c r="C187" s="268" t="s">
        <v>54</v>
      </c>
      <c r="D187" s="268">
        <v>3</v>
      </c>
      <c r="E187" s="267" t="s">
        <v>2471</v>
      </c>
      <c r="F187" s="267" t="s">
        <v>2502</v>
      </c>
    </row>
    <row r="188" spans="1:6" x14ac:dyDescent="0.3">
      <c r="A188" s="268" t="s">
        <v>996</v>
      </c>
      <c r="B188" s="267" t="s">
        <v>997</v>
      </c>
      <c r="C188" s="268" t="s">
        <v>52</v>
      </c>
      <c r="D188" s="268">
        <v>1</v>
      </c>
      <c r="E188" s="267" t="s">
        <v>2465</v>
      </c>
      <c r="F188" s="267" t="s">
        <v>2466</v>
      </c>
    </row>
    <row r="189" spans="1:6" x14ac:dyDescent="0.3">
      <c r="A189" s="268" t="s">
        <v>1450</v>
      </c>
      <c r="B189" s="267" t="s">
        <v>1451</v>
      </c>
      <c r="C189" s="268" t="s">
        <v>52</v>
      </c>
      <c r="D189" s="268">
        <v>3</v>
      </c>
      <c r="E189" s="267" t="s">
        <v>2465</v>
      </c>
      <c r="F189" s="267" t="s">
        <v>2479</v>
      </c>
    </row>
    <row r="190" spans="1:6" x14ac:dyDescent="0.3">
      <c r="A190" s="268" t="s">
        <v>933</v>
      </c>
      <c r="B190" s="267" t="s">
        <v>934</v>
      </c>
      <c r="C190" s="268" t="s">
        <v>56</v>
      </c>
      <c r="D190" s="268">
        <v>7</v>
      </c>
      <c r="E190" s="267" t="s">
        <v>2474</v>
      </c>
      <c r="F190" s="267" t="s">
        <v>2608</v>
      </c>
    </row>
    <row r="191" spans="1:6" x14ac:dyDescent="0.3">
      <c r="A191" s="268" t="s">
        <v>1388</v>
      </c>
      <c r="B191" s="267" t="s">
        <v>1389</v>
      </c>
      <c r="C191" s="268" t="s">
        <v>55</v>
      </c>
      <c r="D191" s="268">
        <v>1</v>
      </c>
      <c r="E191" s="267" t="s">
        <v>2522</v>
      </c>
      <c r="F191" s="267" t="s">
        <v>2609</v>
      </c>
    </row>
    <row r="192" spans="1:6" x14ac:dyDescent="0.3">
      <c r="A192" s="268" t="s">
        <v>965</v>
      </c>
      <c r="B192" s="267" t="s">
        <v>2610</v>
      </c>
      <c r="C192" s="268" t="s">
        <v>52</v>
      </c>
      <c r="D192" s="268">
        <v>7</v>
      </c>
      <c r="E192" s="267" t="s">
        <v>2465</v>
      </c>
      <c r="F192" s="267" t="s">
        <v>2473</v>
      </c>
    </row>
    <row r="193" spans="1:6" x14ac:dyDescent="0.3">
      <c r="A193" s="268" t="s">
        <v>967</v>
      </c>
      <c r="B193" s="267" t="s">
        <v>968</v>
      </c>
      <c r="C193" s="268" t="s">
        <v>52</v>
      </c>
      <c r="D193" s="268">
        <v>7</v>
      </c>
      <c r="E193" s="267" t="s">
        <v>2465</v>
      </c>
      <c r="F193" s="267" t="s">
        <v>2473</v>
      </c>
    </row>
    <row r="194" spans="1:6" x14ac:dyDescent="0.3">
      <c r="A194" s="268" t="s">
        <v>250</v>
      </c>
      <c r="B194" s="267" t="s">
        <v>251</v>
      </c>
      <c r="C194" s="268" t="s">
        <v>49</v>
      </c>
      <c r="D194" s="268">
        <v>2</v>
      </c>
      <c r="E194" s="267" t="s">
        <v>2476</v>
      </c>
      <c r="F194" s="267" t="s">
        <v>2554</v>
      </c>
    </row>
    <row r="195" spans="1:6" x14ac:dyDescent="0.3">
      <c r="A195" s="268" t="s">
        <v>842</v>
      </c>
      <c r="B195" s="267" t="s">
        <v>843</v>
      </c>
      <c r="C195" s="268" t="s">
        <v>54</v>
      </c>
      <c r="D195" s="268">
        <v>3</v>
      </c>
      <c r="E195" s="267" t="s">
        <v>2471</v>
      </c>
      <c r="F195" s="267" t="s">
        <v>2502</v>
      </c>
    </row>
    <row r="196" spans="1:6" x14ac:dyDescent="0.3">
      <c r="A196" s="268" t="s">
        <v>542</v>
      </c>
      <c r="B196" s="267" t="s">
        <v>2611</v>
      </c>
      <c r="C196" s="268" t="s">
        <v>54</v>
      </c>
      <c r="D196" s="268">
        <v>3</v>
      </c>
      <c r="E196" s="267" t="s">
        <v>2471</v>
      </c>
      <c r="F196" s="267" t="s">
        <v>2502</v>
      </c>
    </row>
    <row r="197" spans="1:6" x14ac:dyDescent="0.3">
      <c r="A197" s="268" t="s">
        <v>620</v>
      </c>
      <c r="B197" s="267" t="s">
        <v>621</v>
      </c>
      <c r="C197" s="268" t="s">
        <v>54</v>
      </c>
      <c r="D197" s="268">
        <v>5</v>
      </c>
      <c r="E197" s="267" t="s">
        <v>2471</v>
      </c>
      <c r="F197" s="267" t="s">
        <v>2472</v>
      </c>
    </row>
    <row r="198" spans="1:6" x14ac:dyDescent="0.3">
      <c r="A198" s="268" t="s">
        <v>2432</v>
      </c>
      <c r="B198" s="267" t="s">
        <v>2612</v>
      </c>
      <c r="C198" s="268" t="s">
        <v>57</v>
      </c>
      <c r="D198" s="268">
        <v>2</v>
      </c>
      <c r="E198" s="267" t="s">
        <v>2530</v>
      </c>
      <c r="F198" s="267" t="s">
        <v>2537</v>
      </c>
    </row>
    <row r="199" spans="1:6" x14ac:dyDescent="0.3">
      <c r="A199" s="268" t="s">
        <v>1355</v>
      </c>
      <c r="B199" s="267" t="s">
        <v>1356</v>
      </c>
      <c r="C199" s="268" t="s">
        <v>56</v>
      </c>
      <c r="D199" s="268">
        <v>3</v>
      </c>
      <c r="E199" s="267" t="s">
        <v>2474</v>
      </c>
      <c r="F199" s="267" t="s">
        <v>2475</v>
      </c>
    </row>
    <row r="200" spans="1:6" x14ac:dyDescent="0.3">
      <c r="A200" s="268" t="s">
        <v>1353</v>
      </c>
      <c r="B200" s="267" t="s">
        <v>1354</v>
      </c>
      <c r="C200" s="268" t="s">
        <v>56</v>
      </c>
      <c r="D200" s="268">
        <v>3</v>
      </c>
      <c r="E200" s="267" t="s">
        <v>2474</v>
      </c>
      <c r="F200" s="267" t="s">
        <v>2475</v>
      </c>
    </row>
    <row r="201" spans="1:6" x14ac:dyDescent="0.3">
      <c r="A201" s="268" t="s">
        <v>1598</v>
      </c>
      <c r="B201" s="267" t="s">
        <v>1599</v>
      </c>
      <c r="C201" s="268" t="s">
        <v>57</v>
      </c>
      <c r="D201" s="268">
        <v>2</v>
      </c>
      <c r="E201" s="267" t="s">
        <v>2530</v>
      </c>
      <c r="F201" s="267" t="s">
        <v>2537</v>
      </c>
    </row>
    <row r="202" spans="1:6" x14ac:dyDescent="0.3">
      <c r="A202" s="268" t="s">
        <v>411</v>
      </c>
      <c r="B202" s="267" t="s">
        <v>412</v>
      </c>
      <c r="C202" s="268" t="s">
        <v>51</v>
      </c>
      <c r="D202" s="268">
        <v>2</v>
      </c>
      <c r="E202" s="267" t="s">
        <v>2452</v>
      </c>
      <c r="F202" s="267" t="s">
        <v>2584</v>
      </c>
    </row>
    <row r="203" spans="1:6" x14ac:dyDescent="0.3">
      <c r="A203" s="268" t="s">
        <v>349</v>
      </c>
      <c r="B203" s="267" t="s">
        <v>350</v>
      </c>
      <c r="C203" s="268" t="s">
        <v>54</v>
      </c>
      <c r="D203" s="268">
        <v>6</v>
      </c>
      <c r="E203" s="267" t="s">
        <v>2471</v>
      </c>
      <c r="F203" s="267" t="s">
        <v>549</v>
      </c>
    </row>
    <row r="204" spans="1:6" x14ac:dyDescent="0.3">
      <c r="A204" s="268" t="s">
        <v>347</v>
      </c>
      <c r="B204" s="267" t="s">
        <v>348</v>
      </c>
      <c r="C204" s="268" t="s">
        <v>49</v>
      </c>
      <c r="D204" s="268">
        <v>9</v>
      </c>
      <c r="E204" s="267" t="s">
        <v>2476</v>
      </c>
      <c r="F204" s="267" t="s">
        <v>1492</v>
      </c>
    </row>
    <row r="205" spans="1:6" x14ac:dyDescent="0.3">
      <c r="A205" s="268" t="s">
        <v>1369</v>
      </c>
      <c r="B205" s="267" t="s">
        <v>2613</v>
      </c>
      <c r="C205" s="268" t="s">
        <v>55</v>
      </c>
      <c r="D205" s="268">
        <v>2</v>
      </c>
      <c r="E205" s="267" t="s">
        <v>2522</v>
      </c>
      <c r="F205" s="267" t="s">
        <v>2523</v>
      </c>
    </row>
    <row r="206" spans="1:6" x14ac:dyDescent="0.3">
      <c r="A206" s="268" t="s">
        <v>1126</v>
      </c>
      <c r="B206" s="267" t="s">
        <v>1127</v>
      </c>
      <c r="C206" s="268" t="s">
        <v>54</v>
      </c>
      <c r="D206" s="268">
        <v>1</v>
      </c>
      <c r="E206" s="267" t="s">
        <v>2471</v>
      </c>
      <c r="F206" s="267" t="s">
        <v>2499</v>
      </c>
    </row>
    <row r="207" spans="1:6" x14ac:dyDescent="0.3">
      <c r="A207" s="268" t="s">
        <v>2435</v>
      </c>
      <c r="B207" s="267" t="s">
        <v>2614</v>
      </c>
      <c r="C207" s="268" t="s">
        <v>57</v>
      </c>
      <c r="D207" s="268">
        <v>2</v>
      </c>
      <c r="E207" s="267" t="s">
        <v>2530</v>
      </c>
      <c r="F207" s="267" t="s">
        <v>2537</v>
      </c>
    </row>
    <row r="208" spans="1:6" x14ac:dyDescent="0.3">
      <c r="A208" s="268" t="s">
        <v>825</v>
      </c>
      <c r="B208" s="267" t="s">
        <v>826</v>
      </c>
      <c r="C208" s="268" t="s">
        <v>51</v>
      </c>
      <c r="D208" s="268">
        <v>3</v>
      </c>
      <c r="E208" s="267" t="s">
        <v>2452</v>
      </c>
      <c r="F208" s="267" t="s">
        <v>2148</v>
      </c>
    </row>
    <row r="209" spans="1:6" x14ac:dyDescent="0.3">
      <c r="A209" s="268" t="s">
        <v>1034</v>
      </c>
      <c r="B209" s="267" t="s">
        <v>1035</v>
      </c>
      <c r="C209" s="268" t="s">
        <v>52</v>
      </c>
      <c r="D209" s="268">
        <v>2</v>
      </c>
      <c r="E209" s="267" t="s">
        <v>2465</v>
      </c>
      <c r="F209" s="267" t="s">
        <v>2469</v>
      </c>
    </row>
    <row r="210" spans="1:6" x14ac:dyDescent="0.3">
      <c r="A210" s="268" t="s">
        <v>1128</v>
      </c>
      <c r="B210" s="267" t="s">
        <v>1129</v>
      </c>
      <c r="C210" s="268" t="s">
        <v>54</v>
      </c>
      <c r="D210" s="268">
        <v>4</v>
      </c>
      <c r="E210" s="267" t="s">
        <v>2471</v>
      </c>
      <c r="F210" s="267" t="s">
        <v>2561</v>
      </c>
    </row>
    <row r="211" spans="1:6" x14ac:dyDescent="0.3">
      <c r="A211" s="268" t="s">
        <v>1024</v>
      </c>
      <c r="B211" s="267" t="s">
        <v>2615</v>
      </c>
      <c r="C211" s="268" t="s">
        <v>52</v>
      </c>
      <c r="D211" s="268">
        <v>2</v>
      </c>
      <c r="E211" s="267" t="s">
        <v>2465</v>
      </c>
      <c r="F211" s="267" t="s">
        <v>2469</v>
      </c>
    </row>
    <row r="212" spans="1:6" x14ac:dyDescent="0.3">
      <c r="A212" s="268" t="s">
        <v>1378</v>
      </c>
      <c r="B212" s="267" t="s">
        <v>1379</v>
      </c>
      <c r="C212" s="268" t="s">
        <v>55</v>
      </c>
      <c r="D212" s="268">
        <v>2</v>
      </c>
      <c r="E212" s="267" t="s">
        <v>2522</v>
      </c>
      <c r="F212" s="267" t="s">
        <v>2523</v>
      </c>
    </row>
    <row r="213" spans="1:6" x14ac:dyDescent="0.3">
      <c r="A213" s="268" t="s">
        <v>519</v>
      </c>
      <c r="B213" s="267" t="s">
        <v>520</v>
      </c>
      <c r="C213" s="268" t="s">
        <v>52</v>
      </c>
      <c r="D213" s="268">
        <v>5</v>
      </c>
      <c r="E213" s="267" t="s">
        <v>2465</v>
      </c>
      <c r="F213" s="267" t="s">
        <v>2487</v>
      </c>
    </row>
    <row r="214" spans="1:6" x14ac:dyDescent="0.3">
      <c r="A214" s="268" t="s">
        <v>1059</v>
      </c>
      <c r="B214" s="267" t="s">
        <v>1060</v>
      </c>
      <c r="C214" s="268" t="s">
        <v>54</v>
      </c>
      <c r="D214" s="268">
        <v>5</v>
      </c>
      <c r="E214" s="267" t="s">
        <v>2471</v>
      </c>
      <c r="F214" s="267" t="s">
        <v>2472</v>
      </c>
    </row>
    <row r="215" spans="1:6" x14ac:dyDescent="0.3">
      <c r="A215" s="268" t="s">
        <v>1028</v>
      </c>
      <c r="B215" s="267" t="s">
        <v>2616</v>
      </c>
      <c r="C215" s="268" t="s">
        <v>52</v>
      </c>
      <c r="D215" s="268">
        <v>2</v>
      </c>
      <c r="E215" s="267" t="s">
        <v>2465</v>
      </c>
      <c r="F215" s="267" t="s">
        <v>2469</v>
      </c>
    </row>
    <row r="216" spans="1:6" x14ac:dyDescent="0.3">
      <c r="A216" s="268" t="s">
        <v>1386</v>
      </c>
      <c r="B216" s="267" t="s">
        <v>1387</v>
      </c>
      <c r="C216" s="268" t="s">
        <v>55</v>
      </c>
      <c r="D216" s="268">
        <v>2</v>
      </c>
      <c r="E216" s="267" t="s">
        <v>2522</v>
      </c>
      <c r="F216" s="267" t="s">
        <v>2523</v>
      </c>
    </row>
    <row r="217" spans="1:6" x14ac:dyDescent="0.3">
      <c r="A217" s="268" t="s">
        <v>819</v>
      </c>
      <c r="B217" s="267" t="s">
        <v>820</v>
      </c>
      <c r="C217" s="268" t="s">
        <v>49</v>
      </c>
      <c r="D217" s="268">
        <v>6</v>
      </c>
      <c r="E217" s="267" t="s">
        <v>2476</v>
      </c>
      <c r="F217" s="267" t="s">
        <v>812</v>
      </c>
    </row>
    <row r="218" spans="1:6" x14ac:dyDescent="0.3">
      <c r="A218" s="268" t="s">
        <v>875</v>
      </c>
      <c r="B218" s="267" t="s">
        <v>2617</v>
      </c>
      <c r="C218" s="268" t="s">
        <v>49</v>
      </c>
      <c r="D218" s="268">
        <v>9</v>
      </c>
      <c r="E218" s="267" t="s">
        <v>2476</v>
      </c>
      <c r="F218" s="267" t="s">
        <v>1492</v>
      </c>
    </row>
    <row r="219" spans="1:6" x14ac:dyDescent="0.3">
      <c r="A219" s="268" t="s">
        <v>233</v>
      </c>
      <c r="B219" s="267" t="s">
        <v>2618</v>
      </c>
      <c r="C219" s="268" t="s">
        <v>54</v>
      </c>
      <c r="D219" s="268">
        <v>6</v>
      </c>
      <c r="E219" s="267" t="s">
        <v>2471</v>
      </c>
      <c r="F219" s="267" t="s">
        <v>549</v>
      </c>
    </row>
    <row r="220" spans="1:6" x14ac:dyDescent="0.3">
      <c r="A220" s="268" t="s">
        <v>1313</v>
      </c>
      <c r="B220" s="267" t="s">
        <v>1314</v>
      </c>
      <c r="C220" s="268" t="s">
        <v>56</v>
      </c>
      <c r="D220" s="268">
        <v>3</v>
      </c>
      <c r="E220" s="267" t="s">
        <v>2474</v>
      </c>
      <c r="F220" s="267" t="s">
        <v>2475</v>
      </c>
    </row>
    <row r="221" spans="1:6" x14ac:dyDescent="0.3">
      <c r="A221" s="268" t="s">
        <v>1315</v>
      </c>
      <c r="B221" s="267" t="s">
        <v>1316</v>
      </c>
      <c r="C221" s="268" t="s">
        <v>56</v>
      </c>
      <c r="D221" s="268">
        <v>3</v>
      </c>
      <c r="E221" s="267" t="s">
        <v>2474</v>
      </c>
      <c r="F221" s="267" t="s">
        <v>2475</v>
      </c>
    </row>
    <row r="222" spans="1:6" x14ac:dyDescent="0.3">
      <c r="A222" s="268" t="s">
        <v>1317</v>
      </c>
      <c r="B222" s="267" t="s">
        <v>1318</v>
      </c>
      <c r="C222" s="268" t="s">
        <v>56</v>
      </c>
      <c r="D222" s="268">
        <v>3</v>
      </c>
      <c r="E222" s="267" t="s">
        <v>2474</v>
      </c>
      <c r="F222" s="267" t="s">
        <v>2475</v>
      </c>
    </row>
    <row r="223" spans="1:6" x14ac:dyDescent="0.3">
      <c r="A223" s="268" t="s">
        <v>1319</v>
      </c>
      <c r="B223" s="267" t="s">
        <v>1320</v>
      </c>
      <c r="C223" s="268" t="s">
        <v>56</v>
      </c>
      <c r="D223" s="268">
        <v>3</v>
      </c>
      <c r="E223" s="267" t="s">
        <v>2474</v>
      </c>
      <c r="F223" s="267" t="s">
        <v>2475</v>
      </c>
    </row>
    <row r="224" spans="1:6" x14ac:dyDescent="0.3">
      <c r="A224" s="268" t="s">
        <v>1321</v>
      </c>
      <c r="B224" s="267" t="s">
        <v>1322</v>
      </c>
      <c r="C224" s="268" t="s">
        <v>56</v>
      </c>
      <c r="D224" s="268">
        <v>3</v>
      </c>
      <c r="E224" s="267" t="s">
        <v>2474</v>
      </c>
      <c r="F224" s="267" t="s">
        <v>2475</v>
      </c>
    </row>
    <row r="225" spans="1:6" x14ac:dyDescent="0.3">
      <c r="A225" s="268" t="s">
        <v>1323</v>
      </c>
      <c r="B225" s="267" t="s">
        <v>1324</v>
      </c>
      <c r="C225" s="268" t="s">
        <v>56</v>
      </c>
      <c r="D225" s="268">
        <v>3</v>
      </c>
      <c r="E225" s="267" t="s">
        <v>2474</v>
      </c>
      <c r="F225" s="267" t="s">
        <v>2475</v>
      </c>
    </row>
    <row r="226" spans="1:6" x14ac:dyDescent="0.3">
      <c r="A226" s="268" t="s">
        <v>1325</v>
      </c>
      <c r="B226" s="267" t="s">
        <v>1326</v>
      </c>
      <c r="C226" s="268" t="s">
        <v>56</v>
      </c>
      <c r="D226" s="268">
        <v>3</v>
      </c>
      <c r="E226" s="267" t="s">
        <v>2474</v>
      </c>
      <c r="F226" s="267" t="s">
        <v>2475</v>
      </c>
    </row>
    <row r="227" spans="1:6" x14ac:dyDescent="0.3">
      <c r="A227" s="268" t="s">
        <v>1327</v>
      </c>
      <c r="B227" s="267" t="s">
        <v>1328</v>
      </c>
      <c r="C227" s="268" t="s">
        <v>56</v>
      </c>
      <c r="D227" s="268">
        <v>3</v>
      </c>
      <c r="E227" s="267" t="s">
        <v>2474</v>
      </c>
      <c r="F227" s="267" t="s">
        <v>2475</v>
      </c>
    </row>
    <row r="228" spans="1:6" x14ac:dyDescent="0.3">
      <c r="A228" s="268" t="s">
        <v>1329</v>
      </c>
      <c r="B228" s="267" t="s">
        <v>1330</v>
      </c>
      <c r="C228" s="268" t="s">
        <v>56</v>
      </c>
      <c r="D228" s="268">
        <v>3</v>
      </c>
      <c r="E228" s="267" t="s">
        <v>2474</v>
      </c>
      <c r="F228" s="267" t="s">
        <v>2475</v>
      </c>
    </row>
    <row r="229" spans="1:6" x14ac:dyDescent="0.3">
      <c r="A229" s="268" t="s">
        <v>1331</v>
      </c>
      <c r="B229" s="267" t="s">
        <v>1332</v>
      </c>
      <c r="C229" s="268" t="s">
        <v>56</v>
      </c>
      <c r="D229" s="268">
        <v>3</v>
      </c>
      <c r="E229" s="267" t="s">
        <v>2474</v>
      </c>
      <c r="F229" s="267" t="s">
        <v>2475</v>
      </c>
    </row>
    <row r="230" spans="1:6" x14ac:dyDescent="0.3">
      <c r="A230" s="268" t="s">
        <v>1333</v>
      </c>
      <c r="B230" s="267" t="s">
        <v>1334</v>
      </c>
      <c r="C230" s="268" t="s">
        <v>56</v>
      </c>
      <c r="D230" s="268">
        <v>3</v>
      </c>
      <c r="E230" s="267" t="s">
        <v>2474</v>
      </c>
      <c r="F230" s="267" t="s">
        <v>2475</v>
      </c>
    </row>
    <row r="231" spans="1:6" x14ac:dyDescent="0.3">
      <c r="A231" s="268" t="s">
        <v>1207</v>
      </c>
      <c r="B231" s="267" t="s">
        <v>2619</v>
      </c>
      <c r="C231" s="268" t="s">
        <v>56</v>
      </c>
      <c r="D231" s="268">
        <v>4</v>
      </c>
      <c r="E231" s="267" t="s">
        <v>2474</v>
      </c>
      <c r="F231" s="267" t="s">
        <v>2528</v>
      </c>
    </row>
    <row r="232" spans="1:6" x14ac:dyDescent="0.3">
      <c r="A232" s="268" t="s">
        <v>1382</v>
      </c>
      <c r="B232" s="267" t="s">
        <v>1383</v>
      </c>
      <c r="C232" s="268" t="s">
        <v>55</v>
      </c>
      <c r="D232" s="268">
        <v>2</v>
      </c>
      <c r="E232" s="267" t="s">
        <v>2522</v>
      </c>
      <c r="F232" s="267" t="s">
        <v>2523</v>
      </c>
    </row>
    <row r="233" spans="1:6" x14ac:dyDescent="0.3">
      <c r="A233" s="268" t="s">
        <v>134</v>
      </c>
      <c r="B233" s="267" t="s">
        <v>2620</v>
      </c>
      <c r="C233" s="268" t="s">
        <v>45</v>
      </c>
      <c r="D233" s="268">
        <v>1</v>
      </c>
      <c r="E233" s="267" t="s">
        <v>139</v>
      </c>
      <c r="F233" s="267" t="s">
        <v>2621</v>
      </c>
    </row>
    <row r="234" spans="1:6" x14ac:dyDescent="0.3">
      <c r="A234" s="268" t="s">
        <v>177</v>
      </c>
      <c r="B234" s="267" t="s">
        <v>178</v>
      </c>
      <c r="C234" s="268" t="s">
        <v>45</v>
      </c>
      <c r="D234" s="268">
        <v>1</v>
      </c>
      <c r="E234" s="267" t="s">
        <v>139</v>
      </c>
      <c r="F234" s="267" t="s">
        <v>2621</v>
      </c>
    </row>
    <row r="235" spans="1:6" x14ac:dyDescent="0.3">
      <c r="A235" s="268" t="s">
        <v>161</v>
      </c>
      <c r="B235" s="267" t="s">
        <v>2622</v>
      </c>
      <c r="C235" s="268" t="s">
        <v>45</v>
      </c>
      <c r="D235" s="268">
        <v>1</v>
      </c>
      <c r="E235" s="267" t="s">
        <v>139</v>
      </c>
      <c r="F235" s="267" t="s">
        <v>2621</v>
      </c>
    </row>
    <row r="236" spans="1:6" x14ac:dyDescent="0.3">
      <c r="A236" s="268" t="s">
        <v>179</v>
      </c>
      <c r="B236" s="267" t="s">
        <v>2623</v>
      </c>
      <c r="C236" s="268" t="s">
        <v>45</v>
      </c>
      <c r="D236" s="268">
        <v>2</v>
      </c>
      <c r="E236" s="267" t="s">
        <v>139</v>
      </c>
      <c r="F236" s="267" t="s">
        <v>2624</v>
      </c>
    </row>
    <row r="237" spans="1:6" x14ac:dyDescent="0.3">
      <c r="A237" s="268" t="s">
        <v>170</v>
      </c>
      <c r="B237" s="267" t="s">
        <v>2625</v>
      </c>
      <c r="C237" s="268" t="s">
        <v>45</v>
      </c>
      <c r="D237" s="268">
        <v>3</v>
      </c>
      <c r="E237" s="267" t="s">
        <v>139</v>
      </c>
      <c r="F237" s="267" t="s">
        <v>2625</v>
      </c>
    </row>
    <row r="238" spans="1:6" x14ac:dyDescent="0.3">
      <c r="A238" s="268" t="s">
        <v>191</v>
      </c>
      <c r="B238" s="267" t="s">
        <v>2626</v>
      </c>
      <c r="C238" s="268" t="s">
        <v>49</v>
      </c>
      <c r="D238" s="268">
        <v>1</v>
      </c>
      <c r="E238" s="267" t="s">
        <v>2476</v>
      </c>
      <c r="F238" s="267" t="s">
        <v>2627</v>
      </c>
    </row>
    <row r="239" spans="1:6" x14ac:dyDescent="0.3">
      <c r="A239" s="268" t="s">
        <v>201</v>
      </c>
      <c r="B239" s="267" t="s">
        <v>2628</v>
      </c>
      <c r="C239" s="268" t="s">
        <v>49</v>
      </c>
      <c r="D239" s="268">
        <v>2</v>
      </c>
      <c r="E239" s="267" t="s">
        <v>2476</v>
      </c>
      <c r="F239" s="267" t="s">
        <v>2554</v>
      </c>
    </row>
    <row r="240" spans="1:6" x14ac:dyDescent="0.3">
      <c r="A240" s="268" t="s">
        <v>215</v>
      </c>
      <c r="B240" s="267" t="s">
        <v>2629</v>
      </c>
      <c r="C240" s="268" t="s">
        <v>49</v>
      </c>
      <c r="D240" s="268">
        <v>2</v>
      </c>
      <c r="E240" s="267" t="s">
        <v>2476</v>
      </c>
      <c r="F240" s="267" t="s">
        <v>2554</v>
      </c>
    </row>
    <row r="241" spans="1:6" x14ac:dyDescent="0.3">
      <c r="A241" s="268" t="s">
        <v>284</v>
      </c>
      <c r="B241" s="267" t="s">
        <v>2630</v>
      </c>
      <c r="C241" s="268" t="s">
        <v>49</v>
      </c>
      <c r="D241" s="268">
        <v>4</v>
      </c>
      <c r="E241" s="267" t="s">
        <v>2476</v>
      </c>
      <c r="F241" s="267" t="s">
        <v>2567</v>
      </c>
    </row>
    <row r="242" spans="1:6" x14ac:dyDescent="0.3">
      <c r="A242" s="268" t="s">
        <v>224</v>
      </c>
      <c r="B242" s="267" t="s">
        <v>227</v>
      </c>
      <c r="C242" s="268" t="s">
        <v>49</v>
      </c>
      <c r="D242" s="268">
        <v>3</v>
      </c>
      <c r="E242" s="267" t="s">
        <v>2476</v>
      </c>
      <c r="F242" s="267" t="s">
        <v>2477</v>
      </c>
    </row>
    <row r="243" spans="1:6" x14ac:dyDescent="0.3">
      <c r="A243" s="268" t="s">
        <v>854</v>
      </c>
      <c r="B243" s="267" t="s">
        <v>855</v>
      </c>
      <c r="C243" s="268" t="s">
        <v>49</v>
      </c>
      <c r="D243" s="268">
        <v>3</v>
      </c>
      <c r="E243" s="267" t="s">
        <v>2476</v>
      </c>
      <c r="F243" s="267" t="s">
        <v>2477</v>
      </c>
    </row>
    <row r="244" spans="1:6" x14ac:dyDescent="0.3">
      <c r="A244" s="268" t="s">
        <v>261</v>
      </c>
      <c r="B244" s="267" t="s">
        <v>2381</v>
      </c>
      <c r="C244" s="268" t="s">
        <v>49</v>
      </c>
      <c r="D244" s="268">
        <v>4</v>
      </c>
      <c r="E244" s="267" t="s">
        <v>2476</v>
      </c>
      <c r="F244" s="267" t="s">
        <v>2567</v>
      </c>
    </row>
    <row r="245" spans="1:6" x14ac:dyDescent="0.3">
      <c r="A245" s="268" t="s">
        <v>883</v>
      </c>
      <c r="B245" s="267" t="s">
        <v>2631</v>
      </c>
      <c r="C245" s="268" t="s">
        <v>49</v>
      </c>
      <c r="D245" s="268">
        <v>4</v>
      </c>
      <c r="E245" s="267" t="s">
        <v>2476</v>
      </c>
      <c r="F245" s="267" t="s">
        <v>2567</v>
      </c>
    </row>
    <row r="246" spans="1:6" x14ac:dyDescent="0.3">
      <c r="A246" s="268" t="s">
        <v>429</v>
      </c>
      <c r="B246" s="267" t="s">
        <v>2632</v>
      </c>
      <c r="C246" s="268" t="s">
        <v>49</v>
      </c>
      <c r="D246" s="268">
        <v>9</v>
      </c>
      <c r="E246" s="267" t="s">
        <v>2476</v>
      </c>
      <c r="F246" s="267" t="s">
        <v>1492</v>
      </c>
    </row>
    <row r="247" spans="1:6" x14ac:dyDescent="0.3">
      <c r="A247" s="268" t="s">
        <v>436</v>
      </c>
      <c r="B247" s="267" t="s">
        <v>2633</v>
      </c>
      <c r="C247" s="268" t="s">
        <v>49</v>
      </c>
      <c r="D247" s="268">
        <v>9</v>
      </c>
      <c r="E247" s="267" t="s">
        <v>2476</v>
      </c>
      <c r="F247" s="267" t="s">
        <v>1492</v>
      </c>
    </row>
    <row r="248" spans="1:6" x14ac:dyDescent="0.3">
      <c r="A248" s="268" t="s">
        <v>305</v>
      </c>
      <c r="B248" s="267" t="s">
        <v>2634</v>
      </c>
      <c r="C248" s="268" t="s">
        <v>49</v>
      </c>
      <c r="D248" s="268">
        <v>9</v>
      </c>
      <c r="E248" s="267" t="s">
        <v>2476</v>
      </c>
      <c r="F248" s="267" t="s">
        <v>1492</v>
      </c>
    </row>
    <row r="249" spans="1:6" x14ac:dyDescent="0.3">
      <c r="A249" s="268" t="s">
        <v>877</v>
      </c>
      <c r="B249" s="267" t="s">
        <v>2635</v>
      </c>
      <c r="C249" s="268" t="s">
        <v>49</v>
      </c>
      <c r="D249" s="268">
        <v>9</v>
      </c>
      <c r="E249" s="267" t="s">
        <v>2476</v>
      </c>
      <c r="F249" s="267" t="s">
        <v>1492</v>
      </c>
    </row>
    <row r="250" spans="1:6" x14ac:dyDescent="0.3">
      <c r="A250" s="268" t="s">
        <v>816</v>
      </c>
      <c r="B250" s="267" t="s">
        <v>2636</v>
      </c>
      <c r="C250" s="268" t="s">
        <v>49</v>
      </c>
      <c r="D250" s="268">
        <v>6</v>
      </c>
      <c r="E250" s="267" t="s">
        <v>2476</v>
      </c>
      <c r="F250" s="267" t="s">
        <v>812</v>
      </c>
    </row>
    <row r="251" spans="1:6" x14ac:dyDescent="0.3">
      <c r="A251" s="268" t="s">
        <v>732</v>
      </c>
      <c r="B251" s="267" t="s">
        <v>2637</v>
      </c>
      <c r="C251" s="268" t="s">
        <v>49</v>
      </c>
      <c r="D251" s="268">
        <v>5</v>
      </c>
      <c r="E251" s="267" t="s">
        <v>2476</v>
      </c>
      <c r="F251" s="267" t="s">
        <v>2638</v>
      </c>
    </row>
    <row r="252" spans="1:6" x14ac:dyDescent="0.3">
      <c r="A252" s="268" t="s">
        <v>775</v>
      </c>
      <c r="B252" s="267" t="s">
        <v>776</v>
      </c>
      <c r="C252" s="268" t="s">
        <v>49</v>
      </c>
      <c r="D252" s="268">
        <v>2</v>
      </c>
      <c r="E252" s="267" t="s">
        <v>2476</v>
      </c>
      <c r="F252" s="267" t="s">
        <v>2554</v>
      </c>
    </row>
    <row r="253" spans="1:6" x14ac:dyDescent="0.3">
      <c r="A253" s="268" t="s">
        <v>212</v>
      </c>
      <c r="B253" s="267" t="s">
        <v>2639</v>
      </c>
      <c r="C253" s="268" t="s">
        <v>49</v>
      </c>
      <c r="D253" s="268">
        <v>2</v>
      </c>
      <c r="E253" s="267" t="s">
        <v>2476</v>
      </c>
      <c r="F253" s="267" t="s">
        <v>2554</v>
      </c>
    </row>
    <row r="254" spans="1:6" x14ac:dyDescent="0.3">
      <c r="A254" s="268" t="s">
        <v>729</v>
      </c>
      <c r="B254" s="267" t="s">
        <v>2640</v>
      </c>
      <c r="C254" s="268" t="s">
        <v>49</v>
      </c>
      <c r="D254" s="268">
        <v>5</v>
      </c>
      <c r="E254" s="267" t="s">
        <v>2476</v>
      </c>
      <c r="F254" s="267" t="s">
        <v>2638</v>
      </c>
    </row>
    <row r="255" spans="1:6" x14ac:dyDescent="0.3">
      <c r="A255" s="268" t="s">
        <v>747</v>
      </c>
      <c r="B255" s="267" t="s">
        <v>2641</v>
      </c>
      <c r="C255" s="268" t="s">
        <v>49</v>
      </c>
      <c r="D255" s="268">
        <v>5</v>
      </c>
      <c r="E255" s="267" t="s">
        <v>2476</v>
      </c>
      <c r="F255" s="267" t="s">
        <v>2638</v>
      </c>
    </row>
    <row r="256" spans="1:6" x14ac:dyDescent="0.3">
      <c r="A256" s="268" t="s">
        <v>750</v>
      </c>
      <c r="B256" s="267" t="s">
        <v>2642</v>
      </c>
      <c r="C256" s="268" t="s">
        <v>49</v>
      </c>
      <c r="D256" s="268">
        <v>5</v>
      </c>
      <c r="E256" s="267" t="s">
        <v>2476</v>
      </c>
      <c r="F256" s="267" t="s">
        <v>2638</v>
      </c>
    </row>
    <row r="257" spans="1:6" x14ac:dyDescent="0.3">
      <c r="A257" s="268" t="s">
        <v>753</v>
      </c>
      <c r="B257" s="267" t="s">
        <v>2643</v>
      </c>
      <c r="C257" s="268" t="s">
        <v>49</v>
      </c>
      <c r="D257" s="268">
        <v>9</v>
      </c>
      <c r="E257" s="267" t="s">
        <v>2476</v>
      </c>
      <c r="F257" s="267" t="s">
        <v>1492</v>
      </c>
    </row>
    <row r="258" spans="1:6" x14ac:dyDescent="0.3">
      <c r="A258" s="268" t="s">
        <v>230</v>
      </c>
      <c r="B258" s="267" t="s">
        <v>2644</v>
      </c>
      <c r="C258" s="268" t="s">
        <v>49</v>
      </c>
      <c r="D258" s="268">
        <v>3</v>
      </c>
      <c r="E258" s="267" t="s">
        <v>2476</v>
      </c>
      <c r="F258" s="267" t="s">
        <v>2477</v>
      </c>
    </row>
    <row r="259" spans="1:6" x14ac:dyDescent="0.3">
      <c r="A259" s="268" t="s">
        <v>872</v>
      </c>
      <c r="B259" s="267" t="s">
        <v>2380</v>
      </c>
      <c r="C259" s="268" t="s">
        <v>49</v>
      </c>
      <c r="D259" s="268">
        <v>3</v>
      </c>
      <c r="E259" s="267" t="s">
        <v>2476</v>
      </c>
      <c r="F259" s="267" t="s">
        <v>2477</v>
      </c>
    </row>
    <row r="260" spans="1:6" x14ac:dyDescent="0.3">
      <c r="A260" s="268" t="s">
        <v>1032</v>
      </c>
      <c r="B260" s="267" t="s">
        <v>2645</v>
      </c>
      <c r="C260" s="268" t="s">
        <v>52</v>
      </c>
      <c r="D260" s="268">
        <v>2</v>
      </c>
      <c r="E260" s="267" t="s">
        <v>2465</v>
      </c>
      <c r="F260" s="267" t="s">
        <v>2469</v>
      </c>
    </row>
    <row r="261" spans="1:6" x14ac:dyDescent="0.3">
      <c r="A261" s="268" t="s">
        <v>425</v>
      </c>
      <c r="B261" s="267" t="s">
        <v>2646</v>
      </c>
      <c r="C261" s="268" t="s">
        <v>50</v>
      </c>
      <c r="D261" s="268">
        <v>3</v>
      </c>
      <c r="E261" s="267" t="s">
        <v>2580</v>
      </c>
      <c r="F261" s="267" t="s">
        <v>2647</v>
      </c>
    </row>
    <row r="262" spans="1:6" x14ac:dyDescent="0.3">
      <c r="A262" s="268" t="s">
        <v>831</v>
      </c>
      <c r="B262" s="267" t="s">
        <v>832</v>
      </c>
      <c r="C262" s="268" t="s">
        <v>51</v>
      </c>
      <c r="D262" s="268">
        <v>3</v>
      </c>
      <c r="E262" s="267" t="s">
        <v>2452</v>
      </c>
      <c r="F262" s="267" t="s">
        <v>2148</v>
      </c>
    </row>
    <row r="263" spans="1:6" x14ac:dyDescent="0.3">
      <c r="A263" s="268" t="s">
        <v>1107</v>
      </c>
      <c r="B263" s="267" t="s">
        <v>1108</v>
      </c>
      <c r="C263" s="268" t="s">
        <v>54</v>
      </c>
      <c r="D263" s="268">
        <v>6</v>
      </c>
      <c r="E263" s="267" t="s">
        <v>2471</v>
      </c>
      <c r="F263" s="267" t="s">
        <v>549</v>
      </c>
    </row>
    <row r="264" spans="1:6" x14ac:dyDescent="0.3">
      <c r="A264" s="268" t="s">
        <v>238</v>
      </c>
      <c r="B264" s="267" t="s">
        <v>240</v>
      </c>
      <c r="C264" s="268" t="s">
        <v>49</v>
      </c>
      <c r="D264" s="268">
        <v>2</v>
      </c>
      <c r="E264" s="267" t="s">
        <v>2476</v>
      </c>
      <c r="F264" s="267" t="s">
        <v>2554</v>
      </c>
    </row>
    <row r="265" spans="1:6" x14ac:dyDescent="0.3">
      <c r="A265" s="268" t="s">
        <v>813</v>
      </c>
      <c r="B265" s="267" t="s">
        <v>2648</v>
      </c>
      <c r="C265" s="268" t="s">
        <v>49</v>
      </c>
      <c r="D265" s="268">
        <v>6</v>
      </c>
      <c r="E265" s="267" t="s">
        <v>2476</v>
      </c>
      <c r="F265" s="267" t="s">
        <v>812</v>
      </c>
    </row>
    <row r="266" spans="1:6" x14ac:dyDescent="0.3">
      <c r="A266" s="268" t="s">
        <v>741</v>
      </c>
      <c r="B266" s="267" t="s">
        <v>2649</v>
      </c>
      <c r="C266" s="268" t="s">
        <v>49</v>
      </c>
      <c r="D266" s="268">
        <v>5</v>
      </c>
      <c r="E266" s="267" t="s">
        <v>2476</v>
      </c>
      <c r="F266" s="267" t="s">
        <v>2638</v>
      </c>
    </row>
    <row r="267" spans="1:6" x14ac:dyDescent="0.3">
      <c r="A267" s="268" t="s">
        <v>744</v>
      </c>
      <c r="B267" s="267" t="s">
        <v>2650</v>
      </c>
      <c r="C267" s="268" t="s">
        <v>49</v>
      </c>
      <c r="D267" s="268">
        <v>5</v>
      </c>
      <c r="E267" s="267" t="s">
        <v>2476</v>
      </c>
      <c r="F267" s="267" t="s">
        <v>2638</v>
      </c>
    </row>
    <row r="268" spans="1:6" x14ac:dyDescent="0.3">
      <c r="A268" s="268" t="s">
        <v>335</v>
      </c>
      <c r="B268" s="267" t="s">
        <v>336</v>
      </c>
      <c r="C268" s="268" t="s">
        <v>50</v>
      </c>
      <c r="D268" s="268">
        <v>2</v>
      </c>
      <c r="E268" s="267" t="s">
        <v>2580</v>
      </c>
      <c r="F268" s="267" t="s">
        <v>329</v>
      </c>
    </row>
    <row r="269" spans="1:6" x14ac:dyDescent="0.3">
      <c r="A269" s="268" t="s">
        <v>330</v>
      </c>
      <c r="B269" s="267" t="s">
        <v>2651</v>
      </c>
      <c r="C269" s="268" t="s">
        <v>50</v>
      </c>
      <c r="D269" s="268">
        <v>2</v>
      </c>
      <c r="E269" s="267" t="s">
        <v>2580</v>
      </c>
      <c r="F269" s="267" t="s">
        <v>329</v>
      </c>
    </row>
    <row r="270" spans="1:6" x14ac:dyDescent="0.3">
      <c r="A270" s="268" t="s">
        <v>318</v>
      </c>
      <c r="B270" s="267" t="s">
        <v>2652</v>
      </c>
      <c r="C270" s="268" t="s">
        <v>50</v>
      </c>
      <c r="D270" s="268">
        <v>2</v>
      </c>
      <c r="E270" s="267" t="s">
        <v>2580</v>
      </c>
      <c r="F270" s="267" t="s">
        <v>329</v>
      </c>
    </row>
    <row r="271" spans="1:6" x14ac:dyDescent="0.3">
      <c r="A271" s="268" t="s">
        <v>706</v>
      </c>
      <c r="B271" s="267" t="s">
        <v>2653</v>
      </c>
      <c r="C271" s="268" t="s">
        <v>50</v>
      </c>
      <c r="D271" s="268">
        <v>3</v>
      </c>
      <c r="E271" s="267" t="s">
        <v>2580</v>
      </c>
      <c r="F271" s="267" t="s">
        <v>2647</v>
      </c>
    </row>
    <row r="272" spans="1:6" x14ac:dyDescent="0.3">
      <c r="A272" s="268" t="s">
        <v>357</v>
      </c>
      <c r="B272" s="267" t="s">
        <v>2654</v>
      </c>
      <c r="C272" s="268" t="s">
        <v>50</v>
      </c>
      <c r="D272" s="268">
        <v>2</v>
      </c>
      <c r="E272" s="267" t="s">
        <v>2580</v>
      </c>
      <c r="F272" s="267" t="s">
        <v>329</v>
      </c>
    </row>
    <row r="273" spans="1:6" x14ac:dyDescent="0.3">
      <c r="A273" s="268" t="s">
        <v>422</v>
      </c>
      <c r="B273" s="267" t="s">
        <v>2655</v>
      </c>
      <c r="C273" s="268" t="s">
        <v>50</v>
      </c>
      <c r="D273" s="268">
        <v>3</v>
      </c>
      <c r="E273" s="267" t="s">
        <v>2580</v>
      </c>
      <c r="F273" s="267" t="s">
        <v>2647</v>
      </c>
    </row>
    <row r="274" spans="1:6" x14ac:dyDescent="0.3">
      <c r="A274" s="268" t="s">
        <v>1426</v>
      </c>
      <c r="B274" s="267" t="s">
        <v>2656</v>
      </c>
      <c r="C274" s="268" t="s">
        <v>50</v>
      </c>
      <c r="D274" s="268">
        <v>3</v>
      </c>
      <c r="E274" s="267" t="s">
        <v>2580</v>
      </c>
      <c r="F274" s="267" t="s">
        <v>2647</v>
      </c>
    </row>
    <row r="275" spans="1:6" x14ac:dyDescent="0.3">
      <c r="A275" s="268" t="s">
        <v>326</v>
      </c>
      <c r="B275" s="267" t="s">
        <v>329</v>
      </c>
      <c r="C275" s="268" t="s">
        <v>50</v>
      </c>
      <c r="D275" s="268">
        <v>2</v>
      </c>
      <c r="E275" s="267" t="s">
        <v>2580</v>
      </c>
      <c r="F275" s="267" t="s">
        <v>329</v>
      </c>
    </row>
    <row r="276" spans="1:6" x14ac:dyDescent="0.3">
      <c r="A276" s="268" t="s">
        <v>320</v>
      </c>
      <c r="B276" s="267" t="s">
        <v>2657</v>
      </c>
      <c r="C276" s="268" t="s">
        <v>50</v>
      </c>
      <c r="D276" s="268">
        <v>2</v>
      </c>
      <c r="E276" s="267" t="s">
        <v>2580</v>
      </c>
      <c r="F276" s="267" t="s">
        <v>329</v>
      </c>
    </row>
    <row r="277" spans="1:6" x14ac:dyDescent="0.3">
      <c r="A277" s="268" t="s">
        <v>322</v>
      </c>
      <c r="B277" s="267" t="s">
        <v>2658</v>
      </c>
      <c r="C277" s="268" t="s">
        <v>50</v>
      </c>
      <c r="D277" s="268">
        <v>2</v>
      </c>
      <c r="E277" s="267" t="s">
        <v>2580</v>
      </c>
      <c r="F277" s="267" t="s">
        <v>329</v>
      </c>
    </row>
    <row r="278" spans="1:6" x14ac:dyDescent="0.3">
      <c r="A278" s="268" t="s">
        <v>710</v>
      </c>
      <c r="B278" s="267" t="s">
        <v>712</v>
      </c>
      <c r="C278" s="268" t="s">
        <v>50</v>
      </c>
      <c r="D278" s="268">
        <v>3</v>
      </c>
      <c r="E278" s="267" t="s">
        <v>2580</v>
      </c>
      <c r="F278" s="267" t="s">
        <v>2647</v>
      </c>
    </row>
    <row r="279" spans="1:6" x14ac:dyDescent="0.3">
      <c r="A279" s="268" t="s">
        <v>399</v>
      </c>
      <c r="B279" s="267" t="s">
        <v>401</v>
      </c>
      <c r="C279" s="268" t="s">
        <v>50</v>
      </c>
      <c r="D279" s="268">
        <v>3</v>
      </c>
      <c r="E279" s="267" t="s">
        <v>2580</v>
      </c>
      <c r="F279" s="267" t="s">
        <v>2647</v>
      </c>
    </row>
    <row r="280" spans="1:6" x14ac:dyDescent="0.3">
      <c r="A280" s="268" t="s">
        <v>402</v>
      </c>
      <c r="B280" s="267" t="s">
        <v>404</v>
      </c>
      <c r="C280" s="268" t="s">
        <v>50</v>
      </c>
      <c r="D280" s="268">
        <v>3</v>
      </c>
      <c r="E280" s="267" t="s">
        <v>2580</v>
      </c>
      <c r="F280" s="267" t="s">
        <v>2647</v>
      </c>
    </row>
    <row r="281" spans="1:6" x14ac:dyDescent="0.3">
      <c r="A281" s="268" t="s">
        <v>713</v>
      </c>
      <c r="B281" s="267" t="s">
        <v>714</v>
      </c>
      <c r="C281" s="268" t="s">
        <v>50</v>
      </c>
      <c r="D281" s="268">
        <v>3</v>
      </c>
      <c r="E281" s="267" t="s">
        <v>2580</v>
      </c>
      <c r="F281" s="267" t="s">
        <v>2647</v>
      </c>
    </row>
    <row r="282" spans="1:6" x14ac:dyDescent="0.3">
      <c r="A282" s="268" t="s">
        <v>716</v>
      </c>
      <c r="B282" s="267" t="s">
        <v>2659</v>
      </c>
      <c r="C282" s="268" t="s">
        <v>50</v>
      </c>
      <c r="D282" s="268">
        <v>4</v>
      </c>
      <c r="E282" s="267" t="s">
        <v>2580</v>
      </c>
      <c r="F282" s="267" t="s">
        <v>2660</v>
      </c>
    </row>
    <row r="283" spans="1:6" x14ac:dyDescent="0.3">
      <c r="A283" s="268" t="s">
        <v>719</v>
      </c>
      <c r="B283" s="267" t="s">
        <v>2661</v>
      </c>
      <c r="C283" s="268" t="s">
        <v>50</v>
      </c>
      <c r="D283" s="268">
        <v>4</v>
      </c>
      <c r="E283" s="267" t="s">
        <v>2580</v>
      </c>
      <c r="F283" s="267" t="s">
        <v>2660</v>
      </c>
    </row>
    <row r="284" spans="1:6" x14ac:dyDescent="0.3">
      <c r="A284" s="268" t="s">
        <v>772</v>
      </c>
      <c r="B284" s="267" t="s">
        <v>774</v>
      </c>
      <c r="C284" s="268" t="s">
        <v>50</v>
      </c>
      <c r="D284" s="268">
        <v>4</v>
      </c>
      <c r="E284" s="267" t="s">
        <v>2580</v>
      </c>
      <c r="F284" s="267" t="s">
        <v>2660</v>
      </c>
    </row>
    <row r="285" spans="1:6" x14ac:dyDescent="0.3">
      <c r="A285" s="268" t="s">
        <v>365</v>
      </c>
      <c r="B285" s="267" t="s">
        <v>367</v>
      </c>
      <c r="C285" s="268" t="s">
        <v>50</v>
      </c>
      <c r="D285" s="268">
        <v>5</v>
      </c>
      <c r="E285" s="267" t="s">
        <v>2580</v>
      </c>
      <c r="F285" s="267" t="s">
        <v>2581</v>
      </c>
    </row>
    <row r="286" spans="1:6" x14ac:dyDescent="0.3">
      <c r="A286" s="268" t="s">
        <v>723</v>
      </c>
      <c r="B286" s="267" t="s">
        <v>2662</v>
      </c>
      <c r="C286" s="268" t="s">
        <v>50</v>
      </c>
      <c r="D286" s="268">
        <v>5</v>
      </c>
      <c r="E286" s="267" t="s">
        <v>2580</v>
      </c>
      <c r="F286" s="267" t="s">
        <v>2581</v>
      </c>
    </row>
    <row r="287" spans="1:6" x14ac:dyDescent="0.3">
      <c r="A287" s="268" t="s">
        <v>726</v>
      </c>
      <c r="B287" s="267" t="s">
        <v>2663</v>
      </c>
      <c r="C287" s="268" t="s">
        <v>50</v>
      </c>
      <c r="D287" s="268">
        <v>5</v>
      </c>
      <c r="E287" s="267" t="s">
        <v>2580</v>
      </c>
      <c r="F287" s="267" t="s">
        <v>2581</v>
      </c>
    </row>
    <row r="288" spans="1:6" x14ac:dyDescent="0.3">
      <c r="A288" s="268" t="s">
        <v>362</v>
      </c>
      <c r="B288" s="267" t="s">
        <v>364</v>
      </c>
      <c r="C288" s="268" t="s">
        <v>50</v>
      </c>
      <c r="D288" s="268">
        <v>5</v>
      </c>
      <c r="E288" s="267" t="s">
        <v>2580</v>
      </c>
      <c r="F288" s="267" t="s">
        <v>2581</v>
      </c>
    </row>
    <row r="289" spans="1:6" x14ac:dyDescent="0.3">
      <c r="A289" s="268" t="s">
        <v>308</v>
      </c>
      <c r="B289" s="267" t="s">
        <v>2664</v>
      </c>
      <c r="C289" s="268" t="s">
        <v>50</v>
      </c>
      <c r="D289" s="268">
        <v>1</v>
      </c>
      <c r="E289" s="267" t="s">
        <v>2580</v>
      </c>
      <c r="F289" s="267" t="s">
        <v>2665</v>
      </c>
    </row>
    <row r="290" spans="1:6" x14ac:dyDescent="0.3">
      <c r="A290" s="268" t="s">
        <v>669</v>
      </c>
      <c r="B290" s="267" t="s">
        <v>2666</v>
      </c>
      <c r="C290" s="268" t="s">
        <v>50</v>
      </c>
      <c r="D290" s="268">
        <v>3</v>
      </c>
      <c r="E290" s="267" t="s">
        <v>2580</v>
      </c>
      <c r="F290" s="267" t="s">
        <v>2647</v>
      </c>
    </row>
    <row r="291" spans="1:6" x14ac:dyDescent="0.3">
      <c r="A291" s="268" t="s">
        <v>354</v>
      </c>
      <c r="B291" s="267" t="s">
        <v>2667</v>
      </c>
      <c r="C291" s="268" t="s">
        <v>50</v>
      </c>
      <c r="D291" s="268">
        <v>3</v>
      </c>
      <c r="E291" s="267" t="s">
        <v>2580</v>
      </c>
      <c r="F291" s="267" t="s">
        <v>2647</v>
      </c>
    </row>
    <row r="292" spans="1:6" x14ac:dyDescent="0.3">
      <c r="A292" s="268" t="s">
        <v>333</v>
      </c>
      <c r="B292" s="267" t="s">
        <v>2668</v>
      </c>
      <c r="C292" s="268" t="s">
        <v>50</v>
      </c>
      <c r="D292" s="268">
        <v>2</v>
      </c>
      <c r="E292" s="267" t="s">
        <v>2580</v>
      </c>
      <c r="F292" s="267" t="s">
        <v>329</v>
      </c>
    </row>
    <row r="293" spans="1:6" x14ac:dyDescent="0.3">
      <c r="A293" s="268" t="s">
        <v>687</v>
      </c>
      <c r="B293" s="267" t="s">
        <v>2669</v>
      </c>
      <c r="C293" s="268" t="s">
        <v>50</v>
      </c>
      <c r="D293" s="268">
        <v>1</v>
      </c>
      <c r="E293" s="267" t="s">
        <v>2580</v>
      </c>
      <c r="F293" s="267" t="s">
        <v>2665</v>
      </c>
    </row>
    <row r="294" spans="1:6" x14ac:dyDescent="0.3">
      <c r="A294" s="268" t="s">
        <v>690</v>
      </c>
      <c r="B294" s="267" t="s">
        <v>2670</v>
      </c>
      <c r="C294" s="268" t="s">
        <v>50</v>
      </c>
      <c r="D294" s="268">
        <v>1</v>
      </c>
      <c r="E294" s="267" t="s">
        <v>2580</v>
      </c>
      <c r="F294" s="267" t="s">
        <v>2665</v>
      </c>
    </row>
    <row r="295" spans="1:6" x14ac:dyDescent="0.3">
      <c r="A295" s="268" t="s">
        <v>694</v>
      </c>
      <c r="B295" s="267" t="s">
        <v>2671</v>
      </c>
      <c r="C295" s="268" t="s">
        <v>50</v>
      </c>
      <c r="D295" s="268">
        <v>1</v>
      </c>
      <c r="E295" s="267" t="s">
        <v>2580</v>
      </c>
      <c r="F295" s="267" t="s">
        <v>2665</v>
      </c>
    </row>
    <row r="296" spans="1:6" x14ac:dyDescent="0.3">
      <c r="A296" s="268" t="s">
        <v>697</v>
      </c>
      <c r="B296" s="267" t="s">
        <v>2672</v>
      </c>
      <c r="C296" s="268" t="s">
        <v>50</v>
      </c>
      <c r="D296" s="268">
        <v>1</v>
      </c>
      <c r="E296" s="267" t="s">
        <v>2580</v>
      </c>
      <c r="F296" s="267" t="s">
        <v>2665</v>
      </c>
    </row>
    <row r="297" spans="1:6" x14ac:dyDescent="0.3">
      <c r="A297" s="268" t="s">
        <v>700</v>
      </c>
      <c r="B297" s="267" t="s">
        <v>2673</v>
      </c>
      <c r="C297" s="268" t="s">
        <v>50</v>
      </c>
      <c r="D297" s="268">
        <v>1</v>
      </c>
      <c r="E297" s="267" t="s">
        <v>2580</v>
      </c>
      <c r="F297" s="267" t="s">
        <v>2665</v>
      </c>
    </row>
    <row r="298" spans="1:6" x14ac:dyDescent="0.3">
      <c r="A298" s="268" t="s">
        <v>703</v>
      </c>
      <c r="B298" s="267" t="s">
        <v>2674</v>
      </c>
      <c r="C298" s="268" t="s">
        <v>50</v>
      </c>
      <c r="D298" s="268">
        <v>1</v>
      </c>
      <c r="E298" s="267" t="s">
        <v>2580</v>
      </c>
      <c r="F298" s="267" t="s">
        <v>2665</v>
      </c>
    </row>
    <row r="299" spans="1:6" x14ac:dyDescent="0.3">
      <c r="A299" s="268" t="s">
        <v>359</v>
      </c>
      <c r="B299" s="267" t="s">
        <v>2675</v>
      </c>
      <c r="C299" s="268" t="s">
        <v>50</v>
      </c>
      <c r="D299" s="268">
        <v>5</v>
      </c>
      <c r="E299" s="267" t="s">
        <v>2580</v>
      </c>
      <c r="F299" s="267" t="s">
        <v>2581</v>
      </c>
    </row>
    <row r="300" spans="1:6" x14ac:dyDescent="0.3">
      <c r="A300" s="268" t="s">
        <v>427</v>
      </c>
      <c r="B300" s="267" t="s">
        <v>2676</v>
      </c>
      <c r="C300" s="268" t="s">
        <v>50</v>
      </c>
      <c r="D300" s="268">
        <v>3</v>
      </c>
      <c r="E300" s="267" t="s">
        <v>2580</v>
      </c>
      <c r="F300" s="267" t="s">
        <v>2647</v>
      </c>
    </row>
    <row r="301" spans="1:6" x14ac:dyDescent="0.3">
      <c r="A301" s="268" t="s">
        <v>1374</v>
      </c>
      <c r="B301" s="267" t="s">
        <v>1375</v>
      </c>
      <c r="C301" s="268" t="s">
        <v>55</v>
      </c>
      <c r="D301" s="268">
        <v>2</v>
      </c>
      <c r="E301" s="267" t="s">
        <v>2522</v>
      </c>
      <c r="F301" s="267" t="s">
        <v>2523</v>
      </c>
    </row>
    <row r="302" spans="1:6" x14ac:dyDescent="0.3">
      <c r="A302" s="268" t="s">
        <v>2411</v>
      </c>
      <c r="B302" s="267" t="s">
        <v>2677</v>
      </c>
      <c r="C302" s="268" t="s">
        <v>52</v>
      </c>
      <c r="D302" s="268">
        <v>3</v>
      </c>
      <c r="E302" s="267" t="s">
        <v>2465</v>
      </c>
      <c r="F302" s="267" t="s">
        <v>2479</v>
      </c>
    </row>
    <row r="303" spans="1:6" x14ac:dyDescent="0.3">
      <c r="A303" s="268" t="s">
        <v>2410</v>
      </c>
      <c r="B303" s="267" t="s">
        <v>2678</v>
      </c>
      <c r="C303" s="268" t="s">
        <v>52</v>
      </c>
      <c r="D303" s="268">
        <v>3</v>
      </c>
      <c r="E303" s="267" t="s">
        <v>2465</v>
      </c>
      <c r="F303" s="267" t="s">
        <v>2479</v>
      </c>
    </row>
    <row r="304" spans="1:6" x14ac:dyDescent="0.3">
      <c r="A304" s="268" t="s">
        <v>2436</v>
      </c>
      <c r="B304" s="267" t="s">
        <v>2679</v>
      </c>
      <c r="C304" s="268" t="s">
        <v>57</v>
      </c>
      <c r="D304" s="268">
        <v>2</v>
      </c>
      <c r="E304" s="267" t="s">
        <v>2530</v>
      </c>
      <c r="F304" s="267" t="s">
        <v>2537</v>
      </c>
    </row>
    <row r="305" spans="1:6" x14ac:dyDescent="0.3">
      <c r="A305" s="268" t="s">
        <v>488</v>
      </c>
      <c r="B305" s="267" t="s">
        <v>489</v>
      </c>
      <c r="C305" s="268" t="s">
        <v>52</v>
      </c>
      <c r="D305" s="268">
        <v>5</v>
      </c>
      <c r="E305" s="267" t="s">
        <v>2465</v>
      </c>
      <c r="F305" s="267" t="s">
        <v>2487</v>
      </c>
    </row>
    <row r="306" spans="1:6" x14ac:dyDescent="0.3">
      <c r="A306" s="268" t="s">
        <v>1335</v>
      </c>
      <c r="B306" s="267" t="s">
        <v>1336</v>
      </c>
      <c r="C306" s="268" t="s">
        <v>56</v>
      </c>
      <c r="D306" s="268">
        <v>3</v>
      </c>
      <c r="E306" s="267" t="s">
        <v>2474</v>
      </c>
      <c r="F306" s="267" t="s">
        <v>2475</v>
      </c>
    </row>
    <row r="307" spans="1:6" x14ac:dyDescent="0.3">
      <c r="A307" s="268" t="s">
        <v>1337</v>
      </c>
      <c r="B307" s="267" t="s">
        <v>1338</v>
      </c>
      <c r="C307" s="268" t="s">
        <v>56</v>
      </c>
      <c r="D307" s="268">
        <v>3</v>
      </c>
      <c r="E307" s="267" t="s">
        <v>2474</v>
      </c>
      <c r="F307" s="267" t="s">
        <v>2475</v>
      </c>
    </row>
    <row r="308" spans="1:6" x14ac:dyDescent="0.3">
      <c r="A308" s="268" t="s">
        <v>1339</v>
      </c>
      <c r="B308" s="267" t="s">
        <v>1340</v>
      </c>
      <c r="C308" s="268" t="s">
        <v>56</v>
      </c>
      <c r="D308" s="268">
        <v>3</v>
      </c>
      <c r="E308" s="267" t="s">
        <v>2474</v>
      </c>
      <c r="F308" s="267" t="s">
        <v>2475</v>
      </c>
    </row>
    <row r="309" spans="1:6" x14ac:dyDescent="0.3">
      <c r="A309" s="268" t="s">
        <v>1341</v>
      </c>
      <c r="B309" s="267" t="s">
        <v>1342</v>
      </c>
      <c r="C309" s="268" t="s">
        <v>56</v>
      </c>
      <c r="D309" s="268">
        <v>3</v>
      </c>
      <c r="E309" s="267" t="s">
        <v>2474</v>
      </c>
      <c r="F309" s="267" t="s">
        <v>2475</v>
      </c>
    </row>
    <row r="310" spans="1:6" x14ac:dyDescent="0.3">
      <c r="A310" s="268" t="s">
        <v>1343</v>
      </c>
      <c r="B310" s="267" t="s">
        <v>1344</v>
      </c>
      <c r="C310" s="268" t="s">
        <v>56</v>
      </c>
      <c r="D310" s="268">
        <v>3</v>
      </c>
      <c r="E310" s="267" t="s">
        <v>2474</v>
      </c>
      <c r="F310" s="267" t="s">
        <v>2475</v>
      </c>
    </row>
    <row r="311" spans="1:6" x14ac:dyDescent="0.3">
      <c r="A311" s="268" t="s">
        <v>1345</v>
      </c>
      <c r="B311" s="267" t="s">
        <v>1346</v>
      </c>
      <c r="C311" s="268" t="s">
        <v>56</v>
      </c>
      <c r="D311" s="268">
        <v>3</v>
      </c>
      <c r="E311" s="267" t="s">
        <v>2474</v>
      </c>
      <c r="F311" s="267" t="s">
        <v>2475</v>
      </c>
    </row>
    <row r="312" spans="1:6" x14ac:dyDescent="0.3">
      <c r="A312" s="268" t="s">
        <v>1347</v>
      </c>
      <c r="B312" s="267" t="s">
        <v>1348</v>
      </c>
      <c r="C312" s="268" t="s">
        <v>56</v>
      </c>
      <c r="D312" s="268">
        <v>3</v>
      </c>
      <c r="E312" s="267" t="s">
        <v>2474</v>
      </c>
      <c r="F312" s="267" t="s">
        <v>2475</v>
      </c>
    </row>
    <row r="313" spans="1:6" x14ac:dyDescent="0.3">
      <c r="A313" s="268" t="s">
        <v>1349</v>
      </c>
      <c r="B313" s="267" t="s">
        <v>1350</v>
      </c>
      <c r="C313" s="268" t="s">
        <v>56</v>
      </c>
      <c r="D313" s="268">
        <v>3</v>
      </c>
      <c r="E313" s="267" t="s">
        <v>2474</v>
      </c>
      <c r="F313" s="267" t="s">
        <v>2475</v>
      </c>
    </row>
    <row r="314" spans="1:6" x14ac:dyDescent="0.3">
      <c r="A314" s="268" t="s">
        <v>1062</v>
      </c>
      <c r="B314" s="267" t="s">
        <v>2680</v>
      </c>
      <c r="C314" s="268" t="s">
        <v>54</v>
      </c>
      <c r="D314" s="268">
        <v>5</v>
      </c>
      <c r="E314" s="267" t="s">
        <v>2471</v>
      </c>
      <c r="F314" s="267" t="s">
        <v>2472</v>
      </c>
    </row>
    <row r="315" spans="1:6" x14ac:dyDescent="0.3">
      <c r="A315" s="268" t="s">
        <v>1020</v>
      </c>
      <c r="B315" s="267" t="s">
        <v>2681</v>
      </c>
      <c r="C315" s="268" t="s">
        <v>52</v>
      </c>
      <c r="D315" s="268">
        <v>2</v>
      </c>
      <c r="E315" s="267" t="s">
        <v>2465</v>
      </c>
      <c r="F315" s="267" t="s">
        <v>2469</v>
      </c>
    </row>
    <row r="316" spans="1:6" x14ac:dyDescent="0.3">
      <c r="A316" s="268" t="s">
        <v>625</v>
      </c>
      <c r="B316" s="267" t="s">
        <v>626</v>
      </c>
      <c r="C316" s="268" t="s">
        <v>51</v>
      </c>
      <c r="D316" s="268">
        <v>5</v>
      </c>
      <c r="E316" s="267" t="s">
        <v>2452</v>
      </c>
      <c r="F316" s="267" t="s">
        <v>2458</v>
      </c>
    </row>
    <row r="317" spans="1:6" x14ac:dyDescent="0.3">
      <c r="A317" s="268" t="s">
        <v>1299</v>
      </c>
      <c r="B317" s="267" t="s">
        <v>1300</v>
      </c>
      <c r="C317" s="268" t="s">
        <v>56</v>
      </c>
      <c r="D317" s="268">
        <v>3</v>
      </c>
      <c r="E317" s="267" t="s">
        <v>2474</v>
      </c>
      <c r="F317" s="267" t="s">
        <v>2475</v>
      </c>
    </row>
    <row r="318" spans="1:6" x14ac:dyDescent="0.3">
      <c r="A318" s="268" t="s">
        <v>2437</v>
      </c>
      <c r="B318" s="267" t="s">
        <v>2682</v>
      </c>
      <c r="C318" s="268" t="s">
        <v>57</v>
      </c>
      <c r="D318" s="268">
        <v>2</v>
      </c>
      <c r="E318" s="267" t="s">
        <v>2530</v>
      </c>
      <c r="F318" s="267" t="s">
        <v>2537</v>
      </c>
    </row>
    <row r="319" spans="1:6" x14ac:dyDescent="0.3">
      <c r="A319" s="268" t="s">
        <v>1295</v>
      </c>
      <c r="B319" s="267" t="s">
        <v>1296</v>
      </c>
      <c r="C319" s="268" t="s">
        <v>56</v>
      </c>
      <c r="D319" s="268">
        <v>3</v>
      </c>
      <c r="E319" s="267" t="s">
        <v>2474</v>
      </c>
      <c r="F319" s="267" t="s">
        <v>2475</v>
      </c>
    </row>
    <row r="320" spans="1:6" x14ac:dyDescent="0.3">
      <c r="A320" s="268" t="s">
        <v>1297</v>
      </c>
      <c r="B320" s="267" t="s">
        <v>1298</v>
      </c>
      <c r="C320" s="268" t="s">
        <v>56</v>
      </c>
      <c r="D320" s="268">
        <v>3</v>
      </c>
      <c r="E320" s="267" t="s">
        <v>2474</v>
      </c>
      <c r="F320" s="267" t="s">
        <v>2475</v>
      </c>
    </row>
    <row r="321" spans="1:6" x14ac:dyDescent="0.3">
      <c r="A321" s="268" t="s">
        <v>1301</v>
      </c>
      <c r="B321" s="267" t="s">
        <v>1302</v>
      </c>
      <c r="C321" s="268" t="s">
        <v>56</v>
      </c>
      <c r="D321" s="268">
        <v>3</v>
      </c>
      <c r="E321" s="267" t="s">
        <v>2474</v>
      </c>
      <c r="F321" s="267" t="s">
        <v>2475</v>
      </c>
    </row>
    <row r="322" spans="1:6" x14ac:dyDescent="0.3">
      <c r="A322" s="268" t="s">
        <v>1303</v>
      </c>
      <c r="B322" s="267" t="s">
        <v>1304</v>
      </c>
      <c r="C322" s="268" t="s">
        <v>56</v>
      </c>
      <c r="D322" s="268">
        <v>3</v>
      </c>
      <c r="E322" s="267" t="s">
        <v>2474</v>
      </c>
      <c r="F322" s="267" t="s">
        <v>2475</v>
      </c>
    </row>
    <row r="323" spans="1:6" x14ac:dyDescent="0.3">
      <c r="A323" s="268" t="s">
        <v>1305</v>
      </c>
      <c r="B323" s="267" t="s">
        <v>1306</v>
      </c>
      <c r="C323" s="268" t="s">
        <v>56</v>
      </c>
      <c r="D323" s="268">
        <v>3</v>
      </c>
      <c r="E323" s="267" t="s">
        <v>2474</v>
      </c>
      <c r="F323" s="267" t="s">
        <v>2475</v>
      </c>
    </row>
    <row r="324" spans="1:6" x14ac:dyDescent="0.3">
      <c r="A324" s="268" t="s">
        <v>1307</v>
      </c>
      <c r="B324" s="267" t="s">
        <v>1308</v>
      </c>
      <c r="C324" s="268" t="s">
        <v>56</v>
      </c>
      <c r="D324" s="268">
        <v>3</v>
      </c>
      <c r="E324" s="267" t="s">
        <v>2474</v>
      </c>
      <c r="F324" s="267" t="s">
        <v>2475</v>
      </c>
    </row>
    <row r="325" spans="1:6" x14ac:dyDescent="0.3">
      <c r="A325" s="268" t="s">
        <v>1309</v>
      </c>
      <c r="B325" s="267" t="s">
        <v>1310</v>
      </c>
      <c r="C325" s="268" t="s">
        <v>56</v>
      </c>
      <c r="D325" s="268">
        <v>3</v>
      </c>
      <c r="E325" s="267" t="s">
        <v>2474</v>
      </c>
      <c r="F325" s="267" t="s">
        <v>2475</v>
      </c>
    </row>
    <row r="326" spans="1:6" x14ac:dyDescent="0.3">
      <c r="A326" s="268" t="s">
        <v>1311</v>
      </c>
      <c r="B326" s="267" t="s">
        <v>1312</v>
      </c>
      <c r="C326" s="268" t="s">
        <v>56</v>
      </c>
      <c r="D326" s="268">
        <v>3</v>
      </c>
      <c r="E326" s="267" t="s">
        <v>2474</v>
      </c>
      <c r="F326" s="267" t="s">
        <v>2475</v>
      </c>
    </row>
    <row r="327" spans="1:6" x14ac:dyDescent="0.3">
      <c r="A327" s="268" t="s">
        <v>389</v>
      </c>
      <c r="B327" s="267" t="s">
        <v>390</v>
      </c>
      <c r="C327" s="268" t="s">
        <v>51</v>
      </c>
      <c r="D327" s="268">
        <v>4</v>
      </c>
      <c r="E327" s="267" t="s">
        <v>2452</v>
      </c>
      <c r="F327" s="267" t="s">
        <v>2590</v>
      </c>
    </row>
    <row r="328" spans="1:6" x14ac:dyDescent="0.3">
      <c r="A328" s="268" t="s">
        <v>337</v>
      </c>
      <c r="B328" s="267" t="s">
        <v>338</v>
      </c>
      <c r="C328" s="268" t="s">
        <v>49</v>
      </c>
      <c r="D328" s="268">
        <v>9</v>
      </c>
      <c r="E328" s="267" t="s">
        <v>2476</v>
      </c>
      <c r="F328" s="267" t="s">
        <v>1492</v>
      </c>
    </row>
    <row r="329" spans="1:6" x14ac:dyDescent="0.3">
      <c r="A329" s="268" t="s">
        <v>1064</v>
      </c>
      <c r="B329" s="267" t="s">
        <v>1065</v>
      </c>
      <c r="C329" s="268" t="s">
        <v>54</v>
      </c>
      <c r="D329" s="268">
        <v>5</v>
      </c>
      <c r="E329" s="267" t="s">
        <v>2471</v>
      </c>
      <c r="F329" s="267" t="s">
        <v>2472</v>
      </c>
    </row>
    <row r="330" spans="1:6" x14ac:dyDescent="0.3">
      <c r="A330" s="268" t="s">
        <v>157</v>
      </c>
      <c r="B330" s="267" t="s">
        <v>2683</v>
      </c>
      <c r="C330" s="268" t="s">
        <v>45</v>
      </c>
      <c r="D330" s="268">
        <v>1</v>
      </c>
      <c r="E330" s="267" t="s">
        <v>139</v>
      </c>
      <c r="F330" s="267" t="s">
        <v>2621</v>
      </c>
    </row>
    <row r="331" spans="1:6" x14ac:dyDescent="0.3">
      <c r="A331" s="268" t="s">
        <v>405</v>
      </c>
      <c r="B331" s="267" t="s">
        <v>406</v>
      </c>
      <c r="C331" s="268" t="s">
        <v>51</v>
      </c>
      <c r="D331" s="268">
        <v>1</v>
      </c>
      <c r="E331" s="267" t="s">
        <v>2452</v>
      </c>
      <c r="F331" s="267" t="s">
        <v>370</v>
      </c>
    </row>
    <row r="332" spans="1:6" x14ac:dyDescent="0.3">
      <c r="A332" s="268" t="s">
        <v>523</v>
      </c>
      <c r="B332" s="267" t="s">
        <v>524</v>
      </c>
      <c r="C332" s="268" t="s">
        <v>52</v>
      </c>
      <c r="D332" s="268">
        <v>5</v>
      </c>
      <c r="E332" s="267" t="s">
        <v>2465</v>
      </c>
      <c r="F332" s="267" t="s">
        <v>2487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J73"/>
  <sheetViews>
    <sheetView zoomScale="115" zoomScaleNormal="115" workbookViewId="0">
      <pane ySplit="1" topLeftCell="A6" activePane="bottomLeft" state="frozen"/>
      <selection pane="bottomLeft" activeCell="G1" sqref="G1"/>
    </sheetView>
  </sheetViews>
  <sheetFormatPr defaultColWidth="9" defaultRowHeight="15" x14ac:dyDescent="0.35"/>
  <cols>
    <col min="1" max="1" width="12.69921875" style="290" bestFit="1" customWidth="1"/>
    <col min="2" max="2" width="8.69921875" style="316" bestFit="1" customWidth="1"/>
    <col min="3" max="3" width="9.19921875" style="317" customWidth="1"/>
    <col min="4" max="5" width="15.19921875" style="297" bestFit="1" customWidth="1"/>
    <col min="6" max="6" width="13" style="297" bestFit="1" customWidth="1"/>
    <col min="7" max="7" width="17.8984375" style="318" customWidth="1"/>
    <col min="8" max="8" width="17.8984375" style="319" customWidth="1"/>
    <col min="9" max="9" width="13.19921875" style="320" bestFit="1" customWidth="1"/>
    <col min="10" max="10" width="22.3984375" style="310" bestFit="1" customWidth="1"/>
    <col min="11" max="14" width="9" style="294" customWidth="1"/>
    <col min="15" max="16384" width="9" style="294"/>
  </cols>
  <sheetData>
    <row r="1" spans="1:10" s="47" customFormat="1" ht="15" customHeight="1" x14ac:dyDescent="0.3">
      <c r="A1" s="123" t="s">
        <v>64</v>
      </c>
      <c r="B1" s="383" t="s">
        <v>65</v>
      </c>
      <c r="C1" s="384" t="s">
        <v>66</v>
      </c>
      <c r="D1" s="143" t="s">
        <v>67</v>
      </c>
      <c r="E1" s="143" t="s">
        <v>68</v>
      </c>
      <c r="F1" s="143" t="s">
        <v>2684</v>
      </c>
      <c r="G1" s="385" t="s">
        <v>72</v>
      </c>
      <c r="H1" s="386" t="s">
        <v>73</v>
      </c>
      <c r="I1" s="387" t="s">
        <v>2685</v>
      </c>
    </row>
    <row r="2" spans="1:10" ht="15" hidden="1" customHeight="1" x14ac:dyDescent="0.35">
      <c r="A2" s="290">
        <v>44396</v>
      </c>
      <c r="B2" s="316">
        <f>表格1_5[[#This Row],[日期]]</f>
        <v>44396</v>
      </c>
      <c r="C2" s="317">
        <v>366</v>
      </c>
      <c r="D2" s="297">
        <f>COUNTIF(URS確認!K:K,"&lt;"&amp;A2+1)</f>
        <v>7</v>
      </c>
      <c r="E2" s="297">
        <f>COUNTIF(URS確認!M:M,"&lt;"&amp;A2+1)</f>
        <v>3</v>
      </c>
      <c r="F2" s="297">
        <f t="shared" ref="F2:F42" si="0">D2-E2</f>
        <v>4</v>
      </c>
      <c r="G2" s="318">
        <f>COUNTIF(URS確認!K:K,"&lt;"&amp;A2+1)/C2</f>
        <v>1.912568306010929E-2</v>
      </c>
      <c r="H2" s="318">
        <f>COUNTIF(URS確認!M:M,"&lt;"&amp;A2+1)/C2</f>
        <v>8.1967213114754103E-3</v>
      </c>
      <c r="I2" s="318">
        <f>表格1_5[[#This Row],[累計預估達成率]]-表格1_5[[#This Row],[累計實際達成率]]</f>
        <v>1.092896174863388E-2</v>
      </c>
      <c r="J2" s="294"/>
    </row>
    <row r="3" spans="1:10" ht="15" hidden="1" customHeight="1" x14ac:dyDescent="0.35">
      <c r="A3" s="290">
        <v>44397</v>
      </c>
      <c r="B3" s="316">
        <f>表格1_5[[#This Row],[日期]]</f>
        <v>44397</v>
      </c>
      <c r="C3" s="317">
        <v>366</v>
      </c>
      <c r="D3" s="297">
        <f>COUNTIF(URS確認!K:K,"&lt;"&amp;A3+1)</f>
        <v>21</v>
      </c>
      <c r="E3" s="297">
        <f>COUNTIF(URS確認!M:M,"&lt;"&amp;A3+1)</f>
        <v>9</v>
      </c>
      <c r="F3" s="297">
        <f t="shared" si="0"/>
        <v>12</v>
      </c>
      <c r="G3" s="318">
        <f>COUNTIF(URS確認!K:K,"&lt;"&amp;A3+1)/C3</f>
        <v>5.737704918032787E-2</v>
      </c>
      <c r="H3" s="318">
        <f>COUNTIF(URS確認!M:M,"&lt;"&amp;A3+1)/C3</f>
        <v>2.4590163934426229E-2</v>
      </c>
      <c r="I3" s="318">
        <f>表格1_5[[#This Row],[累計預估達成率]]-表格1_5[[#This Row],[累計實際達成率]]</f>
        <v>3.2786885245901641E-2</v>
      </c>
      <c r="J3" s="294"/>
    </row>
    <row r="4" spans="1:10" ht="15" hidden="1" customHeight="1" x14ac:dyDescent="0.35">
      <c r="A4" s="290">
        <v>44398</v>
      </c>
      <c r="B4" s="316">
        <f>表格1_5[[#This Row],[日期]]</f>
        <v>44398</v>
      </c>
      <c r="C4" s="317">
        <v>366</v>
      </c>
      <c r="D4" s="297">
        <f>COUNTIF(URS確認!K:K,"&lt;"&amp;A4+1)</f>
        <v>25</v>
      </c>
      <c r="E4" s="297">
        <f>COUNTIF(URS確認!M:M,"&lt;"&amp;A4+1)</f>
        <v>10</v>
      </c>
      <c r="F4" s="297">
        <f t="shared" si="0"/>
        <v>15</v>
      </c>
      <c r="G4" s="318">
        <f>COUNTIF(URS確認!K:K,"&lt;"&amp;A4+1)/C4</f>
        <v>6.8306010928961755E-2</v>
      </c>
      <c r="H4" s="318">
        <f>COUNTIF(URS確認!M:M,"&lt;"&amp;A4+1)/C4</f>
        <v>2.7322404371584699E-2</v>
      </c>
      <c r="I4" s="318">
        <f>表格1_5[[#This Row],[累計預估達成率]]-表格1_5[[#This Row],[累計實際達成率]]</f>
        <v>4.0983606557377053E-2</v>
      </c>
      <c r="J4" s="294"/>
    </row>
    <row r="5" spans="1:10" ht="15" hidden="1" customHeight="1" x14ac:dyDescent="0.35">
      <c r="A5" s="290">
        <v>44399</v>
      </c>
      <c r="B5" s="316">
        <f>表格1_5[[#This Row],[日期]]</f>
        <v>44399</v>
      </c>
      <c r="C5" s="317">
        <v>366</v>
      </c>
      <c r="D5" s="297">
        <f>COUNTIF(URS確認!K:K,"&lt;"&amp;A5+1)</f>
        <v>34</v>
      </c>
      <c r="E5" s="297">
        <f>COUNTIF(URS確認!M:M,"&lt;"&amp;A5+1)</f>
        <v>12</v>
      </c>
      <c r="F5" s="297">
        <f t="shared" si="0"/>
        <v>22</v>
      </c>
      <c r="G5" s="318">
        <f>COUNTIF(URS確認!K:K,"&lt;"&amp;A5+1)/C5</f>
        <v>9.2896174863387984E-2</v>
      </c>
      <c r="H5" s="318">
        <f>COUNTIF(URS確認!M:M,"&lt;"&amp;A5+1)/C5</f>
        <v>3.2786885245901641E-2</v>
      </c>
      <c r="I5" s="318">
        <f>表格1_5[[#This Row],[累計預估達成率]]-表格1_5[[#This Row],[累計實際達成率]]</f>
        <v>6.0109289617486343E-2</v>
      </c>
      <c r="J5" s="294"/>
    </row>
    <row r="6" spans="1:10" ht="15" customHeight="1" x14ac:dyDescent="0.35">
      <c r="A6" s="48">
        <v>44400</v>
      </c>
      <c r="B6" s="337">
        <f>表格1_5[[#This Row],[日期]]</f>
        <v>44400</v>
      </c>
      <c r="C6" s="338">
        <v>366</v>
      </c>
      <c r="D6" s="83">
        <f>COUNTIF(URS確認!K:K,"&lt;"&amp;A6+1)</f>
        <v>34</v>
      </c>
      <c r="E6" s="83">
        <f>COUNTIF(URS確認!M:M,"&lt;"&amp;A6+1)</f>
        <v>13</v>
      </c>
      <c r="F6" s="83">
        <f t="shared" si="0"/>
        <v>21</v>
      </c>
      <c r="G6" s="339">
        <f>COUNTIF(URS確認!K:K,"&lt;"&amp;A6+1)/C6</f>
        <v>9.2896174863387984E-2</v>
      </c>
      <c r="H6" s="339">
        <f>COUNTIF(URS確認!M:M,"&lt;"&amp;A6+1)/C6</f>
        <v>3.5519125683060107E-2</v>
      </c>
      <c r="I6" s="339">
        <f>表格1_5[[#This Row],[累計預估達成率]]-表格1_5[[#This Row],[累計實際達成率]]</f>
        <v>5.7377049180327877E-2</v>
      </c>
      <c r="J6" s="294"/>
    </row>
    <row r="7" spans="1:10" ht="15" hidden="1" customHeight="1" x14ac:dyDescent="0.35">
      <c r="A7" s="290">
        <v>44403</v>
      </c>
      <c r="B7" s="316">
        <f>表格1_5[[#This Row],[日期]]</f>
        <v>44403</v>
      </c>
      <c r="C7" s="317">
        <v>366</v>
      </c>
      <c r="D7" s="297">
        <f>COUNTIF(URS確認!K:K,"&lt;"&amp;A7+1)</f>
        <v>43</v>
      </c>
      <c r="E7" s="297">
        <f>COUNTIF(URS確認!M:M,"&lt;"&amp;A7+1)</f>
        <v>18</v>
      </c>
      <c r="F7" s="297">
        <f t="shared" si="0"/>
        <v>25</v>
      </c>
      <c r="G7" s="318">
        <f>COUNTIF(URS確認!K:K,"&lt;"&amp;A7+1)/C7</f>
        <v>0.11748633879781421</v>
      </c>
      <c r="H7" s="318">
        <f>COUNTIF(URS確認!M:M,"&lt;"&amp;A7+1)/C7</f>
        <v>4.9180327868852458E-2</v>
      </c>
      <c r="I7" s="318">
        <f>表格1_5[[#This Row],[累計預估達成率]]-表格1_5[[#This Row],[累計實際達成率]]</f>
        <v>6.8306010928961755E-2</v>
      </c>
      <c r="J7" s="294"/>
    </row>
    <row r="8" spans="1:10" ht="15" hidden="1" customHeight="1" x14ac:dyDescent="0.35">
      <c r="A8" s="290">
        <v>44404</v>
      </c>
      <c r="B8" s="316">
        <f>表格1_5[[#This Row],[日期]]</f>
        <v>44404</v>
      </c>
      <c r="C8" s="317">
        <v>366</v>
      </c>
      <c r="D8" s="297">
        <f>COUNTIF(URS確認!K:K,"&lt;"&amp;A8+1)</f>
        <v>55</v>
      </c>
      <c r="E8" s="297">
        <f>COUNTIF(URS確認!M:M,"&lt;"&amp;A8+1)</f>
        <v>19</v>
      </c>
      <c r="F8" s="297">
        <f t="shared" si="0"/>
        <v>36</v>
      </c>
      <c r="G8" s="318">
        <f>COUNTIF(URS確認!K:K,"&lt;"&amp;A8+1)/C8</f>
        <v>0.15027322404371585</v>
      </c>
      <c r="H8" s="318">
        <f>COUNTIF(URS確認!M:M,"&lt;"&amp;A8+1)/C8</f>
        <v>5.1912568306010931E-2</v>
      </c>
      <c r="I8" s="318">
        <f>表格1_5[[#This Row],[累計預估達成率]]-表格1_5[[#This Row],[累計實際達成率]]</f>
        <v>9.8360655737704916E-2</v>
      </c>
      <c r="J8" s="294"/>
    </row>
    <row r="9" spans="1:10" ht="15" hidden="1" customHeight="1" x14ac:dyDescent="0.35">
      <c r="A9" s="290">
        <v>44405</v>
      </c>
      <c r="B9" s="316">
        <f>表格1_5[[#This Row],[日期]]</f>
        <v>44405</v>
      </c>
      <c r="C9" s="317">
        <v>368</v>
      </c>
      <c r="D9" s="297">
        <f>COUNTIF(URS確認!K:K,"&lt;"&amp;A9+1)</f>
        <v>55</v>
      </c>
      <c r="E9" s="297">
        <f>COUNTIF(URS確認!M:M,"&lt;"&amp;A9+1)</f>
        <v>19</v>
      </c>
      <c r="F9" s="297">
        <f t="shared" si="0"/>
        <v>36</v>
      </c>
      <c r="G9" s="318">
        <f>COUNTIF(URS確認!K:K,"&lt;"&amp;A9+1)/C9</f>
        <v>0.14945652173913043</v>
      </c>
      <c r="H9" s="318">
        <f>COUNTIF(URS確認!M:M,"&lt;"&amp;A9+1)/C9</f>
        <v>5.1630434782608696E-2</v>
      </c>
      <c r="I9" s="318">
        <f>表格1_5[[#This Row],[累計預估達成率]]-表格1_5[[#This Row],[累計實際達成率]]</f>
        <v>9.7826086956521729E-2</v>
      </c>
      <c r="J9" s="294"/>
    </row>
    <row r="10" spans="1:10" ht="15" hidden="1" customHeight="1" x14ac:dyDescent="0.35">
      <c r="A10" s="290">
        <v>44406</v>
      </c>
      <c r="B10" s="316">
        <f>表格1_5[[#This Row],[日期]]</f>
        <v>44406</v>
      </c>
      <c r="C10" s="317">
        <v>368</v>
      </c>
      <c r="D10" s="297">
        <f>COUNTIF(URS確認!K:K,"&lt;"&amp;A10+1)</f>
        <v>55</v>
      </c>
      <c r="E10" s="297">
        <f>COUNTIF(URS確認!M:M,"&lt;"&amp;A10+1)</f>
        <v>19</v>
      </c>
      <c r="F10" s="297">
        <f t="shared" si="0"/>
        <v>36</v>
      </c>
      <c r="G10" s="318">
        <f>COUNTIF(URS確認!K:K,"&lt;"&amp;A10+1)/C10</f>
        <v>0.14945652173913043</v>
      </c>
      <c r="H10" s="318">
        <f>COUNTIF(URS確認!M:M,"&lt;"&amp;A10+1)/C10</f>
        <v>5.1630434782608696E-2</v>
      </c>
      <c r="I10" s="318">
        <f>表格1_5[[#This Row],[累計預估達成率]]-表格1_5[[#This Row],[累計實際達成率]]</f>
        <v>9.7826086956521729E-2</v>
      </c>
      <c r="J10" s="294"/>
    </row>
    <row r="11" spans="1:10" ht="15" customHeight="1" x14ac:dyDescent="0.35">
      <c r="A11" s="48">
        <v>44407</v>
      </c>
      <c r="B11" s="337">
        <f>表格1_5[[#This Row],[日期]]</f>
        <v>44407</v>
      </c>
      <c r="C11" s="338">
        <v>368</v>
      </c>
      <c r="D11" s="83">
        <f>COUNTIF(URS確認!K:K,"&lt;"&amp;A11+1)</f>
        <v>55</v>
      </c>
      <c r="E11" s="83">
        <f>COUNTIF(URS確認!M:M,"&lt;"&amp;A11+1)</f>
        <v>19</v>
      </c>
      <c r="F11" s="83">
        <f t="shared" si="0"/>
        <v>36</v>
      </c>
      <c r="G11" s="339">
        <f>COUNTIF(URS確認!K:K,"&lt;"&amp;A11+1)/C11</f>
        <v>0.14945652173913043</v>
      </c>
      <c r="H11" s="339">
        <f>COUNTIF(URS確認!M:M,"&lt;"&amp;A11+1)/C11</f>
        <v>5.1630434782608696E-2</v>
      </c>
      <c r="I11" s="339">
        <f>表格1_5[[#This Row],[累計預估達成率]]-表格1_5[[#This Row],[累計實際達成率]]</f>
        <v>9.7826086956521729E-2</v>
      </c>
      <c r="J11" s="294"/>
    </row>
    <row r="12" spans="1:10" ht="15" hidden="1" customHeight="1" x14ac:dyDescent="0.35">
      <c r="A12" s="290">
        <v>44410</v>
      </c>
      <c r="B12" s="316">
        <f>表格1_5[[#This Row],[日期]]</f>
        <v>44410</v>
      </c>
      <c r="C12" s="317">
        <v>368</v>
      </c>
      <c r="D12" s="297">
        <f>COUNTIF(URS確認!K:K,"&lt;"&amp;A12+1)</f>
        <v>55</v>
      </c>
      <c r="E12" s="297">
        <f>COUNTIF(URS確認!M:M,"&lt;"&amp;A12+1)</f>
        <v>19</v>
      </c>
      <c r="F12" s="297">
        <f t="shared" si="0"/>
        <v>36</v>
      </c>
      <c r="G12" s="318">
        <f>COUNTIF(URS確認!K:K,"&lt;"&amp;A12+1)/C12</f>
        <v>0.14945652173913043</v>
      </c>
      <c r="H12" s="318">
        <f>COUNTIF(URS確認!M:M,"&lt;"&amp;A12+1)/C12</f>
        <v>5.1630434782608696E-2</v>
      </c>
      <c r="I12" s="318">
        <f>表格1_5[[#This Row],[累計預估達成率]]-表格1_5[[#This Row],[累計實際達成率]]</f>
        <v>9.7826086956521729E-2</v>
      </c>
    </row>
    <row r="13" spans="1:10" ht="15" hidden="1" customHeight="1" x14ac:dyDescent="0.35">
      <c r="A13" s="290">
        <v>44411</v>
      </c>
      <c r="B13" s="316">
        <f>表格1_5[[#This Row],[日期]]</f>
        <v>44411</v>
      </c>
      <c r="C13" s="317">
        <v>368</v>
      </c>
      <c r="D13" s="297">
        <f>COUNTIF(URS確認!K:K,"&lt;"&amp;A13+1)</f>
        <v>55</v>
      </c>
      <c r="E13" s="297">
        <f>COUNTIF(URS確認!M:M,"&lt;"&amp;A13+1)</f>
        <v>19</v>
      </c>
      <c r="F13" s="297">
        <f t="shared" si="0"/>
        <v>36</v>
      </c>
      <c r="G13" s="318">
        <f>COUNTIF(URS確認!K:K,"&lt;"&amp;A13+1)/C13</f>
        <v>0.14945652173913043</v>
      </c>
      <c r="H13" s="318">
        <f>COUNTIF(URS確認!M:M,"&lt;"&amp;A13+1)/C13</f>
        <v>5.1630434782608696E-2</v>
      </c>
      <c r="I13" s="318">
        <f>表格1_5[[#This Row],[累計預估達成率]]-表格1_5[[#This Row],[累計實際達成率]]</f>
        <v>9.7826086956521729E-2</v>
      </c>
    </row>
    <row r="14" spans="1:10" ht="15" hidden="1" customHeight="1" x14ac:dyDescent="0.35">
      <c r="A14" s="290">
        <v>44412</v>
      </c>
      <c r="B14" s="316">
        <f>表格1_5[[#This Row],[日期]]</f>
        <v>44412</v>
      </c>
      <c r="C14" s="317">
        <v>368</v>
      </c>
      <c r="D14" s="297">
        <f>COUNTIF(URS確認!K:K,"&lt;"&amp;A14+1)</f>
        <v>55</v>
      </c>
      <c r="E14" s="297">
        <f>COUNTIF(URS確認!M:M,"&lt;"&amp;A14+1)</f>
        <v>20</v>
      </c>
      <c r="F14" s="297">
        <f t="shared" si="0"/>
        <v>35</v>
      </c>
      <c r="G14" s="318">
        <f>COUNTIF(URS確認!K:K,"&lt;"&amp;A14+1)/C14</f>
        <v>0.14945652173913043</v>
      </c>
      <c r="H14" s="318">
        <f>COUNTIF(URS確認!M:M,"&lt;"&amp;A14+1)/C14</f>
        <v>5.434782608695652E-2</v>
      </c>
      <c r="I14" s="318">
        <f>表格1_5[[#This Row],[累計預估達成率]]-表格1_5[[#This Row],[累計實際達成率]]</f>
        <v>9.5108695652173919E-2</v>
      </c>
    </row>
    <row r="15" spans="1:10" ht="15" hidden="1" customHeight="1" x14ac:dyDescent="0.35">
      <c r="A15" s="290">
        <v>44413</v>
      </c>
      <c r="B15" s="316">
        <f>表格1_5[[#This Row],[日期]]</f>
        <v>44413</v>
      </c>
      <c r="C15" s="317">
        <v>368</v>
      </c>
      <c r="D15" s="297">
        <f>COUNTIF(URS確認!K:K,"&lt;"&amp;A15+1)</f>
        <v>55</v>
      </c>
      <c r="E15" s="297">
        <f>COUNTIF(URS確認!M:M,"&lt;"&amp;A15+1)</f>
        <v>20</v>
      </c>
      <c r="F15" s="297">
        <f t="shared" si="0"/>
        <v>35</v>
      </c>
      <c r="G15" s="318">
        <f>COUNTIF(URS確認!K:K,"&lt;"&amp;A15+1)/C15</f>
        <v>0.14945652173913043</v>
      </c>
      <c r="H15" s="318">
        <f>COUNTIF(URS確認!M:M,"&lt;"&amp;A15+1)/C15</f>
        <v>5.434782608695652E-2</v>
      </c>
      <c r="I15" s="318">
        <f>表格1_5[[#This Row],[累計預估達成率]]-表格1_5[[#This Row],[累計實際達成率]]</f>
        <v>9.5108695652173919E-2</v>
      </c>
    </row>
    <row r="16" spans="1:10" ht="15" customHeight="1" x14ac:dyDescent="0.35">
      <c r="A16" s="48">
        <v>44414</v>
      </c>
      <c r="B16" s="337">
        <f>表格1_5[[#This Row],[日期]]</f>
        <v>44414</v>
      </c>
      <c r="C16" s="338">
        <v>368</v>
      </c>
      <c r="D16" s="83">
        <f>COUNTIF(URS確認!K:K,"&lt;"&amp;A16+1)</f>
        <v>55</v>
      </c>
      <c r="E16" s="83">
        <f>COUNTIF(URS確認!M:M,"&lt;"&amp;A16+1)</f>
        <v>20</v>
      </c>
      <c r="F16" s="83">
        <f t="shared" si="0"/>
        <v>35</v>
      </c>
      <c r="G16" s="339">
        <f>COUNTIF(URS確認!K:K,"&lt;"&amp;A16+1)/C16</f>
        <v>0.14945652173913043</v>
      </c>
      <c r="H16" s="339">
        <f>COUNTIF(URS確認!M:M,"&lt;"&amp;A16+1)/C16</f>
        <v>5.434782608695652E-2</v>
      </c>
      <c r="I16" s="339">
        <f>表格1_5[[#This Row],[累計預估達成率]]-表格1_5[[#This Row],[累計實際達成率]]</f>
        <v>9.5108695652173919E-2</v>
      </c>
    </row>
    <row r="17" spans="1:9" ht="15" hidden="1" customHeight="1" x14ac:dyDescent="0.35">
      <c r="A17" s="290">
        <v>44417</v>
      </c>
      <c r="B17" s="316">
        <f>表格1_5[[#This Row],[日期]]</f>
        <v>44417</v>
      </c>
      <c r="C17" s="317">
        <v>368</v>
      </c>
      <c r="D17" s="297">
        <f>COUNTIF(URS確認!K:K,"&lt;"&amp;A17+1)</f>
        <v>55</v>
      </c>
      <c r="E17" s="297">
        <f>COUNTIF(URS確認!M:M,"&lt;"&amp;A17+1)</f>
        <v>20</v>
      </c>
      <c r="F17" s="297">
        <f t="shared" si="0"/>
        <v>35</v>
      </c>
      <c r="G17" s="318">
        <f>COUNTIF(URS確認!K:K,"&lt;"&amp;A17+1)/C17</f>
        <v>0.14945652173913043</v>
      </c>
      <c r="H17" s="318">
        <f>COUNTIF(URS確認!M:M,"&lt;"&amp;A17+1)/C17</f>
        <v>5.434782608695652E-2</v>
      </c>
      <c r="I17" s="318">
        <f>表格1_5[[#This Row],[累計預估達成率]]-表格1_5[[#This Row],[累計實際達成率]]</f>
        <v>9.5108695652173919E-2</v>
      </c>
    </row>
    <row r="18" spans="1:9" ht="15" hidden="1" customHeight="1" x14ac:dyDescent="0.35">
      <c r="A18" s="290">
        <v>44418</v>
      </c>
      <c r="B18" s="316">
        <f>表格1_5[[#This Row],[日期]]</f>
        <v>44418</v>
      </c>
      <c r="C18" s="317">
        <v>368</v>
      </c>
      <c r="D18" s="297">
        <f>COUNTIF(URS確認!K:K,"&lt;"&amp;A18+1)</f>
        <v>55</v>
      </c>
      <c r="E18" s="297">
        <f>COUNTIF(URS確認!M:M,"&lt;"&amp;A18+1)</f>
        <v>20</v>
      </c>
      <c r="F18" s="297">
        <f t="shared" si="0"/>
        <v>35</v>
      </c>
      <c r="G18" s="318">
        <f>COUNTIF(URS確認!K:K,"&lt;"&amp;A18+1)/C18</f>
        <v>0.14945652173913043</v>
      </c>
      <c r="H18" s="318">
        <f>COUNTIF(URS確認!M:M,"&lt;"&amp;A18+1)/C18</f>
        <v>5.434782608695652E-2</v>
      </c>
      <c r="I18" s="318">
        <f>表格1_5[[#This Row],[累計預估達成率]]-表格1_5[[#This Row],[累計實際達成率]]</f>
        <v>9.5108695652173919E-2</v>
      </c>
    </row>
    <row r="19" spans="1:9" ht="15" hidden="1" customHeight="1" x14ac:dyDescent="0.35">
      <c r="A19" s="290">
        <v>44419</v>
      </c>
      <c r="B19" s="316">
        <f>表格1_5[[#This Row],[日期]]</f>
        <v>44419</v>
      </c>
      <c r="C19" s="317">
        <v>368</v>
      </c>
      <c r="D19" s="297">
        <f>COUNTIF(URS確認!K:K,"&lt;"&amp;A19+1)</f>
        <v>55</v>
      </c>
      <c r="E19" s="297">
        <f>COUNTIF(URS確認!M:M,"&lt;"&amp;A19+1)</f>
        <v>20</v>
      </c>
      <c r="F19" s="297">
        <f t="shared" si="0"/>
        <v>35</v>
      </c>
      <c r="G19" s="318">
        <f>COUNTIF(URS確認!K:K,"&lt;"&amp;A19+1)/C19</f>
        <v>0.14945652173913043</v>
      </c>
      <c r="H19" s="318">
        <f>COUNTIF(URS確認!M:M,"&lt;"&amp;A19+1)/C19</f>
        <v>5.434782608695652E-2</v>
      </c>
      <c r="I19" s="318">
        <f>表格1_5[[#This Row],[累計預估達成率]]-表格1_5[[#This Row],[累計實際達成率]]</f>
        <v>9.5108695652173919E-2</v>
      </c>
    </row>
    <row r="20" spans="1:9" ht="15" hidden="1" customHeight="1" x14ac:dyDescent="0.35">
      <c r="A20" s="290">
        <v>44420</v>
      </c>
      <c r="B20" s="316">
        <f>表格1_5[[#This Row],[日期]]</f>
        <v>44420</v>
      </c>
      <c r="C20" s="317">
        <v>368</v>
      </c>
      <c r="D20" s="297">
        <f>COUNTIF(URS確認!K:K,"&lt;"&amp;A20+1)</f>
        <v>55</v>
      </c>
      <c r="E20" s="297">
        <f>COUNTIF(URS確認!M:M,"&lt;"&amp;A20+1)</f>
        <v>20</v>
      </c>
      <c r="F20" s="297">
        <f t="shared" si="0"/>
        <v>35</v>
      </c>
      <c r="G20" s="318">
        <f>COUNTIF(URS確認!K:K,"&lt;"&amp;A20+1)/C20</f>
        <v>0.14945652173913043</v>
      </c>
      <c r="H20" s="318">
        <f>COUNTIF(URS確認!M:M,"&lt;"&amp;A20+1)/C20</f>
        <v>5.434782608695652E-2</v>
      </c>
      <c r="I20" s="318">
        <f>表格1_5[[#This Row],[累計預估達成率]]-表格1_5[[#This Row],[累計實際達成率]]</f>
        <v>9.5108695652173919E-2</v>
      </c>
    </row>
    <row r="21" spans="1:9" ht="15" customHeight="1" x14ac:dyDescent="0.35">
      <c r="A21" s="48">
        <v>44421</v>
      </c>
      <c r="B21" s="337">
        <f>表格1_5[[#This Row],[日期]]</f>
        <v>44421</v>
      </c>
      <c r="C21" s="338">
        <v>368</v>
      </c>
      <c r="D21" s="83">
        <f>COUNTIF(URS確認!K:K,"&lt;"&amp;A21+1)</f>
        <v>55</v>
      </c>
      <c r="E21" s="83">
        <f>COUNTIF(URS確認!M:M,"&lt;"&amp;A21+1)</f>
        <v>20</v>
      </c>
      <c r="F21" s="83">
        <f t="shared" si="0"/>
        <v>35</v>
      </c>
      <c r="G21" s="339">
        <f>COUNTIF(URS確認!K:K,"&lt;"&amp;A21+1)/C21</f>
        <v>0.14945652173913043</v>
      </c>
      <c r="H21" s="339">
        <f>COUNTIF(URS確認!M:M,"&lt;"&amp;A21+1)/C21</f>
        <v>5.434782608695652E-2</v>
      </c>
      <c r="I21" s="339">
        <f>表格1_5[[#This Row],[累計預估達成率]]-表格1_5[[#This Row],[累計實際達成率]]</f>
        <v>9.5108695652173919E-2</v>
      </c>
    </row>
    <row r="22" spans="1:9" ht="15" hidden="1" customHeight="1" x14ac:dyDescent="0.35">
      <c r="A22" s="106">
        <v>44424</v>
      </c>
      <c r="B22" s="340">
        <f>表格1_5[[#This Row],[日期]]</f>
        <v>44424</v>
      </c>
      <c r="C22" s="341">
        <f>COUNTA(URS確認!E:E)-1</f>
        <v>548</v>
      </c>
      <c r="D22" s="107">
        <f>COUNTIF(URS確認!K:K,"&lt;"&amp;A22+1)</f>
        <v>55</v>
      </c>
      <c r="E22" s="107">
        <f>COUNTIF(URS確認!M:M,"&lt;"&amp;A22+1)</f>
        <v>21</v>
      </c>
      <c r="F22" s="107">
        <f t="shared" si="0"/>
        <v>34</v>
      </c>
      <c r="G22" s="388">
        <f>COUNTIF(URS確認!K:K,"&lt;"&amp;A22+1)/C22</f>
        <v>0.10036496350364964</v>
      </c>
      <c r="H22" s="388">
        <f>COUNTIF(URS確認!M:M,"&lt;"&amp;A22+1)/C22</f>
        <v>3.8321167883211681E-2</v>
      </c>
      <c r="I22" s="388">
        <f>表格1_5[[#This Row],[累計預估達成率]]-表格1_5[[#This Row],[累計實際達成率]]</f>
        <v>6.2043795620437957E-2</v>
      </c>
    </row>
    <row r="23" spans="1:9" ht="15" hidden="1" customHeight="1" x14ac:dyDescent="0.35">
      <c r="A23" s="109">
        <v>44425</v>
      </c>
      <c r="B23" s="342">
        <f>表格1_5[[#This Row],[日期]]</f>
        <v>44425</v>
      </c>
      <c r="C23" s="343">
        <f>COUNTA(URS確認!E:E)-1</f>
        <v>548</v>
      </c>
      <c r="D23" s="110">
        <f>COUNTIF(URS確認!K:K,"&lt;"&amp;A23+1)</f>
        <v>55</v>
      </c>
      <c r="E23" s="110">
        <f>COUNTIF(URS確認!M:M,"&lt;"&amp;A23+1)</f>
        <v>21</v>
      </c>
      <c r="F23" s="110">
        <f t="shared" si="0"/>
        <v>34</v>
      </c>
      <c r="G23" s="389">
        <f>COUNTIF(URS確認!K:K,"&lt;"&amp;A23+1)/C23</f>
        <v>0.10036496350364964</v>
      </c>
      <c r="H23" s="389">
        <f>COUNTIF(URS確認!M:M,"&lt;"&amp;A23+1)/C23</f>
        <v>3.8321167883211681E-2</v>
      </c>
      <c r="I23" s="389">
        <f>表格1_5[[#This Row],[累計預估達成率]]-表格1_5[[#This Row],[累計實際達成率]]</f>
        <v>6.2043795620437957E-2</v>
      </c>
    </row>
    <row r="24" spans="1:9" ht="15" hidden="1" customHeight="1" x14ac:dyDescent="0.35">
      <c r="A24" s="109">
        <v>44426</v>
      </c>
      <c r="B24" s="342">
        <f>表格1_5[[#This Row],[日期]]</f>
        <v>44426</v>
      </c>
      <c r="C24" s="343">
        <f>COUNTA(URS確認!E:E)-1</f>
        <v>548</v>
      </c>
      <c r="D24" s="110">
        <f>COUNTIF(URS確認!K:K,"&lt;"&amp;A24+1)</f>
        <v>55</v>
      </c>
      <c r="E24" s="110">
        <f>COUNTIF(URS確認!M:M,"&lt;"&amp;A24+1)</f>
        <v>21</v>
      </c>
      <c r="F24" s="110">
        <f t="shared" si="0"/>
        <v>34</v>
      </c>
      <c r="G24" s="389">
        <f>COUNTIF(URS確認!K:K,"&lt;"&amp;A24+1)/C24</f>
        <v>0.10036496350364964</v>
      </c>
      <c r="H24" s="389">
        <f>COUNTIF(URS確認!M:M,"&lt;"&amp;A24+1)/C24</f>
        <v>3.8321167883211681E-2</v>
      </c>
      <c r="I24" s="389">
        <f>表格1_5[[#This Row],[累計預估達成率]]-表格1_5[[#This Row],[累計實際達成率]]</f>
        <v>6.2043795620437957E-2</v>
      </c>
    </row>
    <row r="25" spans="1:9" ht="15" hidden="1" customHeight="1" x14ac:dyDescent="0.35">
      <c r="A25" s="106">
        <v>44427</v>
      </c>
      <c r="B25" s="344">
        <f>表格1_5[[#This Row],[日期]]</f>
        <v>44427</v>
      </c>
      <c r="C25" s="345">
        <f>COUNTA(URS確認!E:E)-1</f>
        <v>548</v>
      </c>
      <c r="D25" s="115">
        <f>COUNTIF(URS確認!K:K,"&lt;"&amp;A25+1)</f>
        <v>55</v>
      </c>
      <c r="E25" s="115">
        <f>COUNTIF(URS確認!M:M,"&lt;"&amp;A25+1)</f>
        <v>21</v>
      </c>
      <c r="F25" s="115">
        <f t="shared" si="0"/>
        <v>34</v>
      </c>
      <c r="G25" s="390">
        <f>COUNTIF(URS確認!K:K,"&lt;"&amp;A25+1)/C25</f>
        <v>0.10036496350364964</v>
      </c>
      <c r="H25" s="390">
        <f>COUNTIF(URS確認!M:M,"&lt;"&amp;A25+1)/C25</f>
        <v>3.8321167883211681E-2</v>
      </c>
      <c r="I25" s="390">
        <f>表格1_5[[#This Row],[累計預估達成率]]-表格1_5[[#This Row],[累計實際達成率]]</f>
        <v>6.2043795620437957E-2</v>
      </c>
    </row>
    <row r="26" spans="1:9" ht="15" customHeight="1" x14ac:dyDescent="0.35">
      <c r="A26" s="116">
        <v>44428</v>
      </c>
      <c r="B26" s="346">
        <f>表格1_5[[#This Row],[日期]]</f>
        <v>44428</v>
      </c>
      <c r="C26" s="347">
        <f>COUNTA(URS確認!E:E)-1-112-13</f>
        <v>423</v>
      </c>
      <c r="D26" s="117">
        <f>COUNTIF(URS確認!K:K,"&lt;"&amp;A26+1)</f>
        <v>55</v>
      </c>
      <c r="E26" s="117">
        <f>COUNTIF(URS確認!M:M,"&lt;"&amp;A26+1)</f>
        <v>29</v>
      </c>
      <c r="F26" s="117">
        <f t="shared" si="0"/>
        <v>26</v>
      </c>
      <c r="G26" s="391">
        <f>COUNTIF(URS確認!K:K,"&lt;"&amp;A26+1)/C26</f>
        <v>0.13002364066193853</v>
      </c>
      <c r="H26" s="391">
        <f>COUNTIF(URS確認!M:M,"&lt;"&amp;A26+1)/C26</f>
        <v>6.8557919621749411E-2</v>
      </c>
      <c r="I26" s="391">
        <f>表格1_5[[#This Row],[累計預估達成率]]-表格1_5[[#This Row],[累計實際達成率]]</f>
        <v>6.1465721040189117E-2</v>
      </c>
    </row>
    <row r="27" spans="1:9" ht="15" hidden="1" customHeight="1" x14ac:dyDescent="0.35">
      <c r="A27" s="114">
        <v>44431</v>
      </c>
      <c r="B27" s="344">
        <f>表格1_5[[#This Row],[日期]]</f>
        <v>44431</v>
      </c>
      <c r="C27" s="347">
        <f>COUNTA(URS確認!E:E)-1-112-13</f>
        <v>423</v>
      </c>
      <c r="D27" s="115">
        <f>COUNTIF(URS確認!K:K,"&lt;"&amp;A27+1)</f>
        <v>64</v>
      </c>
      <c r="E27" s="115">
        <f>COUNTIF(URS確認!M:M,"&lt;"&amp;A27+1)</f>
        <v>34</v>
      </c>
      <c r="F27" s="115">
        <f t="shared" si="0"/>
        <v>30</v>
      </c>
      <c r="G27" s="390">
        <f>COUNTIF(URS確認!K:K,"&lt;"&amp;A27+1)/C27</f>
        <v>0.15130023640661938</v>
      </c>
      <c r="H27" s="390">
        <f>COUNTIF(URS確認!M:M,"&lt;"&amp;A27+1)/C27</f>
        <v>8.0378250591016553E-2</v>
      </c>
      <c r="I27" s="390">
        <f>表格1_5[[#This Row],[累計預估達成率]]-表格1_5[[#This Row],[累計實際達成率]]</f>
        <v>7.0921985815602828E-2</v>
      </c>
    </row>
    <row r="28" spans="1:9" ht="15" hidden="1" customHeight="1" x14ac:dyDescent="0.35">
      <c r="A28" s="114">
        <v>44432</v>
      </c>
      <c r="B28" s="316">
        <f>表格1_5[[#This Row],[日期]]</f>
        <v>44432</v>
      </c>
      <c r="C28" s="347">
        <f>COUNTA(URS確認!E:E)-1-112-13</f>
        <v>423</v>
      </c>
      <c r="D28" s="297">
        <f>COUNTIF(URS確認!K:K,"&lt;"&amp;A28+1)</f>
        <v>70</v>
      </c>
      <c r="E28" s="297">
        <f>COUNTIF(URS確認!M:M,"&lt;"&amp;A28+1)</f>
        <v>35</v>
      </c>
      <c r="F28" s="297">
        <f t="shared" si="0"/>
        <v>35</v>
      </c>
      <c r="G28" s="318">
        <f>COUNTIF(URS確認!K:K,"&lt;"&amp;A28+1)/C28</f>
        <v>0.16548463356973994</v>
      </c>
      <c r="H28" s="318">
        <f>COUNTIF(URS確認!M:M,"&lt;"&amp;A28+1)/C28</f>
        <v>8.2742316784869971E-2</v>
      </c>
      <c r="I28" s="318">
        <f>表格1_5[[#This Row],[累計預估達成率]]-表格1_5[[#This Row],[累計實際達成率]]</f>
        <v>8.2742316784869971E-2</v>
      </c>
    </row>
    <row r="29" spans="1:9" ht="15" hidden="1" customHeight="1" x14ac:dyDescent="0.35">
      <c r="A29" s="114">
        <v>44433</v>
      </c>
      <c r="B29" s="316">
        <f>表格1_5[[#This Row],[日期]]</f>
        <v>44433</v>
      </c>
      <c r="C29" s="347">
        <f>COUNTA(URS確認!E:E)-1-112-13</f>
        <v>423</v>
      </c>
      <c r="D29" s="297">
        <f>COUNTIF(URS確認!K:K,"&lt;"&amp;A29+1)</f>
        <v>76</v>
      </c>
      <c r="E29" s="297">
        <f>COUNTIF(URS確認!M:M,"&lt;"&amp;A29+1)</f>
        <v>35</v>
      </c>
      <c r="F29" s="297">
        <f t="shared" si="0"/>
        <v>41</v>
      </c>
      <c r="G29" s="318">
        <f>COUNTIF(URS確認!K:K,"&lt;"&amp;A29+1)/C29</f>
        <v>0.17966903073286053</v>
      </c>
      <c r="H29" s="318">
        <f>COUNTIF(URS確認!M:M,"&lt;"&amp;A29+1)/C29</f>
        <v>8.2742316784869971E-2</v>
      </c>
      <c r="I29" s="318">
        <f>表格1_5[[#This Row],[累計預估達成率]]-表格1_5[[#This Row],[累計實際達成率]]</f>
        <v>9.6926713947990559E-2</v>
      </c>
    </row>
    <row r="30" spans="1:9" ht="15" hidden="1" customHeight="1" x14ac:dyDescent="0.35">
      <c r="A30" s="114">
        <v>44434</v>
      </c>
      <c r="B30" s="316">
        <f>表格1_5[[#This Row],[日期]]</f>
        <v>44434</v>
      </c>
      <c r="C30" s="347">
        <f>COUNTA(URS確認!E:E)-1-112-13</f>
        <v>423</v>
      </c>
      <c r="D30" s="297">
        <f>COUNTIF(URS確認!K:K,"&lt;"&amp;A30+1)</f>
        <v>80</v>
      </c>
      <c r="E30" s="297">
        <f>COUNTIF(URS確認!M:M,"&lt;"&amp;A30+1)</f>
        <v>36</v>
      </c>
      <c r="F30" s="297">
        <f t="shared" si="0"/>
        <v>44</v>
      </c>
      <c r="G30" s="318">
        <f>COUNTIF(URS確認!K:K,"&lt;"&amp;A30+1)/C30</f>
        <v>0.18912529550827423</v>
      </c>
      <c r="H30" s="318">
        <f>COUNTIF(URS確認!M:M,"&lt;"&amp;A30+1)/C30</f>
        <v>8.5106382978723402E-2</v>
      </c>
      <c r="I30" s="318">
        <f>表格1_5[[#This Row],[累計預估達成率]]-表格1_5[[#This Row],[累計實際達成率]]</f>
        <v>0.10401891252955082</v>
      </c>
    </row>
    <row r="31" spans="1:9" ht="15" customHeight="1" x14ac:dyDescent="0.35">
      <c r="A31" s="118">
        <v>44435</v>
      </c>
      <c r="B31" s="337">
        <f>表格1_5[[#This Row],[日期]]</f>
        <v>44435</v>
      </c>
      <c r="C31" s="347">
        <f>COUNTA(URS確認!E:E)-1-112-13</f>
        <v>423</v>
      </c>
      <c r="D31" s="83">
        <f>COUNTIF(URS確認!K:K,"&lt;"&amp;A31+1)</f>
        <v>84</v>
      </c>
      <c r="E31" s="83">
        <f>COUNTIF(URS確認!M:M,"&lt;"&amp;A31+1)</f>
        <v>38</v>
      </c>
      <c r="F31" s="83">
        <f t="shared" si="0"/>
        <v>46</v>
      </c>
      <c r="G31" s="339">
        <f>COUNTIF(URS確認!K:K,"&lt;"&amp;A31+1)/C31</f>
        <v>0.19858156028368795</v>
      </c>
      <c r="H31" s="339">
        <f>COUNTIF(URS確認!M:M,"&lt;"&amp;A31+1)/C31</f>
        <v>8.9834515366430265E-2</v>
      </c>
      <c r="I31" s="339">
        <f>表格1_5[[#This Row],[累計預估達成率]]-表格1_5[[#This Row],[累計實際達成率]]</f>
        <v>0.10874704491725769</v>
      </c>
    </row>
    <row r="32" spans="1:9" ht="15" hidden="1" customHeight="1" x14ac:dyDescent="0.35">
      <c r="A32" s="128">
        <v>44438</v>
      </c>
      <c r="B32" s="348">
        <f>表格1_5[[#This Row],[日期]]</f>
        <v>44438</v>
      </c>
      <c r="C32" s="347">
        <f>COUNTA(URS確認!E:E)-1-112-13</f>
        <v>423</v>
      </c>
      <c r="D32" s="129">
        <f>COUNTIF(URS確認!K:K,"&lt;"&amp;A32+1)</f>
        <v>89</v>
      </c>
      <c r="E32" s="129">
        <f>COUNTIF(URS確認!M:M,"&lt;"&amp;A32+1)</f>
        <v>39</v>
      </c>
      <c r="F32" s="129">
        <f t="shared" si="0"/>
        <v>50</v>
      </c>
      <c r="G32" s="392">
        <f>COUNTIF(URS確認!K:K,"&lt;"&amp;A32+1)/C32</f>
        <v>0.21040189125295508</v>
      </c>
      <c r="H32" s="392">
        <f>COUNTIF(URS確認!M:M,"&lt;"&amp;A32+1)/C32</f>
        <v>9.2198581560283682E-2</v>
      </c>
      <c r="I32" s="392">
        <f>表格1_5[[#This Row],[累計預估達成率]]-表格1_5[[#This Row],[累計實際達成率]]</f>
        <v>0.1182033096926714</v>
      </c>
    </row>
    <row r="33" spans="1:9" ht="15" hidden="1" customHeight="1" x14ac:dyDescent="0.35">
      <c r="A33" s="290">
        <v>44439</v>
      </c>
      <c r="B33" s="316">
        <f>表格1_5[[#This Row],[日期]]</f>
        <v>44439</v>
      </c>
      <c r="C33" s="347">
        <f>COUNTA(URS確認!E:E)-1-112-13</f>
        <v>423</v>
      </c>
      <c r="D33" s="297">
        <f>COUNTIF(URS確認!K:K,"&lt;"&amp;A33+1)</f>
        <v>93</v>
      </c>
      <c r="E33" s="297">
        <f>COUNTIF(URS確認!M:M,"&lt;"&amp;A33+1)</f>
        <v>43</v>
      </c>
      <c r="F33" s="297">
        <f t="shared" si="0"/>
        <v>50</v>
      </c>
      <c r="G33" s="318">
        <f>COUNTIF(URS確認!K:K,"&lt;"&amp;A33+1)/C33</f>
        <v>0.21985815602836881</v>
      </c>
      <c r="H33" s="318">
        <f>COUNTIF(URS確認!M:M,"&lt;"&amp;A33+1)/C33</f>
        <v>0.10165484633569739</v>
      </c>
      <c r="I33" s="318">
        <f>表格1_5[[#This Row],[累計預估達成率]]-表格1_5[[#This Row],[累計實際達成率]]</f>
        <v>0.11820330969267141</v>
      </c>
    </row>
    <row r="34" spans="1:9" ht="15" hidden="1" customHeight="1" x14ac:dyDescent="0.35">
      <c r="A34" s="290">
        <v>44440</v>
      </c>
      <c r="B34" s="316">
        <f>表格1_5[[#This Row],[日期]]</f>
        <v>44440</v>
      </c>
      <c r="C34" s="347">
        <f>COUNTA(URS確認!E:E)-1-112-13</f>
        <v>423</v>
      </c>
      <c r="D34" s="297">
        <f>COUNTIF(URS確認!K:K,"&lt;"&amp;A34+1)</f>
        <v>96</v>
      </c>
      <c r="E34" s="297">
        <f>COUNTIF(URS確認!M:M,"&lt;"&amp;A34+1)</f>
        <v>43</v>
      </c>
      <c r="F34" s="297">
        <f t="shared" si="0"/>
        <v>53</v>
      </c>
      <c r="G34" s="318">
        <f>COUNTIF(URS確認!K:K,"&lt;"&amp;A34+1)/C34</f>
        <v>0.22695035460992907</v>
      </c>
      <c r="H34" s="318">
        <f>COUNTIF(URS確認!M:M,"&lt;"&amp;A34+1)/C34</f>
        <v>0.10165484633569739</v>
      </c>
      <c r="I34" s="318">
        <f>表格1_5[[#This Row],[累計預估達成率]]-表格1_5[[#This Row],[累計實際達成率]]</f>
        <v>0.12529550827423169</v>
      </c>
    </row>
    <row r="35" spans="1:9" ht="15" hidden="1" customHeight="1" x14ac:dyDescent="0.35">
      <c r="A35" s="290">
        <v>44441</v>
      </c>
      <c r="B35" s="349">
        <f>表格1_5[[#This Row],[日期]]</f>
        <v>44441</v>
      </c>
      <c r="C35" s="347">
        <f>COUNTA(URS確認!E:E)-1-112-13</f>
        <v>423</v>
      </c>
      <c r="D35" s="130">
        <f>COUNTIF(URS確認!K:K,"&lt;"&amp;A35+1)</f>
        <v>103</v>
      </c>
      <c r="E35" s="130">
        <f>COUNTIF(URS確認!M:M,"&lt;"&amp;A35+1)</f>
        <v>45</v>
      </c>
      <c r="F35" s="130">
        <f t="shared" si="0"/>
        <v>58</v>
      </c>
      <c r="G35" s="393">
        <f>COUNTIF(URS確認!K:K,"&lt;"&amp;A35+1)/C35</f>
        <v>0.24349881796690306</v>
      </c>
      <c r="H35" s="393">
        <f>COUNTIF(URS確認!M:M,"&lt;"&amp;A35+1)/C35</f>
        <v>0.10638297872340426</v>
      </c>
      <c r="I35" s="393">
        <f>表格1_5[[#This Row],[累計預估達成率]]-表格1_5[[#This Row],[累計實際達成率]]</f>
        <v>0.13711583924349879</v>
      </c>
    </row>
    <row r="36" spans="1:9" ht="15" customHeight="1" x14ac:dyDescent="0.35">
      <c r="A36" s="48">
        <v>44442</v>
      </c>
      <c r="B36" s="350">
        <f>表格1_5[[#This Row],[日期]]</f>
        <v>44442</v>
      </c>
      <c r="C36" s="347">
        <f>COUNTA(URS確認!E:E)-1-112-13</f>
        <v>423</v>
      </c>
      <c r="D36" s="131">
        <f>COUNTIF(URS確認!K:K,"&lt;"&amp;A36+1)</f>
        <v>108</v>
      </c>
      <c r="E36" s="131">
        <f>COUNTIF(URS確認!M:M,"&lt;"&amp;A36+1)</f>
        <v>45</v>
      </c>
      <c r="F36" s="131">
        <f t="shared" si="0"/>
        <v>63</v>
      </c>
      <c r="G36" s="394">
        <f>COUNTIF(URS確認!K:K,"&lt;"&amp;A36+1)/C36</f>
        <v>0.25531914893617019</v>
      </c>
      <c r="H36" s="394">
        <f>COUNTIF(URS確認!M:M,"&lt;"&amp;A36+1)/C36</f>
        <v>0.10638297872340426</v>
      </c>
      <c r="I36" s="394">
        <f>表格1_5[[#This Row],[累計預估達成率]]-表格1_5[[#This Row],[累計實際達成率]]</f>
        <v>0.14893617021276595</v>
      </c>
    </row>
    <row r="37" spans="1:9" ht="15" customHeight="1" x14ac:dyDescent="0.35">
      <c r="A37" s="141">
        <v>44449</v>
      </c>
      <c r="B37" s="351">
        <f>表格1_5[[#This Row],[日期]]</f>
        <v>44449</v>
      </c>
      <c r="C37" s="347">
        <f>COUNTA(URS確認!E:E)-1-112-13</f>
        <v>423</v>
      </c>
      <c r="D37" s="142">
        <f>COUNTIF(URS確認!K:K,"&lt;"&amp;A37+1)</f>
        <v>119</v>
      </c>
      <c r="E37" s="142">
        <f>COUNTIF(URS確認!M:M,"&lt;"&amp;A37+1)</f>
        <v>51</v>
      </c>
      <c r="F37" s="142">
        <f t="shared" si="0"/>
        <v>68</v>
      </c>
      <c r="G37" s="395">
        <f>COUNTIF(URS確認!K:K,"&lt;"&amp;A37+1)/C37</f>
        <v>0.28132387706855794</v>
      </c>
      <c r="H37" s="395">
        <f>COUNTIF(URS確認!M:M,"&lt;"&amp;A37+1)/C37</f>
        <v>0.12056737588652482</v>
      </c>
      <c r="I37" s="395">
        <f>表格1_5[[#This Row],[累計預估達成率]]-表格1_5[[#This Row],[累計實際達成率]]</f>
        <v>0.16075650118203311</v>
      </c>
    </row>
    <row r="38" spans="1:9" ht="15" customHeight="1" x14ac:dyDescent="0.35">
      <c r="A38" s="141">
        <v>44456</v>
      </c>
      <c r="B38" s="351">
        <f>表格1_5[[#This Row],[日期]]</f>
        <v>44456</v>
      </c>
      <c r="C38" s="347">
        <f>COUNTA(URS確認!E:E)-1-112-13</f>
        <v>423</v>
      </c>
      <c r="D38" s="142">
        <f>COUNTIF(URS確認!K:K,"&lt;"&amp;A38+1)</f>
        <v>146</v>
      </c>
      <c r="E38" s="142">
        <f>COUNTIF(URS確認!M:M,"&lt;"&amp;A38+1)</f>
        <v>55</v>
      </c>
      <c r="F38" s="142">
        <f t="shared" si="0"/>
        <v>91</v>
      </c>
      <c r="G38" s="395">
        <f>COUNTIF(URS確認!K:K,"&lt;"&amp;A38+1)/C38</f>
        <v>0.34515366430260047</v>
      </c>
      <c r="H38" s="395">
        <f>COUNTIF(URS確認!M:M,"&lt;"&amp;A38+1)/C38</f>
        <v>0.13002364066193853</v>
      </c>
      <c r="I38" s="395">
        <f>表格1_5[[#This Row],[累計預估達成率]]-表格1_5[[#This Row],[累計實際達成率]]</f>
        <v>0.21513002364066194</v>
      </c>
    </row>
    <row r="39" spans="1:9" ht="15" customHeight="1" x14ac:dyDescent="0.35">
      <c r="A39" s="48">
        <v>44463</v>
      </c>
      <c r="B39" s="337">
        <f>表格1_5[[#This Row],[日期]]</f>
        <v>44463</v>
      </c>
      <c r="C39" s="347">
        <f>COUNTA(URS確認!E:E)-1-112-13</f>
        <v>423</v>
      </c>
      <c r="D39" s="83">
        <f>COUNTIF(URS確認!K:K,"&lt;"&amp;A39+1)</f>
        <v>163</v>
      </c>
      <c r="E39" s="83">
        <f>COUNTIF(URS確認!M:M,"&lt;"&amp;A39+1)</f>
        <v>73</v>
      </c>
      <c r="F39" s="83">
        <f t="shared" si="0"/>
        <v>90</v>
      </c>
      <c r="G39" s="339">
        <f>COUNTIF(URS確認!K:K,"&lt;"&amp;A39+1)/C39</f>
        <v>0.38534278959810875</v>
      </c>
      <c r="H39" s="339">
        <f>COUNTIF(URS確認!M:M,"&lt;"&amp;A39+1)/C39</f>
        <v>0.17257683215130024</v>
      </c>
      <c r="I39" s="339">
        <f>表格1_5[[#This Row],[累計預估達成率]]-表格1_5[[#This Row],[累計實際達成率]]</f>
        <v>0.21276595744680851</v>
      </c>
    </row>
    <row r="40" spans="1:9" ht="15" customHeight="1" x14ac:dyDescent="0.35">
      <c r="A40" s="48">
        <v>44470</v>
      </c>
      <c r="B40" s="337">
        <f>表格1_5[[#This Row],[日期]]</f>
        <v>44470</v>
      </c>
      <c r="C40" s="347">
        <f>COUNTA(URS確認!E:E)-1-112-13</f>
        <v>423</v>
      </c>
      <c r="D40" s="83">
        <f>COUNTIF(URS確認!K:K,"&lt;"&amp;A40+1)</f>
        <v>193</v>
      </c>
      <c r="E40" s="83">
        <f>COUNTIF(URS確認!M:M,"&lt;"&amp;A40+1)</f>
        <v>105</v>
      </c>
      <c r="F40" s="83">
        <f t="shared" si="0"/>
        <v>88</v>
      </c>
      <c r="G40" s="339">
        <f>COUNTIF(URS確認!K:K,"&lt;"&amp;A40+1)/C40</f>
        <v>0.45626477541371158</v>
      </c>
      <c r="H40" s="339">
        <f>COUNTIF(URS確認!M:M,"&lt;"&amp;A40+1)/C40</f>
        <v>0.24822695035460993</v>
      </c>
      <c r="I40" s="339">
        <f>表格1_5[[#This Row],[累計預估達成率]]-表格1_5[[#This Row],[累計實際達成率]]</f>
        <v>0.20803782505910165</v>
      </c>
    </row>
    <row r="41" spans="1:9" ht="15" customHeight="1" x14ac:dyDescent="0.35">
      <c r="A41" s="48">
        <v>44477</v>
      </c>
      <c r="B41" s="337">
        <f>表格1_5[[#This Row],[日期]]</f>
        <v>44477</v>
      </c>
      <c r="C41" s="347">
        <f>COUNTA(URS確認!E:E)-1-112-13</f>
        <v>423</v>
      </c>
      <c r="D41" s="83">
        <f>COUNTIF(URS確認!K:K,"&lt;"&amp;A41+1)</f>
        <v>220</v>
      </c>
      <c r="E41" s="83">
        <f>COUNTIF(URS確認!M:M,"&lt;"&amp;A41+1)</f>
        <v>126</v>
      </c>
      <c r="F41" s="83">
        <f t="shared" si="0"/>
        <v>94</v>
      </c>
      <c r="G41" s="339">
        <f>COUNTIF(URS確認!K:K,"&lt;"&amp;A41+1)/C41</f>
        <v>0.52009456264775411</v>
      </c>
      <c r="H41" s="339">
        <f>COUNTIF(URS確認!M:M,"&lt;"&amp;A41+1)/C41</f>
        <v>0.2978723404255319</v>
      </c>
      <c r="I41" s="339">
        <f>表格1_5[[#This Row],[累計預估達成率]]-表格1_5[[#This Row],[累計實際達成率]]</f>
        <v>0.22222222222222221</v>
      </c>
    </row>
    <row r="42" spans="1:9" ht="15" customHeight="1" x14ac:dyDescent="0.35">
      <c r="A42" s="48">
        <v>44484</v>
      </c>
      <c r="B42" s="337">
        <f>表格1_5[[#This Row],[日期]]</f>
        <v>44484</v>
      </c>
      <c r="C42" s="347">
        <f>COUNTA(URS確認!E:E)-1-112-13</f>
        <v>423</v>
      </c>
      <c r="D42" s="83">
        <f>COUNTIF(URS確認!K:K,"&lt;"&amp;A42+1)</f>
        <v>229</v>
      </c>
      <c r="E42" s="83">
        <f>COUNTIF(URS確認!M:M,"&lt;"&amp;A42+1)</f>
        <v>138</v>
      </c>
      <c r="F42" s="83">
        <f t="shared" si="0"/>
        <v>91</v>
      </c>
      <c r="G42" s="339">
        <f>COUNTIF(URS確認!K:K,"&lt;"&amp;A42+1)/C42</f>
        <v>0.54137115839243499</v>
      </c>
      <c r="H42" s="339">
        <f>COUNTIF(URS確認!M:M,"&lt;"&amp;A42+1)/C42</f>
        <v>0.32624113475177308</v>
      </c>
      <c r="I42" s="339">
        <f>表格1_5[[#This Row],[累計預估達成率]]-表格1_5[[#This Row],[累計實際達成率]]</f>
        <v>0.21513002364066192</v>
      </c>
    </row>
    <row r="43" spans="1:9" ht="15" customHeight="1" x14ac:dyDescent="0.35">
      <c r="H43" s="318"/>
      <c r="I43" s="318"/>
    </row>
    <row r="44" spans="1:9" ht="15" customHeight="1" x14ac:dyDescent="0.35">
      <c r="H44" s="318"/>
      <c r="I44" s="318"/>
    </row>
    <row r="45" spans="1:9" x14ac:dyDescent="0.35">
      <c r="A45" s="290" t="s">
        <v>2686</v>
      </c>
    </row>
    <row r="46" spans="1:9" ht="15" customHeight="1" x14ac:dyDescent="0.35">
      <c r="A46" s="123" t="s">
        <v>64</v>
      </c>
      <c r="B46" s="383" t="s">
        <v>65</v>
      </c>
      <c r="C46" s="384" t="s">
        <v>66</v>
      </c>
      <c r="D46" s="143" t="s">
        <v>67</v>
      </c>
      <c r="E46" s="143" t="s">
        <v>68</v>
      </c>
      <c r="F46" s="143" t="s">
        <v>2684</v>
      </c>
      <c r="G46" s="385" t="s">
        <v>72</v>
      </c>
      <c r="H46" s="386" t="s">
        <v>73</v>
      </c>
      <c r="I46" s="387" t="s">
        <v>2685</v>
      </c>
    </row>
    <row r="47" spans="1:9" ht="15" customHeight="1" x14ac:dyDescent="0.35">
      <c r="A47" s="290">
        <v>44431</v>
      </c>
      <c r="B47" s="316">
        <f t="shared" ref="B47:B56" si="1">A47</f>
        <v>44431</v>
      </c>
      <c r="C47" s="317">
        <f>COUNTA(URS確認!#REF!)</f>
        <v>1</v>
      </c>
      <c r="D47" s="297" t="e">
        <f>COUNTIF(URS確認!#REF!,"&lt;"&amp;A47+1)</f>
        <v>#REF!</v>
      </c>
      <c r="E47" s="297">
        <f>COUNTIF(URS確認!$L$34:$L$86,"&lt;"&amp;A47+1)</f>
        <v>8</v>
      </c>
      <c r="F47" s="297" t="e">
        <f t="shared" ref="F47:F56" si="2">D47-E47</f>
        <v>#REF!</v>
      </c>
      <c r="G47" s="318" t="e">
        <f t="shared" ref="G47:G56" si="3">D47/C47</f>
        <v>#REF!</v>
      </c>
      <c r="H47" s="319">
        <f t="shared" ref="H47:H56" si="4">E47/C47</f>
        <v>8</v>
      </c>
      <c r="I47" s="318" t="e">
        <f t="shared" ref="I47:I56" si="5">G47-H47</f>
        <v>#REF!</v>
      </c>
    </row>
    <row r="48" spans="1:9" ht="15" hidden="1" customHeight="1" x14ac:dyDescent="0.35">
      <c r="A48" s="290">
        <v>44432</v>
      </c>
      <c r="B48" s="316">
        <f t="shared" si="1"/>
        <v>44432</v>
      </c>
      <c r="C48" s="317">
        <f>COUNTA(URS確認!#REF!)</f>
        <v>1</v>
      </c>
      <c r="D48" s="297" t="e">
        <f>COUNTIF(URS確認!#REF!,"&lt;"&amp;A48+1)</f>
        <v>#REF!</v>
      </c>
      <c r="E48" s="297">
        <f>COUNTIF(URS確認!$L$34:$L$86,"&lt;"&amp;A48+1)</f>
        <v>17</v>
      </c>
      <c r="F48" s="297" t="e">
        <f t="shared" si="2"/>
        <v>#REF!</v>
      </c>
      <c r="G48" s="318" t="e">
        <f t="shared" si="3"/>
        <v>#REF!</v>
      </c>
      <c r="H48" s="319">
        <f t="shared" si="4"/>
        <v>17</v>
      </c>
      <c r="I48" s="318" t="e">
        <f t="shared" si="5"/>
        <v>#REF!</v>
      </c>
    </row>
    <row r="49" spans="1:9" ht="15" hidden="1" customHeight="1" x14ac:dyDescent="0.35">
      <c r="A49" s="290">
        <v>44433</v>
      </c>
      <c r="B49" s="316">
        <f t="shared" si="1"/>
        <v>44433</v>
      </c>
      <c r="C49" s="317">
        <f>COUNTA(URS確認!#REF!)</f>
        <v>1</v>
      </c>
      <c r="D49" s="297" t="e">
        <f>COUNTIF(URS確認!#REF!,"&lt;"&amp;A49+1)</f>
        <v>#REF!</v>
      </c>
      <c r="E49" s="297">
        <f>COUNTIF(URS確認!$L$34:$L$86,"&lt;"&amp;A49+1)</f>
        <v>23</v>
      </c>
      <c r="F49" s="297" t="e">
        <f t="shared" si="2"/>
        <v>#REF!</v>
      </c>
      <c r="G49" s="318" t="e">
        <f t="shared" si="3"/>
        <v>#REF!</v>
      </c>
      <c r="H49" s="319">
        <f t="shared" si="4"/>
        <v>23</v>
      </c>
      <c r="I49" s="318" t="e">
        <f t="shared" si="5"/>
        <v>#REF!</v>
      </c>
    </row>
    <row r="50" spans="1:9" ht="15" hidden="1" customHeight="1" x14ac:dyDescent="0.35">
      <c r="A50" s="290">
        <v>44434</v>
      </c>
      <c r="B50" s="316">
        <f t="shared" si="1"/>
        <v>44434</v>
      </c>
      <c r="C50" s="317">
        <f>COUNTA(URS確認!#REF!)</f>
        <v>1</v>
      </c>
      <c r="D50" s="297" t="e">
        <f>COUNTIF(URS確認!#REF!,"&lt;"&amp;A50+1)</f>
        <v>#REF!</v>
      </c>
      <c r="E50" s="297">
        <f>COUNTIF(URS確認!$L$34:$L$86,"&lt;"&amp;A50+1)</f>
        <v>29</v>
      </c>
      <c r="F50" s="297" t="e">
        <f t="shared" si="2"/>
        <v>#REF!</v>
      </c>
      <c r="G50" s="318" t="e">
        <f t="shared" si="3"/>
        <v>#REF!</v>
      </c>
      <c r="H50" s="319">
        <f t="shared" si="4"/>
        <v>29</v>
      </c>
      <c r="I50" s="318" t="e">
        <f t="shared" si="5"/>
        <v>#REF!</v>
      </c>
    </row>
    <row r="51" spans="1:9" ht="15" customHeight="1" x14ac:dyDescent="0.35">
      <c r="A51" s="290">
        <v>44435</v>
      </c>
      <c r="B51" s="316">
        <f t="shared" si="1"/>
        <v>44435</v>
      </c>
      <c r="C51" s="317">
        <f>COUNTA(URS確認!#REF!)</f>
        <v>1</v>
      </c>
      <c r="D51" s="297" t="e">
        <f>COUNTIF(URS確認!#REF!,"&lt;"&amp;A51+1)</f>
        <v>#REF!</v>
      </c>
      <c r="E51" s="297">
        <f>COUNTIF(URS確認!$L$34:$L$86,"&lt;"&amp;A51+1)</f>
        <v>31</v>
      </c>
      <c r="F51" s="297" t="e">
        <f t="shared" si="2"/>
        <v>#REF!</v>
      </c>
      <c r="G51" s="318" t="e">
        <f t="shared" si="3"/>
        <v>#REF!</v>
      </c>
      <c r="H51" s="319">
        <f t="shared" si="4"/>
        <v>31</v>
      </c>
      <c r="I51" s="318" t="e">
        <f t="shared" si="5"/>
        <v>#REF!</v>
      </c>
    </row>
    <row r="52" spans="1:9" ht="15" hidden="1" customHeight="1" x14ac:dyDescent="0.35">
      <c r="A52" s="290">
        <v>44438</v>
      </c>
      <c r="B52" s="316">
        <f t="shared" si="1"/>
        <v>44438</v>
      </c>
      <c r="C52" s="317">
        <f>COUNTA(URS確認!#REF!)</f>
        <v>1</v>
      </c>
      <c r="D52" s="297" t="e">
        <f>COUNTIF(URS確認!#REF!,"&lt;"&amp;A52+1)</f>
        <v>#REF!</v>
      </c>
      <c r="E52" s="297">
        <f>COUNTIF(URS確認!$L$34:$L$86,"&lt;"&amp;A52+1)</f>
        <v>38</v>
      </c>
      <c r="F52" s="297" t="e">
        <f t="shared" si="2"/>
        <v>#REF!</v>
      </c>
      <c r="G52" s="318" t="e">
        <f t="shared" si="3"/>
        <v>#REF!</v>
      </c>
      <c r="H52" s="319">
        <f t="shared" si="4"/>
        <v>38</v>
      </c>
      <c r="I52" s="318" t="e">
        <f t="shared" si="5"/>
        <v>#REF!</v>
      </c>
    </row>
    <row r="53" spans="1:9" ht="15" hidden="1" customHeight="1" x14ac:dyDescent="0.35">
      <c r="A53" s="290">
        <v>44439</v>
      </c>
      <c r="B53" s="316">
        <f t="shared" si="1"/>
        <v>44439</v>
      </c>
      <c r="C53" s="317">
        <f>COUNTA(URS確認!#REF!)</f>
        <v>1</v>
      </c>
      <c r="D53" s="297" t="e">
        <f>COUNTIF(URS確認!#REF!,"&lt;"&amp;A53+1)</f>
        <v>#REF!</v>
      </c>
      <c r="E53" s="297">
        <f>COUNTIF(URS確認!$L$34:$L$86,"&lt;"&amp;A53+1)</f>
        <v>53</v>
      </c>
      <c r="F53" s="297" t="e">
        <f t="shared" si="2"/>
        <v>#REF!</v>
      </c>
      <c r="G53" s="318" t="e">
        <f t="shared" si="3"/>
        <v>#REF!</v>
      </c>
      <c r="H53" s="319">
        <f t="shared" si="4"/>
        <v>53</v>
      </c>
      <c r="I53" s="318" t="e">
        <f t="shared" si="5"/>
        <v>#REF!</v>
      </c>
    </row>
    <row r="54" spans="1:9" ht="15" hidden="1" customHeight="1" x14ac:dyDescent="0.35">
      <c r="A54" s="290">
        <v>44440</v>
      </c>
      <c r="B54" s="316">
        <f t="shared" si="1"/>
        <v>44440</v>
      </c>
      <c r="C54" s="317">
        <f>COUNTA(URS確認!#REF!)</f>
        <v>1</v>
      </c>
      <c r="D54" s="297" t="e">
        <f>COUNTIF(URS確認!#REF!,"&lt;"&amp;A54+1)</f>
        <v>#REF!</v>
      </c>
      <c r="E54" s="297">
        <f>COUNTIF(URS確認!$L$34:$L$86,"&lt;"&amp;A54+1)</f>
        <v>53</v>
      </c>
      <c r="F54" s="297" t="e">
        <f t="shared" si="2"/>
        <v>#REF!</v>
      </c>
      <c r="G54" s="318" t="e">
        <f t="shared" si="3"/>
        <v>#REF!</v>
      </c>
      <c r="H54" s="319">
        <f t="shared" si="4"/>
        <v>53</v>
      </c>
      <c r="I54" s="318" t="e">
        <f t="shared" si="5"/>
        <v>#REF!</v>
      </c>
    </row>
    <row r="55" spans="1:9" ht="15" hidden="1" customHeight="1" x14ac:dyDescent="0.35">
      <c r="A55" s="290">
        <v>44441</v>
      </c>
      <c r="B55" s="316">
        <f t="shared" si="1"/>
        <v>44441</v>
      </c>
      <c r="C55" s="317">
        <f>COUNTA(URS確認!#REF!)</f>
        <v>1</v>
      </c>
      <c r="D55" s="297" t="e">
        <f>COUNTIF(URS確認!#REF!,"&lt;"&amp;A55+1)</f>
        <v>#REF!</v>
      </c>
      <c r="E55" s="297">
        <f>COUNTIF(URS確認!$L$34:$L$86,"&lt;"&amp;A55+1)</f>
        <v>53</v>
      </c>
      <c r="F55" s="297" t="e">
        <f t="shared" si="2"/>
        <v>#REF!</v>
      </c>
      <c r="G55" s="318" t="e">
        <f t="shared" si="3"/>
        <v>#REF!</v>
      </c>
      <c r="H55" s="319">
        <f t="shared" si="4"/>
        <v>53</v>
      </c>
      <c r="I55" s="318" t="e">
        <f t="shared" si="5"/>
        <v>#REF!</v>
      </c>
    </row>
    <row r="56" spans="1:9" ht="15" customHeight="1" x14ac:dyDescent="0.35">
      <c r="A56" s="290">
        <v>44442</v>
      </c>
      <c r="B56" s="316">
        <f t="shared" si="1"/>
        <v>44442</v>
      </c>
      <c r="C56" s="317">
        <f>COUNTA(URS確認!#REF!)</f>
        <v>1</v>
      </c>
      <c r="D56" s="297" t="e">
        <f>COUNTIF(URS確認!#REF!,"&lt;"&amp;A56+1)</f>
        <v>#REF!</v>
      </c>
      <c r="E56" s="297">
        <f>COUNTIF(URS確認!$L$34:$L$86,"&lt;"&amp;A56+1)</f>
        <v>53</v>
      </c>
      <c r="F56" s="297" t="e">
        <f t="shared" si="2"/>
        <v>#REF!</v>
      </c>
      <c r="G56" s="318" t="e">
        <f t="shared" si="3"/>
        <v>#REF!</v>
      </c>
      <c r="H56" s="319">
        <f t="shared" si="4"/>
        <v>53</v>
      </c>
      <c r="I56" s="318" t="e">
        <f t="shared" si="5"/>
        <v>#REF!</v>
      </c>
    </row>
    <row r="59" spans="1:9" ht="15" customHeight="1" x14ac:dyDescent="0.35">
      <c r="A59" s="123" t="s">
        <v>64</v>
      </c>
      <c r="B59" s="383" t="s">
        <v>65</v>
      </c>
      <c r="C59" s="384" t="s">
        <v>66</v>
      </c>
      <c r="D59" s="143" t="s">
        <v>67</v>
      </c>
      <c r="E59" s="143" t="s">
        <v>68</v>
      </c>
      <c r="F59" s="143" t="s">
        <v>2684</v>
      </c>
      <c r="G59" s="385" t="s">
        <v>72</v>
      </c>
      <c r="H59" s="386" t="s">
        <v>73</v>
      </c>
      <c r="I59" s="387" t="s">
        <v>2685</v>
      </c>
    </row>
    <row r="60" spans="1:9" ht="15" customHeight="1" x14ac:dyDescent="0.35">
      <c r="A60" s="290">
        <v>44447</v>
      </c>
      <c r="B60" s="316">
        <f t="shared" ref="B60:B73" si="6">A60</f>
        <v>44447</v>
      </c>
      <c r="C60" s="317">
        <f>COUNTA(URS確認!#REF!)</f>
        <v>1</v>
      </c>
      <c r="D60" s="297" t="e">
        <f>COUNTIF(URS確認!#REF!,"&lt;"&amp;A60+1)</f>
        <v>#REF!</v>
      </c>
      <c r="E60" s="297">
        <f>COUNTIF(URS確認!$L$87:$L$525,"&lt;"&amp;A60+1)-23</f>
        <v>10</v>
      </c>
      <c r="F60" s="297" t="e">
        <f t="shared" ref="F60:F73" si="7">D60-E60</f>
        <v>#REF!</v>
      </c>
      <c r="G60" s="318" t="e">
        <f t="shared" ref="G60:G73" si="8">D60/C60</f>
        <v>#REF!</v>
      </c>
      <c r="H60" s="319">
        <f t="shared" ref="H60:H73" si="9">E60/C60</f>
        <v>10</v>
      </c>
      <c r="I60" s="318" t="e">
        <f t="shared" ref="I60:I73" si="10">G60-H60</f>
        <v>#REF!</v>
      </c>
    </row>
    <row r="61" spans="1:9" ht="15" customHeight="1" x14ac:dyDescent="0.35">
      <c r="A61" s="290">
        <v>44448</v>
      </c>
      <c r="B61" s="316">
        <f t="shared" si="6"/>
        <v>44448</v>
      </c>
      <c r="C61" s="317">
        <f>COUNTA(URS確認!#REF!)</f>
        <v>1</v>
      </c>
      <c r="D61" s="297" t="e">
        <f>COUNTIF(URS確認!#REF!,"&lt;"&amp;A61+1)</f>
        <v>#REF!</v>
      </c>
      <c r="E61" s="297">
        <f>COUNTIF(URS確認!$L$87:$L$525,"&lt;"&amp;A61+1)-23</f>
        <v>14</v>
      </c>
      <c r="F61" s="297" t="e">
        <f t="shared" si="7"/>
        <v>#REF!</v>
      </c>
      <c r="G61" s="318" t="e">
        <f t="shared" si="8"/>
        <v>#REF!</v>
      </c>
      <c r="H61" s="319">
        <f t="shared" si="9"/>
        <v>14</v>
      </c>
      <c r="I61" s="318" t="e">
        <f t="shared" si="10"/>
        <v>#REF!</v>
      </c>
    </row>
    <row r="62" spans="1:9" ht="15" customHeight="1" x14ac:dyDescent="0.35">
      <c r="A62" s="290">
        <v>44449</v>
      </c>
      <c r="B62" s="316">
        <f t="shared" si="6"/>
        <v>44449</v>
      </c>
      <c r="C62" s="317">
        <f>COUNTA(URS確認!#REF!)</f>
        <v>1</v>
      </c>
      <c r="D62" s="297" t="e">
        <f>COUNTIF(URS確認!#REF!,"&lt;"&amp;A62+1)</f>
        <v>#REF!</v>
      </c>
      <c r="E62" s="297">
        <f>COUNTIF(URS確認!$L$87:$L$525,"&lt;"&amp;A62+1)-23</f>
        <v>14</v>
      </c>
      <c r="F62" s="297" t="e">
        <f t="shared" si="7"/>
        <v>#REF!</v>
      </c>
      <c r="G62" s="318" t="e">
        <f t="shared" si="8"/>
        <v>#REF!</v>
      </c>
      <c r="H62" s="319">
        <f t="shared" si="9"/>
        <v>14</v>
      </c>
      <c r="I62" s="318" t="e">
        <f t="shared" si="10"/>
        <v>#REF!</v>
      </c>
    </row>
    <row r="63" spans="1:9" ht="15" hidden="1" customHeight="1" x14ac:dyDescent="0.35">
      <c r="A63" s="290">
        <v>44452</v>
      </c>
      <c r="B63" s="316">
        <f t="shared" si="6"/>
        <v>44452</v>
      </c>
      <c r="C63" s="317">
        <f>COUNTA(URS確認!#REF!)</f>
        <v>1</v>
      </c>
      <c r="D63" s="297" t="e">
        <f>COUNTIF(URS確認!#REF!,"&lt;"&amp;A63+1)</f>
        <v>#REF!</v>
      </c>
      <c r="E63" s="297">
        <f>COUNTIF(URS確認!$L$87:$L$525,"&lt;"&amp;A63+1)-23</f>
        <v>21</v>
      </c>
      <c r="F63" s="297" t="e">
        <f t="shared" si="7"/>
        <v>#REF!</v>
      </c>
      <c r="G63" s="318" t="e">
        <f t="shared" si="8"/>
        <v>#REF!</v>
      </c>
      <c r="H63" s="319">
        <f t="shared" si="9"/>
        <v>21</v>
      </c>
      <c r="I63" s="318" t="e">
        <f t="shared" si="10"/>
        <v>#REF!</v>
      </c>
    </row>
    <row r="64" spans="1:9" ht="15" hidden="1" customHeight="1" x14ac:dyDescent="0.35">
      <c r="A64" s="290">
        <v>44453</v>
      </c>
      <c r="B64" s="316">
        <f t="shared" si="6"/>
        <v>44453</v>
      </c>
      <c r="C64" s="317">
        <f>COUNTA(URS確認!#REF!)</f>
        <v>1</v>
      </c>
      <c r="D64" s="147" t="e">
        <f>COUNTIF(URS確認!#REF!,"&lt;"&amp;A64+1)</f>
        <v>#REF!</v>
      </c>
      <c r="E64" s="147">
        <f>COUNTIF(URS確認!$L$87:$L$525,"&lt;"&amp;A64+1)-23</f>
        <v>24</v>
      </c>
      <c r="F64" s="297" t="e">
        <f t="shared" si="7"/>
        <v>#REF!</v>
      </c>
      <c r="G64" s="318" t="e">
        <f t="shared" si="8"/>
        <v>#REF!</v>
      </c>
      <c r="H64" s="319">
        <f t="shared" si="9"/>
        <v>24</v>
      </c>
      <c r="I64" s="318" t="e">
        <f t="shared" si="10"/>
        <v>#REF!</v>
      </c>
    </row>
    <row r="65" spans="1:9" ht="15" hidden="1" customHeight="1" x14ac:dyDescent="0.35">
      <c r="A65" s="290">
        <v>44455</v>
      </c>
      <c r="B65" s="316">
        <f t="shared" si="6"/>
        <v>44455</v>
      </c>
      <c r="C65" s="317">
        <f>COUNTA(URS確認!#REF!)</f>
        <v>1</v>
      </c>
      <c r="D65" s="147" t="e">
        <f>COUNTIF(URS確認!#REF!,"&lt;"&amp;A65+1)</f>
        <v>#REF!</v>
      </c>
      <c r="E65" s="147">
        <f>COUNTIF(URS確認!$L$87:$L$525,"&lt;"&amp;A65+1)-23</f>
        <v>36</v>
      </c>
      <c r="F65" s="297" t="e">
        <f t="shared" si="7"/>
        <v>#REF!</v>
      </c>
      <c r="G65" s="318" t="e">
        <f t="shared" si="8"/>
        <v>#REF!</v>
      </c>
      <c r="H65" s="319">
        <f t="shared" si="9"/>
        <v>36</v>
      </c>
      <c r="I65" s="318" t="e">
        <f t="shared" si="10"/>
        <v>#REF!</v>
      </c>
    </row>
    <row r="66" spans="1:9" ht="15" customHeight="1" x14ac:dyDescent="0.35">
      <c r="A66" s="290">
        <v>44456</v>
      </c>
      <c r="B66" s="316">
        <f t="shared" si="6"/>
        <v>44456</v>
      </c>
      <c r="C66" s="317">
        <f>COUNTA(URS確認!#REF!)</f>
        <v>1</v>
      </c>
      <c r="D66" s="147" t="e">
        <f>COUNTIF(URS確認!#REF!,"&lt;"&amp;A66+1)</f>
        <v>#REF!</v>
      </c>
      <c r="E66" s="147">
        <f>COUNTIF(URS確認!$L$87:$L$525,"&lt;"&amp;A66+1)-23</f>
        <v>41</v>
      </c>
      <c r="F66" s="297" t="e">
        <f t="shared" si="7"/>
        <v>#REF!</v>
      </c>
      <c r="G66" s="318" t="e">
        <f t="shared" si="8"/>
        <v>#REF!</v>
      </c>
      <c r="H66" s="319">
        <f t="shared" si="9"/>
        <v>41</v>
      </c>
      <c r="I66" s="318" t="e">
        <f t="shared" si="10"/>
        <v>#REF!</v>
      </c>
    </row>
    <row r="67" spans="1:9" ht="15" hidden="1" customHeight="1" x14ac:dyDescent="0.35">
      <c r="A67" s="290">
        <v>44462</v>
      </c>
      <c r="B67" s="316">
        <f t="shared" si="6"/>
        <v>44462</v>
      </c>
      <c r="C67" s="317">
        <f>COUNTA(URS確認!#REF!)</f>
        <v>1</v>
      </c>
      <c r="D67" s="147" t="e">
        <f>COUNTIF(URS確認!#REF!,"&lt;"&amp;A67+1)</f>
        <v>#REF!</v>
      </c>
      <c r="E67" s="147">
        <f>COUNTIF(URS確認!$L$87:$L$525,"&lt;"&amp;A67+1)-23</f>
        <v>51</v>
      </c>
      <c r="F67" s="297" t="e">
        <f t="shared" si="7"/>
        <v>#REF!</v>
      </c>
      <c r="G67" s="318" t="e">
        <f t="shared" si="8"/>
        <v>#REF!</v>
      </c>
      <c r="H67" s="319">
        <f t="shared" si="9"/>
        <v>51</v>
      </c>
      <c r="I67" s="318" t="e">
        <f t="shared" si="10"/>
        <v>#REF!</v>
      </c>
    </row>
    <row r="68" spans="1:9" ht="15" customHeight="1" x14ac:dyDescent="0.35">
      <c r="A68" s="290">
        <v>44463</v>
      </c>
      <c r="B68" s="316">
        <f t="shared" si="6"/>
        <v>44463</v>
      </c>
      <c r="C68" s="317">
        <f>COUNTA(URS確認!#REF!)</f>
        <v>1</v>
      </c>
      <c r="D68" s="147" t="e">
        <f>COUNTIF(URS確認!#REF!,"&lt;"&amp;A68+1)</f>
        <v>#REF!</v>
      </c>
      <c r="E68" s="147">
        <f>COUNTIF(URS確認!$L$87:$L$525,"&lt;"&amp;A68+1)-23</f>
        <v>67</v>
      </c>
      <c r="F68" s="297" t="e">
        <f t="shared" si="7"/>
        <v>#REF!</v>
      </c>
      <c r="G68" s="318" t="e">
        <f t="shared" si="8"/>
        <v>#REF!</v>
      </c>
      <c r="H68" s="319">
        <f t="shared" si="9"/>
        <v>67</v>
      </c>
      <c r="I68" s="318" t="e">
        <f t="shared" si="10"/>
        <v>#REF!</v>
      </c>
    </row>
    <row r="69" spans="1:9" ht="15" hidden="1" customHeight="1" x14ac:dyDescent="0.35">
      <c r="A69" s="290">
        <v>44466</v>
      </c>
      <c r="B69" s="316">
        <f t="shared" si="6"/>
        <v>44466</v>
      </c>
      <c r="C69" s="317">
        <f>COUNTA(URS確認!#REF!)</f>
        <v>1</v>
      </c>
      <c r="D69" s="147" t="e">
        <f>COUNTIF(URS確認!#REF!,"&lt;"&amp;A69+1)</f>
        <v>#REF!</v>
      </c>
      <c r="E69" s="147">
        <f>COUNTIF(URS確認!$L$87:$L$525,"&lt;"&amp;A69+1)-23</f>
        <v>80</v>
      </c>
      <c r="F69" s="297" t="e">
        <f t="shared" si="7"/>
        <v>#REF!</v>
      </c>
      <c r="G69" s="318" t="e">
        <f t="shared" si="8"/>
        <v>#REF!</v>
      </c>
      <c r="H69" s="319">
        <f t="shared" si="9"/>
        <v>80</v>
      </c>
      <c r="I69" s="318" t="e">
        <f t="shared" si="10"/>
        <v>#REF!</v>
      </c>
    </row>
    <row r="70" spans="1:9" ht="15" hidden="1" customHeight="1" x14ac:dyDescent="0.35">
      <c r="A70" s="290">
        <v>44467</v>
      </c>
      <c r="B70" s="316">
        <f t="shared" si="6"/>
        <v>44467</v>
      </c>
      <c r="C70" s="317">
        <f>COUNTA(URS確認!#REF!)</f>
        <v>1</v>
      </c>
      <c r="D70" s="147" t="e">
        <f>COUNTIF(URS確認!#REF!,"&lt;"&amp;A70+1)</f>
        <v>#REF!</v>
      </c>
      <c r="E70" s="147">
        <f>COUNTIF(URS確認!$L$87:$L$525,"&lt;"&amp;A70+1)-23</f>
        <v>102</v>
      </c>
      <c r="F70" s="297" t="e">
        <f t="shared" si="7"/>
        <v>#REF!</v>
      </c>
      <c r="G70" s="318" t="e">
        <f t="shared" si="8"/>
        <v>#REF!</v>
      </c>
      <c r="H70" s="319">
        <f t="shared" si="9"/>
        <v>102</v>
      </c>
      <c r="I70" s="318" t="e">
        <f t="shared" si="10"/>
        <v>#REF!</v>
      </c>
    </row>
    <row r="71" spans="1:9" ht="15" customHeight="1" x14ac:dyDescent="0.35">
      <c r="A71" s="290">
        <v>44470</v>
      </c>
      <c r="B71" s="316">
        <f t="shared" si="6"/>
        <v>44470</v>
      </c>
      <c r="C71" s="317">
        <f>COUNTA(URS確認!#REF!)</f>
        <v>1</v>
      </c>
      <c r="D71" s="147" t="e">
        <f>COUNTIF(URS確認!#REF!,"&lt;"&amp;A71+1)</f>
        <v>#REF!</v>
      </c>
      <c r="E71" s="147">
        <f>COUNTIF(URS確認!$L$87:$L$525,"&lt;"&amp;A71+1)-23</f>
        <v>112</v>
      </c>
      <c r="F71" s="297" t="e">
        <f t="shared" si="7"/>
        <v>#REF!</v>
      </c>
      <c r="G71" s="318" t="e">
        <f t="shared" si="8"/>
        <v>#REF!</v>
      </c>
      <c r="H71" s="319">
        <f t="shared" si="9"/>
        <v>112</v>
      </c>
      <c r="I71" s="318" t="e">
        <f t="shared" si="10"/>
        <v>#REF!</v>
      </c>
    </row>
    <row r="72" spans="1:9" ht="15" customHeight="1" x14ac:dyDescent="0.35">
      <c r="A72" s="290">
        <v>44477</v>
      </c>
      <c r="B72" s="316">
        <f t="shared" si="6"/>
        <v>44477</v>
      </c>
      <c r="C72" s="317">
        <f>COUNTA(URS確認!#REF!)</f>
        <v>1</v>
      </c>
      <c r="D72" s="147" t="e">
        <f>COUNTIF(URS確認!#REF!,"&lt;"&amp;A72+1)</f>
        <v>#REF!</v>
      </c>
      <c r="E72" s="147">
        <f>COUNTIF(URS確認!$L$87:$L$525,"&lt;"&amp;A72+1)-23</f>
        <v>120</v>
      </c>
      <c r="F72" s="297" t="e">
        <f t="shared" si="7"/>
        <v>#REF!</v>
      </c>
      <c r="G72" s="318" t="e">
        <f t="shared" si="8"/>
        <v>#REF!</v>
      </c>
      <c r="H72" s="319">
        <f t="shared" si="9"/>
        <v>120</v>
      </c>
      <c r="I72" s="318" t="e">
        <f t="shared" si="10"/>
        <v>#REF!</v>
      </c>
    </row>
    <row r="73" spans="1:9" ht="15" customHeight="1" x14ac:dyDescent="0.35">
      <c r="A73" s="290">
        <v>44484</v>
      </c>
      <c r="B73" s="316">
        <f t="shared" si="6"/>
        <v>44484</v>
      </c>
      <c r="C73" s="317">
        <f>COUNTA(URS確認!#REF!)</f>
        <v>1</v>
      </c>
      <c r="D73" s="147" t="e">
        <f>COUNTIF(URS確認!#REF!,"&lt;"&amp;A73+1)</f>
        <v>#REF!</v>
      </c>
      <c r="E73" s="147">
        <f>COUNTIF(URS確認!$L$87:$L$525,"&lt;"&amp;A73+1)-23</f>
        <v>156</v>
      </c>
      <c r="F73" s="297" t="e">
        <f t="shared" si="7"/>
        <v>#REF!</v>
      </c>
      <c r="G73" s="318" t="e">
        <f t="shared" si="8"/>
        <v>#REF!</v>
      </c>
      <c r="H73" s="319">
        <f t="shared" si="9"/>
        <v>156</v>
      </c>
      <c r="I73" s="318" t="e">
        <f t="shared" si="10"/>
        <v>#REF!</v>
      </c>
    </row>
  </sheetData>
  <phoneticPr fontId="3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I34"/>
  <sheetViews>
    <sheetView workbookViewId="0">
      <selection activeCell="L11" sqref="L11"/>
    </sheetView>
  </sheetViews>
  <sheetFormatPr defaultColWidth="8.69921875" defaultRowHeight="14.5" x14ac:dyDescent="0.3"/>
  <cols>
    <col min="1" max="1" width="3.3984375" style="207" bestFit="1" customWidth="1"/>
    <col min="2" max="2" width="8.69921875" style="171" customWidth="1"/>
    <col min="3" max="3" width="35.3984375" style="171" bestFit="1" customWidth="1"/>
    <col min="4" max="4" width="8.69921875" style="171" customWidth="1"/>
    <col min="5" max="5" width="9.3984375" style="171" bestFit="1" customWidth="1"/>
    <col min="6" max="6" width="11.3984375" style="171" bestFit="1" customWidth="1"/>
    <col min="7" max="8" width="8.69921875" style="171" customWidth="1"/>
    <col min="9" max="9" width="31.09765625" style="171" bestFit="1" customWidth="1"/>
    <col min="10" max="13" width="8.69921875" style="171" customWidth="1"/>
    <col min="14" max="16384" width="8.69921875" style="171"/>
  </cols>
  <sheetData>
    <row r="1" spans="1:9" ht="16.5" customHeight="1" thickBot="1" x14ac:dyDescent="0.35">
      <c r="A1" s="207">
        <f>SUM(A2:A34)</f>
        <v>33</v>
      </c>
      <c r="B1" s="197" t="s">
        <v>102</v>
      </c>
      <c r="C1" s="198" t="s">
        <v>103</v>
      </c>
      <c r="D1" s="198" t="s">
        <v>105</v>
      </c>
      <c r="E1" s="199" t="s">
        <v>106</v>
      </c>
      <c r="F1" s="200" t="s">
        <v>108</v>
      </c>
      <c r="G1" s="201" t="s">
        <v>47</v>
      </c>
      <c r="H1" s="201" t="s">
        <v>48</v>
      </c>
      <c r="I1" s="202" t="s">
        <v>111</v>
      </c>
    </row>
    <row r="2" spans="1:9" x14ac:dyDescent="0.3">
      <c r="A2" s="207">
        <v>6</v>
      </c>
      <c r="B2" s="181" t="s">
        <v>850</v>
      </c>
      <c r="C2" s="193" t="s">
        <v>851</v>
      </c>
      <c r="D2" s="182" t="s">
        <v>193</v>
      </c>
      <c r="E2" s="183" t="s">
        <v>203</v>
      </c>
      <c r="F2" s="184">
        <v>44494</v>
      </c>
      <c r="G2" s="182" t="s">
        <v>12</v>
      </c>
      <c r="H2" s="182" t="s">
        <v>14</v>
      </c>
      <c r="I2" s="185" t="s">
        <v>852</v>
      </c>
    </row>
    <row r="3" spans="1:9" x14ac:dyDescent="0.3">
      <c r="B3" s="187" t="s">
        <v>854</v>
      </c>
      <c r="C3" s="176" t="s">
        <v>855</v>
      </c>
      <c r="D3" s="172" t="s">
        <v>193</v>
      </c>
      <c r="E3" s="173" t="s">
        <v>203</v>
      </c>
      <c r="F3" s="174">
        <v>44494</v>
      </c>
      <c r="G3" s="172" t="s">
        <v>12</v>
      </c>
      <c r="H3" s="172" t="s">
        <v>14</v>
      </c>
      <c r="I3" s="186" t="s">
        <v>852</v>
      </c>
    </row>
    <row r="4" spans="1:9" x14ac:dyDescent="0.3">
      <c r="B4" s="187" t="s">
        <v>858</v>
      </c>
      <c r="C4" s="177" t="s">
        <v>2687</v>
      </c>
      <c r="D4" s="172" t="s">
        <v>193</v>
      </c>
      <c r="E4" s="173" t="s">
        <v>203</v>
      </c>
      <c r="F4" s="174">
        <v>44494</v>
      </c>
      <c r="G4" s="172" t="s">
        <v>12</v>
      </c>
      <c r="H4" s="172" t="s">
        <v>14</v>
      </c>
      <c r="I4" s="186" t="s">
        <v>852</v>
      </c>
    </row>
    <row r="5" spans="1:9" x14ac:dyDescent="0.3">
      <c r="B5" s="187" t="s">
        <v>860</v>
      </c>
      <c r="C5" s="177" t="s">
        <v>2379</v>
      </c>
      <c r="D5" s="172" t="s">
        <v>193</v>
      </c>
      <c r="E5" s="173" t="s">
        <v>203</v>
      </c>
      <c r="F5" s="174">
        <v>44494</v>
      </c>
      <c r="G5" s="172" t="s">
        <v>12</v>
      </c>
      <c r="H5" s="172" t="s">
        <v>14</v>
      </c>
      <c r="I5" s="186" t="s">
        <v>852</v>
      </c>
    </row>
    <row r="6" spans="1:9" x14ac:dyDescent="0.3">
      <c r="B6" s="187" t="s">
        <v>864</v>
      </c>
      <c r="C6" s="177" t="s">
        <v>865</v>
      </c>
      <c r="D6" s="172" t="s">
        <v>136</v>
      </c>
      <c r="E6" s="173" t="s">
        <v>203</v>
      </c>
      <c r="F6" s="174">
        <v>44494</v>
      </c>
      <c r="G6" s="172" t="s">
        <v>12</v>
      </c>
      <c r="H6" s="172" t="s">
        <v>14</v>
      </c>
      <c r="I6" s="186" t="s">
        <v>852</v>
      </c>
    </row>
    <row r="7" spans="1:9" ht="16.5" customHeight="1" thickBot="1" x14ac:dyDescent="0.35">
      <c r="B7" s="195" t="s">
        <v>869</v>
      </c>
      <c r="C7" s="205" t="s">
        <v>870</v>
      </c>
      <c r="D7" s="189" t="s">
        <v>136</v>
      </c>
      <c r="E7" s="190" t="s">
        <v>203</v>
      </c>
      <c r="F7" s="191">
        <v>44494</v>
      </c>
      <c r="G7" s="189" t="s">
        <v>12</v>
      </c>
      <c r="H7" s="189" t="s">
        <v>13</v>
      </c>
      <c r="I7" s="206" t="s">
        <v>871</v>
      </c>
    </row>
    <row r="8" spans="1:9" x14ac:dyDescent="0.3">
      <c r="A8" s="207">
        <v>6</v>
      </c>
      <c r="B8" s="203" t="s">
        <v>872</v>
      </c>
      <c r="C8" s="179" t="s">
        <v>2380</v>
      </c>
      <c r="D8" s="178" t="s">
        <v>193</v>
      </c>
      <c r="E8" s="178" t="s">
        <v>203</v>
      </c>
      <c r="F8" s="180">
        <v>44494</v>
      </c>
      <c r="G8" s="178" t="s">
        <v>10</v>
      </c>
      <c r="H8" s="178" t="s">
        <v>13</v>
      </c>
      <c r="I8" s="204"/>
    </row>
    <row r="9" spans="1:9" x14ac:dyDescent="0.3">
      <c r="B9" s="187" t="s">
        <v>875</v>
      </c>
      <c r="C9" s="175" t="s">
        <v>2688</v>
      </c>
      <c r="D9" s="172" t="s">
        <v>193</v>
      </c>
      <c r="E9" s="172" t="s">
        <v>203</v>
      </c>
      <c r="F9" s="174">
        <v>44494</v>
      </c>
      <c r="G9" s="172" t="s">
        <v>7</v>
      </c>
      <c r="H9" s="172" t="s">
        <v>172</v>
      </c>
      <c r="I9" s="188"/>
    </row>
    <row r="10" spans="1:9" x14ac:dyDescent="0.3">
      <c r="B10" s="187" t="s">
        <v>877</v>
      </c>
      <c r="C10" s="177" t="s">
        <v>2689</v>
      </c>
      <c r="D10" s="172" t="s">
        <v>193</v>
      </c>
      <c r="E10" s="173" t="s">
        <v>203</v>
      </c>
      <c r="F10" s="174">
        <v>44494</v>
      </c>
      <c r="G10" s="172" t="s">
        <v>12</v>
      </c>
      <c r="H10" s="172" t="s">
        <v>172</v>
      </c>
      <c r="I10" s="188"/>
    </row>
    <row r="11" spans="1:9" x14ac:dyDescent="0.3">
      <c r="B11" s="187" t="s">
        <v>880</v>
      </c>
      <c r="C11" s="177" t="s">
        <v>2690</v>
      </c>
      <c r="D11" s="172" t="s">
        <v>193</v>
      </c>
      <c r="E11" s="173" t="s">
        <v>203</v>
      </c>
      <c r="F11" s="174">
        <v>44494</v>
      </c>
      <c r="G11" s="172" t="s">
        <v>12</v>
      </c>
      <c r="H11" s="172" t="s">
        <v>172</v>
      </c>
      <c r="I11" s="188"/>
    </row>
    <row r="12" spans="1:9" x14ac:dyDescent="0.3">
      <c r="B12" s="187" t="s">
        <v>883</v>
      </c>
      <c r="C12" s="177" t="s">
        <v>2382</v>
      </c>
      <c r="D12" s="172" t="s">
        <v>193</v>
      </c>
      <c r="E12" s="173" t="s">
        <v>203</v>
      </c>
      <c r="F12" s="174">
        <v>44494</v>
      </c>
      <c r="G12" s="172" t="s">
        <v>10</v>
      </c>
      <c r="H12" s="172" t="s">
        <v>25</v>
      </c>
      <c r="I12" s="188" t="s">
        <v>871</v>
      </c>
    </row>
    <row r="13" spans="1:9" ht="16.5" customHeight="1" thickBot="1" x14ac:dyDescent="0.35">
      <c r="B13" s="195" t="s">
        <v>885</v>
      </c>
      <c r="C13" s="196" t="s">
        <v>2383</v>
      </c>
      <c r="D13" s="189" t="s">
        <v>193</v>
      </c>
      <c r="E13" s="190" t="s">
        <v>203</v>
      </c>
      <c r="F13" s="191">
        <v>44494</v>
      </c>
      <c r="G13" s="189" t="s">
        <v>10</v>
      </c>
      <c r="H13" s="189" t="s">
        <v>25</v>
      </c>
      <c r="I13" s="192" t="s">
        <v>871</v>
      </c>
    </row>
    <row r="14" spans="1:9" x14ac:dyDescent="0.3">
      <c r="A14" s="207">
        <v>8</v>
      </c>
      <c r="B14" s="181" t="s">
        <v>887</v>
      </c>
      <c r="C14" s="193" t="s">
        <v>2484</v>
      </c>
      <c r="D14" s="182" t="s">
        <v>480</v>
      </c>
      <c r="E14" s="182" t="s">
        <v>137</v>
      </c>
      <c r="F14" s="184">
        <v>44496</v>
      </c>
      <c r="G14" s="182" t="s">
        <v>7</v>
      </c>
      <c r="H14" s="182" t="s">
        <v>14</v>
      </c>
      <c r="I14" s="194"/>
    </row>
    <row r="15" spans="1:9" x14ac:dyDescent="0.3">
      <c r="B15" s="187" t="s">
        <v>889</v>
      </c>
      <c r="C15" s="177" t="s">
        <v>2691</v>
      </c>
      <c r="D15" s="172" t="s">
        <v>480</v>
      </c>
      <c r="E15" s="172" t="s">
        <v>137</v>
      </c>
      <c r="F15" s="174">
        <v>44496</v>
      </c>
      <c r="G15" s="172" t="s">
        <v>7</v>
      </c>
      <c r="H15" s="172" t="s">
        <v>14</v>
      </c>
      <c r="I15" s="188"/>
    </row>
    <row r="16" spans="1:9" x14ac:dyDescent="0.3">
      <c r="B16" s="187" t="s">
        <v>891</v>
      </c>
      <c r="C16" s="177" t="s">
        <v>2692</v>
      </c>
      <c r="D16" s="172" t="s">
        <v>480</v>
      </c>
      <c r="E16" s="172" t="s">
        <v>137</v>
      </c>
      <c r="F16" s="174">
        <v>44496</v>
      </c>
      <c r="G16" s="172" t="s">
        <v>7</v>
      </c>
      <c r="H16" s="172" t="s">
        <v>14</v>
      </c>
      <c r="I16" s="188"/>
    </row>
    <row r="17" spans="1:9" x14ac:dyDescent="0.3">
      <c r="B17" s="187" t="s">
        <v>893</v>
      </c>
      <c r="C17" s="177" t="s">
        <v>2693</v>
      </c>
      <c r="D17" s="172" t="s">
        <v>480</v>
      </c>
      <c r="E17" s="172" t="s">
        <v>137</v>
      </c>
      <c r="F17" s="174">
        <v>44496</v>
      </c>
      <c r="G17" s="172" t="s">
        <v>7</v>
      </c>
      <c r="H17" s="172" t="s">
        <v>14</v>
      </c>
      <c r="I17" s="188"/>
    </row>
    <row r="18" spans="1:9" x14ac:dyDescent="0.3">
      <c r="B18" s="187" t="s">
        <v>895</v>
      </c>
      <c r="C18" s="177" t="s">
        <v>2694</v>
      </c>
      <c r="D18" s="172" t="s">
        <v>480</v>
      </c>
      <c r="E18" s="172" t="s">
        <v>137</v>
      </c>
      <c r="F18" s="174">
        <v>44496</v>
      </c>
      <c r="G18" s="172" t="s">
        <v>7</v>
      </c>
      <c r="H18" s="172" t="s">
        <v>14</v>
      </c>
      <c r="I18" s="188"/>
    </row>
    <row r="19" spans="1:9" x14ac:dyDescent="0.3">
      <c r="B19" s="187" t="s">
        <v>897</v>
      </c>
      <c r="C19" s="177" t="s">
        <v>2695</v>
      </c>
      <c r="D19" s="172" t="s">
        <v>480</v>
      </c>
      <c r="E19" s="172" t="s">
        <v>137</v>
      </c>
      <c r="F19" s="174">
        <v>44496</v>
      </c>
      <c r="G19" s="172" t="s">
        <v>7</v>
      </c>
      <c r="H19" s="172" t="s">
        <v>14</v>
      </c>
      <c r="I19" s="188"/>
    </row>
    <row r="20" spans="1:9" x14ac:dyDescent="0.3">
      <c r="B20" s="187" t="s">
        <v>899</v>
      </c>
      <c r="C20" s="177" t="s">
        <v>2696</v>
      </c>
      <c r="D20" s="172" t="s">
        <v>480</v>
      </c>
      <c r="E20" s="172" t="s">
        <v>137</v>
      </c>
      <c r="F20" s="174">
        <v>44496</v>
      </c>
      <c r="G20" s="172" t="s">
        <v>7</v>
      </c>
      <c r="H20" s="172" t="s">
        <v>14</v>
      </c>
      <c r="I20" s="188"/>
    </row>
    <row r="21" spans="1:9" ht="16.5" customHeight="1" thickBot="1" x14ac:dyDescent="0.35">
      <c r="B21" s="195" t="s">
        <v>901</v>
      </c>
      <c r="C21" s="196" t="s">
        <v>2697</v>
      </c>
      <c r="D21" s="189" t="s">
        <v>480</v>
      </c>
      <c r="E21" s="189" t="s">
        <v>137</v>
      </c>
      <c r="F21" s="191">
        <v>44496</v>
      </c>
      <c r="G21" s="189" t="s">
        <v>7</v>
      </c>
      <c r="H21" s="189" t="s">
        <v>14</v>
      </c>
      <c r="I21" s="192"/>
    </row>
    <row r="22" spans="1:9" x14ac:dyDescent="0.3">
      <c r="A22" s="207">
        <v>5</v>
      </c>
      <c r="B22" s="181" t="s">
        <v>903</v>
      </c>
      <c r="C22" s="193" t="s">
        <v>2698</v>
      </c>
      <c r="D22" s="182" t="s">
        <v>480</v>
      </c>
      <c r="E22" s="182" t="s">
        <v>137</v>
      </c>
      <c r="F22" s="184">
        <v>44497</v>
      </c>
      <c r="G22" s="182" t="s">
        <v>7</v>
      </c>
      <c r="H22" s="182" t="s">
        <v>14</v>
      </c>
      <c r="I22" s="194"/>
    </row>
    <row r="23" spans="1:9" x14ac:dyDescent="0.3">
      <c r="B23" s="187" t="s">
        <v>905</v>
      </c>
      <c r="C23" s="177" t="s">
        <v>2699</v>
      </c>
      <c r="D23" s="172" t="s">
        <v>480</v>
      </c>
      <c r="E23" s="172" t="s">
        <v>137</v>
      </c>
      <c r="F23" s="174">
        <v>44497</v>
      </c>
      <c r="G23" s="172" t="s">
        <v>7</v>
      </c>
      <c r="H23" s="172" t="s">
        <v>14</v>
      </c>
      <c r="I23" s="188"/>
    </row>
    <row r="24" spans="1:9" x14ac:dyDescent="0.3">
      <c r="B24" s="187" t="s">
        <v>907</v>
      </c>
      <c r="C24" s="177" t="s">
        <v>2700</v>
      </c>
      <c r="D24" s="172" t="s">
        <v>480</v>
      </c>
      <c r="E24" s="172" t="s">
        <v>137</v>
      </c>
      <c r="F24" s="174">
        <v>44497</v>
      </c>
      <c r="G24" s="172" t="s">
        <v>7</v>
      </c>
      <c r="H24" s="172" t="s">
        <v>14</v>
      </c>
      <c r="I24" s="188"/>
    </row>
    <row r="25" spans="1:9" x14ac:dyDescent="0.3">
      <c r="B25" s="187" t="s">
        <v>909</v>
      </c>
      <c r="C25" s="177" t="s">
        <v>2701</v>
      </c>
      <c r="D25" s="172" t="s">
        <v>480</v>
      </c>
      <c r="E25" s="172" t="s">
        <v>137</v>
      </c>
      <c r="F25" s="174">
        <v>44497</v>
      </c>
      <c r="G25" s="172" t="s">
        <v>7</v>
      </c>
      <c r="H25" s="172" t="s">
        <v>14</v>
      </c>
      <c r="I25" s="188"/>
    </row>
    <row r="26" spans="1:9" ht="16.5" customHeight="1" thickBot="1" x14ac:dyDescent="0.35">
      <c r="B26" s="195" t="s">
        <v>911</v>
      </c>
      <c r="C26" s="196" t="s">
        <v>912</v>
      </c>
      <c r="D26" s="189" t="s">
        <v>480</v>
      </c>
      <c r="E26" s="189" t="s">
        <v>137</v>
      </c>
      <c r="F26" s="191">
        <v>44497</v>
      </c>
      <c r="G26" s="189" t="s">
        <v>7</v>
      </c>
      <c r="H26" s="189" t="s">
        <v>14</v>
      </c>
      <c r="I26" s="192"/>
    </row>
    <row r="27" spans="1:9" x14ac:dyDescent="0.3">
      <c r="A27" s="207">
        <v>8</v>
      </c>
      <c r="B27" s="181" t="s">
        <v>937</v>
      </c>
      <c r="C27" s="193" t="s">
        <v>938</v>
      </c>
      <c r="D27" s="182" t="s">
        <v>193</v>
      </c>
      <c r="E27" s="182" t="s">
        <v>314</v>
      </c>
      <c r="F27" s="184">
        <v>44498</v>
      </c>
      <c r="G27" s="182" t="s">
        <v>7</v>
      </c>
      <c r="H27" s="182" t="s">
        <v>24</v>
      </c>
      <c r="I27" s="194"/>
    </row>
    <row r="28" spans="1:9" x14ac:dyDescent="0.3">
      <c r="B28" s="187" t="s">
        <v>939</v>
      </c>
      <c r="C28" s="177" t="s">
        <v>940</v>
      </c>
      <c r="D28" s="172" t="s">
        <v>193</v>
      </c>
      <c r="E28" s="172" t="s">
        <v>314</v>
      </c>
      <c r="F28" s="174">
        <v>44498</v>
      </c>
      <c r="G28" s="172" t="s">
        <v>12</v>
      </c>
      <c r="H28" s="172" t="s">
        <v>24</v>
      </c>
      <c r="I28" s="188"/>
    </row>
    <row r="29" spans="1:9" x14ac:dyDescent="0.3">
      <c r="B29" s="187" t="s">
        <v>943</v>
      </c>
      <c r="C29" s="177" t="s">
        <v>944</v>
      </c>
      <c r="D29" s="172" t="s">
        <v>193</v>
      </c>
      <c r="E29" s="172" t="s">
        <v>314</v>
      </c>
      <c r="F29" s="174">
        <v>44498</v>
      </c>
      <c r="G29" s="172" t="s">
        <v>7</v>
      </c>
      <c r="H29" s="172" t="s">
        <v>24</v>
      </c>
      <c r="I29" s="188"/>
    </row>
    <row r="30" spans="1:9" x14ac:dyDescent="0.3">
      <c r="B30" s="187" t="s">
        <v>945</v>
      </c>
      <c r="C30" s="177" t="s">
        <v>946</v>
      </c>
      <c r="D30" s="172" t="s">
        <v>193</v>
      </c>
      <c r="E30" s="172" t="s">
        <v>314</v>
      </c>
      <c r="F30" s="174">
        <v>44498</v>
      </c>
      <c r="G30" s="172" t="s">
        <v>7</v>
      </c>
      <c r="H30" s="172" t="s">
        <v>24</v>
      </c>
      <c r="I30" s="188"/>
    </row>
    <row r="31" spans="1:9" x14ac:dyDescent="0.3">
      <c r="B31" s="187" t="s">
        <v>948</v>
      </c>
      <c r="C31" s="177" t="s">
        <v>949</v>
      </c>
      <c r="D31" s="172" t="s">
        <v>193</v>
      </c>
      <c r="E31" s="172" t="s">
        <v>314</v>
      </c>
      <c r="F31" s="174">
        <v>44498</v>
      </c>
      <c r="G31" s="172" t="s">
        <v>12</v>
      </c>
      <c r="H31" s="172" t="s">
        <v>11</v>
      </c>
      <c r="I31" s="188"/>
    </row>
    <row r="32" spans="1:9" x14ac:dyDescent="0.3">
      <c r="B32" s="187" t="s">
        <v>952</v>
      </c>
      <c r="C32" s="177" t="s">
        <v>951</v>
      </c>
      <c r="D32" s="172" t="s">
        <v>193</v>
      </c>
      <c r="E32" s="172" t="s">
        <v>314</v>
      </c>
      <c r="F32" s="174">
        <v>44498</v>
      </c>
      <c r="G32" s="172" t="s">
        <v>12</v>
      </c>
      <c r="H32" s="172" t="s">
        <v>24</v>
      </c>
      <c r="I32" s="188"/>
    </row>
    <row r="33" spans="2:9" x14ac:dyDescent="0.3">
      <c r="B33" s="187" t="s">
        <v>953</v>
      </c>
      <c r="C33" s="177" t="s">
        <v>2526</v>
      </c>
      <c r="D33" s="172" t="s">
        <v>193</v>
      </c>
      <c r="E33" s="172" t="s">
        <v>314</v>
      </c>
      <c r="F33" s="174">
        <v>44498</v>
      </c>
      <c r="G33" s="172" t="s">
        <v>12</v>
      </c>
      <c r="H33" s="172" t="s">
        <v>11</v>
      </c>
      <c r="I33" s="188"/>
    </row>
    <row r="34" spans="2:9" ht="16.5" customHeight="1" thickBot="1" x14ac:dyDescent="0.35">
      <c r="B34" s="195" t="s">
        <v>957</v>
      </c>
      <c r="C34" s="196" t="s">
        <v>2702</v>
      </c>
      <c r="D34" s="189" t="s">
        <v>193</v>
      </c>
      <c r="E34" s="189" t="s">
        <v>314</v>
      </c>
      <c r="F34" s="191">
        <v>44498</v>
      </c>
      <c r="G34" s="189" t="s">
        <v>12</v>
      </c>
      <c r="H34" s="189" t="s">
        <v>172</v>
      </c>
      <c r="I34" s="192" t="s">
        <v>14</v>
      </c>
    </row>
  </sheetData>
  <phoneticPr fontId="3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M45"/>
  <sheetViews>
    <sheetView workbookViewId="0">
      <pane xSplit="3" ySplit="1" topLeftCell="D2" activePane="bottomRight" state="frozen"/>
      <selection activeCell="B44" sqref="B44"/>
      <selection pane="topRight" activeCell="B44" sqref="B44"/>
      <selection pane="bottomLeft" activeCell="B44" sqref="B44"/>
      <selection pane="bottomRight" activeCell="B44" sqref="B44"/>
    </sheetView>
  </sheetViews>
  <sheetFormatPr defaultColWidth="8.69921875" defaultRowHeight="14.5" x14ac:dyDescent="0.35"/>
  <cols>
    <col min="1" max="1" width="12.69921875" style="85" bestFit="1" customWidth="1"/>
    <col min="2" max="2" width="10.09765625" style="85" bestFit="1" customWidth="1"/>
    <col min="3" max="3" width="17" style="86" bestFit="1" customWidth="1"/>
    <col min="4" max="4" width="9.59765625" style="91" bestFit="1" customWidth="1"/>
    <col min="5" max="5" width="9.69921875" style="91" bestFit="1" customWidth="1"/>
    <col min="6" max="6" width="9.3984375" style="91" bestFit="1" customWidth="1"/>
    <col min="7" max="7" width="9.59765625" style="91" bestFit="1" customWidth="1"/>
    <col min="8" max="9" width="9.69921875" style="91" bestFit="1" customWidth="1"/>
    <col min="10" max="10" width="9.59765625" style="91" bestFit="1" customWidth="1"/>
    <col min="11" max="11" width="9.69921875" style="91" bestFit="1" customWidth="1"/>
    <col min="12" max="12" width="11.3984375" style="91" bestFit="1" customWidth="1"/>
    <col min="13" max="13" width="8.69921875" style="91" bestFit="1" customWidth="1"/>
    <col min="14" max="17" width="8.69921875" style="85" customWidth="1"/>
    <col min="18" max="16384" width="8.69921875" style="85"/>
  </cols>
  <sheetData>
    <row r="1" spans="1:13" s="84" customFormat="1" x14ac:dyDescent="0.35">
      <c r="A1" s="84" t="s">
        <v>2703</v>
      </c>
      <c r="C1" s="111" t="s">
        <v>2704</v>
      </c>
      <c r="D1" s="90">
        <v>44396</v>
      </c>
      <c r="E1" s="90">
        <v>44397</v>
      </c>
      <c r="F1" s="90">
        <v>44398</v>
      </c>
      <c r="G1" s="90">
        <v>44399</v>
      </c>
      <c r="H1" s="90">
        <v>44400</v>
      </c>
      <c r="I1" s="90">
        <v>44403</v>
      </c>
      <c r="J1" s="90">
        <v>44404</v>
      </c>
      <c r="K1" s="90">
        <v>44405</v>
      </c>
      <c r="L1" s="90" t="s">
        <v>2705</v>
      </c>
      <c r="M1" s="90">
        <v>44410</v>
      </c>
    </row>
    <row r="2" spans="1:13" x14ac:dyDescent="0.35">
      <c r="A2" s="85" t="s">
        <v>2706</v>
      </c>
      <c r="C2" s="86" t="s">
        <v>2707</v>
      </c>
      <c r="D2" s="91">
        <v>2</v>
      </c>
      <c r="E2" s="91">
        <v>2</v>
      </c>
      <c r="F2" s="91">
        <v>2</v>
      </c>
      <c r="G2" s="91">
        <v>2</v>
      </c>
      <c r="H2" s="91">
        <v>2</v>
      </c>
      <c r="I2" s="91">
        <v>2</v>
      </c>
      <c r="J2" s="91">
        <v>2</v>
      </c>
      <c r="K2" s="91">
        <v>2</v>
      </c>
      <c r="L2" s="91">
        <v>2</v>
      </c>
      <c r="M2" s="91">
        <v>2</v>
      </c>
    </row>
    <row r="3" spans="1:13" x14ac:dyDescent="0.35">
      <c r="A3" s="85" t="s">
        <v>2706</v>
      </c>
      <c r="C3" s="93" t="s">
        <v>2708</v>
      </c>
      <c r="D3" s="92">
        <v>3</v>
      </c>
      <c r="E3" s="92">
        <v>3</v>
      </c>
      <c r="F3" s="92">
        <v>3</v>
      </c>
      <c r="G3" s="92">
        <v>3</v>
      </c>
      <c r="H3" s="92">
        <v>3</v>
      </c>
      <c r="I3" s="92">
        <v>3</v>
      </c>
      <c r="J3" s="91">
        <v>1</v>
      </c>
      <c r="K3" s="91">
        <v>1</v>
      </c>
      <c r="L3" s="91">
        <v>1</v>
      </c>
      <c r="M3" s="91">
        <v>2</v>
      </c>
    </row>
    <row r="4" spans="1:13" x14ac:dyDescent="0.35">
      <c r="A4" s="85" t="s">
        <v>2706</v>
      </c>
      <c r="C4" s="93" t="s">
        <v>2709</v>
      </c>
      <c r="D4" s="92">
        <v>3</v>
      </c>
      <c r="E4" s="92">
        <v>3</v>
      </c>
      <c r="F4" s="92">
        <v>3</v>
      </c>
      <c r="G4" s="92">
        <v>3</v>
      </c>
      <c r="H4" s="92">
        <v>3</v>
      </c>
      <c r="I4" s="92">
        <v>3</v>
      </c>
      <c r="J4" s="92">
        <v>3</v>
      </c>
      <c r="K4" s="92">
        <v>3</v>
      </c>
      <c r="L4" s="92">
        <v>2</v>
      </c>
      <c r="M4" s="91">
        <v>2</v>
      </c>
    </row>
    <row r="5" spans="1:13" x14ac:dyDescent="0.35">
      <c r="A5" s="85" t="s">
        <v>2710</v>
      </c>
      <c r="C5" s="86" t="s">
        <v>2711</v>
      </c>
      <c r="D5" s="92">
        <v>3</v>
      </c>
      <c r="E5" s="92" t="s">
        <v>2712</v>
      </c>
      <c r="F5" s="92">
        <v>3</v>
      </c>
      <c r="G5" s="92">
        <v>3</v>
      </c>
      <c r="H5" s="92">
        <v>3</v>
      </c>
      <c r="I5" s="92">
        <v>3</v>
      </c>
      <c r="J5" s="91">
        <v>2</v>
      </c>
      <c r="K5" s="91">
        <v>2</v>
      </c>
      <c r="L5" s="91">
        <v>2</v>
      </c>
      <c r="M5" s="91">
        <v>2</v>
      </c>
    </row>
    <row r="6" spans="1:13" x14ac:dyDescent="0.35">
      <c r="A6" s="85" t="s">
        <v>2710</v>
      </c>
      <c r="B6" s="85" t="s">
        <v>47</v>
      </c>
      <c r="C6" s="93" t="s">
        <v>2713</v>
      </c>
      <c r="D6" s="91">
        <v>2</v>
      </c>
      <c r="E6" s="91">
        <v>2</v>
      </c>
      <c r="F6" s="91">
        <v>2</v>
      </c>
      <c r="G6" s="91">
        <v>2</v>
      </c>
      <c r="H6" s="91">
        <v>2</v>
      </c>
      <c r="I6" s="91">
        <v>2</v>
      </c>
      <c r="J6" s="91">
        <v>2</v>
      </c>
      <c r="K6" s="91">
        <v>2</v>
      </c>
      <c r="L6" s="91">
        <v>2</v>
      </c>
      <c r="M6" s="91">
        <v>2</v>
      </c>
    </row>
    <row r="7" spans="1:13" x14ac:dyDescent="0.35">
      <c r="A7" s="85" t="s">
        <v>2710</v>
      </c>
      <c r="B7" s="85" t="s">
        <v>47</v>
      </c>
      <c r="C7" s="93" t="s">
        <v>8</v>
      </c>
      <c r="D7" s="92">
        <v>4</v>
      </c>
      <c r="E7" s="91">
        <v>2</v>
      </c>
      <c r="F7" s="91">
        <v>2</v>
      </c>
      <c r="G7" s="91">
        <v>2</v>
      </c>
      <c r="H7" s="91">
        <v>2</v>
      </c>
      <c r="I7" s="91">
        <v>2</v>
      </c>
      <c r="J7" s="91" t="s">
        <v>2714</v>
      </c>
      <c r="K7" s="91">
        <v>2</v>
      </c>
      <c r="L7" s="91">
        <v>2</v>
      </c>
      <c r="M7" s="91">
        <v>2</v>
      </c>
    </row>
    <row r="8" spans="1:13" x14ac:dyDescent="0.35">
      <c r="A8" s="85" t="s">
        <v>2710</v>
      </c>
      <c r="B8" s="85" t="s">
        <v>47</v>
      </c>
      <c r="C8" s="93" t="s">
        <v>7</v>
      </c>
      <c r="D8" s="91">
        <v>2</v>
      </c>
      <c r="E8" s="91">
        <v>2</v>
      </c>
      <c r="F8" s="91">
        <v>2</v>
      </c>
      <c r="G8" s="91">
        <v>2</v>
      </c>
      <c r="H8" s="91">
        <v>2</v>
      </c>
      <c r="I8" s="91">
        <v>2</v>
      </c>
      <c r="J8" s="91">
        <v>2</v>
      </c>
      <c r="K8" s="91">
        <v>2</v>
      </c>
      <c r="L8" s="91">
        <v>2</v>
      </c>
      <c r="M8" s="91">
        <v>2</v>
      </c>
    </row>
    <row r="9" spans="1:13" x14ac:dyDescent="0.35">
      <c r="A9" s="85" t="s">
        <v>2710</v>
      </c>
      <c r="B9" s="85" t="s">
        <v>47</v>
      </c>
      <c r="C9" s="93" t="s">
        <v>12</v>
      </c>
      <c r="D9" s="92" t="s">
        <v>2715</v>
      </c>
      <c r="E9" s="91" t="s">
        <v>2714</v>
      </c>
      <c r="F9" s="91" t="s">
        <v>2714</v>
      </c>
      <c r="G9" s="91">
        <v>2</v>
      </c>
      <c r="H9" s="91" t="s">
        <v>2714</v>
      </c>
      <c r="I9" s="91">
        <v>2</v>
      </c>
      <c r="J9" s="91" t="s">
        <v>2714</v>
      </c>
      <c r="K9" s="91" t="s">
        <v>2714</v>
      </c>
      <c r="L9" s="91">
        <v>2</v>
      </c>
      <c r="M9" s="91">
        <v>2</v>
      </c>
    </row>
    <row r="10" spans="1:13" x14ac:dyDescent="0.35">
      <c r="A10" s="85" t="s">
        <v>2710</v>
      </c>
      <c r="B10" s="85" t="s">
        <v>47</v>
      </c>
      <c r="C10" s="93" t="s">
        <v>10</v>
      </c>
      <c r="D10" s="91">
        <v>3</v>
      </c>
      <c r="E10" s="91">
        <v>3</v>
      </c>
      <c r="F10" s="91">
        <v>3</v>
      </c>
      <c r="G10" s="92" t="s">
        <v>2715</v>
      </c>
      <c r="H10" s="91" t="s">
        <v>2712</v>
      </c>
      <c r="I10" s="92" t="s">
        <v>2715</v>
      </c>
      <c r="J10" s="91" t="s">
        <v>2712</v>
      </c>
      <c r="K10" s="91" t="s">
        <v>2712</v>
      </c>
      <c r="L10" s="91">
        <v>2</v>
      </c>
      <c r="M10" s="91">
        <v>2</v>
      </c>
    </row>
    <row r="11" spans="1:13" x14ac:dyDescent="0.35">
      <c r="A11" s="85" t="s">
        <v>1429</v>
      </c>
      <c r="B11" s="85" t="s">
        <v>48</v>
      </c>
      <c r="C11" s="93" t="s">
        <v>172</v>
      </c>
      <c r="D11" s="91">
        <v>2</v>
      </c>
      <c r="E11" s="91" t="s">
        <v>2714</v>
      </c>
      <c r="F11" s="91">
        <v>2</v>
      </c>
      <c r="G11" s="92" t="s">
        <v>2715</v>
      </c>
      <c r="H11" s="92" t="s">
        <v>2716</v>
      </c>
      <c r="I11" s="91">
        <v>2</v>
      </c>
      <c r="J11" s="91" t="s">
        <v>2714</v>
      </c>
      <c r="K11" s="92">
        <v>4</v>
      </c>
      <c r="M11" s="91">
        <v>2</v>
      </c>
    </row>
    <row r="12" spans="1:13" x14ac:dyDescent="0.35">
      <c r="A12" s="85" t="s">
        <v>1429</v>
      </c>
      <c r="B12" s="85" t="s">
        <v>48</v>
      </c>
      <c r="C12" s="93" t="s">
        <v>11</v>
      </c>
      <c r="D12" s="91">
        <v>1</v>
      </c>
      <c r="E12" s="91">
        <v>1</v>
      </c>
      <c r="F12" s="91">
        <v>1</v>
      </c>
      <c r="G12" s="92" t="s">
        <v>2715</v>
      </c>
      <c r="H12" s="91" t="s">
        <v>2717</v>
      </c>
      <c r="I12" s="94" t="s">
        <v>2714</v>
      </c>
      <c r="J12" s="94">
        <v>2</v>
      </c>
      <c r="K12" s="91">
        <v>1</v>
      </c>
      <c r="L12" s="94">
        <v>2</v>
      </c>
      <c r="M12" s="94">
        <v>2</v>
      </c>
    </row>
    <row r="13" spans="1:13" x14ac:dyDescent="0.35">
      <c r="A13" s="85" t="s">
        <v>1429</v>
      </c>
      <c r="B13" s="85" t="s">
        <v>48</v>
      </c>
      <c r="C13" s="86" t="s">
        <v>18</v>
      </c>
      <c r="D13" s="91">
        <v>1</v>
      </c>
      <c r="E13" s="91">
        <v>1</v>
      </c>
      <c r="K13" s="91">
        <v>1</v>
      </c>
      <c r="M13" s="91">
        <v>1</v>
      </c>
    </row>
    <row r="14" spans="1:13" x14ac:dyDescent="0.35">
      <c r="A14" s="85" t="s">
        <v>1465</v>
      </c>
      <c r="B14" s="85" t="s">
        <v>48</v>
      </c>
      <c r="C14" s="93" t="s">
        <v>535</v>
      </c>
      <c r="D14" s="94" t="s">
        <v>2712</v>
      </c>
      <c r="E14" s="94" t="s">
        <v>2712</v>
      </c>
      <c r="F14" s="95" t="s">
        <v>2716</v>
      </c>
    </row>
    <row r="15" spans="1:13" x14ac:dyDescent="0.35">
      <c r="A15" s="85" t="s">
        <v>1465</v>
      </c>
      <c r="B15" s="85" t="s">
        <v>48</v>
      </c>
      <c r="C15" s="93" t="s">
        <v>13</v>
      </c>
      <c r="D15" s="94">
        <v>2</v>
      </c>
      <c r="E15" s="94" t="s">
        <v>2714</v>
      </c>
      <c r="F15" s="95" t="s">
        <v>2715</v>
      </c>
      <c r="G15" s="95" t="s">
        <v>2715</v>
      </c>
      <c r="H15" s="94">
        <v>2</v>
      </c>
      <c r="I15" s="94" t="s">
        <v>2714</v>
      </c>
      <c r="J15" s="94" t="s">
        <v>2714</v>
      </c>
      <c r="K15" s="95" t="s">
        <v>2715</v>
      </c>
      <c r="L15" s="94">
        <v>2</v>
      </c>
      <c r="M15" s="94">
        <v>2</v>
      </c>
    </row>
    <row r="16" spans="1:13" x14ac:dyDescent="0.35">
      <c r="A16" s="85" t="s">
        <v>1465</v>
      </c>
      <c r="B16" s="85" t="s">
        <v>2718</v>
      </c>
      <c r="C16" s="93" t="s">
        <v>27</v>
      </c>
      <c r="I16" s="94">
        <v>2</v>
      </c>
      <c r="J16" s="91">
        <v>1</v>
      </c>
      <c r="K16" s="94" t="s">
        <v>2714</v>
      </c>
      <c r="L16" s="94"/>
      <c r="M16" s="94">
        <v>2</v>
      </c>
    </row>
    <row r="17" spans="1:13" x14ac:dyDescent="0.35">
      <c r="A17" s="85" t="s">
        <v>1465</v>
      </c>
      <c r="B17" s="85" t="s">
        <v>2718</v>
      </c>
      <c r="C17" s="93" t="s">
        <v>15</v>
      </c>
      <c r="G17" s="91">
        <v>1</v>
      </c>
      <c r="I17" s="95" t="s">
        <v>2716</v>
      </c>
      <c r="J17" s="95">
        <v>4</v>
      </c>
      <c r="K17" s="94" t="s">
        <v>2714</v>
      </c>
      <c r="L17" s="94"/>
      <c r="M17" s="94">
        <v>2</v>
      </c>
    </row>
    <row r="18" spans="1:13" x14ac:dyDescent="0.35">
      <c r="A18" s="85" t="s">
        <v>1465</v>
      </c>
      <c r="B18" s="85" t="s">
        <v>2718</v>
      </c>
      <c r="C18" s="93" t="s">
        <v>20</v>
      </c>
      <c r="I18" s="94" t="s">
        <v>2712</v>
      </c>
      <c r="J18" s="94">
        <v>2</v>
      </c>
      <c r="K18" s="91" t="s">
        <v>2717</v>
      </c>
      <c r="M18" s="94">
        <v>2</v>
      </c>
    </row>
    <row r="19" spans="1:13" x14ac:dyDescent="0.35">
      <c r="A19" s="85" t="s">
        <v>1006</v>
      </c>
      <c r="B19" s="85" t="s">
        <v>48</v>
      </c>
      <c r="C19" s="93" t="s">
        <v>14</v>
      </c>
      <c r="D19" s="92">
        <v>1</v>
      </c>
      <c r="E19" s="92">
        <v>1</v>
      </c>
      <c r="F19" s="92">
        <v>1</v>
      </c>
      <c r="G19" s="95">
        <v>3</v>
      </c>
      <c r="M19" s="94">
        <v>2</v>
      </c>
    </row>
    <row r="20" spans="1:13" x14ac:dyDescent="0.35">
      <c r="A20" s="85" t="s">
        <v>1006</v>
      </c>
      <c r="B20" s="85" t="s">
        <v>48</v>
      </c>
      <c r="C20" s="86" t="s">
        <v>25</v>
      </c>
      <c r="M20" s="94">
        <v>2</v>
      </c>
    </row>
    <row r="21" spans="1:13" x14ac:dyDescent="0.35">
      <c r="A21" s="85" t="s">
        <v>1006</v>
      </c>
      <c r="B21" s="85" t="s">
        <v>48</v>
      </c>
      <c r="C21" s="86" t="s">
        <v>21</v>
      </c>
      <c r="M21" s="94">
        <v>2</v>
      </c>
    </row>
    <row r="22" spans="1:13" x14ac:dyDescent="0.35">
      <c r="A22" s="85" t="s">
        <v>2331</v>
      </c>
      <c r="B22" s="85" t="s">
        <v>48</v>
      </c>
      <c r="C22" s="93" t="s">
        <v>235</v>
      </c>
      <c r="H22" s="91">
        <v>1</v>
      </c>
      <c r="J22" s="91" t="s">
        <v>2719</v>
      </c>
      <c r="K22" s="95" t="s">
        <v>2715</v>
      </c>
      <c r="M22" s="94">
        <v>2</v>
      </c>
    </row>
    <row r="23" spans="1:13" x14ac:dyDescent="0.35">
      <c r="A23" s="85" t="s">
        <v>2331</v>
      </c>
      <c r="B23" s="85" t="s">
        <v>48</v>
      </c>
      <c r="C23" s="93" t="s">
        <v>26</v>
      </c>
      <c r="H23" s="91">
        <v>1</v>
      </c>
      <c r="J23" s="91">
        <v>1</v>
      </c>
      <c r="K23" s="92" t="s">
        <v>2719</v>
      </c>
      <c r="M23" s="94">
        <v>2</v>
      </c>
    </row>
    <row r="24" spans="1:13" x14ac:dyDescent="0.35">
      <c r="A24" s="85" t="s">
        <v>2331</v>
      </c>
      <c r="B24" s="85" t="s">
        <v>48</v>
      </c>
      <c r="C24" s="86" t="s">
        <v>28</v>
      </c>
      <c r="M24" s="94">
        <v>2</v>
      </c>
    </row>
    <row r="25" spans="1:13" x14ac:dyDescent="0.35">
      <c r="A25" s="85" t="s">
        <v>2331</v>
      </c>
      <c r="B25" s="85" t="s">
        <v>48</v>
      </c>
      <c r="C25" s="86" t="s">
        <v>2328</v>
      </c>
      <c r="M25" s="91">
        <v>1</v>
      </c>
    </row>
    <row r="26" spans="1:13" x14ac:dyDescent="0.35">
      <c r="A26" s="85" t="s">
        <v>2331</v>
      </c>
      <c r="B26" s="85" t="s">
        <v>48</v>
      </c>
      <c r="C26" s="86" t="s">
        <v>2346</v>
      </c>
      <c r="M26" s="94">
        <v>2</v>
      </c>
    </row>
    <row r="29" spans="1:13" hidden="1" x14ac:dyDescent="0.35">
      <c r="A29" s="85" t="s">
        <v>2720</v>
      </c>
      <c r="C29" s="86" t="s">
        <v>193</v>
      </c>
      <c r="D29" s="91">
        <v>2</v>
      </c>
      <c r="E29" s="91">
        <v>2</v>
      </c>
      <c r="F29" s="91">
        <v>2</v>
      </c>
      <c r="G29" s="91">
        <v>2</v>
      </c>
      <c r="H29" s="91">
        <v>2</v>
      </c>
      <c r="I29" s="91">
        <v>2</v>
      </c>
      <c r="J29" s="91">
        <v>2</v>
      </c>
      <c r="K29" s="91">
        <v>2</v>
      </c>
      <c r="M29" s="91">
        <v>2</v>
      </c>
    </row>
    <row r="30" spans="1:13" hidden="1" x14ac:dyDescent="0.35">
      <c r="A30" s="85" t="s">
        <v>2720</v>
      </c>
      <c r="C30" s="86" t="s">
        <v>136</v>
      </c>
      <c r="D30" s="91">
        <v>2</v>
      </c>
      <c r="E30" s="91">
        <v>2</v>
      </c>
      <c r="F30" s="91">
        <v>2</v>
      </c>
      <c r="G30" s="91">
        <v>2</v>
      </c>
      <c r="H30" s="91">
        <v>2</v>
      </c>
      <c r="I30" s="91">
        <v>2</v>
      </c>
      <c r="J30" s="91">
        <v>2</v>
      </c>
      <c r="K30" s="91">
        <v>2</v>
      </c>
      <c r="M30" s="91">
        <v>2</v>
      </c>
    </row>
    <row r="31" spans="1:13" hidden="1" x14ac:dyDescent="0.35">
      <c r="A31" s="85" t="s">
        <v>2720</v>
      </c>
      <c r="C31" s="86" t="s">
        <v>2721</v>
      </c>
      <c r="D31" s="91">
        <v>2</v>
      </c>
      <c r="E31" s="91">
        <v>2</v>
      </c>
      <c r="F31" s="91">
        <v>2</v>
      </c>
      <c r="G31" s="91">
        <v>2</v>
      </c>
      <c r="H31" s="91">
        <v>2</v>
      </c>
      <c r="I31" s="91">
        <v>2</v>
      </c>
      <c r="J31" s="91">
        <v>2</v>
      </c>
      <c r="K31" s="91">
        <v>2</v>
      </c>
      <c r="M31" s="91">
        <v>2</v>
      </c>
    </row>
    <row r="32" spans="1:13" hidden="1" x14ac:dyDescent="0.35">
      <c r="A32" s="85" t="s">
        <v>2720</v>
      </c>
      <c r="C32" s="86" t="s">
        <v>137</v>
      </c>
      <c r="D32" s="91">
        <v>2</v>
      </c>
      <c r="E32" s="91">
        <v>2</v>
      </c>
      <c r="F32" s="91">
        <v>2</v>
      </c>
      <c r="G32" s="91">
        <v>2</v>
      </c>
      <c r="H32" s="91">
        <v>2</v>
      </c>
    </row>
    <row r="33" spans="1:13" hidden="1" x14ac:dyDescent="0.35">
      <c r="A33" s="85" t="s">
        <v>2720</v>
      </c>
      <c r="C33" s="86" t="s">
        <v>314</v>
      </c>
      <c r="D33" s="91">
        <v>2</v>
      </c>
      <c r="E33" s="91">
        <v>2</v>
      </c>
      <c r="F33" s="91">
        <v>2</v>
      </c>
      <c r="G33" s="91">
        <v>2</v>
      </c>
      <c r="H33" s="91">
        <v>2</v>
      </c>
    </row>
    <row r="34" spans="1:13" hidden="1" x14ac:dyDescent="0.35">
      <c r="A34" s="85" t="s">
        <v>2720</v>
      </c>
      <c r="C34" s="86" t="s">
        <v>194</v>
      </c>
      <c r="I34" s="91">
        <v>2</v>
      </c>
      <c r="J34" s="91">
        <v>2</v>
      </c>
      <c r="K34" s="91">
        <v>2</v>
      </c>
      <c r="M34" s="91">
        <v>1</v>
      </c>
    </row>
    <row r="35" spans="1:13" hidden="1" x14ac:dyDescent="0.35">
      <c r="A35" s="85" t="s">
        <v>2720</v>
      </c>
      <c r="C35" s="86" t="s">
        <v>203</v>
      </c>
      <c r="I35" s="91">
        <v>2</v>
      </c>
      <c r="J35" s="91">
        <v>2</v>
      </c>
      <c r="K35" s="91">
        <v>2</v>
      </c>
      <c r="M35" s="91">
        <v>2</v>
      </c>
    </row>
    <row r="37" spans="1:13" x14ac:dyDescent="0.35">
      <c r="B37" s="85">
        <v>1</v>
      </c>
      <c r="C37" s="85" t="s">
        <v>2722</v>
      </c>
    </row>
    <row r="38" spans="1:13" x14ac:dyDescent="0.35">
      <c r="B38" s="85">
        <v>2</v>
      </c>
      <c r="C38" s="85" t="s">
        <v>2723</v>
      </c>
    </row>
    <row r="39" spans="1:13" x14ac:dyDescent="0.35">
      <c r="B39" s="85">
        <v>3</v>
      </c>
      <c r="C39" s="85" t="s">
        <v>2724</v>
      </c>
    </row>
    <row r="40" spans="1:13" x14ac:dyDescent="0.35">
      <c r="B40" s="85">
        <v>4</v>
      </c>
      <c r="C40" s="112" t="s">
        <v>2725</v>
      </c>
    </row>
    <row r="41" spans="1:13" x14ac:dyDescent="0.35">
      <c r="B41" s="87"/>
      <c r="C41" s="85" t="s">
        <v>2726</v>
      </c>
    </row>
    <row r="42" spans="1:13" ht="15.75" customHeight="1" x14ac:dyDescent="0.35">
      <c r="B42" s="85" t="s">
        <v>2727</v>
      </c>
      <c r="C42" s="104" t="s">
        <v>2728</v>
      </c>
    </row>
    <row r="43" spans="1:13" ht="15.75" customHeight="1" x14ac:dyDescent="0.35">
      <c r="B43" s="85" t="s">
        <v>1012</v>
      </c>
      <c r="C43" s="104" t="s">
        <v>2729</v>
      </c>
    </row>
    <row r="45" spans="1:13" ht="15.75" customHeight="1" x14ac:dyDescent="0.35">
      <c r="C45" s="105" t="s">
        <v>2730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34</vt:i4>
      </vt:variant>
    </vt:vector>
  </HeadingPairs>
  <TitlesOfParts>
    <vt:vector size="34" baseType="lpstr">
      <vt:lpstr>會議回覆追蹤</vt:lpstr>
      <vt:lpstr>統計表2.1</vt:lpstr>
      <vt:lpstr>統計表2</vt:lpstr>
      <vt:lpstr>業務統計20211206</vt:lpstr>
      <vt:lpstr>統計表</vt:lpstr>
      <vt:lpstr>統計tmp</vt:lpstr>
      <vt:lpstr>業務統計 (原始)</vt:lpstr>
      <vt:lpstr>業務統計</vt:lpstr>
      <vt:lpstr>URS確認</vt:lpstr>
      <vt:lpstr>工作表2</vt:lpstr>
      <vt:lpstr>工作表3</vt:lpstr>
      <vt:lpstr>User異動待排</vt:lpstr>
      <vt:lpstr>取消交易</vt:lpstr>
      <vt:lpstr>討論項目</vt:lpstr>
      <vt:lpstr>待辦事項</vt:lpstr>
      <vt:lpstr>後續討論</vt:lpstr>
      <vt:lpstr>需二審tmp</vt:lpstr>
      <vt:lpstr>L4完成進度</vt:lpstr>
      <vt:lpstr>L_tmp</vt:lpstr>
      <vt:lpstr>上線注意事項</vt:lpstr>
      <vt:lpstr>追蹤議題備註</vt:lpstr>
      <vt:lpstr>備註</vt:lpstr>
      <vt:lpstr>SKL放款</vt:lpstr>
      <vt:lpstr>URS確認tmp</vt:lpstr>
      <vt:lpstr>討論項目tmp</vt:lpstr>
      <vt:lpstr>待辦事項tmp</vt:lpstr>
      <vt:lpstr>討論待辦tmp</vt:lpstr>
      <vt:lpstr>Menu</vt:lpstr>
      <vt:lpstr>L4_tmp</vt:lpstr>
      <vt:lpstr>工作表1</vt:lpstr>
      <vt:lpstr>20211105匯出</vt:lpstr>
      <vt:lpstr>統計表 (2)</vt:lpstr>
      <vt:lpstr>下週會議</vt:lpstr>
      <vt:lpstr>會議回覆追蹤tmp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Ho</dc:creator>
  <cp:lastModifiedBy>Susan Ho</cp:lastModifiedBy>
  <dcterms:created xsi:type="dcterms:W3CDTF">2021-07-06T08:20:49Z</dcterms:created>
  <dcterms:modified xsi:type="dcterms:W3CDTF">2021-12-28T05:54:17Z</dcterms:modified>
</cp:coreProperties>
</file>