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70C3AC1F-8976-4430-8E66-9715A32C4D7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A" sheetId="84" r:id="rId1"/>
    <sheet name="Original" sheetId="85" r:id="rId2"/>
  </sheets>
  <calcPr calcId="181029"/>
</workbook>
</file>

<file path=xl/calcChain.xml><?xml version="1.0" encoding="utf-8"?>
<calcChain xmlns="http://schemas.openxmlformats.org/spreadsheetml/2006/main">
  <c r="I14" i="84" l="1"/>
  <c r="T14" i="84" s="1"/>
  <c r="AD14" i="84" s="1"/>
  <c r="F14" i="84"/>
  <c r="H14" i="84" s="1"/>
  <c r="S14" i="84" s="1"/>
  <c r="AC14" i="84" s="1"/>
  <c r="C14" i="84"/>
  <c r="N14" i="84" s="1"/>
  <c r="V13" i="84"/>
  <c r="U13" i="84"/>
  <c r="AE13" i="84" s="1"/>
  <c r="T13" i="84"/>
  <c r="S13" i="84"/>
  <c r="R13" i="84"/>
  <c r="AB13" i="84" s="1"/>
  <c r="Q13" i="84"/>
  <c r="P13" i="84"/>
  <c r="O13" i="84"/>
  <c r="Y13" i="84" s="1"/>
  <c r="N13" i="84"/>
  <c r="V12" i="84"/>
  <c r="U12" i="84"/>
  <c r="AE12" i="84" s="1"/>
  <c r="T12" i="84"/>
  <c r="S12" i="84"/>
  <c r="R12" i="84"/>
  <c r="AB12" i="84" s="1"/>
  <c r="Q12" i="84"/>
  <c r="P12" i="84"/>
  <c r="O12" i="84"/>
  <c r="Y12" i="84" s="1"/>
  <c r="N12" i="84"/>
  <c r="V11" i="84"/>
  <c r="U11" i="84"/>
  <c r="AE11" i="84" s="1"/>
  <c r="T11" i="84"/>
  <c r="S11" i="84"/>
  <c r="R11" i="84"/>
  <c r="AB11" i="84" s="1"/>
  <c r="Q11" i="84"/>
  <c r="P11" i="84"/>
  <c r="O11" i="84"/>
  <c r="Y11" i="84" s="1"/>
  <c r="N11" i="84"/>
  <c r="V10" i="84"/>
  <c r="U10" i="84"/>
  <c r="AE10" i="84" s="1"/>
  <c r="T10" i="84"/>
  <c r="S10" i="84"/>
  <c r="R10" i="84"/>
  <c r="AB10" i="84" s="1"/>
  <c r="Q10" i="84"/>
  <c r="P10" i="84"/>
  <c r="O10" i="84"/>
  <c r="Y10" i="84" s="1"/>
  <c r="N10" i="84"/>
  <c r="V9" i="84"/>
  <c r="U9" i="84"/>
  <c r="AE9" i="84" s="1"/>
  <c r="T9" i="84"/>
  <c r="S9" i="84"/>
  <c r="R9" i="84"/>
  <c r="AB9" i="84" s="1"/>
  <c r="Q9" i="84"/>
  <c r="P9" i="84"/>
  <c r="O9" i="84"/>
  <c r="Y9" i="84" s="1"/>
  <c r="N9" i="84"/>
  <c r="V8" i="84"/>
  <c r="U8" i="84"/>
  <c r="AE8" i="84" s="1"/>
  <c r="T8" i="84"/>
  <c r="S8" i="84"/>
  <c r="R8" i="84"/>
  <c r="AB8" i="84" s="1"/>
  <c r="Q8" i="84"/>
  <c r="P8" i="84"/>
  <c r="O8" i="84"/>
  <c r="N8" i="84"/>
  <c r="V7" i="84"/>
  <c r="U7" i="84"/>
  <c r="AE7" i="84" s="1"/>
  <c r="T7" i="84"/>
  <c r="S7" i="84"/>
  <c r="R7" i="84"/>
  <c r="AB7" i="84" s="1"/>
  <c r="Q7" i="84"/>
  <c r="P7" i="84"/>
  <c r="O7" i="84"/>
  <c r="Y7" i="84" s="1"/>
  <c r="N7" i="84"/>
  <c r="BA1" i="84"/>
  <c r="BD1" i="84" s="1"/>
  <c r="J14" i="85"/>
  <c r="U14" i="85" s="1"/>
  <c r="AE14" i="85" s="1"/>
  <c r="I14" i="85"/>
  <c r="T14" i="85" s="1"/>
  <c r="AD14" i="85" s="1"/>
  <c r="G14" i="85"/>
  <c r="R14" i="85" s="1"/>
  <c r="AB14" i="85" s="1"/>
  <c r="F14" i="85"/>
  <c r="Q14" i="85" s="1"/>
  <c r="AA14" i="85" s="1"/>
  <c r="C14" i="85"/>
  <c r="N14" i="85" s="1"/>
  <c r="V13" i="85"/>
  <c r="U13" i="85"/>
  <c r="AE13" i="85" s="1"/>
  <c r="T13" i="85"/>
  <c r="S13" i="85"/>
  <c r="R13" i="85"/>
  <c r="AB13" i="85" s="1"/>
  <c r="Q13" i="85"/>
  <c r="P13" i="85"/>
  <c r="O13" i="85"/>
  <c r="Y13" i="85" s="1"/>
  <c r="N13" i="85"/>
  <c r="V12" i="85"/>
  <c r="U12" i="85"/>
  <c r="AE12" i="85" s="1"/>
  <c r="T12" i="85"/>
  <c r="S12" i="85"/>
  <c r="R12" i="85"/>
  <c r="AB12" i="85" s="1"/>
  <c r="Q12" i="85"/>
  <c r="P12" i="85"/>
  <c r="O12" i="85"/>
  <c r="Y12" i="85" s="1"/>
  <c r="N12" i="85"/>
  <c r="AB11" i="85"/>
  <c r="V11" i="85"/>
  <c r="U11" i="85"/>
  <c r="AE11" i="85" s="1"/>
  <c r="T11" i="85"/>
  <c r="S11" i="85"/>
  <c r="R11" i="85"/>
  <c r="Q11" i="85"/>
  <c r="P11" i="85"/>
  <c r="O11" i="85"/>
  <c r="Y11" i="85" s="1"/>
  <c r="N11" i="85"/>
  <c r="L11" i="85" s="1"/>
  <c r="AB10" i="85"/>
  <c r="V10" i="85"/>
  <c r="U10" i="85"/>
  <c r="AE10" i="85" s="1"/>
  <c r="T10" i="85"/>
  <c r="S10" i="85"/>
  <c r="R10" i="85"/>
  <c r="Q10" i="85"/>
  <c r="P10" i="85"/>
  <c r="O10" i="85"/>
  <c r="Y10" i="85" s="1"/>
  <c r="N10" i="85"/>
  <c r="V9" i="85"/>
  <c r="U9" i="85"/>
  <c r="AE9" i="85" s="1"/>
  <c r="T9" i="85"/>
  <c r="S9" i="85"/>
  <c r="R9" i="85"/>
  <c r="AB9" i="85" s="1"/>
  <c r="Q9" i="85"/>
  <c r="P9" i="85"/>
  <c r="O9" i="85"/>
  <c r="Y9" i="85" s="1"/>
  <c r="N9" i="85"/>
  <c r="V8" i="85"/>
  <c r="U8" i="85"/>
  <c r="AE8" i="85" s="1"/>
  <c r="T8" i="85"/>
  <c r="S8" i="85"/>
  <c r="R8" i="85"/>
  <c r="AB8" i="85" s="1"/>
  <c r="Q8" i="85"/>
  <c r="P8" i="85"/>
  <c r="O8" i="85"/>
  <c r="Y8" i="85" s="1"/>
  <c r="N8" i="85"/>
  <c r="V7" i="85"/>
  <c r="U7" i="85"/>
  <c r="AE7" i="85" s="1"/>
  <c r="T7" i="85"/>
  <c r="S7" i="85"/>
  <c r="R7" i="85"/>
  <c r="AB7" i="85" s="1"/>
  <c r="Q7" i="85"/>
  <c r="P7" i="85"/>
  <c r="O7" i="85"/>
  <c r="Y7" i="85" s="1"/>
  <c r="N7" i="85"/>
  <c r="BA1" i="85"/>
  <c r="BD1" i="85" s="1"/>
  <c r="L12" i="84" l="1"/>
  <c r="Q14" i="84"/>
  <c r="AA14" i="84" s="1"/>
  <c r="G14" i="84"/>
  <c r="R14" i="84" s="1"/>
  <c r="AB14" i="84" s="1"/>
  <c r="L10" i="84"/>
  <c r="L11" i="84"/>
  <c r="L9" i="84"/>
  <c r="L13" i="84"/>
  <c r="X14" i="84"/>
  <c r="L7" i="84"/>
  <c r="J14" i="84"/>
  <c r="U14" i="84" s="1"/>
  <c r="AE14" i="84" s="1"/>
  <c r="K14" i="84"/>
  <c r="V14" i="84" s="1"/>
  <c r="AF14" i="84" s="1"/>
  <c r="BB1" i="84"/>
  <c r="D14" i="84"/>
  <c r="O14" i="84" s="1"/>
  <c r="Y14" i="84" s="1"/>
  <c r="Y8" i="84"/>
  <c r="L8" i="84" s="1"/>
  <c r="E14" i="84"/>
  <c r="P14" i="84" s="1"/>
  <c r="Z14" i="84" s="1"/>
  <c r="BC1" i="84"/>
  <c r="BE1" i="84" s="1"/>
  <c r="L12" i="85"/>
  <c r="L7" i="85"/>
  <c r="L13" i="85"/>
  <c r="L8" i="85"/>
  <c r="X14" i="85"/>
  <c r="L10" i="85"/>
  <c r="H14" i="85"/>
  <c r="S14" i="85" s="1"/>
  <c r="AC14" i="85" s="1"/>
  <c r="L9" i="85"/>
  <c r="K14" i="85"/>
  <c r="V14" i="85" s="1"/>
  <c r="AF14" i="85" s="1"/>
  <c r="BB1" i="85"/>
  <c r="D14" i="85"/>
  <c r="O14" i="85" s="1"/>
  <c r="Y14" i="85" s="1"/>
  <c r="BC1" i="85"/>
  <c r="BE1" i="85" s="1"/>
  <c r="E14" i="85"/>
  <c r="P14" i="85" s="1"/>
  <c r="Z14" i="85" s="1"/>
  <c r="L14" i="84" l="1"/>
  <c r="A1" i="84" s="1"/>
  <c r="L14" i="85"/>
  <c r="A1" i="85"/>
</calcChain>
</file>

<file path=xl/sharedStrings.xml><?xml version="1.0" encoding="utf-8"?>
<sst xmlns="http://schemas.openxmlformats.org/spreadsheetml/2006/main" count="164" uniqueCount="58">
  <si>
    <t>地區別</t>
    <phoneticPr fontId="1" type="noConversion"/>
  </si>
  <si>
    <r>
      <rPr>
        <sz val="12"/>
        <color theme="1"/>
        <rFont val="標楷體"/>
        <family val="4"/>
        <charset val="136"/>
      </rPr>
      <t>台北市</t>
    </r>
    <phoneticPr fontId="1" type="noConversion"/>
  </si>
  <si>
    <r>
      <rPr>
        <sz val="12"/>
        <color theme="1"/>
        <rFont val="標楷體"/>
        <family val="4"/>
        <charset val="136"/>
      </rPr>
      <t>新北市</t>
    </r>
    <phoneticPr fontId="1" type="noConversion"/>
  </si>
  <si>
    <r>
      <rPr>
        <sz val="12"/>
        <color theme="1"/>
        <rFont val="標楷體"/>
        <family val="4"/>
        <charset val="136"/>
      </rPr>
      <t>桃園市</t>
    </r>
    <phoneticPr fontId="1" type="noConversion"/>
  </si>
  <si>
    <r>
      <rPr>
        <sz val="12"/>
        <color theme="1"/>
        <rFont val="標楷體"/>
        <family val="4"/>
        <charset val="136"/>
      </rPr>
      <t>台中市</t>
    </r>
    <phoneticPr fontId="1" type="noConversion"/>
  </si>
  <si>
    <r>
      <rPr>
        <sz val="12"/>
        <color theme="1"/>
        <rFont val="標楷體"/>
        <family val="4"/>
        <charset val="136"/>
      </rPr>
      <t>台南市</t>
    </r>
    <phoneticPr fontId="1" type="noConversion"/>
  </si>
  <si>
    <r>
      <rPr>
        <sz val="12"/>
        <color theme="1"/>
        <rFont val="標楷體"/>
        <family val="4"/>
        <charset val="136"/>
      </rPr>
      <t>高雄市</t>
    </r>
    <phoneticPr fontId="1" type="noConversion"/>
  </si>
  <si>
    <r>
      <rPr>
        <sz val="12"/>
        <color theme="1"/>
        <rFont val="標楷體"/>
        <family val="4"/>
        <charset val="136"/>
      </rPr>
      <t>其他地區</t>
    </r>
    <phoneticPr fontId="1" type="noConversion"/>
  </si>
  <si>
    <t>加權平均
貸款成數(%)</t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</si>
  <si>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</si>
  <si>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</si>
  <si>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</si>
  <si>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</si>
  <si>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</si>
  <si>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</si>
  <si>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</si>
  <si>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</si>
  <si>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</si>
  <si>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</si>
  <si>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</si>
  <si>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</si>
  <si>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</si>
  <si>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</si>
  <si>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</si>
  <si>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</si>
  <si>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</si>
  <si>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</si>
  <si>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年月</t>
    <phoneticPr fontId="28" type="noConversion"/>
  </si>
  <si>
    <t>編號</t>
    <phoneticPr fontId="28" type="noConversion"/>
  </si>
  <si>
    <t>版次</t>
    <phoneticPr fontId="28" type="noConversion"/>
  </si>
  <si>
    <t>B042</t>
    <phoneticPr fontId="1" type="noConversion"/>
  </si>
  <si>
    <t>【說明】</t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</si>
  <si>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</si>
  <si>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</t>
    </r>
    <r>
      <rPr>
        <sz val="12"/>
        <rFont val="標楷體"/>
        <family val="4"/>
        <charset val="136"/>
      </rPr>
      <t>。</t>
    </r>
    <phoneticPr fontId="1" type="noConversion"/>
  </si>
  <si>
    <t>二、報送方式（以網路申報為主，電子郵件傳送為輔）：</t>
    <phoneticPr fontId="1" type="noConversion"/>
  </si>
  <si>
    <t>新承作
撥款金額(億元)</t>
  </si>
  <si>
    <r>
      <rPr>
        <sz val="14"/>
        <rFont val="標楷體"/>
        <family val="4"/>
        <charset val="136"/>
      </rPr>
      <t>資料期間：</t>
    </r>
  </si>
  <si>
    <r>
      <t>B042-</t>
    </r>
    <r>
      <rPr>
        <b/>
        <sz val="18"/>
        <rFont val="標楷體"/>
        <family val="4"/>
        <charset val="136"/>
      </rPr>
      <t>金融機構承作</t>
    </r>
    <r>
      <rPr>
        <b/>
        <sz val="18"/>
        <rFont val="新細明體"/>
        <family val="1"/>
        <charset val="136"/>
      </rPr>
      <t>「</t>
    </r>
    <r>
      <rPr>
        <b/>
        <sz val="18"/>
        <rFont val="標楷體"/>
        <family val="4"/>
        <charset val="136"/>
      </rPr>
      <t>購地貸款」統計表</t>
    </r>
    <r>
      <rPr>
        <b/>
        <sz val="14"/>
        <rFont val="Times New Roman"/>
        <family val="1"/>
      </rPr>
      <t/>
    </r>
    <phoneticPr fontId="1" type="noConversion"/>
  </si>
  <si>
    <t>填報機構：</t>
    <phoneticPr fontId="1" type="noConversion"/>
  </si>
  <si>
    <t>新光人壽保險股份有限公司</t>
    <phoneticPr fontId="1" type="noConversion"/>
  </si>
  <si>
    <t>民國  110  年  12  月</t>
    <phoneticPr fontId="1" type="noConversion"/>
  </si>
  <si>
    <r>
      <t>109.12.8~110.9.23</t>
    </r>
    <r>
      <rPr>
        <sz val="12"/>
        <color theme="1"/>
        <rFont val="標楷體"/>
        <family val="4"/>
        <charset val="136"/>
      </rPr>
      <t>申請案件</t>
    </r>
    <r>
      <rPr>
        <sz val="12"/>
        <color theme="1"/>
        <rFont val="Times New Roman"/>
        <family val="1"/>
      </rP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6.5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</si>
  <si>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110.9.24~110.12.16</t>
    </r>
    <r>
      <rPr>
        <sz val="12"/>
        <rFont val="標楷體"/>
        <family val="4"/>
        <charset val="136"/>
      </rPr>
      <t>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</si>
  <si>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110.12.17</t>
    </r>
    <r>
      <rPr>
        <sz val="12"/>
        <rFont val="標楷體"/>
        <family val="4"/>
        <charset val="136"/>
      </rPr>
      <t>起申請案件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</si>
  <si>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6.5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</si>
  <si>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</si>
  <si>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</si>
  <si>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4"/>
        <charset val="136"/>
      </rPr>
      <t>上限5成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</si>
  <si>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加權平均
貸款利率</t>
    </r>
    <r>
      <rPr>
        <sz val="12"/>
        <rFont val="Times New Roman"/>
        <family val="1"/>
      </rPr>
      <t>(%)</t>
    </r>
    <phoneticPr fontId="1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</si>
  <si>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轉貸及舊貸展期資料無須填列。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 xml:space="preserve">分次撥款案件，請填寫當次撥款金額及核准額度之貸款條件。
    </t>
    </r>
    <r>
      <rPr>
        <sz val="12"/>
        <rFont val="Times New Roman"/>
        <family val="1"/>
      </rPr>
      <t>3.</t>
    </r>
    <r>
      <rPr>
        <sz val="12"/>
        <rFont val="標楷體"/>
        <family val="4"/>
        <charset val="136"/>
      </rPr>
      <t>借款人於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前已向承貸金融機構提出正式之申請書，並經該金融機構錄案辦理之案件，貸款條件得按錄案時之規定辦理；於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後之新申請案件，貸款條件
     應按修正規定辦理。</t>
    </r>
    <phoneticPr fontId="1" type="noConversion"/>
  </si>
  <si>
    <t>許慧玉</t>
    <phoneticPr fontId="1" type="noConversion"/>
  </si>
  <si>
    <t>陳政皓</t>
    <phoneticPr fontId="1" type="noConversion"/>
  </si>
  <si>
    <t>02-23895858#7084</t>
    <phoneticPr fontId="1" type="noConversion"/>
  </si>
  <si>
    <t>02-23895858#7090</t>
    <phoneticPr fontId="1" type="noConversion"/>
  </si>
  <si>
    <t>skem8461@skl.com.tw</t>
    <phoneticPr fontId="1" type="noConversion"/>
  </si>
  <si>
    <t>chchen@skl.com.tw</t>
    <phoneticPr fontId="1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</si>
  <si>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111.1.5</t>
    </r>
    <r>
      <rPr>
        <sz val="12"/>
        <rFont val="標楷體"/>
        <family val="4"/>
        <charset val="136"/>
      </rPr>
      <t>，遇假日順延。</t>
    </r>
    <phoneticPr fontId="1" type="noConversion"/>
  </si>
  <si>
    <r>
      <rPr>
        <sz val="12"/>
        <color theme="1"/>
        <rFont val="標楷體"/>
        <family val="4"/>
        <charset val="136"/>
      </rPr>
      <t>三、本行窗口：陳千鶴專員</t>
    </r>
    <r>
      <rPr>
        <sz val="12"/>
        <color theme="1"/>
        <rFont val="Times New Roman"/>
        <family val="1"/>
      </rPr>
      <t>(02-23571365)</t>
    </r>
    <r>
      <rPr>
        <sz val="12"/>
        <color theme="1"/>
        <rFont val="標楷體"/>
        <family val="4"/>
        <charset val="136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</si>
</sst>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(&quot;$&quot;* #,##0.00_);_(&quot;$&quot;* \(#,##0.00\);_(&quot;$&quot;* &quot;-&quot;??_);_(@_)"/>
    <numFmt numFmtId="177" formatCode="#,##0.00_ "/>
  </numFmts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color theme="3" tint="-0.499984740745262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b/>
      <sz val="18"/>
      <name val="新細明體"/>
      <family val="1"/>
      <charset val="136"/>
    </font>
    <font>
      <b/>
      <sz val="14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4"/>
      </left>
      <right/>
      <top/>
      <bottom/>
      <diagonal/>
    </border>
  </borders>
  <cellStyleXfs count="50">
    <xf numFmtId="0" fontId="0" fillId="0" borderId="0">
      <alignment vertical="center"/>
    </xf>
    <xf numFmtId="0" fontId="4" fillId="0" borderId="0" applyNumberFormat="0" applyBorder="0" applyProtection="0"/>
    <xf numFmtId="0" fontId="5" fillId="0" borderId="0"/>
    <xf numFmtId="0" fontId="5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9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8" borderId="2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47" applyFont="1" applyAlignment="1">
      <alignment horizontal="center" vertical="center"/>
    </xf>
    <xf numFmtId="49" fontId="27" fillId="0" borderId="0" xfId="47" applyNumberFormat="1" applyFont="1" applyAlignment="1">
      <alignment horizontal="center" vertical="center"/>
    </xf>
    <xf numFmtId="0" fontId="2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>
      <alignment vertical="center"/>
    </xf>
    <xf numFmtId="49" fontId="3" fillId="0" borderId="11" xfId="0" applyNumberFormat="1" applyFont="1" applyBorder="1" applyAlignment="1">
      <alignment horizontal="center" vertical="center"/>
    </xf>
    <xf numFmtId="177" fontId="28" fillId="25" borderId="11" xfId="0" applyNumberFormat="1" applyFont="1" applyFill="1" applyBorder="1" applyProtection="1">
      <alignment vertical="center"/>
      <protection locked="0"/>
    </xf>
    <xf numFmtId="0" fontId="29" fillId="0" borderId="11" xfId="0" applyFont="1" applyBorder="1" applyAlignment="1">
      <alignment horizontal="left" vertical="top" wrapText="1"/>
    </xf>
    <xf numFmtId="0" fontId="29" fillId="0" borderId="0" xfId="0" applyFont="1" applyAlignment="1">
      <alignment vertical="top" wrapText="1"/>
    </xf>
    <xf numFmtId="0" fontId="3" fillId="31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32" borderId="0" xfId="0" applyFont="1" applyFill="1">
      <alignment vertical="center"/>
    </xf>
    <xf numFmtId="0" fontId="3" fillId="27" borderId="0" xfId="0" applyFont="1" applyFill="1">
      <alignment vertical="center"/>
    </xf>
    <xf numFmtId="0" fontId="2" fillId="0" borderId="11" xfId="0" applyFont="1" applyBorder="1">
      <alignment vertical="center"/>
    </xf>
    <xf numFmtId="177" fontId="34" fillId="30" borderId="14" xfId="0" applyNumberFormat="1" applyFont="1" applyFill="1" applyBorder="1" applyAlignment="1">
      <alignment horizontal="right" vertical="center"/>
    </xf>
    <xf numFmtId="177" fontId="34" fillId="30" borderId="13" xfId="0" applyNumberFormat="1" applyFont="1" applyFill="1" applyBorder="1" applyAlignment="1">
      <alignment horizontal="right" vertical="center"/>
    </xf>
    <xf numFmtId="177" fontId="34" fillId="30" borderId="11" xfId="0" applyNumberFormat="1" applyFont="1" applyFill="1" applyBorder="1" applyAlignment="1">
      <alignment horizontal="right" vertical="center"/>
    </xf>
    <xf numFmtId="177" fontId="35" fillId="30" borderId="11" xfId="0" applyNumberFormat="1" applyFont="1" applyFill="1" applyBorder="1" applyAlignment="1">
      <alignment horizontal="right" vertical="center"/>
    </xf>
    <xf numFmtId="0" fontId="28" fillId="28" borderId="0" xfId="0" applyFont="1" applyFill="1">
      <alignment vertical="center"/>
    </xf>
    <xf numFmtId="0" fontId="28" fillId="29" borderId="0" xfId="0" applyFont="1" applyFill="1" applyAlignment="1">
      <alignment horizontal="center" vertical="center" wrapText="1"/>
    </xf>
    <xf numFmtId="0" fontId="6" fillId="0" borderId="0" xfId="2" applyFont="1" applyAlignment="1">
      <alignment horizontal="right"/>
    </xf>
    <xf numFmtId="0" fontId="6" fillId="0" borderId="0" xfId="2" applyFont="1"/>
    <xf numFmtId="0" fontId="27" fillId="0" borderId="0" xfId="0" applyFont="1">
      <alignment vertical="center"/>
    </xf>
    <xf numFmtId="177" fontId="28" fillId="0" borderId="11" xfId="0" applyNumberFormat="1" applyFont="1" applyBorder="1" applyProtection="1">
      <alignment vertical="center"/>
      <protection locked="0"/>
    </xf>
    <xf numFmtId="49" fontId="6" fillId="2" borderId="16" xfId="2" applyNumberFormat="1" applyFont="1" applyFill="1" applyBorder="1" applyAlignment="1" applyProtection="1">
      <alignment horizontal="center"/>
      <protection locked="0"/>
    </xf>
    <xf numFmtId="49" fontId="6" fillId="2" borderId="0" xfId="2" applyNumberFormat="1" applyFont="1" applyFill="1" applyAlignment="1" applyProtection="1">
      <alignment horizontal="center"/>
      <protection locked="0"/>
    </xf>
    <xf numFmtId="0" fontId="3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36" fillId="25" borderId="0" xfId="0" applyFont="1" applyFill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9" fillId="25" borderId="0" xfId="0" applyFont="1" applyFill="1" applyAlignment="1" applyProtection="1">
      <alignment horizontal="center" vertical="center"/>
      <protection locked="0"/>
    </xf>
    <xf numFmtId="0" fontId="33" fillId="25" borderId="0" xfId="0" applyFont="1" applyFill="1" applyAlignment="1" applyProtection="1">
      <alignment horizontal="center" vertical="center"/>
      <protection locked="0"/>
    </xf>
    <xf numFmtId="0" fontId="26" fillId="25" borderId="0" xfId="0" applyFont="1" applyFill="1" applyAlignment="1" applyProtection="1">
      <alignment horizontal="center" vertical="center"/>
      <protection locked="0"/>
    </xf>
  </cellXfs>
  <cellStyles count="50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貨幣 2 3" xfId="49" xr:uid="{BD7D9331-A693-4873-A55E-74B3445FDA01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CCFFFF"/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5552-3C83-45D0-BB5D-33C0B60BEEF0}">
  <dimension ref="A1:BM25"/>
  <sheetViews>
    <sheetView tabSelected="1" zoomScale="70" zoomScaleNormal="70" workbookViewId="0">
      <selection activeCell="F2" sqref="F2:H2"/>
    </sheetView>
  </sheetViews>
  <sheetFormatPr defaultColWidth="8.90625" defaultRowHeight="15.5"/>
  <cols>
    <col min="1" max="1" width="14.81640625" style="2" customWidth="1"/>
    <col min="2" max="2" width="10.90625" style="2" customWidth="1"/>
    <col min="3" max="3" width="16.81640625" style="2" customWidth="1"/>
    <col min="4" max="5" width="15.6328125" style="2" customWidth="1"/>
    <col min="6" max="6" width="16.81640625" style="2" customWidth="1"/>
    <col min="7" max="8" width="15.6328125" style="2" customWidth="1"/>
    <col min="9" max="9" width="16.81640625" style="2" customWidth="1"/>
    <col min="10" max="11" width="15.6328125" style="2" customWidth="1"/>
    <col min="12" max="12" width="54.6328125" style="2" customWidth="1"/>
    <col min="13" max="13" width="3.453125" style="2" customWidth="1"/>
    <col min="14" max="65" width="8.90625" style="2" hidden="1" customWidth="1"/>
    <col min="66" max="16384" width="8.90625" style="2"/>
  </cols>
  <sheetData>
    <row r="1" spans="1:62" ht="25">
      <c r="A1" s="1" t="str">
        <f>IF(COUNTBLANK(L7:L14)=8,"","本表有誤")</f>
        <v/>
      </c>
      <c r="B1" s="46" t="s">
        <v>37</v>
      </c>
      <c r="C1" s="46"/>
      <c r="D1" s="46"/>
      <c r="E1" s="46"/>
      <c r="F1" s="46"/>
      <c r="G1" s="46"/>
      <c r="H1" s="46"/>
      <c r="I1" s="46"/>
      <c r="J1" s="46"/>
      <c r="K1" s="46"/>
      <c r="BA1" s="3" t="str">
        <f>SUBSTITUTE(SUBSTITUTE(F3," ",""),"　","")</f>
        <v/>
      </c>
      <c r="BB1" s="3" t="e">
        <f>LEFT(BA1,FIND("月",BA1,1))</f>
        <v>#VALUE!</v>
      </c>
      <c r="BC1" s="4" t="e">
        <f>MID(BA1,FIND("民國",BA1,1)+2,FIND("年",BA1,1)-FIND("民國",BA1,1)-2)</f>
        <v>#VALUE!</v>
      </c>
      <c r="BD1" s="4" t="e">
        <f>MID(BA1,FIND("年",BA1,1)+1,FIND("月",BA1,1)-FIND("年",BA1,1)-1)</f>
        <v>#VALUE!</v>
      </c>
      <c r="BE1" s="4" t="e">
        <f>(BC1+1911) &amp; RIGHT("0" &amp; BD1,2)</f>
        <v>#VALUE!</v>
      </c>
      <c r="BF1" s="3" t="s">
        <v>27</v>
      </c>
      <c r="BG1" s="5" t="s">
        <v>30</v>
      </c>
      <c r="BH1" s="3" t="s">
        <v>28</v>
      </c>
      <c r="BI1" s="4">
        <v>5</v>
      </c>
      <c r="BJ1" s="3" t="s">
        <v>29</v>
      </c>
    </row>
    <row r="2" spans="1:62" s="6" customFormat="1" ht="19.5">
      <c r="E2" s="7" t="s">
        <v>38</v>
      </c>
      <c r="F2" s="48"/>
      <c r="G2" s="49"/>
      <c r="H2" s="49"/>
    </row>
    <row r="3" spans="1:62" s="6" customFormat="1" ht="19.5">
      <c r="E3" s="8" t="s">
        <v>36</v>
      </c>
      <c r="F3" s="47"/>
      <c r="G3" s="47"/>
      <c r="H3" s="47"/>
    </row>
    <row r="5" spans="1:62" ht="17">
      <c r="A5" s="43" t="s">
        <v>0</v>
      </c>
      <c r="B5" s="44" t="s">
        <v>17</v>
      </c>
      <c r="C5" s="39" t="s">
        <v>41</v>
      </c>
      <c r="D5" s="39"/>
      <c r="E5" s="39"/>
      <c r="F5" s="45" t="s">
        <v>42</v>
      </c>
      <c r="G5" s="45"/>
      <c r="H5" s="45"/>
      <c r="I5" s="45" t="s">
        <v>43</v>
      </c>
      <c r="J5" s="45"/>
      <c r="K5" s="45"/>
      <c r="L5" s="41" t="s">
        <v>26</v>
      </c>
      <c r="N5" s="50" t="s">
        <v>44</v>
      </c>
      <c r="O5" s="39"/>
      <c r="P5" s="39"/>
      <c r="Q5" s="39" t="s">
        <v>45</v>
      </c>
      <c r="R5" s="39"/>
      <c r="S5" s="39"/>
      <c r="T5" s="39" t="s">
        <v>46</v>
      </c>
      <c r="U5" s="39"/>
      <c r="V5" s="39"/>
      <c r="X5" s="39" t="s">
        <v>44</v>
      </c>
      <c r="Y5" s="39"/>
      <c r="Z5" s="39"/>
      <c r="AA5" s="39" t="s">
        <v>45</v>
      </c>
      <c r="AB5" s="39"/>
      <c r="AC5" s="39"/>
      <c r="AD5" s="39" t="s">
        <v>47</v>
      </c>
      <c r="AE5" s="39"/>
      <c r="AF5" s="39"/>
    </row>
    <row r="6" spans="1:62" s="16" customFormat="1" ht="68">
      <c r="A6" s="43"/>
      <c r="B6" s="44"/>
      <c r="C6" s="9" t="s">
        <v>35</v>
      </c>
      <c r="D6" s="10" t="s">
        <v>8</v>
      </c>
      <c r="E6" s="11" t="s">
        <v>9</v>
      </c>
      <c r="F6" s="9" t="s">
        <v>35</v>
      </c>
      <c r="G6" s="9" t="s">
        <v>8</v>
      </c>
      <c r="H6" s="11" t="s">
        <v>9</v>
      </c>
      <c r="I6" s="12" t="s">
        <v>35</v>
      </c>
      <c r="J6" s="12" t="s">
        <v>8</v>
      </c>
      <c r="K6" s="13" t="s">
        <v>48</v>
      </c>
      <c r="L6" s="42"/>
      <c r="M6" s="14"/>
      <c r="N6" s="15" t="s">
        <v>10</v>
      </c>
      <c r="O6" s="9" t="s">
        <v>8</v>
      </c>
      <c r="P6" s="11" t="s">
        <v>9</v>
      </c>
      <c r="Q6" s="9" t="s">
        <v>10</v>
      </c>
      <c r="R6" s="9" t="s">
        <v>8</v>
      </c>
      <c r="S6" s="11" t="s">
        <v>9</v>
      </c>
      <c r="T6" s="9" t="s">
        <v>10</v>
      </c>
      <c r="U6" s="9" t="s">
        <v>8</v>
      </c>
      <c r="V6" s="11" t="s">
        <v>9</v>
      </c>
      <c r="X6" s="9" t="s">
        <v>10</v>
      </c>
      <c r="Y6" s="9" t="s">
        <v>8</v>
      </c>
      <c r="Z6" s="11" t="s">
        <v>9</v>
      </c>
      <c r="AA6" s="9" t="s">
        <v>10</v>
      </c>
      <c r="AB6" s="9" t="s">
        <v>8</v>
      </c>
      <c r="AC6" s="11" t="s">
        <v>9</v>
      </c>
      <c r="AD6" s="9" t="s">
        <v>10</v>
      </c>
      <c r="AE6" s="9" t="s">
        <v>8</v>
      </c>
      <c r="AF6" s="11" t="s">
        <v>9</v>
      </c>
    </row>
    <row r="7" spans="1:62" ht="27.9" customHeight="1">
      <c r="A7" s="17" t="s">
        <v>1</v>
      </c>
      <c r="B7" s="18" t="s">
        <v>18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20" t="str">
        <f>N7&amp;O7&amp;P7&amp;Q7&amp;R7&amp;S7&amp;T7&amp;U7&amp;V7&amp;Y7&amp;AB7&amp;AE7</f>
        <v/>
      </c>
      <c r="M7" s="21"/>
      <c r="N7" s="22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O7" s="22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P7" s="22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Q7" s="23" t="str">
        <f>IF(F7="","",IF(OR(F7&lt;0,F7&gt;99999999.99),"110.9.24~110.12.16申請案件[撥款金額]須為小於9位之正數,",IF(F7&lt;&gt;ROUND(F7,2),"110.9.24~110.12.16申請案件[撥款金額]須四捨五入至小數下2位,","")))</f>
        <v/>
      </c>
      <c r="R7" s="23" t="str">
        <f>IF(G7="","",IF(G7&gt;99.99,"110.9.24~110.12.16申請案件[加權平均貸款成數]整數位數須小於3位數,",IF(G7&lt;&gt;ROUND(G7,2),"110.9.24~110.12.16申請案件[加權平均貸款成數]小數位數至多為2位,","")))</f>
        <v/>
      </c>
      <c r="S7" s="23" t="str">
        <f>IF(H7="","",IF(H7&gt;99.99,"110.9.24~110.12.16申請案件[加權平均貸款利率]整數位數須小於3位數,",IF(H7&lt;&gt;ROUND(H7,2),"110.9.24~110.12.16申請案件[加權平均貸款利率]小數位數至多為2位,","")))</f>
        <v/>
      </c>
      <c r="T7" s="24" t="str">
        <f>IF(I7="","",IF(OR(I7&lt;0,I7&gt;99999999.99),"110.12.17起申請案件[撥款金額]須為小於9位之正數,",IF(I7&lt;&gt;ROUND(I7,2),"110.12.17起申請案件[撥款金額]須四捨五入至小數下2位,","")))</f>
        <v/>
      </c>
      <c r="U7" s="24" t="str">
        <f>IF(J7="","",IF(J7&gt;99.99,"110.12.17起申請案件[加權平均貸款成數]整數位數須小於3位數,",IF(J7&lt;&gt;ROUND(J7,2),"110.12.17起申請案件[加權平均貸款成數]小數位數至多為2位,","")))</f>
        <v/>
      </c>
      <c r="V7" s="24" t="str">
        <f>IF(K7="","",IF(K7&gt;99.99,"110.12.17起申請案件[加權平均貸款利率]整數位數須小於3位數,",IF(K7&lt;&gt;ROUND(K7,2),"110.12.17起申請案件[加權平均貸款利率]小數位數至多為2位,","")))</f>
        <v/>
      </c>
      <c r="Y7" s="25" t="str">
        <f>IF(O7="",IF(D7&gt;65,"109.12.8~110.9.23申請案件加權平均貸款成數最高為6.5成,",""),"")</f>
        <v/>
      </c>
      <c r="AB7" s="25" t="str">
        <f>IF(R7="",IF(G7&gt;60,"110.9.24起申請案件加權平均貸款成數最高為6成,",""),"")</f>
        <v/>
      </c>
      <c r="AE7" s="25" t="str">
        <f>IF(U7="",IF(J7&gt;50,"110.12.17起申請案件加權平均貸款成數最高為5成,",""),"")</f>
        <v/>
      </c>
    </row>
    <row r="8" spans="1:62" ht="27.9" customHeight="1">
      <c r="A8" s="17" t="s">
        <v>2</v>
      </c>
      <c r="B8" s="18" t="s">
        <v>19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20" t="str">
        <f t="shared" ref="L8:L14" si="0">N8&amp;O8&amp;P8&amp;Q8&amp;R8&amp;S8&amp;T8&amp;U8&amp;V8&amp;Y8&amp;AB8&amp;AE8</f>
        <v/>
      </c>
      <c r="M8" s="21"/>
      <c r="N8" s="22" t="str">
        <f t="shared" ref="N8:N14" si="1">IF(C8="","",IF(OR(C8&lt;0,C8&gt;99999999.99),"109.12.8~110.9.23申請案件[撥款金額]須為小於9位之正數,",IF(C8&lt;&gt;ROUND(C8,2),"109.12.8~110.9.23申請案件[撥款金額]須四捨五入至小數下2位,","")))</f>
        <v/>
      </c>
      <c r="O8" s="22" t="str">
        <f t="shared" ref="O8:O14" si="2">IF(D8="","",IF(D8&gt;99.99,"109.12.8~110.9.23申請案件[加權平均貸款成數]整數位數須小於3位數,",IF(D8&lt;&gt;ROUND(D8,2),"109.12.8~110.9.23申請案件[加權平均貸款成數]小數位數至多為2位,","")))</f>
        <v/>
      </c>
      <c r="P8" s="22" t="str">
        <f t="shared" ref="P8:P14" si="3">IF(E8="","",IF(E8&gt;99.99,"109.12.8~110.9.23申請案件[加權平均貸款利率]整數位數須小於3位數,",IF(E8&lt;&gt;ROUND(E8,2),"109.12.8~110.9.23申請案件[加權平均貸款利率]小數位數至多為2位,","")))</f>
        <v/>
      </c>
      <c r="Q8" s="23" t="str">
        <f t="shared" ref="Q8:Q14" si="4">IF(F8="","",IF(OR(F8&lt;0,F8&gt;99999999.99),"110.9.24~110.12.16申請案件[撥款金額]須為小於9位之正數,",IF(F8&lt;&gt;ROUND(F8,2),"110.9.24~110.12.16申請案件[撥款金額]須四捨五入至小數下2位,","")))</f>
        <v/>
      </c>
      <c r="R8" s="23" t="str">
        <f t="shared" ref="R8:R14" si="5">IF(G8="","",IF(G8&gt;99.99,"110.9.24~110.12.16申請案件[加權平均貸款成數]整數位數須小於3位數,",IF(G8&lt;&gt;ROUND(G8,2),"110.9.24~110.12.16申請案件[加權平均貸款成數]小數位數至多為2位,","")))</f>
        <v/>
      </c>
      <c r="S8" s="23" t="str">
        <f t="shared" ref="S8:S14" si="6">IF(H8="","",IF(H8&gt;99.99,"110.9.24~110.12.16申請案件[加權平均貸款利率]整數位數須小於3位數,",IF(H8&lt;&gt;ROUND(H8,2),"110.9.24~110.12.16申請案件[加權平均貸款利率]小數位數至多為2位,","")))</f>
        <v/>
      </c>
      <c r="T8" s="24" t="str">
        <f t="shared" ref="T8:T14" si="7">IF(I8="","",IF(OR(I8&lt;0,I8&gt;99999999.99),"110.12.17起申請案件[撥款金額]須為小於9位之正數,",IF(I8&lt;&gt;ROUND(I8,2),"110.12.17起申請案件[撥款金額]須四捨五入至小數下2位,","")))</f>
        <v/>
      </c>
      <c r="U8" s="24" t="str">
        <f t="shared" ref="U8:U14" si="8">IF(J8="","",IF(J8&gt;99.99,"110.12.17起申請案件[加權平均貸款成數]整數位數須小於3位數,",IF(J8&lt;&gt;ROUND(J8,2),"110.12.17起申請案件[加權平均貸款成數]小數位數至多為2位,","")))</f>
        <v/>
      </c>
      <c r="V8" s="24" t="str">
        <f t="shared" ref="V8:V14" si="9">IF(K8="","",IF(K8&gt;99.99,"110.12.17起申請案件[加權平均貸款利率]整數位數須小於3位數,",IF(K8&lt;&gt;ROUND(K8,2),"110.12.17起申請案件[加權平均貸款利率]小數位數至多為2位,","")))</f>
        <v/>
      </c>
      <c r="Y8" s="25" t="str">
        <f t="shared" ref="Y8:Y13" si="10">IF(O8="",IF(D8&gt;65,"109.12.8~110.9.23申請案件加權平均貸款成數最高為6.5成,",""),"")</f>
        <v/>
      </c>
      <c r="AB8" s="25" t="str">
        <f t="shared" ref="AB8:AB13" si="11">IF(R8="",IF(G8&gt;60,"110.9.24起申請案件加權平均貸款成數最高為6成,",""),"")</f>
        <v/>
      </c>
      <c r="AE8" s="25" t="str">
        <f t="shared" ref="AE8:AE13" si="12">IF(U8="",IF(J8&gt;50,"110.12.17起申請案件加權平均貸款成數最高為5成,",""),"")</f>
        <v/>
      </c>
    </row>
    <row r="9" spans="1:62" ht="27.9" customHeight="1">
      <c r="A9" s="17" t="s">
        <v>3</v>
      </c>
      <c r="B9" s="18" t="s">
        <v>20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20" t="str">
        <f t="shared" si="0"/>
        <v/>
      </c>
      <c r="M9" s="21"/>
      <c r="N9" s="22" t="str">
        <f t="shared" si="1"/>
        <v/>
      </c>
      <c r="O9" s="22" t="str">
        <f>IF(D9="","",IF(D9&gt;99.99,"109.12.8~110.9.23申請案件[加權平均貸款成數]整數位數須小於3位數,",IF(D9&lt;&gt;ROUND(D9,2),"109.12.8~110.9.23申請案件[加權平均貸款成數]小數位數至多為2位,","")))</f>
        <v/>
      </c>
      <c r="P9" s="22" t="str">
        <f t="shared" si="3"/>
        <v/>
      </c>
      <c r="Q9" s="23" t="str">
        <f t="shared" si="4"/>
        <v/>
      </c>
      <c r="R9" s="23" t="str">
        <f t="shared" si="5"/>
        <v/>
      </c>
      <c r="S9" s="23" t="str">
        <f t="shared" si="6"/>
        <v/>
      </c>
      <c r="T9" s="24" t="str">
        <f t="shared" si="7"/>
        <v/>
      </c>
      <c r="U9" s="24" t="str">
        <f t="shared" si="8"/>
        <v/>
      </c>
      <c r="V9" s="24" t="str">
        <f t="shared" si="9"/>
        <v/>
      </c>
      <c r="Y9" s="25" t="str">
        <f>IF(O9="",IF(D9&gt;65,"109.12.8~110.9.23申請案件加權平均貸款成數最高為6.5成,",""),"")</f>
        <v/>
      </c>
      <c r="AB9" s="25" t="str">
        <f t="shared" si="11"/>
        <v/>
      </c>
      <c r="AE9" s="25" t="str">
        <f t="shared" si="12"/>
        <v/>
      </c>
    </row>
    <row r="10" spans="1:62" ht="27.9" customHeight="1">
      <c r="A10" s="17" t="s">
        <v>4</v>
      </c>
      <c r="B10" s="18" t="s">
        <v>21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20" t="str">
        <f t="shared" si="0"/>
        <v/>
      </c>
      <c r="M10" s="21"/>
      <c r="N10" s="22" t="str">
        <f t="shared" si="1"/>
        <v/>
      </c>
      <c r="O10" s="22" t="str">
        <f t="shared" si="2"/>
        <v/>
      </c>
      <c r="P10" s="22" t="str">
        <f t="shared" si="3"/>
        <v/>
      </c>
      <c r="Q10" s="23" t="str">
        <f t="shared" si="4"/>
        <v/>
      </c>
      <c r="R10" s="23" t="str">
        <f t="shared" si="5"/>
        <v/>
      </c>
      <c r="S10" s="23" t="str">
        <f t="shared" si="6"/>
        <v/>
      </c>
      <c r="T10" s="24" t="str">
        <f t="shared" si="7"/>
        <v/>
      </c>
      <c r="U10" s="24" t="str">
        <f t="shared" si="8"/>
        <v/>
      </c>
      <c r="V10" s="24" t="str">
        <f t="shared" si="9"/>
        <v/>
      </c>
      <c r="Y10" s="25" t="str">
        <f t="shared" si="10"/>
        <v/>
      </c>
      <c r="AB10" s="25" t="str">
        <f t="shared" si="11"/>
        <v/>
      </c>
      <c r="AE10" s="25" t="str">
        <f t="shared" si="12"/>
        <v/>
      </c>
    </row>
    <row r="11" spans="1:62" ht="27.9" customHeight="1">
      <c r="A11" s="17" t="s">
        <v>5</v>
      </c>
      <c r="B11" s="18" t="s">
        <v>22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20" t="str">
        <f t="shared" si="0"/>
        <v/>
      </c>
      <c r="M11" s="21"/>
      <c r="N11" s="22" t="str">
        <f t="shared" si="1"/>
        <v/>
      </c>
      <c r="O11" s="22" t="str">
        <f t="shared" si="2"/>
        <v/>
      </c>
      <c r="P11" s="22" t="str">
        <f t="shared" si="3"/>
        <v/>
      </c>
      <c r="Q11" s="23" t="str">
        <f t="shared" si="4"/>
        <v/>
      </c>
      <c r="R11" s="23" t="str">
        <f t="shared" si="5"/>
        <v/>
      </c>
      <c r="S11" s="23" t="str">
        <f t="shared" si="6"/>
        <v/>
      </c>
      <c r="T11" s="24" t="str">
        <f t="shared" si="7"/>
        <v/>
      </c>
      <c r="U11" s="24" t="str">
        <f t="shared" si="8"/>
        <v/>
      </c>
      <c r="V11" s="24" t="str">
        <f t="shared" si="9"/>
        <v/>
      </c>
      <c r="Y11" s="25" t="str">
        <f t="shared" si="10"/>
        <v/>
      </c>
      <c r="AB11" s="25" t="str">
        <f t="shared" si="11"/>
        <v/>
      </c>
      <c r="AE11" s="25" t="str">
        <f t="shared" si="12"/>
        <v/>
      </c>
    </row>
    <row r="12" spans="1:62" ht="27.9" customHeight="1">
      <c r="A12" s="17" t="s">
        <v>6</v>
      </c>
      <c r="B12" s="18" t="s">
        <v>23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20" t="str">
        <f t="shared" si="0"/>
        <v/>
      </c>
      <c r="M12" s="21"/>
      <c r="N12" s="22" t="str">
        <f t="shared" si="1"/>
        <v/>
      </c>
      <c r="O12" s="22" t="str">
        <f t="shared" si="2"/>
        <v/>
      </c>
      <c r="P12" s="22" t="str">
        <f t="shared" si="3"/>
        <v/>
      </c>
      <c r="Q12" s="23" t="str">
        <f t="shared" si="4"/>
        <v/>
      </c>
      <c r="R12" s="23" t="str">
        <f t="shared" si="5"/>
        <v/>
      </c>
      <c r="S12" s="23" t="str">
        <f t="shared" si="6"/>
        <v/>
      </c>
      <c r="T12" s="24" t="str">
        <f t="shared" si="7"/>
        <v/>
      </c>
      <c r="U12" s="24" t="str">
        <f t="shared" si="8"/>
        <v/>
      </c>
      <c r="V12" s="24" t="str">
        <f t="shared" si="9"/>
        <v/>
      </c>
      <c r="Y12" s="25" t="str">
        <f t="shared" si="10"/>
        <v/>
      </c>
      <c r="AB12" s="25" t="str">
        <f t="shared" si="11"/>
        <v/>
      </c>
      <c r="AE12" s="25" t="str">
        <f t="shared" si="12"/>
        <v/>
      </c>
    </row>
    <row r="13" spans="1:62" ht="27.9" customHeight="1">
      <c r="A13" s="17" t="s">
        <v>7</v>
      </c>
      <c r="B13" s="18" t="s">
        <v>24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20" t="str">
        <f t="shared" si="0"/>
        <v/>
      </c>
      <c r="M13" s="21"/>
      <c r="N13" s="22" t="str">
        <f t="shared" si="1"/>
        <v/>
      </c>
      <c r="O13" s="22" t="str">
        <f t="shared" si="2"/>
        <v/>
      </c>
      <c r="P13" s="22" t="str">
        <f t="shared" si="3"/>
        <v/>
      </c>
      <c r="Q13" s="23" t="str">
        <f t="shared" si="4"/>
        <v/>
      </c>
      <c r="R13" s="23" t="str">
        <f t="shared" si="5"/>
        <v/>
      </c>
      <c r="S13" s="23" t="str">
        <f t="shared" si="6"/>
        <v/>
      </c>
      <c r="T13" s="24" t="str">
        <f t="shared" si="7"/>
        <v/>
      </c>
      <c r="U13" s="24" t="str">
        <f t="shared" si="8"/>
        <v/>
      </c>
      <c r="V13" s="24" t="str">
        <f t="shared" si="9"/>
        <v/>
      </c>
      <c r="Y13" s="25" t="str">
        <f t="shared" si="10"/>
        <v/>
      </c>
      <c r="AB13" s="25" t="str">
        <f t="shared" si="11"/>
        <v/>
      </c>
      <c r="AE13" s="25" t="str">
        <f t="shared" si="12"/>
        <v/>
      </c>
    </row>
    <row r="14" spans="1:62" ht="18">
      <c r="A14" s="26" t="s">
        <v>11</v>
      </c>
      <c r="B14" s="18" t="s">
        <v>25</v>
      </c>
      <c r="C14" s="27">
        <f>SUM(C7:C13)</f>
        <v>0</v>
      </c>
      <c r="D14" s="28">
        <f>IF(C14=0,0,ROUND(SUMPRODUCT(C7:C13,D7:D13)/C14,2))</f>
        <v>0</v>
      </c>
      <c r="E14" s="29">
        <f>IF(C14=0,0,ROUND(SUMPRODUCT(C7:C13,E7:E13)/C14,2))</f>
        <v>0</v>
      </c>
      <c r="F14" s="29">
        <f>SUM(F7:F13)</f>
        <v>0</v>
      </c>
      <c r="G14" s="29">
        <f>IF(F14=0,0,ROUND(SUMPRODUCT(F7:F13,G7:G13)/F14,2))</f>
        <v>0</v>
      </c>
      <c r="H14" s="29">
        <f>IF(F14=0,0,ROUND(SUMPRODUCT(F7:F13,H7:H13)/F14,2))</f>
        <v>0</v>
      </c>
      <c r="I14" s="30">
        <f>SUM(I7:I13)</f>
        <v>0</v>
      </c>
      <c r="J14" s="30">
        <f>IF(I14=0,0,ROUND(SUMPRODUCT(I7:I13,J7:J13)/I14,2))</f>
        <v>0</v>
      </c>
      <c r="K14" s="30">
        <f>IF(I14=0,0,ROUND(SUMPRODUCT(I7:I13,K7:K13)/I14,2))</f>
        <v>0</v>
      </c>
      <c r="L14" s="20" t="str">
        <f t="shared" si="0"/>
        <v/>
      </c>
      <c r="M14" s="21"/>
      <c r="N14" s="22" t="str">
        <f t="shared" si="1"/>
        <v/>
      </c>
      <c r="O14" s="22" t="str">
        <f t="shared" si="2"/>
        <v/>
      </c>
      <c r="P14" s="22" t="str">
        <f t="shared" si="3"/>
        <v/>
      </c>
      <c r="Q14" s="23" t="str">
        <f t="shared" si="4"/>
        <v/>
      </c>
      <c r="R14" s="23" t="str">
        <f t="shared" si="5"/>
        <v/>
      </c>
      <c r="S14" s="23" t="str">
        <f t="shared" si="6"/>
        <v/>
      </c>
      <c r="T14" s="24" t="str">
        <f t="shared" si="7"/>
        <v/>
      </c>
      <c r="U14" s="24" t="str">
        <f t="shared" si="8"/>
        <v/>
      </c>
      <c r="V14" s="24" t="str">
        <f t="shared" si="9"/>
        <v/>
      </c>
      <c r="X14" s="31" t="str">
        <f>IF(N14="",IF(C14&lt;&gt;SUM(C7:C13),"109.12.8~110.9.23申請案件[撥款金額]_全國(合計數)錯誤,",""),"")</f>
        <v/>
      </c>
      <c r="Y14" s="32" t="str">
        <f>IF(O14="",IF(D14&gt;65,"   109.12.8~110.9.23申請案件加權平均貸款成數最高為6.5成,",IF(C14=0,"",IF(D14&lt;&gt;ROUND(SUMPRODUCT(C7:C13,D7:D13)/C14,2),"109.12.8~110.9.23申請案件[加權平均貸款成數]_全國(合計數)錯誤,",""))),"")</f>
        <v/>
      </c>
      <c r="Z14" s="31" t="str">
        <f>IF(P14="",IF(C14=0,"",IF(E14&lt;&gt;ROUND(SUMPRODUCT(C7:C13,E7:E13)/C14,2),"109.12.8~110.9.23申請案件[加權平均貸款利率]_全國(合計數)錯誤,","")),"")</f>
        <v/>
      </c>
      <c r="AA14" s="31" t="str">
        <f>IF(Q14="",IF(F14&lt;&gt;SUM(F7:F13),"110.9.24起申請案件[撥款金額]_全國(合計數)錯誤,",""),"")</f>
        <v/>
      </c>
      <c r="AB14" s="32" t="str">
        <f>IF(R14="",IF(G14&gt;60,"   110.9.24起申請案件加權平均貸款成數最高為6成,",IF(F14=0,"",IF(G14&lt;&gt;ROUND(SUMPRODUCT(F7:F13,G7:G13)/F14,2),"110.9.24起申請案件[加權平均貸款成數]_全國(合計數)錯誤,",""))),"")</f>
        <v/>
      </c>
      <c r="AC14" s="31" t="str">
        <f>IF(S14="",IF(F14=0,"",IF(H14&lt;&gt;ROUND(SUMPRODUCT(F7:F13,H7:H13)/F14,2),"110.9.24起申請案件[加權平均貸款利率]_全國(合計數)錯誤,","")),"")</f>
        <v/>
      </c>
      <c r="AD14" s="31" t="str">
        <f>IF(T14="",IF(I14&lt;&gt;SUM(I7:I13),"110.12.17起申請案件[撥款金額]_全國(合計數)錯誤,",""),"")</f>
        <v/>
      </c>
      <c r="AE14" s="32" t="str">
        <f>IF(U14="",IF(J14&gt;50,"   110.12.17起申請案件加權平均貸款成數最高為5成,",IF(I14=0,"",IF(J14&lt;&gt;ROUND(SUMPRODUCT(I7:I13,J7:J13)/I14,2),"110.12.17起申請案件[加權平均貸款成數]_全國(合計數)錯誤,",""))),"")</f>
        <v/>
      </c>
      <c r="AF14" s="31" t="str">
        <f>IF(V14="",IF(I14=0,"",IF(K14&lt;&gt;ROUND(SUMPRODUCT(I7:I13,K7:K13)/I14,2),"110.12.17起申請案件[加權平均貸款利率]_全國(合計數)錯誤,","")),"")</f>
        <v/>
      </c>
    </row>
    <row r="15" spans="1:62">
      <c r="A15" s="40" t="s">
        <v>49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</row>
    <row r="16" spans="1:62" ht="19.5">
      <c r="A16" s="33" t="s">
        <v>16</v>
      </c>
      <c r="B16" s="37"/>
      <c r="C16" s="38"/>
      <c r="D16" s="38"/>
      <c r="E16" s="33" t="s">
        <v>12</v>
      </c>
      <c r="F16" s="37"/>
      <c r="G16" s="38"/>
      <c r="H16" s="38"/>
      <c r="I16" s="33" t="s">
        <v>13</v>
      </c>
      <c r="J16" s="37"/>
      <c r="K16" s="38"/>
      <c r="M16" s="34"/>
      <c r="N16" s="34"/>
    </row>
    <row r="17" spans="1:14" ht="19.5">
      <c r="A17" s="33" t="s">
        <v>14</v>
      </c>
      <c r="B17" s="37"/>
      <c r="C17" s="38"/>
      <c r="D17" s="38"/>
      <c r="E17" s="33" t="s">
        <v>14</v>
      </c>
      <c r="F17" s="37"/>
      <c r="G17" s="38"/>
      <c r="H17" s="38"/>
      <c r="I17" s="33" t="s">
        <v>14</v>
      </c>
      <c r="J17" s="37"/>
      <c r="K17" s="38"/>
      <c r="M17" s="34"/>
      <c r="N17" s="34"/>
    </row>
    <row r="18" spans="1:14" ht="19.5">
      <c r="A18" s="33" t="s">
        <v>15</v>
      </c>
      <c r="B18" s="37"/>
      <c r="C18" s="38"/>
      <c r="D18" s="38"/>
      <c r="E18" s="33" t="s">
        <v>15</v>
      </c>
      <c r="F18" s="37"/>
      <c r="G18" s="38"/>
      <c r="H18" s="38"/>
      <c r="I18" s="33" t="s">
        <v>15</v>
      </c>
      <c r="J18" s="37"/>
      <c r="K18" s="38"/>
      <c r="M18" s="34"/>
      <c r="N18" s="34"/>
    </row>
    <row r="20" spans="1:14" ht="17">
      <c r="A20" s="35" t="s">
        <v>31</v>
      </c>
    </row>
    <row r="21" spans="1:14" ht="17">
      <c r="A21" s="6" t="s">
        <v>56</v>
      </c>
    </row>
    <row r="22" spans="1:14" ht="17">
      <c r="A22" s="14" t="s">
        <v>34</v>
      </c>
    </row>
    <row r="23" spans="1:14" ht="17">
      <c r="A23" s="6" t="s">
        <v>32</v>
      </c>
    </row>
    <row r="24" spans="1:14" ht="17">
      <c r="A24" s="6" t="s">
        <v>33</v>
      </c>
    </row>
    <row r="25" spans="1:14" ht="17">
      <c r="A25" s="2" t="s">
        <v>57</v>
      </c>
    </row>
  </sheetData>
  <mergeCells count="25">
    <mergeCell ref="B1:K1"/>
    <mergeCell ref="F3:H3"/>
    <mergeCell ref="F2:H2"/>
    <mergeCell ref="N5:P5"/>
    <mergeCell ref="Q5:S5"/>
    <mergeCell ref="X5:Z5"/>
    <mergeCell ref="AA5:AC5"/>
    <mergeCell ref="AD5:AF5"/>
    <mergeCell ref="A15:L15"/>
    <mergeCell ref="B16:D16"/>
    <mergeCell ref="F16:H16"/>
    <mergeCell ref="J16:K16"/>
    <mergeCell ref="L5:L6"/>
    <mergeCell ref="A5:A6"/>
    <mergeCell ref="B5:B6"/>
    <mergeCell ref="C5:E5"/>
    <mergeCell ref="F5:H5"/>
    <mergeCell ref="I5:K5"/>
    <mergeCell ref="T5:V5"/>
    <mergeCell ref="B17:D17"/>
    <mergeCell ref="F17:H17"/>
    <mergeCell ref="J17:K17"/>
    <mergeCell ref="B18:D18"/>
    <mergeCell ref="F18:H18"/>
    <mergeCell ref="J18:K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B651-D454-4A9A-89F1-4582A6CDA6DB}">
  <dimension ref="A1:BM25"/>
  <sheetViews>
    <sheetView workbookViewId="0">
      <selection sqref="A1:XFD1048576"/>
    </sheetView>
  </sheetViews>
  <sheetFormatPr defaultColWidth="8.90625" defaultRowHeight="15.5"/>
  <cols>
    <col min="1" max="1" width="14.81640625" style="2" customWidth="1"/>
    <col min="2" max="2" width="10.90625" style="2" customWidth="1"/>
    <col min="3" max="3" width="16.81640625" style="2" customWidth="1"/>
    <col min="4" max="5" width="15.6328125" style="2" customWidth="1"/>
    <col min="6" max="6" width="16.81640625" style="2" customWidth="1"/>
    <col min="7" max="8" width="15.6328125" style="2" customWidth="1"/>
    <col min="9" max="9" width="16.81640625" style="2" customWidth="1"/>
    <col min="10" max="11" width="15.6328125" style="2" customWidth="1"/>
    <col min="12" max="12" width="54.6328125" style="2" customWidth="1"/>
    <col min="13" max="13" width="3.453125" style="2" customWidth="1"/>
    <col min="14" max="65" width="8.90625" style="2" hidden="1" customWidth="1"/>
    <col min="66" max="16384" width="8.90625" style="2"/>
  </cols>
  <sheetData>
    <row r="1" spans="1:62" ht="25">
      <c r="A1" s="1" t="str">
        <f>IF(COUNTBLANK(L7:L14)=8,"","本表有誤")</f>
        <v/>
      </c>
      <c r="B1" s="46" t="s">
        <v>37</v>
      </c>
      <c r="C1" s="46"/>
      <c r="D1" s="46"/>
      <c r="E1" s="46"/>
      <c r="F1" s="46"/>
      <c r="G1" s="46"/>
      <c r="H1" s="46"/>
      <c r="I1" s="46"/>
      <c r="J1" s="46"/>
      <c r="K1" s="46"/>
      <c r="BA1" s="3" t="str">
        <f>SUBSTITUTE(SUBSTITUTE(F3," ",""),"　","")</f>
        <v>民國110年12月</v>
      </c>
      <c r="BB1" s="3" t="str">
        <f>LEFT(BA1,FIND("月",BA1,1))</f>
        <v>民國110年12月</v>
      </c>
      <c r="BC1" s="4" t="str">
        <f>MID(BA1,FIND("民國",BA1,1)+2,FIND("年",BA1,1)-FIND("民國",BA1,1)-2)</f>
        <v>110</v>
      </c>
      <c r="BD1" s="4" t="str">
        <f>MID(BA1,FIND("年",BA1,1)+1,FIND("月",BA1,1)-FIND("年",BA1,1)-1)</f>
        <v>12</v>
      </c>
      <c r="BE1" s="4" t="str">
        <f>(BC1+1911) &amp; RIGHT("0" &amp; BD1,2)</f>
        <v>202112</v>
      </c>
      <c r="BF1" s="3" t="s">
        <v>27</v>
      </c>
      <c r="BG1" s="5" t="s">
        <v>30</v>
      </c>
      <c r="BH1" s="3" t="s">
        <v>28</v>
      </c>
      <c r="BI1" s="4">
        <v>5</v>
      </c>
      <c r="BJ1" s="3" t="s">
        <v>29</v>
      </c>
    </row>
    <row r="2" spans="1:62" s="6" customFormat="1" ht="19.5">
      <c r="E2" s="7" t="s">
        <v>38</v>
      </c>
      <c r="F2" s="51" t="s">
        <v>39</v>
      </c>
      <c r="G2" s="52"/>
      <c r="H2" s="52"/>
    </row>
    <row r="3" spans="1:62" s="6" customFormat="1" ht="19.5">
      <c r="E3" s="8" t="s">
        <v>36</v>
      </c>
      <c r="F3" s="53" t="s">
        <v>40</v>
      </c>
      <c r="G3" s="53"/>
      <c r="H3" s="53"/>
    </row>
    <row r="5" spans="1:62" ht="17">
      <c r="A5" s="43" t="s">
        <v>0</v>
      </c>
      <c r="B5" s="44" t="s">
        <v>17</v>
      </c>
      <c r="C5" s="39" t="s">
        <v>41</v>
      </c>
      <c r="D5" s="39"/>
      <c r="E5" s="39"/>
      <c r="F5" s="45" t="s">
        <v>42</v>
      </c>
      <c r="G5" s="45"/>
      <c r="H5" s="45"/>
      <c r="I5" s="45" t="s">
        <v>43</v>
      </c>
      <c r="J5" s="45"/>
      <c r="K5" s="45"/>
      <c r="L5" s="41" t="s">
        <v>26</v>
      </c>
      <c r="N5" s="50" t="s">
        <v>44</v>
      </c>
      <c r="O5" s="39"/>
      <c r="P5" s="39"/>
      <c r="Q5" s="39" t="s">
        <v>45</v>
      </c>
      <c r="R5" s="39"/>
      <c r="S5" s="39"/>
      <c r="T5" s="39" t="s">
        <v>46</v>
      </c>
      <c r="U5" s="39"/>
      <c r="V5" s="39"/>
      <c r="X5" s="39" t="s">
        <v>44</v>
      </c>
      <c r="Y5" s="39"/>
      <c r="Z5" s="39"/>
      <c r="AA5" s="39" t="s">
        <v>45</v>
      </c>
      <c r="AB5" s="39"/>
      <c r="AC5" s="39"/>
      <c r="AD5" s="39" t="s">
        <v>47</v>
      </c>
      <c r="AE5" s="39"/>
      <c r="AF5" s="39"/>
    </row>
    <row r="6" spans="1:62" s="16" customFormat="1" ht="68">
      <c r="A6" s="43"/>
      <c r="B6" s="44"/>
      <c r="C6" s="9" t="s">
        <v>35</v>
      </c>
      <c r="D6" s="10" t="s">
        <v>8</v>
      </c>
      <c r="E6" s="11" t="s">
        <v>9</v>
      </c>
      <c r="F6" s="9" t="s">
        <v>35</v>
      </c>
      <c r="G6" s="9" t="s">
        <v>8</v>
      </c>
      <c r="H6" s="11" t="s">
        <v>9</v>
      </c>
      <c r="I6" s="12" t="s">
        <v>35</v>
      </c>
      <c r="J6" s="12" t="s">
        <v>8</v>
      </c>
      <c r="K6" s="13" t="s">
        <v>48</v>
      </c>
      <c r="L6" s="42"/>
      <c r="M6" s="14"/>
      <c r="N6" s="15" t="s">
        <v>10</v>
      </c>
      <c r="O6" s="9" t="s">
        <v>8</v>
      </c>
      <c r="P6" s="11" t="s">
        <v>9</v>
      </c>
      <c r="Q6" s="9" t="s">
        <v>10</v>
      </c>
      <c r="R6" s="9" t="s">
        <v>8</v>
      </c>
      <c r="S6" s="11" t="s">
        <v>9</v>
      </c>
      <c r="T6" s="9" t="s">
        <v>10</v>
      </c>
      <c r="U6" s="9" t="s">
        <v>8</v>
      </c>
      <c r="V6" s="11" t="s">
        <v>9</v>
      </c>
      <c r="X6" s="9" t="s">
        <v>10</v>
      </c>
      <c r="Y6" s="9" t="s">
        <v>8</v>
      </c>
      <c r="Z6" s="11" t="s">
        <v>9</v>
      </c>
      <c r="AA6" s="9" t="s">
        <v>10</v>
      </c>
      <c r="AB6" s="9" t="s">
        <v>8</v>
      </c>
      <c r="AC6" s="11" t="s">
        <v>9</v>
      </c>
      <c r="AD6" s="9" t="s">
        <v>10</v>
      </c>
      <c r="AE6" s="9" t="s">
        <v>8</v>
      </c>
      <c r="AF6" s="11" t="s">
        <v>9</v>
      </c>
    </row>
    <row r="7" spans="1:62" ht="27.9" customHeight="1">
      <c r="A7" s="17" t="s">
        <v>1</v>
      </c>
      <c r="B7" s="18" t="s">
        <v>18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0" t="str">
        <f>N7&amp;O7&amp;P7&amp;Q7&amp;R7&amp;S7&amp;T7&amp;U7&amp;V7&amp;Y7&amp;AB7&amp;AE7</f>
        <v/>
      </c>
      <c r="M7" s="21"/>
      <c r="N7" s="22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O7" s="22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P7" s="22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Q7" s="23" t="str">
        <f>IF(F7="","",IF(OR(F7&lt;0,F7&gt;99999999.99),"110.9.24~110.12.16申請案件[撥款金額]須為小於9位之正數,",IF(F7&lt;&gt;ROUND(F7,2),"110.9.24~110.12.16申請案件[撥款金額]須四捨五入至小數下2位,","")))</f>
        <v/>
      </c>
      <c r="R7" s="23" t="str">
        <f>IF(G7="","",IF(G7&gt;99.99,"110.9.24~110.12.16申請案件[加權平均貸款成數]整數位數須小於3位數,",IF(G7&lt;&gt;ROUND(G7,2),"110.9.24~110.12.16申請案件[加權平均貸款成數]小數位數至多為2位,","")))</f>
        <v/>
      </c>
      <c r="S7" s="23" t="str">
        <f>IF(H7="","",IF(H7&gt;99.99,"110.9.24~110.12.16申請案件[加權平均貸款利率]整數位數須小於3位數,",IF(H7&lt;&gt;ROUND(H7,2),"110.9.24~110.12.16申請案件[加權平均貸款利率]小數位數至多為2位,","")))</f>
        <v/>
      </c>
      <c r="T7" s="24" t="str">
        <f>IF(I7="","",IF(OR(I7&lt;0,I7&gt;99999999.99),"110.12.17起申請案件[撥款金額]須為小於9位之正數,",IF(I7&lt;&gt;ROUND(I7,2),"110.12.17起申請案件[撥款金額]須四捨五入至小數下2位,","")))</f>
        <v/>
      </c>
      <c r="U7" s="24" t="str">
        <f>IF(J7="","",IF(J7&gt;99.99,"110.12.17起申請案件[加權平均貸款成數]整數位數須小於3位數,",IF(J7&lt;&gt;ROUND(J7,2),"110.12.17起申請案件[加權平均貸款成數]小數位數至多為2位,","")))</f>
        <v/>
      </c>
      <c r="V7" s="24" t="str">
        <f>IF(K7="","",IF(K7&gt;99.99,"110.12.17起申請案件[加權平均貸款利率]整數位數須小於3位數,",IF(K7&lt;&gt;ROUND(K7,2),"110.12.17起申請案件[加權平均貸款利率]小數位數至多為2位,","")))</f>
        <v/>
      </c>
      <c r="Y7" s="25" t="str">
        <f>IF(O7="",IF(D7&gt;65,"109.12.8~110.9.23申請案件加權平均貸款成數最高為6.5成,",""),"")</f>
        <v/>
      </c>
      <c r="AB7" s="25" t="str">
        <f>IF(R7="",IF(G7&gt;60,"110.9.24起申請案件加權平均貸款成數最高為6成,",""),"")</f>
        <v/>
      </c>
      <c r="AE7" s="25" t="str">
        <f>IF(U7="",IF(J7&gt;50,"110.12.17起申請案件加權平均貸款成數最高為5成,",""),"")</f>
        <v/>
      </c>
    </row>
    <row r="8" spans="1:62" ht="27.9" customHeight="1">
      <c r="A8" s="17" t="s">
        <v>2</v>
      </c>
      <c r="B8" s="18" t="s">
        <v>19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0" t="str">
        <f t="shared" ref="L8:L14" si="0">N8&amp;O8&amp;P8&amp;Q8&amp;R8&amp;S8&amp;T8&amp;U8&amp;V8&amp;Y8&amp;AB8&amp;AE8</f>
        <v/>
      </c>
      <c r="M8" s="21"/>
      <c r="N8" s="22" t="str">
        <f t="shared" ref="N8:N14" si="1">IF(C8="","",IF(OR(C8&lt;0,C8&gt;99999999.99),"109.12.8~110.9.23申請案件[撥款金額]須為小於9位之正數,",IF(C8&lt;&gt;ROUND(C8,2),"109.12.8~110.9.23申請案件[撥款金額]須四捨五入至小數下2位,","")))</f>
        <v/>
      </c>
      <c r="O8" s="22" t="str">
        <f t="shared" ref="O8:O14" si="2">IF(D8="","",IF(D8&gt;99.99,"109.12.8~110.9.23申請案件[加權平均貸款成數]整數位數須小於3位數,",IF(D8&lt;&gt;ROUND(D8,2),"109.12.8~110.9.23申請案件[加權平均貸款成數]小數位數至多為2位,","")))</f>
        <v/>
      </c>
      <c r="P8" s="22" t="str">
        <f t="shared" ref="P8:P14" si="3">IF(E8="","",IF(E8&gt;99.99,"109.12.8~110.9.23申請案件[加權平均貸款利率]整數位數須小於3位數,",IF(E8&lt;&gt;ROUND(E8,2),"109.12.8~110.9.23申請案件[加權平均貸款利率]小數位數至多為2位,","")))</f>
        <v/>
      </c>
      <c r="Q8" s="23" t="str">
        <f t="shared" ref="Q8:Q14" si="4">IF(F8="","",IF(OR(F8&lt;0,F8&gt;99999999.99),"110.9.24~110.12.16申請案件[撥款金額]須為小於9位之正數,",IF(F8&lt;&gt;ROUND(F8,2),"110.9.24~110.12.16申請案件[撥款金額]須四捨五入至小數下2位,","")))</f>
        <v/>
      </c>
      <c r="R8" s="23" t="str">
        <f t="shared" ref="R8:R14" si="5">IF(G8="","",IF(G8&gt;99.99,"110.9.24~110.12.16申請案件[加權平均貸款成數]整數位數須小於3位數,",IF(G8&lt;&gt;ROUND(G8,2),"110.9.24~110.12.16申請案件[加權平均貸款成數]小數位數至多為2位,","")))</f>
        <v/>
      </c>
      <c r="S8" s="23" t="str">
        <f t="shared" ref="S8:S14" si="6">IF(H8="","",IF(H8&gt;99.99,"110.9.24~110.12.16申請案件[加權平均貸款利率]整數位數須小於3位數,",IF(H8&lt;&gt;ROUND(H8,2),"110.9.24~110.12.16申請案件[加權平均貸款利率]小數位數至多為2位,","")))</f>
        <v/>
      </c>
      <c r="T8" s="24" t="str">
        <f t="shared" ref="T8:T14" si="7">IF(I8="","",IF(OR(I8&lt;0,I8&gt;99999999.99),"110.12.17起申請案件[撥款金額]須為小於9位之正數,",IF(I8&lt;&gt;ROUND(I8,2),"110.12.17起申請案件[撥款金額]須四捨五入至小數下2位,","")))</f>
        <v/>
      </c>
      <c r="U8" s="24" t="str">
        <f t="shared" ref="U8:U14" si="8">IF(J8="","",IF(J8&gt;99.99,"110.12.17起申請案件[加權平均貸款成數]整數位數須小於3位數,",IF(J8&lt;&gt;ROUND(J8,2),"110.12.17起申請案件[加權平均貸款成數]小數位數至多為2位,","")))</f>
        <v/>
      </c>
      <c r="V8" s="24" t="str">
        <f t="shared" ref="V8:V14" si="9">IF(K8="","",IF(K8&gt;99.99,"110.12.17起申請案件[加權平均貸款利率]整數位數須小於3位數,",IF(K8&lt;&gt;ROUND(K8,2),"110.12.17起申請案件[加權平均貸款利率]小數位數至多為2位,","")))</f>
        <v/>
      </c>
      <c r="Y8" s="25" t="str">
        <f t="shared" ref="Y8:Y13" si="10">IF(O8="",IF(D8&gt;65,"109.12.8~110.9.23申請案件加權平均貸款成數最高為6.5成,",""),"")</f>
        <v/>
      </c>
      <c r="AB8" s="25" t="str">
        <f t="shared" ref="AB8:AB13" si="11">IF(R8="",IF(G8&gt;60,"110.9.24起申請案件加權平均貸款成數最高為6成,",""),"")</f>
        <v/>
      </c>
      <c r="AE8" s="25" t="str">
        <f t="shared" ref="AE8:AE13" si="12">IF(U8="",IF(J8&gt;50,"110.12.17起申請案件加權平均貸款成數最高為5成,",""),"")</f>
        <v/>
      </c>
    </row>
    <row r="9" spans="1:62" ht="27.9" customHeight="1">
      <c r="A9" s="17" t="s">
        <v>3</v>
      </c>
      <c r="B9" s="18" t="s">
        <v>20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 t="str">
        <f t="shared" si="0"/>
        <v/>
      </c>
      <c r="M9" s="21"/>
      <c r="N9" s="22" t="str">
        <f t="shared" si="1"/>
        <v/>
      </c>
      <c r="O9" s="22" t="str">
        <f>IF(D9="","",IF(D9&gt;99.99,"109.12.8~110.9.23申請案件[加權平均貸款成數]整數位數須小於3位數,",IF(D9&lt;&gt;ROUND(D9,2),"109.12.8~110.9.23申請案件[加權平均貸款成數]小數位數至多為2位,","")))</f>
        <v/>
      </c>
      <c r="P9" s="22" t="str">
        <f t="shared" si="3"/>
        <v/>
      </c>
      <c r="Q9" s="23" t="str">
        <f t="shared" si="4"/>
        <v/>
      </c>
      <c r="R9" s="23" t="str">
        <f t="shared" si="5"/>
        <v/>
      </c>
      <c r="S9" s="23" t="str">
        <f t="shared" si="6"/>
        <v/>
      </c>
      <c r="T9" s="24" t="str">
        <f t="shared" si="7"/>
        <v/>
      </c>
      <c r="U9" s="24" t="str">
        <f t="shared" si="8"/>
        <v/>
      </c>
      <c r="V9" s="24" t="str">
        <f t="shared" si="9"/>
        <v/>
      </c>
      <c r="Y9" s="25" t="str">
        <f>IF(O9="",IF(D9&gt;65,"109.12.8~110.9.23申請案件加權平均貸款成數最高為6.5成,",""),"")</f>
        <v/>
      </c>
      <c r="AB9" s="25" t="str">
        <f t="shared" si="11"/>
        <v/>
      </c>
      <c r="AE9" s="25" t="str">
        <f t="shared" si="12"/>
        <v/>
      </c>
    </row>
    <row r="10" spans="1:62" ht="27.9" customHeight="1">
      <c r="A10" s="17" t="s">
        <v>4</v>
      </c>
      <c r="B10" s="18" t="s">
        <v>21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20" t="str">
        <f t="shared" si="0"/>
        <v/>
      </c>
      <c r="M10" s="21"/>
      <c r="N10" s="22" t="str">
        <f t="shared" si="1"/>
        <v/>
      </c>
      <c r="O10" s="22" t="str">
        <f t="shared" si="2"/>
        <v/>
      </c>
      <c r="P10" s="22" t="str">
        <f t="shared" si="3"/>
        <v/>
      </c>
      <c r="Q10" s="23" t="str">
        <f t="shared" si="4"/>
        <v/>
      </c>
      <c r="R10" s="23" t="str">
        <f t="shared" si="5"/>
        <v/>
      </c>
      <c r="S10" s="23" t="str">
        <f t="shared" si="6"/>
        <v/>
      </c>
      <c r="T10" s="24" t="str">
        <f t="shared" si="7"/>
        <v/>
      </c>
      <c r="U10" s="24" t="str">
        <f t="shared" si="8"/>
        <v/>
      </c>
      <c r="V10" s="24" t="str">
        <f t="shared" si="9"/>
        <v/>
      </c>
      <c r="Y10" s="25" t="str">
        <f t="shared" si="10"/>
        <v/>
      </c>
      <c r="AB10" s="25" t="str">
        <f t="shared" si="11"/>
        <v/>
      </c>
      <c r="AE10" s="25" t="str">
        <f t="shared" si="12"/>
        <v/>
      </c>
    </row>
    <row r="11" spans="1:62" ht="27.9" customHeight="1">
      <c r="A11" s="17" t="s">
        <v>5</v>
      </c>
      <c r="B11" s="18" t="s">
        <v>22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20" t="str">
        <f t="shared" si="0"/>
        <v/>
      </c>
      <c r="M11" s="21"/>
      <c r="N11" s="22" t="str">
        <f t="shared" si="1"/>
        <v/>
      </c>
      <c r="O11" s="22" t="str">
        <f t="shared" si="2"/>
        <v/>
      </c>
      <c r="P11" s="22" t="str">
        <f t="shared" si="3"/>
        <v/>
      </c>
      <c r="Q11" s="23" t="str">
        <f t="shared" si="4"/>
        <v/>
      </c>
      <c r="R11" s="23" t="str">
        <f t="shared" si="5"/>
        <v/>
      </c>
      <c r="S11" s="23" t="str">
        <f t="shared" si="6"/>
        <v/>
      </c>
      <c r="T11" s="24" t="str">
        <f t="shared" si="7"/>
        <v/>
      </c>
      <c r="U11" s="24" t="str">
        <f t="shared" si="8"/>
        <v/>
      </c>
      <c r="V11" s="24" t="str">
        <f t="shared" si="9"/>
        <v/>
      </c>
      <c r="Y11" s="25" t="str">
        <f t="shared" si="10"/>
        <v/>
      </c>
      <c r="AB11" s="25" t="str">
        <f t="shared" si="11"/>
        <v/>
      </c>
      <c r="AE11" s="25" t="str">
        <f t="shared" si="12"/>
        <v/>
      </c>
    </row>
    <row r="12" spans="1:62" ht="27.9" customHeight="1">
      <c r="A12" s="17" t="s">
        <v>6</v>
      </c>
      <c r="B12" s="18" t="s">
        <v>23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0" t="str">
        <f t="shared" si="0"/>
        <v/>
      </c>
      <c r="M12" s="21"/>
      <c r="N12" s="22" t="str">
        <f t="shared" si="1"/>
        <v/>
      </c>
      <c r="O12" s="22" t="str">
        <f t="shared" si="2"/>
        <v/>
      </c>
      <c r="P12" s="22" t="str">
        <f t="shared" si="3"/>
        <v/>
      </c>
      <c r="Q12" s="23" t="str">
        <f t="shared" si="4"/>
        <v/>
      </c>
      <c r="R12" s="23" t="str">
        <f t="shared" si="5"/>
        <v/>
      </c>
      <c r="S12" s="23" t="str">
        <f t="shared" si="6"/>
        <v/>
      </c>
      <c r="T12" s="24" t="str">
        <f t="shared" si="7"/>
        <v/>
      </c>
      <c r="U12" s="24" t="str">
        <f t="shared" si="8"/>
        <v/>
      </c>
      <c r="V12" s="24" t="str">
        <f t="shared" si="9"/>
        <v/>
      </c>
      <c r="Y12" s="25" t="str">
        <f t="shared" si="10"/>
        <v/>
      </c>
      <c r="AB12" s="25" t="str">
        <f t="shared" si="11"/>
        <v/>
      </c>
      <c r="AE12" s="25" t="str">
        <f t="shared" si="12"/>
        <v/>
      </c>
    </row>
    <row r="13" spans="1:62" ht="27.9" customHeight="1">
      <c r="A13" s="17" t="s">
        <v>7</v>
      </c>
      <c r="B13" s="18" t="s">
        <v>24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20" t="str">
        <f t="shared" si="0"/>
        <v/>
      </c>
      <c r="M13" s="21"/>
      <c r="N13" s="22" t="str">
        <f t="shared" si="1"/>
        <v/>
      </c>
      <c r="O13" s="22" t="str">
        <f t="shared" si="2"/>
        <v/>
      </c>
      <c r="P13" s="22" t="str">
        <f t="shared" si="3"/>
        <v/>
      </c>
      <c r="Q13" s="23" t="str">
        <f t="shared" si="4"/>
        <v/>
      </c>
      <c r="R13" s="23" t="str">
        <f t="shared" si="5"/>
        <v/>
      </c>
      <c r="S13" s="23" t="str">
        <f t="shared" si="6"/>
        <v/>
      </c>
      <c r="T13" s="24" t="str">
        <f t="shared" si="7"/>
        <v/>
      </c>
      <c r="U13" s="24" t="str">
        <f t="shared" si="8"/>
        <v/>
      </c>
      <c r="V13" s="24" t="str">
        <f t="shared" si="9"/>
        <v/>
      </c>
      <c r="Y13" s="25" t="str">
        <f t="shared" si="10"/>
        <v/>
      </c>
      <c r="AB13" s="25" t="str">
        <f t="shared" si="11"/>
        <v/>
      </c>
      <c r="AE13" s="25" t="str">
        <f t="shared" si="12"/>
        <v/>
      </c>
    </row>
    <row r="14" spans="1:62" ht="18">
      <c r="A14" s="26" t="s">
        <v>11</v>
      </c>
      <c r="B14" s="18" t="s">
        <v>25</v>
      </c>
      <c r="C14" s="27">
        <f>SUM(C7:C13)</f>
        <v>0</v>
      </c>
      <c r="D14" s="28">
        <f>IF(C14=0,0,ROUND(SUMPRODUCT(C7:C13,D7:D13)/C14,2))</f>
        <v>0</v>
      </c>
      <c r="E14" s="29">
        <f>IF(C14=0,0,ROUND(SUMPRODUCT(C7:C13,E7:E13)/C14,2))</f>
        <v>0</v>
      </c>
      <c r="F14" s="29">
        <f>SUM(F7:F13)</f>
        <v>0</v>
      </c>
      <c r="G14" s="29">
        <f>IF(F14=0,0,ROUND(SUMPRODUCT(F7:F13,G7:G13)/F14,2))</f>
        <v>0</v>
      </c>
      <c r="H14" s="29">
        <f>IF(F14=0,0,ROUND(SUMPRODUCT(F7:F13,H7:H13)/F14,2))</f>
        <v>0</v>
      </c>
      <c r="I14" s="30">
        <f>SUM(I7:I13)</f>
        <v>0</v>
      </c>
      <c r="J14" s="30">
        <f>IF(I14=0,0,ROUND(SUMPRODUCT(I7:I13,J7:J13)/I14,2))</f>
        <v>0</v>
      </c>
      <c r="K14" s="30">
        <f>IF(I14=0,0,ROUND(SUMPRODUCT(I7:I13,K7:K13)/I14,2))</f>
        <v>0</v>
      </c>
      <c r="L14" s="20" t="str">
        <f t="shared" si="0"/>
        <v/>
      </c>
      <c r="M14" s="21"/>
      <c r="N14" s="22" t="str">
        <f t="shared" si="1"/>
        <v/>
      </c>
      <c r="O14" s="22" t="str">
        <f t="shared" si="2"/>
        <v/>
      </c>
      <c r="P14" s="22" t="str">
        <f t="shared" si="3"/>
        <v/>
      </c>
      <c r="Q14" s="23" t="str">
        <f t="shared" si="4"/>
        <v/>
      </c>
      <c r="R14" s="23" t="str">
        <f t="shared" si="5"/>
        <v/>
      </c>
      <c r="S14" s="23" t="str">
        <f t="shared" si="6"/>
        <v/>
      </c>
      <c r="T14" s="24" t="str">
        <f t="shared" si="7"/>
        <v/>
      </c>
      <c r="U14" s="24" t="str">
        <f t="shared" si="8"/>
        <v/>
      </c>
      <c r="V14" s="24" t="str">
        <f t="shared" si="9"/>
        <v/>
      </c>
      <c r="X14" s="31" t="str">
        <f>IF(N14="",IF(C14&lt;&gt;SUM(C7:C13),"109.12.8~110.9.23申請案件[撥款金額]_全國(合計數)錯誤,",""),"")</f>
        <v/>
      </c>
      <c r="Y14" s="32" t="str">
        <f>IF(O14="",IF(D14&gt;65,"   109.12.8~110.9.23申請案件加權平均貸款成數最高為6.5成,",IF(C14=0,"",IF(D14&lt;&gt;ROUND(SUMPRODUCT(C7:C13,D7:D13)/C14,2),"109.12.8~110.9.23申請案件[加權平均貸款成數]_全國(合計數)錯誤,",""))),"")</f>
        <v/>
      </c>
      <c r="Z14" s="31" t="str">
        <f>IF(P14="",IF(C14=0,"",IF(E14&lt;&gt;ROUND(SUMPRODUCT(C7:C13,E7:E13)/C14,2),"109.12.8~110.9.23申請案件[加權平均貸款利率]_全國(合計數)錯誤,","")),"")</f>
        <v/>
      </c>
      <c r="AA14" s="31" t="str">
        <f>IF(Q14="",IF(F14&lt;&gt;SUM(F7:F13),"110.9.24起申請案件[撥款金額]_全國(合計數)錯誤,",""),"")</f>
        <v/>
      </c>
      <c r="AB14" s="32" t="str">
        <f>IF(R14="",IF(G14&gt;60,"   110.9.24起申請案件加權平均貸款成數最高為6成,",IF(F14=0,"",IF(G14&lt;&gt;ROUND(SUMPRODUCT(F7:F13,G7:G13)/F14,2),"110.9.24起申請案件[加權平均貸款成數]_全國(合計數)錯誤,",""))),"")</f>
        <v/>
      </c>
      <c r="AC14" s="31" t="str">
        <f>IF(S14="",IF(F14=0,"",IF(H14&lt;&gt;ROUND(SUMPRODUCT(F7:F13,H7:H13)/F14,2),"110.9.24起申請案件[加權平均貸款利率]_全國(合計數)錯誤,","")),"")</f>
        <v/>
      </c>
      <c r="AD14" s="31" t="str">
        <f>IF(T14="",IF(I14&lt;&gt;SUM(I7:I13),"110.12.17起申請案件[撥款金額]_全國(合計數)錯誤,",""),"")</f>
        <v/>
      </c>
      <c r="AE14" s="32" t="str">
        <f>IF(U14="",IF(J14&gt;50,"   110.12.17起申請案件加權平均貸款成數最高為5成,",IF(I14=0,"",IF(J14&lt;&gt;ROUND(SUMPRODUCT(I7:I13,J7:J13)/I14,2),"110.12.17起申請案件[加權平均貸款成數]_全國(合計數)錯誤,",""))),"")</f>
        <v/>
      </c>
      <c r="AF14" s="31" t="str">
        <f>IF(V14="",IF(I14=0,"",IF(K14&lt;&gt;ROUND(SUMPRODUCT(I7:I13,K7:K13)/I14,2),"110.12.17起申請案件[加權平均貸款利率]_全國(合計數)錯誤,","")),"")</f>
        <v/>
      </c>
    </row>
    <row r="15" spans="1:62">
      <c r="A15" s="40" t="s">
        <v>49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</row>
    <row r="16" spans="1:62" ht="19.5">
      <c r="A16" s="33" t="s">
        <v>16</v>
      </c>
      <c r="B16" s="37" t="s">
        <v>50</v>
      </c>
      <c r="C16" s="38"/>
      <c r="D16" s="38"/>
      <c r="E16" s="33" t="s">
        <v>12</v>
      </c>
      <c r="F16" s="37" t="s">
        <v>51</v>
      </c>
      <c r="G16" s="38"/>
      <c r="H16" s="38"/>
      <c r="I16" s="33" t="s">
        <v>13</v>
      </c>
      <c r="J16" s="37"/>
      <c r="K16" s="38"/>
      <c r="M16" s="34"/>
      <c r="N16" s="34"/>
    </row>
    <row r="17" spans="1:14" ht="19.5">
      <c r="A17" s="33" t="s">
        <v>14</v>
      </c>
      <c r="B17" s="37" t="s">
        <v>52</v>
      </c>
      <c r="C17" s="38"/>
      <c r="D17" s="38"/>
      <c r="E17" s="33" t="s">
        <v>14</v>
      </c>
      <c r="F17" s="37" t="s">
        <v>53</v>
      </c>
      <c r="G17" s="38"/>
      <c r="H17" s="38"/>
      <c r="I17" s="33" t="s">
        <v>14</v>
      </c>
      <c r="J17" s="37"/>
      <c r="K17" s="38"/>
      <c r="M17" s="34"/>
      <c r="N17" s="34"/>
    </row>
    <row r="18" spans="1:14" ht="19.5">
      <c r="A18" s="33" t="s">
        <v>15</v>
      </c>
      <c r="B18" s="37" t="s">
        <v>54</v>
      </c>
      <c r="C18" s="38"/>
      <c r="D18" s="38"/>
      <c r="E18" s="33" t="s">
        <v>15</v>
      </c>
      <c r="F18" s="37" t="s">
        <v>55</v>
      </c>
      <c r="G18" s="38"/>
      <c r="H18" s="38"/>
      <c r="I18" s="33" t="s">
        <v>15</v>
      </c>
      <c r="J18" s="37"/>
      <c r="K18" s="38"/>
      <c r="M18" s="34"/>
      <c r="N18" s="34"/>
    </row>
    <row r="20" spans="1:14" ht="17">
      <c r="A20" s="35" t="s">
        <v>31</v>
      </c>
    </row>
    <row r="21" spans="1:14" ht="17">
      <c r="A21" s="6" t="s">
        <v>56</v>
      </c>
    </row>
    <row r="22" spans="1:14" ht="17">
      <c r="A22" s="14" t="s">
        <v>34</v>
      </c>
    </row>
    <row r="23" spans="1:14" ht="17">
      <c r="A23" s="6" t="s">
        <v>32</v>
      </c>
    </row>
    <row r="24" spans="1:14" ht="17">
      <c r="A24" s="6" t="s">
        <v>33</v>
      </c>
    </row>
    <row r="25" spans="1:14" ht="17">
      <c r="A25" s="2" t="s">
        <v>57</v>
      </c>
    </row>
  </sheetData>
  <mergeCells count="25">
    <mergeCell ref="AA5:AC5"/>
    <mergeCell ref="B1:K1"/>
    <mergeCell ref="F2:H2"/>
    <mergeCell ref="F3:H3"/>
    <mergeCell ref="A5:A6"/>
    <mergeCell ref="B5:B6"/>
    <mergeCell ref="C5:E5"/>
    <mergeCell ref="F5:H5"/>
    <mergeCell ref="I5:K5"/>
    <mergeCell ref="B18:D18"/>
    <mergeCell ref="F18:H18"/>
    <mergeCell ref="J18:K18"/>
    <mergeCell ref="AD5:AF5"/>
    <mergeCell ref="A15:L15"/>
    <mergeCell ref="B16:D16"/>
    <mergeCell ref="F16:H16"/>
    <mergeCell ref="J16:K16"/>
    <mergeCell ref="B17:D17"/>
    <mergeCell ref="F17:H17"/>
    <mergeCell ref="J17:K17"/>
    <mergeCell ref="L5:L6"/>
    <mergeCell ref="N5:P5"/>
    <mergeCell ref="Q5:S5"/>
    <mergeCell ref="T5:V5"/>
    <mergeCell ref="X5:Z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方晴</dc:creator>
  <cp:lastModifiedBy>楷杰 林</cp:lastModifiedBy>
  <cp:lastPrinted>2021-04-16T08:45:15Z</cp:lastPrinted>
  <dcterms:created xsi:type="dcterms:W3CDTF">2015-01-16T00:49:17Z</dcterms:created>
  <dcterms:modified xsi:type="dcterms:W3CDTF">2023-09-26T03:20:06Z</dcterms:modified>
</cp:coreProperties>
</file>