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NMA.NET\Documents\Microsoft Excel\"/>
    </mc:Choice>
  </mc:AlternateContent>
  <xr:revisionPtr revIDLastSave="0" documentId="13_ncr:1_{2DA77FC8-A9B4-4C95-8262-95C5FCFCAF61}" xr6:coauthVersionLast="45" xr6:coauthVersionMax="47" xr10:uidLastSave="{00000000-0000-0000-0000-000000000000}"/>
  <bookViews>
    <workbookView xWindow="-120" yWindow="330" windowWidth="20730" windowHeight="11310" activeTab="3" xr2:uid="{1A73EE5F-8A57-4225-9614-DC2CE560942C}"/>
  </bookViews>
  <sheets>
    <sheet name="Data Produksi" sheetId="2" r:id="rId1"/>
    <sheet name="Gaji Pemain" sheetId="4" r:id="rId2"/>
    <sheet name="Data Penjualan Produk Jadi" sheetId="6" r:id="rId3"/>
    <sheet name="Penjualan Bara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5" l="1"/>
  <c r="N29" i="5"/>
  <c r="N27" i="5"/>
  <c r="M28" i="5"/>
  <c r="M29" i="5"/>
  <c r="M27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5" i="5"/>
  <c r="M20" i="5"/>
  <c r="M21" i="5"/>
  <c r="M19" i="5"/>
  <c r="M11" i="5"/>
  <c r="M12" i="5"/>
  <c r="M13" i="5"/>
  <c r="M14" i="5"/>
  <c r="M15" i="5"/>
  <c r="M16" i="5"/>
  <c r="M1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5" i="5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20" i="6"/>
  <c r="L17" i="6"/>
  <c r="M11" i="6"/>
  <c r="M12" i="6"/>
  <c r="M13" i="6"/>
  <c r="M14" i="6"/>
  <c r="M15" i="6"/>
  <c r="M10" i="6"/>
  <c r="N11" i="6"/>
  <c r="N12" i="6"/>
  <c r="N13" i="6"/>
  <c r="N14" i="6"/>
  <c r="N15" i="6"/>
  <c r="N10" i="6"/>
  <c r="O11" i="6"/>
  <c r="O12" i="6"/>
  <c r="O13" i="6"/>
  <c r="O14" i="6"/>
  <c r="O15" i="6"/>
  <c r="O10" i="6"/>
  <c r="P15" i="6"/>
  <c r="P11" i="6"/>
  <c r="P12" i="6"/>
  <c r="P13" i="6"/>
  <c r="P14" i="6"/>
  <c r="P10" i="6"/>
  <c r="Q11" i="6"/>
  <c r="Q12" i="6"/>
  <c r="Q13" i="6"/>
  <c r="Q14" i="6"/>
  <c r="Q15" i="6"/>
  <c r="Q10" i="6"/>
  <c r="D40" i="4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5" i="6"/>
  <c r="F38" i="4"/>
  <c r="F34" i="4"/>
  <c r="F35" i="4"/>
  <c r="F36" i="4"/>
  <c r="F37" i="4"/>
  <c r="F33" i="4"/>
  <c r="E37" i="4" l="1"/>
  <c r="E36" i="4"/>
  <c r="E35" i="4"/>
  <c r="E34" i="4"/>
  <c r="E38" i="4"/>
  <c r="E33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M7" i="4"/>
  <c r="L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7" i="4"/>
  <c r="N35" i="2"/>
  <c r="N29" i="2"/>
  <c r="N30" i="2"/>
  <c r="N31" i="2"/>
  <c r="N32" i="2"/>
  <c r="N33" i="2"/>
  <c r="N34" i="2"/>
  <c r="N28" i="2"/>
  <c r="N20" i="2"/>
  <c r="N21" i="2"/>
  <c r="N22" i="2"/>
  <c r="N23" i="2"/>
  <c r="N24" i="2"/>
  <c r="N19" i="2"/>
  <c r="M20" i="2"/>
  <c r="M21" i="2"/>
  <c r="M22" i="2"/>
  <c r="M23" i="2"/>
  <c r="M24" i="2"/>
  <c r="M19" i="2"/>
  <c r="L20" i="2"/>
  <c r="L21" i="2"/>
  <c r="L22" i="2"/>
  <c r="L23" i="2"/>
  <c r="L24" i="2"/>
  <c r="L19" i="2"/>
  <c r="N15" i="2"/>
  <c r="M12" i="2"/>
  <c r="M13" i="2"/>
  <c r="M14" i="2"/>
  <c r="M15" i="2"/>
  <c r="M16" i="2"/>
  <c r="M11" i="2"/>
  <c r="L12" i="2"/>
  <c r="L13" i="2"/>
  <c r="L14" i="2"/>
  <c r="L15" i="2"/>
  <c r="L16" i="2"/>
  <c r="L11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</calcChain>
</file>

<file path=xl/sharedStrings.xml><?xml version="1.0" encoding="utf-8"?>
<sst xmlns="http://schemas.openxmlformats.org/spreadsheetml/2006/main" count="428" uniqueCount="257">
  <si>
    <t>Tanggal</t>
  </si>
  <si>
    <t>Jumlah</t>
  </si>
  <si>
    <t>Total Harga</t>
  </si>
  <si>
    <t>P101</t>
  </si>
  <si>
    <t>P103</t>
  </si>
  <si>
    <t>P105</t>
  </si>
  <si>
    <t>P102</t>
  </si>
  <si>
    <t>P104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</si>
  <si>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</si>
  <si>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</si>
  <si>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</si>
  <si>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</si>
  <si>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</si>
  <si>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</si>
  <si>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</si>
  <si>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</si>
  <si>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</si>
  <si>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</si>
  <si>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</si>
  <si>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</si>
  <si>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</si>
  <si>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</si>
  <si>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</si>
  <si>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No. Produksi</t>
  </si>
  <si>
    <t>ID Produk</t>
  </si>
  <si>
    <t>Kode Bahan</t>
  </si>
  <si>
    <t>Total Biaya</t>
  </si>
  <si>
    <t>PROD001</t>
  </si>
  <si>
    <t>BB001</t>
  </si>
  <si>
    <t>PROD002</t>
  </si>
  <si>
    <t>BB002</t>
  </si>
  <si>
    <t>PROD003</t>
  </si>
  <si>
    <t>BB003</t>
  </si>
  <si>
    <t>PROD004</t>
  </si>
  <si>
    <t>BB004</t>
  </si>
  <si>
    <t>PROD005</t>
  </si>
  <si>
    <t>BB005</t>
  </si>
  <si>
    <t>PROD006</t>
  </si>
  <si>
    <t>BB006</t>
  </si>
  <si>
    <t>PROD007</t>
  </si>
  <si>
    <t>BB007</t>
  </si>
  <si>
    <t>PROD008</t>
  </si>
  <si>
    <t>BB008</t>
  </si>
  <si>
    <t>PROD009</t>
  </si>
  <si>
    <t>BB009</t>
  </si>
  <si>
    <t>PROD010</t>
  </si>
  <si>
    <t>BB010</t>
  </si>
  <si>
    <t>PROD011</t>
  </si>
  <si>
    <t>BB011</t>
  </si>
  <si>
    <t>PROD012</t>
  </si>
  <si>
    <t>BB012</t>
  </si>
  <si>
    <t>PROD013</t>
  </si>
  <si>
    <t>BB013</t>
  </si>
  <si>
    <t>PROD014</t>
  </si>
  <si>
    <t>BB014</t>
  </si>
  <si>
    <t>PROD015</t>
  </si>
  <si>
    <t>BB015</t>
  </si>
  <si>
    <t>PROD016</t>
  </si>
  <si>
    <t>BB016</t>
  </si>
  <si>
    <t>PROD017</t>
  </si>
  <si>
    <t>BB017</t>
  </si>
  <si>
    <t>PROD018</t>
  </si>
  <si>
    <t>BB018</t>
  </si>
  <si>
    <t>PROD019</t>
  </si>
  <si>
    <t>BB019</t>
  </si>
  <si>
    <t>PROD020</t>
  </si>
  <si>
    <t>BB020</t>
  </si>
  <si>
    <t>No. Penjualan</t>
  </si>
  <si>
    <t>ID Pelanggan</t>
  </si>
  <si>
    <t>PJ001</t>
  </si>
  <si>
    <t>C001</t>
  </si>
  <si>
    <t>PJ002</t>
  </si>
  <si>
    <t>C002</t>
  </si>
  <si>
    <t>PJ003</t>
  </si>
  <si>
    <t>C003</t>
  </si>
  <si>
    <t>PJ004</t>
  </si>
  <si>
    <t>C004</t>
  </si>
  <si>
    <t>PJ005</t>
  </si>
  <si>
    <t>C005</t>
  </si>
  <si>
    <t>PJ006</t>
  </si>
  <si>
    <t>C006</t>
  </si>
  <si>
    <t>PJ007</t>
  </si>
  <si>
    <t>C007</t>
  </si>
  <si>
    <t>PJ008</t>
  </si>
  <si>
    <t>C008</t>
  </si>
  <si>
    <t>PJ009</t>
  </si>
  <si>
    <t>C009</t>
  </si>
  <si>
    <t>PJ010</t>
  </si>
  <si>
    <t>C010</t>
  </si>
  <si>
    <t>PJ011</t>
  </si>
  <si>
    <t>C011</t>
  </si>
  <si>
    <t>PJ012</t>
  </si>
  <si>
    <t>C012</t>
  </si>
  <si>
    <t>PJ013</t>
  </si>
  <si>
    <t>C013</t>
  </si>
  <si>
    <t>PJ014</t>
  </si>
  <si>
    <t>C014</t>
  </si>
  <si>
    <t>PJ015</t>
  </si>
  <si>
    <t>C015</t>
  </si>
  <si>
    <t>PJ016</t>
  </si>
  <si>
    <t>C016</t>
  </si>
  <si>
    <t>PJ017</t>
  </si>
  <si>
    <t>C017</t>
  </si>
  <si>
    <t>PJ018</t>
  </si>
  <si>
    <t>C018</t>
  </si>
  <si>
    <t>PJ019</t>
  </si>
  <si>
    <t>C019</t>
  </si>
  <si>
    <t>PJ020</t>
  </si>
  <si>
    <t>C020</t>
  </si>
  <si>
    <t>Jenis Potongan</t>
  </si>
  <si>
    <t>Tapera</t>
  </si>
  <si>
    <t>BPJS Kesehatan</t>
  </si>
  <si>
    <t>Jaminan Hari Tua</t>
  </si>
  <si>
    <t>Jaminan Pensiun</t>
  </si>
  <si>
    <t>Besaran Potongan</t>
  </si>
  <si>
    <t>No</t>
  </si>
  <si>
    <t>Posisi</t>
  </si>
  <si>
    <t>Gaji Pokok</t>
  </si>
  <si>
    <t>Casemiro</t>
  </si>
  <si>
    <t>Gelandang</t>
  </si>
  <si>
    <t>Bruno Fernandes</t>
  </si>
  <si>
    <t>Jadon Sancho</t>
  </si>
  <si>
    <t>Penyerang</t>
  </si>
  <si>
    <t>Harry Maguire</t>
  </si>
  <si>
    <t>Bek</t>
  </si>
  <si>
    <t>Andre Onana</t>
  </si>
  <si>
    <t>Kiper</t>
  </si>
  <si>
    <t>Raphael Varane</t>
  </si>
  <si>
    <t>Sofyan Amrabat</t>
  </si>
  <si>
    <t>Alejandro Garnacho</t>
  </si>
  <si>
    <t>Marcus Rashford</t>
  </si>
  <si>
    <t>Luke Shaw</t>
  </si>
  <si>
    <t>Kobbie Mainoo</t>
  </si>
  <si>
    <t>Rasmus Hojlund</t>
  </si>
  <si>
    <t>Scott McTominay</t>
  </si>
  <si>
    <t>Victor Lindelof</t>
  </si>
  <si>
    <t>Aaron Wan-Bissaka</t>
  </si>
  <si>
    <t>Barang</t>
  </si>
  <si>
    <t>Bulan</t>
  </si>
  <si>
    <t>Jumlah Terjual</t>
  </si>
  <si>
    <t>Toko</t>
  </si>
  <si>
    <t>Laptop</t>
  </si>
  <si>
    <t>Januari</t>
  </si>
  <si>
    <t>Toko A</t>
  </si>
  <si>
    <t>Smartphone</t>
  </si>
  <si>
    <t>Toko B</t>
  </si>
  <si>
    <t>Printer</t>
  </si>
  <si>
    <t>Toko C</t>
  </si>
  <si>
    <t>Februari</t>
  </si>
  <si>
    <t>Maret</t>
  </si>
  <si>
    <t>April</t>
  </si>
  <si>
    <t>Mei</t>
  </si>
  <si>
    <t>Juni</t>
  </si>
  <si>
    <t>Juli</t>
  </si>
  <si>
    <t>Harga Satuan</t>
  </si>
  <si>
    <t>Total Pendapatan</t>
  </si>
  <si>
    <t>Kode</t>
  </si>
  <si>
    <t>Soal</t>
  </si>
  <si>
    <t>1. Lengkapi kolom Tapera, BPJS Kesehatan, Jaminan Hari Tua, dan Jaminan Pensiun dengan perkalian Gaji Pokok dengan Besaran Potongan</t>
  </si>
  <si>
    <t>Kode Posisi</t>
  </si>
  <si>
    <t>Kiper = GK</t>
  </si>
  <si>
    <t>Bek = CB</t>
  </si>
  <si>
    <t>Gelandang = MF</t>
  </si>
  <si>
    <t>Penyerang = ST</t>
  </si>
  <si>
    <t>Nama Pemain</t>
  </si>
  <si>
    <t>Nama Depan</t>
  </si>
  <si>
    <t>Nama Belakang</t>
  </si>
  <si>
    <t>Total Potongan</t>
  </si>
  <si>
    <t>Gaji Bersih</t>
  </si>
  <si>
    <t>2. Lengkapi pula kolom Total Potongan dan Gaji Bersih</t>
  </si>
  <si>
    <t>3. Lengkapi kolom Kode Posisi (Gunakan rumus IFS), dengan ketentuan sebagai berikut:</t>
  </si>
  <si>
    <t>1. Lengkapi kolom Kode dengan ketentuan sebagai berikut:</t>
  </si>
  <si>
    <t>Laptop = LP</t>
  </si>
  <si>
    <t>Smartphone = HP</t>
  </si>
  <si>
    <t>Printer = PR</t>
  </si>
  <si>
    <t>2. Lengkapi data di bawah ini dengan mencari jumlahnya</t>
  </si>
  <si>
    <t>3. Lengkapi data di bawah ini dengan mencari rata-ratanya</t>
  </si>
  <si>
    <t>Rata-Rata Jumlah Terjual</t>
  </si>
  <si>
    <t>Status</t>
  </si>
  <si>
    <t>4. Lengkapi kolom Status dengan ketentuan sebagai berikut:</t>
  </si>
  <si>
    <t>- Jika kurang dari 100 maka "Perlu Dievaluasi"</t>
  </si>
  <si>
    <t>- Jika sebaliknya, maka "Patut Dipertahankan"</t>
  </si>
  <si>
    <t>5. Berapakah Harga Satuan tertinggi dan terendah untuk barang di bawah ini?</t>
  </si>
  <si>
    <t>Harga Satuan Tertinggi</t>
  </si>
  <si>
    <t>Harga Satuan Terendah</t>
  </si>
  <si>
    <t>Tabel 1: Data Produksi</t>
  </si>
  <si>
    <t>Tabel 2: Gaji Pemain Manchester United</t>
  </si>
  <si>
    <t>Tabel 4: Penjualan Barang per Bulan</t>
  </si>
  <si>
    <t>Tabel 3: Data Penjualan Produk Jadi</t>
  </si>
  <si>
    <t>Biaya Satuan</t>
  </si>
  <si>
    <t>Status Total Biaya</t>
  </si>
  <si>
    <t>1. Lengkapi kolom Status Total Biaya dengan ketentuan sebagai berikut:</t>
  </si>
  <si>
    <t>- Jika Total Biaya lebih dari 5000000, maka "Over"</t>
  </si>
  <si>
    <t>- Jika sebaliknya maka "Under"</t>
  </si>
  <si>
    <t>2. Lengkapi kolom Biaya Satuan dengan kalkulasi sederhana antara Total Biaya dan Jumlah</t>
  </si>
  <si>
    <t>3. Lengkapi data di bawah ini dengan memisahkan kode dan angka No. Produksi</t>
  </si>
  <si>
    <t>Angka</t>
  </si>
  <si>
    <t>Gunakan rumus LEFT dan RIGHT</t>
  </si>
  <si>
    <t>4. Lengkapi data di bawah ini dengan menggunakan rumus VLOOKUP</t>
  </si>
  <si>
    <t>5. Gabungkan 3 kolom di bawah ini sehingga membentuk data baru, dengan diberi pemisah berupa "/" di antaranya</t>
  </si>
  <si>
    <t>(Gunakan rumus Concatenate)</t>
  </si>
  <si>
    <t>Data Baru</t>
  </si>
  <si>
    <t>4. Pisahkan Nama Depan dan Nama Belakang dari data pemain di bawah ini (Tutorial: https://www.instagram.com/p/C7bKNgdhcWb/)</t>
  </si>
  <si>
    <t>5. Berapakah rata-rata Gaji Bersih untuk pemain berposisi Penyerang? (Gunakan Avarageif)</t>
  </si>
  <si>
    <t>Jumlah Produk</t>
  </si>
  <si>
    <t>Status Jumlah Produk</t>
  </si>
  <si>
    <t>1. Lengkapi kolom Status Jumlah Produk dengan ketentuan sebagai berikut:</t>
  </si>
  <si>
    <t>- Jika nilainya kurang dari 7, maka "Produksi Lagi"</t>
  </si>
  <si>
    <t>- Jika sebaliknya maka "Cukup"</t>
  </si>
  <si>
    <t>2. Lengkapi kolom Total Harga dengan kalkulasi sederhana antara Jumlah Produk dan Harga Satuan</t>
  </si>
  <si>
    <t>3. Lengkapi data di bawah ini</t>
  </si>
  <si>
    <t>4. Berapakah jumlah Total Harga untuk Jumlah Produk yang nilainya lebih dari 5?</t>
  </si>
  <si>
    <t>John Doe</t>
  </si>
  <si>
    <t>Maria Garcia</t>
  </si>
  <si>
    <t>Li Wei</t>
  </si>
  <si>
    <t>Ahmed Khan</t>
  </si>
  <si>
    <t>Sophie Dupont</t>
  </si>
  <si>
    <t>Kim Nguyen</t>
  </si>
  <si>
    <t>Rahul Patel</t>
  </si>
  <si>
    <t>Anna Smith</t>
  </si>
  <si>
    <t>Juan Lopez</t>
  </si>
  <si>
    <t>Mia Kim</t>
  </si>
  <si>
    <t>Chen Wei</t>
  </si>
  <si>
    <t>Mohammed Ali</t>
  </si>
  <si>
    <t>Sarah Johnson</t>
  </si>
  <si>
    <t>Ana Silva</t>
  </si>
  <si>
    <t>Nguyen Tran</t>
  </si>
  <si>
    <t>Pablo Martinez</t>
  </si>
  <si>
    <t>Julia Hernandez</t>
  </si>
  <si>
    <t>Mohan Singh</t>
  </si>
  <si>
    <t>Kimiko Tanaka</t>
  </si>
  <si>
    <t>Priya Gupta</t>
  </si>
  <si>
    <t>Nama Pelanggan</t>
  </si>
  <si>
    <t>5. Rapikan data nAMa peLANGgaN menjadi Nama Pelanggan, NAMA PELANGGAN, dan nama pelanggan</t>
  </si>
  <si>
    <t>nAMa peLANGgaN</t>
  </si>
  <si>
    <t>NAMA PELANGGAN</t>
  </si>
  <si>
    <t>nama pelanggan</t>
  </si>
  <si>
    <t>joHN DoE</t>
  </si>
  <si>
    <t>maHN GaARCIA</t>
  </si>
  <si>
    <t>liHN WiI</t>
  </si>
  <si>
    <t>ahHN KhHAN</t>
  </si>
  <si>
    <t>soHN DoDUPONT</t>
  </si>
  <si>
    <t>kiHN NiYEN</t>
  </si>
  <si>
    <t>raHN PaATEL</t>
  </si>
  <si>
    <t>anHN SnITH</t>
  </si>
  <si>
    <t>juHN LuPEZ</t>
  </si>
  <si>
    <t>miHN Ki</t>
  </si>
  <si>
    <t>chHN WhI</t>
  </si>
  <si>
    <t>moHN AoD ALI</t>
  </si>
  <si>
    <t>saHN JaOHNSON</t>
  </si>
  <si>
    <t>anHN SnVA</t>
  </si>
  <si>
    <t>ngHN TgTRAN</t>
  </si>
  <si>
    <t>paHN MaARTINEZ</t>
  </si>
  <si>
    <t>juHN HuERNANDEZ</t>
  </si>
  <si>
    <t>moHN SoINGH</t>
  </si>
  <si>
    <t>kiHN TiTANAKA</t>
  </si>
  <si>
    <t>prHN GrUPTA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</si>
</sst>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[$Rp-421]* #,##0.00_-;\-[$Rp-421]* #,##0.00_-;_-[$Rp-421]* &quot;-&quot;??_-;_-@_-"/>
    <numFmt numFmtId="166" formatCode="_-[$Rp-421]* #,##0_-;\-[$Rp-421]* #,##0_-;_-[$Rp-421]* &quot;-&quot;??_-;_-@_-"/>
    <numFmt numFmtId="167" formatCode="_-[$Rp-421]* #,##0_-;\-[$Rp-421]* #,##0_-;_-[$Rp-421]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color rgb="FF0D0D0D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1" xfId="0" applyFont="1" applyBorder="1"/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6" fontId="0" fillId="0" borderId="1" xfId="0" applyNumberFormat="1" applyBorder="1"/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0" borderId="0" xfId="0" quotePrefix="1"/>
    <xf numFmtId="0" fontId="1" fillId="0" borderId="0" xfId="0" applyFon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5" fontId="0" fillId="0" borderId="1" xfId="0" applyNumberFormat="1" applyBorder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0" fillId="0" borderId="4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167" fontId="0" fillId="0" borderId="9" xfId="0" applyNumberFormat="1" applyBorder="1" applyAlignment="1">
      <alignment vertical="center"/>
    </xf>
    <xf numFmtId="3" fontId="0" fillId="0" borderId="9" xfId="0" applyNumberFormat="1" applyBorder="1" applyAlignment="1">
      <alignment vertical="center"/>
    </xf>
    <xf numFmtId="165" fontId="0" fillId="0" borderId="10" xfId="0" applyNumberFormat="1" applyBorder="1"/>
    <xf numFmtId="165" fontId="0" fillId="0" borderId="1" xfId="1" applyNumberFormat="1" applyFont="1" applyBorder="1"/>
    <xf numFmtId="165" fontId="0" fillId="3" borderId="0" xfId="0" applyNumberFormat="1" applyFill="1"/>
    <xf numFmtId="167" fontId="0" fillId="0" borderId="1" xfId="0" applyNumberFormat="1" applyBorder="1"/>
    <xf numFmtId="43" fontId="0" fillId="0" borderId="1" xfId="2" applyFont="1" applyBorder="1"/>
    <xf numFmtId="2" fontId="2" fillId="2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12">
    <dxf>
      <numFmt numFmtId="165" formatCode="_-[$Rp-421]* #,##0.00_-;\-[$Rp-421]* #,##0.00_-;_-[$Rp-421]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[$Rp-421]* #,##0_-;\-[$Rp-421]* #,##0_-;_-[$Rp-421]* &quot;-&quot;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BA7E0-9343-4123-870F-3C6EFF68944A}" name="Table1" displayName="Table1" ref="B4:I24" totalsRowShown="0" headerRowDxfId="11" headerRowBorderDxfId="10" tableBorderDxfId="9" totalsRowBorderDxfId="8">
  <autoFilter ref="B4:I24" xr:uid="{A9764251-99AD-4D19-9B6C-1D29C85CFEE3}"/>
  <tableColumns count="8">
    <tableColumn id="1" xr3:uid="{A92E7775-340F-40EF-A33D-F54CDC0EC65E}" name="No. Produksi" dataDxfId="7"/>
    <tableColumn id="2" xr3:uid="{A93B1E9E-35AC-45BB-AB09-45B39BA99A73}" name="Tanggal" dataDxfId="6"/>
    <tableColumn id="3" xr3:uid="{F3522F3D-A015-4F4F-87B5-5C2A822E991E}" name="ID Produk" dataDxfId="5"/>
    <tableColumn id="4" xr3:uid="{6D3105F8-EE7F-4679-B187-22C526A4BF79}" name="Kode Bahan" dataDxfId="4"/>
    <tableColumn id="5" xr3:uid="{6709D888-94BF-4A9E-B174-FDBF33900D89}" name="Jumlah" dataDxfId="3"/>
    <tableColumn id="6" xr3:uid="{20846511-11C1-483D-B6CB-588F11580AA0}" name="Total Biaya" dataDxfId="2"/>
    <tableColumn id="7" xr3:uid="{D2158E56-C1FB-408D-964C-59A6DD2BF2DD}" name="Status Total Biaya" dataDxfId="1">
      <calculatedColumnFormula>IF(G5&gt;5000000,"Over","Under")</calculatedColumnFormula>
    </tableColumn>
    <tableColumn id="8" xr3:uid="{63CE6896-D4DC-4077-A74B-84CAA4F5F8AC}" name="Biaya Satuan" dataDxfId="0">
      <calculatedColumnFormula>G5/F5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379C-207A-46B6-8D76-8D989C5F1B35}">
  <dimension ref="B2:N35"/>
  <sheetViews>
    <sheetView showGridLines="0" topLeftCell="B13" workbookViewId="0">
      <selection activeCell="N28" sqref="N28:N35"/>
    </sheetView>
  </sheetViews>
  <sheetFormatPr defaultRowHeight="15" x14ac:dyDescent="0.25"/>
  <cols>
    <col min="2" max="2" width="14.42578125" customWidth="1"/>
    <col min="3" max="3" width="10.140625" bestFit="1" customWidth="1"/>
    <col min="4" max="4" width="11.7109375" customWidth="1"/>
    <col min="5" max="5" width="13.5703125" customWidth="1"/>
    <col min="6" max="6" width="9.42578125" customWidth="1"/>
    <col min="7" max="7" width="14" bestFit="1" customWidth="1"/>
    <col min="8" max="8" width="18.5703125" customWidth="1"/>
    <col min="9" max="9" width="15.140625" customWidth="1"/>
    <col min="11" max="12" width="12.7109375" customWidth="1"/>
    <col min="13" max="13" width="15.5703125" bestFit="1" customWidth="1"/>
    <col min="14" max="14" width="25.85546875" customWidth="1"/>
  </cols>
  <sheetData>
    <row r="2" spans="2:14" x14ac:dyDescent="0.25">
      <c r="B2" s="1" t="s">
        <v>185</v>
      </c>
      <c r="K2" s="1" t="s">
        <v>157</v>
      </c>
    </row>
    <row r="4" spans="2:14" x14ac:dyDescent="0.25">
      <c r="B4" s="32" t="s">
        <v>23</v>
      </c>
      <c r="C4" s="33" t="s">
        <v>0</v>
      </c>
      <c r="D4" s="33" t="s">
        <v>24</v>
      </c>
      <c r="E4" s="33" t="s">
        <v>25</v>
      </c>
      <c r="F4" s="33" t="s">
        <v>1</v>
      </c>
      <c r="G4" s="33" t="s">
        <v>26</v>
      </c>
      <c r="H4" s="33" t="s">
        <v>190</v>
      </c>
      <c r="I4" s="34" t="s">
        <v>189</v>
      </c>
      <c r="K4" s="22" t="s">
        <v>191</v>
      </c>
    </row>
    <row r="5" spans="2:14" x14ac:dyDescent="0.25">
      <c r="B5" s="30" t="s">
        <v>27</v>
      </c>
      <c r="C5" s="4">
        <v>45413</v>
      </c>
      <c r="D5" s="3" t="s">
        <v>3</v>
      </c>
      <c r="E5" s="3" t="s">
        <v>28</v>
      </c>
      <c r="F5" s="3">
        <v>50</v>
      </c>
      <c r="G5" s="25">
        <v>5000000</v>
      </c>
      <c r="H5" s="5" t="str">
        <f>IF(G5&gt;5000000,"Over","Under")</f>
        <v>Under</v>
      </c>
      <c r="I5" s="31">
        <f>G5/F5</f>
        <v>100000</v>
      </c>
      <c r="K5" s="21" t="s">
        <v>192</v>
      </c>
    </row>
    <row r="6" spans="2:14" x14ac:dyDescent="0.25">
      <c r="B6" s="30" t="s">
        <v>29</v>
      </c>
      <c r="C6" s="4">
        <v>45414</v>
      </c>
      <c r="D6" s="3" t="s">
        <v>6</v>
      </c>
      <c r="E6" s="3" t="s">
        <v>30</v>
      </c>
      <c r="F6" s="3">
        <v>70</v>
      </c>
      <c r="G6" s="25">
        <v>7000000</v>
      </c>
      <c r="H6" s="5" t="str">
        <f t="shared" ref="H6:H24" si="0">IF(G6&gt;5000000,"Over","Under")</f>
        <v>Over</v>
      </c>
      <c r="I6" s="31">
        <f t="shared" ref="I6:I24" si="1">G6/F6</f>
        <v>100000</v>
      </c>
      <c r="K6" s="21" t="s">
        <v>193</v>
      </c>
    </row>
    <row r="7" spans="2:14" x14ac:dyDescent="0.25">
      <c r="B7" s="30" t="s">
        <v>31</v>
      </c>
      <c r="C7" s="4">
        <v>45415</v>
      </c>
      <c r="D7" s="3" t="s">
        <v>4</v>
      </c>
      <c r="E7" s="3" t="s">
        <v>32</v>
      </c>
      <c r="F7" s="3">
        <v>30</v>
      </c>
      <c r="G7" s="25">
        <v>3000000</v>
      </c>
      <c r="H7" s="5" t="str">
        <f t="shared" si="0"/>
        <v>Under</v>
      </c>
      <c r="I7" s="31">
        <f t="shared" si="1"/>
        <v>100000</v>
      </c>
      <c r="K7" s="22" t="s">
        <v>194</v>
      </c>
    </row>
    <row r="8" spans="2:14" x14ac:dyDescent="0.25">
      <c r="B8" s="30" t="s">
        <v>33</v>
      </c>
      <c r="C8" s="4">
        <v>45416</v>
      </c>
      <c r="D8" s="3" t="s">
        <v>7</v>
      </c>
      <c r="E8" s="3" t="s">
        <v>34</v>
      </c>
      <c r="F8" s="3">
        <v>100</v>
      </c>
      <c r="G8" s="25">
        <v>10000000</v>
      </c>
      <c r="H8" s="5" t="str">
        <f t="shared" si="0"/>
        <v>Over</v>
      </c>
      <c r="I8" s="31">
        <f t="shared" si="1"/>
        <v>100000</v>
      </c>
      <c r="K8" s="1" t="s">
        <v>195</v>
      </c>
    </row>
    <row r="9" spans="2:14" x14ac:dyDescent="0.25">
      <c r="B9" s="30" t="s">
        <v>35</v>
      </c>
      <c r="C9" s="4">
        <v>45417</v>
      </c>
      <c r="D9" s="3" t="s">
        <v>5</v>
      </c>
      <c r="E9" s="3" t="s">
        <v>36</v>
      </c>
      <c r="F9" s="3">
        <v>80</v>
      </c>
      <c r="G9" s="25">
        <v>8000000</v>
      </c>
      <c r="H9" s="5" t="str">
        <f t="shared" si="0"/>
        <v>Over</v>
      </c>
      <c r="I9" s="31">
        <f t="shared" si="1"/>
        <v>100000</v>
      </c>
      <c r="K9" t="s">
        <v>197</v>
      </c>
    </row>
    <row r="10" spans="2:14" x14ac:dyDescent="0.25">
      <c r="B10" s="30" t="s">
        <v>37</v>
      </c>
      <c r="C10" s="4">
        <v>45418</v>
      </c>
      <c r="D10" s="3" t="s">
        <v>8</v>
      </c>
      <c r="E10" s="3" t="s">
        <v>38</v>
      </c>
      <c r="F10" s="3">
        <v>40</v>
      </c>
      <c r="G10" s="25">
        <v>4000000</v>
      </c>
      <c r="H10" s="5" t="str">
        <f t="shared" si="0"/>
        <v>Under</v>
      </c>
      <c r="I10" s="31">
        <f t="shared" si="1"/>
        <v>100000</v>
      </c>
      <c r="K10" s="2" t="s">
        <v>23</v>
      </c>
      <c r="L10" s="16" t="s">
        <v>156</v>
      </c>
      <c r="M10" s="16" t="s">
        <v>196</v>
      </c>
    </row>
    <row r="11" spans="2:14" x14ac:dyDescent="0.25">
      <c r="B11" s="30" t="s">
        <v>39</v>
      </c>
      <c r="C11" s="4">
        <v>45419</v>
      </c>
      <c r="D11" s="3" t="s">
        <v>9</v>
      </c>
      <c r="E11" s="3" t="s">
        <v>40</v>
      </c>
      <c r="F11" s="3">
        <v>60</v>
      </c>
      <c r="G11" s="25">
        <v>6000000</v>
      </c>
      <c r="H11" s="5" t="str">
        <f t="shared" si="0"/>
        <v>Over</v>
      </c>
      <c r="I11" s="31">
        <f t="shared" si="1"/>
        <v>100000</v>
      </c>
      <c r="K11" s="3" t="s">
        <v>35</v>
      </c>
      <c r="L11" s="17" t="str">
        <f>LEFT(K11,4)</f>
        <v>PROD</v>
      </c>
      <c r="M11" s="17" t="str">
        <f>RIGHT(K11,3)</f>
        <v>005</v>
      </c>
    </row>
    <row r="12" spans="2:14" x14ac:dyDescent="0.25">
      <c r="B12" s="30" t="s">
        <v>41</v>
      </c>
      <c r="C12" s="4">
        <v>45420</v>
      </c>
      <c r="D12" s="3" t="s">
        <v>10</v>
      </c>
      <c r="E12" s="3" t="s">
        <v>42</v>
      </c>
      <c r="F12" s="3">
        <v>90</v>
      </c>
      <c r="G12" s="25">
        <v>9000000</v>
      </c>
      <c r="H12" s="5" t="str">
        <f t="shared" si="0"/>
        <v>Over</v>
      </c>
      <c r="I12" s="31">
        <f t="shared" si="1"/>
        <v>100000</v>
      </c>
      <c r="K12" s="3" t="s">
        <v>43</v>
      </c>
      <c r="L12" s="17" t="str">
        <f t="shared" ref="L12:L16" si="2">LEFT(K12,4)</f>
        <v>PROD</v>
      </c>
      <c r="M12" s="17" t="str">
        <f t="shared" ref="M12:M16" si="3">RIGHT(K12,3)</f>
        <v>009</v>
      </c>
    </row>
    <row r="13" spans="2:14" x14ac:dyDescent="0.25">
      <c r="B13" s="30" t="s">
        <v>43</v>
      </c>
      <c r="C13" s="4">
        <v>45421</v>
      </c>
      <c r="D13" s="3" t="s">
        <v>11</v>
      </c>
      <c r="E13" s="3" t="s">
        <v>44</v>
      </c>
      <c r="F13" s="3">
        <v>70</v>
      </c>
      <c r="G13" s="25">
        <v>7000000</v>
      </c>
      <c r="H13" s="5" t="str">
        <f t="shared" si="0"/>
        <v>Over</v>
      </c>
      <c r="I13" s="31">
        <f t="shared" si="1"/>
        <v>100000</v>
      </c>
      <c r="K13" s="3" t="s">
        <v>49</v>
      </c>
      <c r="L13" s="17" t="str">
        <f t="shared" si="2"/>
        <v>PROD</v>
      </c>
      <c r="M13" s="17" t="str">
        <f t="shared" si="3"/>
        <v>012</v>
      </c>
    </row>
    <row r="14" spans="2:14" x14ac:dyDescent="0.25">
      <c r="B14" s="30" t="s">
        <v>45</v>
      </c>
      <c r="C14" s="4">
        <v>45422</v>
      </c>
      <c r="D14" s="3" t="s">
        <v>12</v>
      </c>
      <c r="E14" s="3" t="s">
        <v>46</v>
      </c>
      <c r="F14" s="3">
        <v>50</v>
      </c>
      <c r="G14" s="25">
        <v>5000000</v>
      </c>
      <c r="H14" s="5" t="str">
        <f t="shared" si="0"/>
        <v>Under</v>
      </c>
      <c r="I14" s="31">
        <f t="shared" si="1"/>
        <v>100000</v>
      </c>
      <c r="K14" s="3" t="s">
        <v>55</v>
      </c>
      <c r="L14" s="17" t="str">
        <f t="shared" si="2"/>
        <v>PROD</v>
      </c>
      <c r="M14" s="17" t="str">
        <f t="shared" si="3"/>
        <v>015</v>
      </c>
    </row>
    <row r="15" spans="2:14" x14ac:dyDescent="0.25">
      <c r="B15" s="30" t="s">
        <v>47</v>
      </c>
      <c r="C15" s="4">
        <v>45423</v>
      </c>
      <c r="D15" s="3" t="s">
        <v>13</v>
      </c>
      <c r="E15" s="3" t="s">
        <v>48</v>
      </c>
      <c r="F15" s="3">
        <v>60</v>
      </c>
      <c r="G15" s="25">
        <v>6000000</v>
      </c>
      <c r="H15" s="5" t="str">
        <f t="shared" si="0"/>
        <v>Over</v>
      </c>
      <c r="I15" s="31">
        <f t="shared" si="1"/>
        <v>100000</v>
      </c>
      <c r="K15" s="3" t="s">
        <v>59</v>
      </c>
      <c r="L15" s="17" t="str">
        <f t="shared" si="2"/>
        <v>PROD</v>
      </c>
      <c r="M15" s="17" t="str">
        <f t="shared" si="3"/>
        <v>017</v>
      </c>
      <c r="N15" t="str">
        <f>IF(K19=D17,"Cocok","Tidak Cocok")</f>
        <v>Cocok</v>
      </c>
    </row>
    <row r="16" spans="2:14" x14ac:dyDescent="0.25">
      <c r="B16" s="30" t="s">
        <v>49</v>
      </c>
      <c r="C16" s="4">
        <v>45424</v>
      </c>
      <c r="D16" s="3" t="s">
        <v>14</v>
      </c>
      <c r="E16" s="3" t="s">
        <v>50</v>
      </c>
      <c r="F16" s="3">
        <v>80</v>
      </c>
      <c r="G16" s="25">
        <v>8000000</v>
      </c>
      <c r="H16" s="5" t="str">
        <f t="shared" si="0"/>
        <v>Over</v>
      </c>
      <c r="I16" s="31">
        <f t="shared" si="1"/>
        <v>100000</v>
      </c>
      <c r="K16" s="3" t="s">
        <v>65</v>
      </c>
      <c r="L16" s="17" t="str">
        <f t="shared" si="2"/>
        <v>PROD</v>
      </c>
      <c r="M16" s="17" t="str">
        <f t="shared" si="3"/>
        <v>020</v>
      </c>
    </row>
    <row r="17" spans="2:14" x14ac:dyDescent="0.25">
      <c r="B17" s="30" t="s">
        <v>51</v>
      </c>
      <c r="C17" s="4">
        <v>45425</v>
      </c>
      <c r="D17" s="3" t="s">
        <v>15</v>
      </c>
      <c r="E17" s="3" t="s">
        <v>52</v>
      </c>
      <c r="F17" s="3">
        <v>40</v>
      </c>
      <c r="G17" s="25">
        <v>4000000</v>
      </c>
      <c r="H17" s="5" t="str">
        <f t="shared" si="0"/>
        <v>Under</v>
      </c>
      <c r="I17" s="31">
        <f t="shared" si="1"/>
        <v>100000</v>
      </c>
      <c r="K17" s="1" t="s">
        <v>198</v>
      </c>
    </row>
    <row r="18" spans="2:14" x14ac:dyDescent="0.25">
      <c r="B18" s="30" t="s">
        <v>53</v>
      </c>
      <c r="C18" s="4">
        <v>45426</v>
      </c>
      <c r="D18" s="3" t="s">
        <v>16</v>
      </c>
      <c r="E18" s="3" t="s">
        <v>54</v>
      </c>
      <c r="F18" s="3">
        <v>70</v>
      </c>
      <c r="G18" s="25">
        <v>7000000</v>
      </c>
      <c r="H18" s="5" t="str">
        <f t="shared" si="0"/>
        <v>Over</v>
      </c>
      <c r="I18" s="31">
        <f t="shared" si="1"/>
        <v>100000</v>
      </c>
      <c r="K18" s="2" t="s">
        <v>24</v>
      </c>
      <c r="L18" s="2" t="s">
        <v>1</v>
      </c>
      <c r="M18" s="2" t="s">
        <v>26</v>
      </c>
      <c r="N18" s="18" t="s">
        <v>189</v>
      </c>
    </row>
    <row r="19" spans="2:14" x14ac:dyDescent="0.25">
      <c r="B19" s="30" t="s">
        <v>55</v>
      </c>
      <c r="C19" s="4">
        <v>45427</v>
      </c>
      <c r="D19" s="3" t="s">
        <v>17</v>
      </c>
      <c r="E19" s="3" t="s">
        <v>56</v>
      </c>
      <c r="F19" s="3">
        <v>90</v>
      </c>
      <c r="G19" s="25">
        <v>9000000</v>
      </c>
      <c r="H19" s="5" t="str">
        <f t="shared" si="0"/>
        <v>Over</v>
      </c>
      <c r="I19" s="31">
        <f t="shared" si="1"/>
        <v>100000</v>
      </c>
      <c r="K19" s="3" t="s">
        <v>15</v>
      </c>
      <c r="L19" s="17">
        <f>VLOOKUP(K19,Table1[[ID Produk]:[Biaya Satuan]],3,0)</f>
        <v>40</v>
      </c>
      <c r="M19" s="41">
        <f>VLOOKUP(K19,Table1[[ID Produk]:[Biaya Satuan]],4,0)</f>
        <v>4000000</v>
      </c>
      <c r="N19" s="17">
        <f>VLOOKUP(K19,Table1[[ID Produk]:[Biaya Satuan]],6)</f>
        <v>100000</v>
      </c>
    </row>
    <row r="20" spans="2:14" x14ac:dyDescent="0.25">
      <c r="B20" s="30" t="s">
        <v>57</v>
      </c>
      <c r="C20" s="4">
        <v>45428</v>
      </c>
      <c r="D20" s="3" t="s">
        <v>18</v>
      </c>
      <c r="E20" s="3" t="s">
        <v>58</v>
      </c>
      <c r="F20" s="3">
        <v>80</v>
      </c>
      <c r="G20" s="25">
        <v>8000000</v>
      </c>
      <c r="H20" s="5" t="str">
        <f t="shared" si="0"/>
        <v>Over</v>
      </c>
      <c r="I20" s="31">
        <f t="shared" si="1"/>
        <v>100000</v>
      </c>
      <c r="K20" s="3" t="s">
        <v>21</v>
      </c>
      <c r="L20" s="17">
        <f>VLOOKUP(K20,Table1[[ID Produk]:[Biaya Satuan]],3,0)</f>
        <v>70</v>
      </c>
      <c r="M20" s="41">
        <f>VLOOKUP(K20,Table1[[ID Produk]:[Biaya Satuan]],4,0)</f>
        <v>7000000</v>
      </c>
      <c r="N20" s="17">
        <f>VLOOKUP(K20,Table1[[ID Produk]:[Biaya Satuan]],6)</f>
        <v>100000</v>
      </c>
    </row>
    <row r="21" spans="2:14" x14ac:dyDescent="0.25">
      <c r="B21" s="30" t="s">
        <v>59</v>
      </c>
      <c r="C21" s="4">
        <v>45429</v>
      </c>
      <c r="D21" s="3" t="s">
        <v>19</v>
      </c>
      <c r="E21" s="3" t="s">
        <v>60</v>
      </c>
      <c r="F21" s="3">
        <v>50</v>
      </c>
      <c r="G21" s="25">
        <v>5000000</v>
      </c>
      <c r="H21" s="5" t="str">
        <f t="shared" si="0"/>
        <v>Under</v>
      </c>
      <c r="I21" s="31">
        <f t="shared" si="1"/>
        <v>100000</v>
      </c>
      <c r="K21" s="3" t="s">
        <v>5</v>
      </c>
      <c r="L21" s="17">
        <f>VLOOKUP(K21,Table1[[ID Produk]:[Biaya Satuan]],3,0)</f>
        <v>80</v>
      </c>
      <c r="M21" s="41">
        <f>VLOOKUP(K21,Table1[[ID Produk]:[Biaya Satuan]],4,0)</f>
        <v>8000000</v>
      </c>
      <c r="N21" s="17">
        <f>VLOOKUP(K21,Table1[[ID Produk]:[Biaya Satuan]],6)</f>
        <v>100000</v>
      </c>
    </row>
    <row r="22" spans="2:14" x14ac:dyDescent="0.25">
      <c r="B22" s="30" t="s">
        <v>61</v>
      </c>
      <c r="C22" s="4">
        <v>45430</v>
      </c>
      <c r="D22" s="3" t="s">
        <v>20</v>
      </c>
      <c r="E22" s="3" t="s">
        <v>62</v>
      </c>
      <c r="F22" s="3">
        <v>60</v>
      </c>
      <c r="G22" s="25">
        <v>6000000</v>
      </c>
      <c r="H22" s="5" t="str">
        <f t="shared" si="0"/>
        <v>Over</v>
      </c>
      <c r="I22" s="31">
        <f t="shared" si="1"/>
        <v>100000</v>
      </c>
      <c r="K22" s="3" t="s">
        <v>18</v>
      </c>
      <c r="L22" s="17">
        <f>VLOOKUP(K22,Table1[[ID Produk]:[Biaya Satuan]],3,0)</f>
        <v>80</v>
      </c>
      <c r="M22" s="41">
        <f>VLOOKUP(K22,Table1[[ID Produk]:[Biaya Satuan]],4,0)</f>
        <v>8000000</v>
      </c>
      <c r="N22" s="17">
        <f>VLOOKUP(K22,Table1[[ID Produk]:[Biaya Satuan]],6)</f>
        <v>100000</v>
      </c>
    </row>
    <row r="23" spans="2:14" x14ac:dyDescent="0.25">
      <c r="B23" s="30" t="s">
        <v>63</v>
      </c>
      <c r="C23" s="4">
        <v>45431</v>
      </c>
      <c r="D23" s="3" t="s">
        <v>21</v>
      </c>
      <c r="E23" s="3" t="s">
        <v>64</v>
      </c>
      <c r="F23" s="3">
        <v>70</v>
      </c>
      <c r="G23" s="25">
        <v>7000000</v>
      </c>
      <c r="H23" s="5" t="str">
        <f t="shared" si="0"/>
        <v>Over</v>
      </c>
      <c r="I23" s="31">
        <f t="shared" si="1"/>
        <v>100000</v>
      </c>
      <c r="K23" s="3" t="s">
        <v>6</v>
      </c>
      <c r="L23" s="17">
        <f>VLOOKUP(K23,Table1[[ID Produk]:[Biaya Satuan]],3,0)</f>
        <v>70</v>
      </c>
      <c r="M23" s="41">
        <f>VLOOKUP(K23,Table1[[ID Produk]:[Biaya Satuan]],4,0)</f>
        <v>7000000</v>
      </c>
      <c r="N23" s="17">
        <f>VLOOKUP(K23,Table1[[ID Produk]:[Biaya Satuan]],6)</f>
        <v>100000</v>
      </c>
    </row>
    <row r="24" spans="2:14" x14ac:dyDescent="0.25">
      <c r="B24" s="35" t="s">
        <v>65</v>
      </c>
      <c r="C24" s="36">
        <v>45432</v>
      </c>
      <c r="D24" s="37" t="s">
        <v>22</v>
      </c>
      <c r="E24" s="37" t="s">
        <v>66</v>
      </c>
      <c r="F24" s="37">
        <v>40</v>
      </c>
      <c r="G24" s="38">
        <v>4000000</v>
      </c>
      <c r="H24" s="39" t="str">
        <f t="shared" si="0"/>
        <v>Under</v>
      </c>
      <c r="I24" s="40">
        <f t="shared" si="1"/>
        <v>100000</v>
      </c>
      <c r="K24" s="3" t="s">
        <v>22</v>
      </c>
      <c r="L24" s="17">
        <f>VLOOKUP(K24,Table1[[ID Produk]:[Biaya Satuan]],3,0)</f>
        <v>40</v>
      </c>
      <c r="M24" s="41">
        <f>VLOOKUP(K24,Table1[[ID Produk]:[Biaya Satuan]],4,0)</f>
        <v>4000000</v>
      </c>
      <c r="N24" s="17">
        <f>VLOOKUP(K24,Table1[[ID Produk]:[Biaya Satuan]],6)</f>
        <v>100000</v>
      </c>
    </row>
    <row r="25" spans="2:14" x14ac:dyDescent="0.25">
      <c r="K25" s="24" t="s">
        <v>199</v>
      </c>
    </row>
    <row r="26" spans="2:14" x14ac:dyDescent="0.25">
      <c r="K26" s="23" t="s">
        <v>200</v>
      </c>
    </row>
    <row r="27" spans="2:14" x14ac:dyDescent="0.25">
      <c r="K27" s="2" t="s">
        <v>23</v>
      </c>
      <c r="L27" s="2" t="s">
        <v>24</v>
      </c>
      <c r="M27" s="2" t="s">
        <v>25</v>
      </c>
      <c r="N27" s="18" t="s">
        <v>201</v>
      </c>
    </row>
    <row r="28" spans="2:14" x14ac:dyDescent="0.25">
      <c r="K28" s="3" t="s">
        <v>27</v>
      </c>
      <c r="L28" s="3" t="s">
        <v>3</v>
      </c>
      <c r="M28" s="3" t="s">
        <v>28</v>
      </c>
      <c r="N28" s="17" t="str">
        <f>_xlfn.CONCAT(K28,"/",L28,"/",M28)</f>
        <v>PROD001/P101/BB001</v>
      </c>
    </row>
    <row r="29" spans="2:14" x14ac:dyDescent="0.25">
      <c r="K29" s="3" t="s">
        <v>31</v>
      </c>
      <c r="L29" s="3" t="s">
        <v>4</v>
      </c>
      <c r="M29" s="3" t="s">
        <v>32</v>
      </c>
      <c r="N29" s="17" t="str">
        <f t="shared" ref="N29:N34" si="4">_xlfn.CONCAT(K29,"/",L29,"/",M29)</f>
        <v>PROD003/P103/BB003</v>
      </c>
    </row>
    <row r="30" spans="2:14" x14ac:dyDescent="0.25">
      <c r="K30" s="3" t="s">
        <v>35</v>
      </c>
      <c r="L30" s="3" t="s">
        <v>5</v>
      </c>
      <c r="M30" s="3" t="s">
        <v>36</v>
      </c>
      <c r="N30" s="17" t="str">
        <f t="shared" si="4"/>
        <v>PROD005/P105/BB005</v>
      </c>
    </row>
    <row r="31" spans="2:14" x14ac:dyDescent="0.25">
      <c r="K31" s="3" t="s">
        <v>39</v>
      </c>
      <c r="L31" s="3" t="s">
        <v>9</v>
      </c>
      <c r="M31" s="3" t="s">
        <v>40</v>
      </c>
      <c r="N31" s="17" t="str">
        <f t="shared" si="4"/>
        <v>PROD007/P107/BB007</v>
      </c>
    </row>
    <row r="32" spans="2:14" x14ac:dyDescent="0.25">
      <c r="K32" s="3" t="s">
        <v>43</v>
      </c>
      <c r="L32" s="3" t="s">
        <v>11</v>
      </c>
      <c r="M32" s="3" t="s">
        <v>44</v>
      </c>
      <c r="N32" s="17" t="str">
        <f t="shared" si="4"/>
        <v>PROD009/P109/BB009</v>
      </c>
    </row>
    <row r="33" spans="11:14" x14ac:dyDescent="0.25">
      <c r="K33" s="3" t="s">
        <v>47</v>
      </c>
      <c r="L33" s="3" t="s">
        <v>13</v>
      </c>
      <c r="M33" s="3" t="s">
        <v>48</v>
      </c>
      <c r="N33" s="17" t="str">
        <f t="shared" si="4"/>
        <v>PROD011/P111/BB011</v>
      </c>
    </row>
    <row r="34" spans="11:14" x14ac:dyDescent="0.25">
      <c r="K34" s="3" t="s">
        <v>51</v>
      </c>
      <c r="L34" s="3" t="s">
        <v>15</v>
      </c>
      <c r="M34" s="3" t="s">
        <v>52</v>
      </c>
      <c r="N34" s="17" t="str">
        <f t="shared" si="4"/>
        <v>PROD013/P113/BB013</v>
      </c>
    </row>
    <row r="35" spans="11:14" x14ac:dyDescent="0.25">
      <c r="K35" s="3" t="s">
        <v>55</v>
      </c>
      <c r="L35" s="3" t="s">
        <v>17</v>
      </c>
      <c r="M35" s="3" t="s">
        <v>56</v>
      </c>
      <c r="N35" s="17" t="str">
        <f>_xlfn.CONCAT(K35,"/",L35,"/",M35)</f>
        <v>PROD015/P115/BB015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ACFF-ACC0-464F-AAD5-BC1F03225AB6}">
  <dimension ref="C2:M40"/>
  <sheetViews>
    <sheetView showGridLines="0" topLeftCell="A19" workbookViewId="0">
      <selection activeCell="D40" sqref="D40"/>
    </sheetView>
  </sheetViews>
  <sheetFormatPr defaultRowHeight="15" x14ac:dyDescent="0.25"/>
  <cols>
    <col min="1" max="1" width="4.28515625" customWidth="1"/>
    <col min="2" max="2" width="5" customWidth="1"/>
    <col min="3" max="3" width="3.5703125" bestFit="1" customWidth="1"/>
    <col min="4" max="6" width="19.140625" customWidth="1"/>
    <col min="7" max="7" width="17" bestFit="1" customWidth="1"/>
    <col min="8" max="8" width="14.28515625" customWidth="1"/>
    <col min="9" max="9" width="14.85546875" bestFit="1" customWidth="1"/>
    <col min="10" max="11" width="16" bestFit="1" customWidth="1"/>
    <col min="12" max="12" width="17.140625" customWidth="1"/>
    <col min="13" max="13" width="15.5703125" bestFit="1" customWidth="1"/>
  </cols>
  <sheetData>
    <row r="2" spans="3:13" x14ac:dyDescent="0.25">
      <c r="C2" s="1" t="s">
        <v>186</v>
      </c>
    </row>
    <row r="3" spans="3:13" x14ac:dyDescent="0.25">
      <c r="G3" s="6" t="s">
        <v>109</v>
      </c>
      <c r="H3" s="2" t="s">
        <v>110</v>
      </c>
      <c r="I3" s="2" t="s">
        <v>111</v>
      </c>
      <c r="J3" s="2" t="s">
        <v>112</v>
      </c>
      <c r="K3" s="2" t="s">
        <v>113</v>
      </c>
    </row>
    <row r="4" spans="3:13" x14ac:dyDescent="0.25">
      <c r="G4" s="6" t="s">
        <v>114</v>
      </c>
      <c r="H4" s="7">
        <v>2.5000000000000001E-2</v>
      </c>
      <c r="I4" s="8">
        <v>0.01</v>
      </c>
      <c r="J4" s="8">
        <v>0.02</v>
      </c>
      <c r="K4" s="8">
        <v>0.01</v>
      </c>
    </row>
    <row r="6" spans="3:13" x14ac:dyDescent="0.25">
      <c r="C6" s="2" t="s">
        <v>115</v>
      </c>
      <c r="D6" s="6" t="s">
        <v>164</v>
      </c>
      <c r="E6" s="2" t="s">
        <v>116</v>
      </c>
      <c r="F6" s="2" t="s">
        <v>159</v>
      </c>
      <c r="G6" s="9" t="s">
        <v>117</v>
      </c>
      <c r="H6" s="2" t="s">
        <v>110</v>
      </c>
      <c r="I6" s="2" t="s">
        <v>111</v>
      </c>
      <c r="J6" s="2" t="s">
        <v>112</v>
      </c>
      <c r="K6" s="2" t="s">
        <v>113</v>
      </c>
      <c r="L6" s="18" t="s">
        <v>167</v>
      </c>
      <c r="M6" s="18" t="s">
        <v>168</v>
      </c>
    </row>
    <row r="7" spans="3:13" x14ac:dyDescent="0.25">
      <c r="C7" s="10">
        <v>1</v>
      </c>
      <c r="D7" s="11" t="s">
        <v>118</v>
      </c>
      <c r="E7" s="14" t="s">
        <v>119</v>
      </c>
      <c r="F7" s="14" t="str">
        <f>_xlfn.IFS(E7="Kiper","GK",E7="Bek","CB",E7="Gelandang","MF",E7="Penyerang","ST")</f>
        <v>MF</v>
      </c>
      <c r="G7" s="12">
        <v>4000000</v>
      </c>
      <c r="H7" s="26">
        <f>G7*$H$4</f>
        <v>100000</v>
      </c>
      <c r="I7" s="26">
        <f>G7*$I$4</f>
        <v>40000</v>
      </c>
      <c r="J7" s="26">
        <f>G7*$J$4</f>
        <v>80000</v>
      </c>
      <c r="K7" s="26">
        <f>G7*$K$4</f>
        <v>40000</v>
      </c>
      <c r="L7" s="26">
        <f>SUM(H7:K7)</f>
        <v>260000</v>
      </c>
      <c r="M7" s="26">
        <f>G7-L7</f>
        <v>3740000</v>
      </c>
    </row>
    <row r="8" spans="3:13" x14ac:dyDescent="0.25">
      <c r="C8" s="10">
        <v>2</v>
      </c>
      <c r="D8" s="11" t="s">
        <v>120</v>
      </c>
      <c r="E8" s="14" t="s">
        <v>119</v>
      </c>
      <c r="F8" s="14" t="str">
        <f t="shared" ref="F8:F21" si="0">_xlfn.IFS(E8="Kiper","GK",E8="Bek","CB",E8="Gelandang","MF",E8="Penyerang","ST")</f>
        <v>MF</v>
      </c>
      <c r="G8" s="12">
        <v>4200000</v>
      </c>
      <c r="H8" s="26">
        <f t="shared" ref="H8:H21" si="1">G8*$H$4</f>
        <v>105000</v>
      </c>
      <c r="I8" s="26">
        <f t="shared" ref="I8:I21" si="2">G8*$I$4</f>
        <v>42000</v>
      </c>
      <c r="J8" s="26">
        <f t="shared" ref="J8:J21" si="3">G8*$J$4</f>
        <v>84000</v>
      </c>
      <c r="K8" s="26">
        <f t="shared" ref="K8:K21" si="4">G8*$K$4</f>
        <v>42000</v>
      </c>
      <c r="L8" s="26">
        <f t="shared" ref="L8:L21" si="5">SUM(H8:K8)</f>
        <v>273000</v>
      </c>
      <c r="M8" s="26">
        <f t="shared" ref="M8:M21" si="6">G8-L8</f>
        <v>3927000</v>
      </c>
    </row>
    <row r="9" spans="3:13" x14ac:dyDescent="0.25">
      <c r="C9" s="10">
        <v>3</v>
      </c>
      <c r="D9" s="11" t="s">
        <v>121</v>
      </c>
      <c r="E9" s="14" t="s">
        <v>122</v>
      </c>
      <c r="F9" s="14" t="str">
        <f t="shared" si="0"/>
        <v>ST</v>
      </c>
      <c r="G9" s="12">
        <v>4400000</v>
      </c>
      <c r="H9" s="26">
        <f t="shared" si="1"/>
        <v>110000</v>
      </c>
      <c r="I9" s="26">
        <f t="shared" si="2"/>
        <v>44000</v>
      </c>
      <c r="J9" s="26">
        <f t="shared" si="3"/>
        <v>88000</v>
      </c>
      <c r="K9" s="26">
        <f t="shared" si="4"/>
        <v>44000</v>
      </c>
      <c r="L9" s="26">
        <f t="shared" si="5"/>
        <v>286000</v>
      </c>
      <c r="M9" s="26">
        <f t="shared" si="6"/>
        <v>4114000</v>
      </c>
    </row>
    <row r="10" spans="3:13" x14ac:dyDescent="0.25">
      <c r="C10" s="10">
        <v>4</v>
      </c>
      <c r="D10" s="11" t="s">
        <v>123</v>
      </c>
      <c r="E10" s="14" t="s">
        <v>124</v>
      </c>
      <c r="F10" s="14" t="str">
        <f t="shared" si="0"/>
        <v>CB</v>
      </c>
      <c r="G10" s="12">
        <v>4300000</v>
      </c>
      <c r="H10" s="26">
        <f t="shared" si="1"/>
        <v>107500</v>
      </c>
      <c r="I10" s="26">
        <f t="shared" si="2"/>
        <v>43000</v>
      </c>
      <c r="J10" s="26">
        <f t="shared" si="3"/>
        <v>86000</v>
      </c>
      <c r="K10" s="26">
        <f t="shared" si="4"/>
        <v>43000</v>
      </c>
      <c r="L10" s="26">
        <f t="shared" si="5"/>
        <v>279500</v>
      </c>
      <c r="M10" s="26">
        <f t="shared" si="6"/>
        <v>4020500</v>
      </c>
    </row>
    <row r="11" spans="3:13" x14ac:dyDescent="0.25">
      <c r="C11" s="10">
        <v>5</v>
      </c>
      <c r="D11" s="11" t="s">
        <v>125</v>
      </c>
      <c r="E11" s="14" t="s">
        <v>126</v>
      </c>
      <c r="F11" s="14" t="str">
        <f t="shared" si="0"/>
        <v>GK</v>
      </c>
      <c r="G11" s="12">
        <v>4100000</v>
      </c>
      <c r="H11" s="26">
        <f t="shared" si="1"/>
        <v>102500</v>
      </c>
      <c r="I11" s="26">
        <f t="shared" si="2"/>
        <v>41000</v>
      </c>
      <c r="J11" s="26">
        <f t="shared" si="3"/>
        <v>82000</v>
      </c>
      <c r="K11" s="26">
        <f t="shared" si="4"/>
        <v>41000</v>
      </c>
      <c r="L11" s="26">
        <f t="shared" si="5"/>
        <v>266500</v>
      </c>
      <c r="M11" s="26">
        <f t="shared" si="6"/>
        <v>3833500</v>
      </c>
    </row>
    <row r="12" spans="3:13" x14ac:dyDescent="0.25">
      <c r="C12" s="10">
        <v>6</v>
      </c>
      <c r="D12" s="11" t="s">
        <v>127</v>
      </c>
      <c r="E12" s="14" t="s">
        <v>124</v>
      </c>
      <c r="F12" s="14" t="str">
        <f t="shared" si="0"/>
        <v>CB</v>
      </c>
      <c r="G12" s="12">
        <v>4350000</v>
      </c>
      <c r="H12" s="26">
        <f t="shared" si="1"/>
        <v>108750</v>
      </c>
      <c r="I12" s="26">
        <f t="shared" si="2"/>
        <v>43500</v>
      </c>
      <c r="J12" s="26">
        <f t="shared" si="3"/>
        <v>87000</v>
      </c>
      <c r="K12" s="26">
        <f t="shared" si="4"/>
        <v>43500</v>
      </c>
      <c r="L12" s="26">
        <f t="shared" si="5"/>
        <v>282750</v>
      </c>
      <c r="M12" s="26">
        <f t="shared" si="6"/>
        <v>4067250</v>
      </c>
    </row>
    <row r="13" spans="3:13" x14ac:dyDescent="0.25">
      <c r="C13" s="10">
        <v>7</v>
      </c>
      <c r="D13" s="11" t="s">
        <v>128</v>
      </c>
      <c r="E13" s="14" t="s">
        <v>119</v>
      </c>
      <c r="F13" s="14" t="str">
        <f t="shared" si="0"/>
        <v>MF</v>
      </c>
      <c r="G13" s="12">
        <v>4250000</v>
      </c>
      <c r="H13" s="26">
        <f t="shared" si="1"/>
        <v>106250</v>
      </c>
      <c r="I13" s="26">
        <f t="shared" si="2"/>
        <v>42500</v>
      </c>
      <c r="J13" s="26">
        <f t="shared" si="3"/>
        <v>85000</v>
      </c>
      <c r="K13" s="26">
        <f t="shared" si="4"/>
        <v>42500</v>
      </c>
      <c r="L13" s="26">
        <f t="shared" si="5"/>
        <v>276250</v>
      </c>
      <c r="M13" s="26">
        <f t="shared" si="6"/>
        <v>3973750</v>
      </c>
    </row>
    <row r="14" spans="3:13" x14ac:dyDescent="0.25">
      <c r="C14" s="10">
        <v>8</v>
      </c>
      <c r="D14" s="11" t="s">
        <v>129</v>
      </c>
      <c r="E14" s="14" t="s">
        <v>122</v>
      </c>
      <c r="F14" s="14" t="str">
        <f t="shared" si="0"/>
        <v>ST</v>
      </c>
      <c r="G14" s="12">
        <v>4150000</v>
      </c>
      <c r="H14" s="26">
        <f t="shared" si="1"/>
        <v>103750</v>
      </c>
      <c r="I14" s="26">
        <f t="shared" si="2"/>
        <v>41500</v>
      </c>
      <c r="J14" s="26">
        <f t="shared" si="3"/>
        <v>83000</v>
      </c>
      <c r="K14" s="26">
        <f t="shared" si="4"/>
        <v>41500</v>
      </c>
      <c r="L14" s="26">
        <f t="shared" si="5"/>
        <v>269750</v>
      </c>
      <c r="M14" s="26">
        <f t="shared" si="6"/>
        <v>3880250</v>
      </c>
    </row>
    <row r="15" spans="3:13" x14ac:dyDescent="0.25">
      <c r="C15" s="10">
        <v>9</v>
      </c>
      <c r="D15" s="11" t="s">
        <v>130</v>
      </c>
      <c r="E15" s="14" t="s">
        <v>122</v>
      </c>
      <c r="F15" s="14" t="str">
        <f t="shared" si="0"/>
        <v>ST</v>
      </c>
      <c r="G15" s="12">
        <v>4450000</v>
      </c>
      <c r="H15" s="26">
        <f t="shared" si="1"/>
        <v>111250</v>
      </c>
      <c r="I15" s="26">
        <f t="shared" si="2"/>
        <v>44500</v>
      </c>
      <c r="J15" s="26">
        <f t="shared" si="3"/>
        <v>89000</v>
      </c>
      <c r="K15" s="26">
        <f t="shared" si="4"/>
        <v>44500</v>
      </c>
      <c r="L15" s="26">
        <f t="shared" si="5"/>
        <v>289250</v>
      </c>
      <c r="M15" s="26">
        <f t="shared" si="6"/>
        <v>4160750</v>
      </c>
    </row>
    <row r="16" spans="3:13" x14ac:dyDescent="0.25">
      <c r="C16" s="10">
        <v>10</v>
      </c>
      <c r="D16" s="11" t="s">
        <v>131</v>
      </c>
      <c r="E16" s="14" t="s">
        <v>124</v>
      </c>
      <c r="F16" s="14" t="str">
        <f t="shared" si="0"/>
        <v>CB</v>
      </c>
      <c r="G16" s="12">
        <v>4375000</v>
      </c>
      <c r="H16" s="26">
        <f t="shared" si="1"/>
        <v>109375</v>
      </c>
      <c r="I16" s="26">
        <f t="shared" si="2"/>
        <v>43750</v>
      </c>
      <c r="J16" s="26">
        <f t="shared" si="3"/>
        <v>87500</v>
      </c>
      <c r="K16" s="26">
        <f t="shared" si="4"/>
        <v>43750</v>
      </c>
      <c r="L16" s="26">
        <f t="shared" si="5"/>
        <v>284375</v>
      </c>
      <c r="M16" s="26">
        <f t="shared" si="6"/>
        <v>4090625</v>
      </c>
    </row>
    <row r="17" spans="3:13" x14ac:dyDescent="0.25">
      <c r="C17" s="10">
        <v>11</v>
      </c>
      <c r="D17" s="11" t="s">
        <v>132</v>
      </c>
      <c r="E17" s="14" t="s">
        <v>119</v>
      </c>
      <c r="F17" s="14" t="str">
        <f t="shared" si="0"/>
        <v>MF</v>
      </c>
      <c r="G17" s="12">
        <v>4275000</v>
      </c>
      <c r="H17" s="26">
        <f t="shared" si="1"/>
        <v>106875</v>
      </c>
      <c r="I17" s="26">
        <f t="shared" si="2"/>
        <v>42750</v>
      </c>
      <c r="J17" s="26">
        <f t="shared" si="3"/>
        <v>85500</v>
      </c>
      <c r="K17" s="26">
        <f t="shared" si="4"/>
        <v>42750</v>
      </c>
      <c r="L17" s="26">
        <f t="shared" si="5"/>
        <v>277875</v>
      </c>
      <c r="M17" s="26">
        <f t="shared" si="6"/>
        <v>3997125</v>
      </c>
    </row>
    <row r="18" spans="3:13" x14ac:dyDescent="0.25">
      <c r="C18" s="10">
        <v>12</v>
      </c>
      <c r="D18" s="11" t="s">
        <v>133</v>
      </c>
      <c r="E18" s="14" t="s">
        <v>122</v>
      </c>
      <c r="F18" s="14" t="str">
        <f t="shared" si="0"/>
        <v>ST</v>
      </c>
      <c r="G18" s="12">
        <v>4325000</v>
      </c>
      <c r="H18" s="26">
        <f t="shared" si="1"/>
        <v>108125</v>
      </c>
      <c r="I18" s="26">
        <f t="shared" si="2"/>
        <v>43250</v>
      </c>
      <c r="J18" s="26">
        <f t="shared" si="3"/>
        <v>86500</v>
      </c>
      <c r="K18" s="26">
        <f t="shared" si="4"/>
        <v>43250</v>
      </c>
      <c r="L18" s="26">
        <f t="shared" si="5"/>
        <v>281125</v>
      </c>
      <c r="M18" s="26">
        <f t="shared" si="6"/>
        <v>4043875</v>
      </c>
    </row>
    <row r="19" spans="3:13" x14ac:dyDescent="0.25">
      <c r="C19" s="10">
        <v>13</v>
      </c>
      <c r="D19" s="11" t="s">
        <v>134</v>
      </c>
      <c r="E19" s="14" t="s">
        <v>119</v>
      </c>
      <c r="F19" s="14" t="str">
        <f t="shared" si="0"/>
        <v>MF</v>
      </c>
      <c r="G19" s="12">
        <v>4225000</v>
      </c>
      <c r="H19" s="26">
        <f t="shared" si="1"/>
        <v>105625</v>
      </c>
      <c r="I19" s="26">
        <f t="shared" si="2"/>
        <v>42250</v>
      </c>
      <c r="J19" s="26">
        <f t="shared" si="3"/>
        <v>84500</v>
      </c>
      <c r="K19" s="26">
        <f t="shared" si="4"/>
        <v>42250</v>
      </c>
      <c r="L19" s="26">
        <f t="shared" si="5"/>
        <v>274625</v>
      </c>
      <c r="M19" s="26">
        <f t="shared" si="6"/>
        <v>3950375</v>
      </c>
    </row>
    <row r="20" spans="3:13" x14ac:dyDescent="0.25">
      <c r="C20" s="10">
        <v>14</v>
      </c>
      <c r="D20" s="11" t="s">
        <v>135</v>
      </c>
      <c r="E20" s="14" t="s">
        <v>124</v>
      </c>
      <c r="F20" s="14" t="str">
        <f t="shared" si="0"/>
        <v>CB</v>
      </c>
      <c r="G20" s="12">
        <v>4475000</v>
      </c>
      <c r="H20" s="26">
        <f t="shared" si="1"/>
        <v>111875</v>
      </c>
      <c r="I20" s="26">
        <f t="shared" si="2"/>
        <v>44750</v>
      </c>
      <c r="J20" s="26">
        <f t="shared" si="3"/>
        <v>89500</v>
      </c>
      <c r="K20" s="26">
        <f t="shared" si="4"/>
        <v>44750</v>
      </c>
      <c r="L20" s="26">
        <f t="shared" si="5"/>
        <v>290875</v>
      </c>
      <c r="M20" s="26">
        <f t="shared" si="6"/>
        <v>4184125</v>
      </c>
    </row>
    <row r="21" spans="3:13" x14ac:dyDescent="0.25">
      <c r="C21" s="10">
        <v>15</v>
      </c>
      <c r="D21" s="11" t="s">
        <v>136</v>
      </c>
      <c r="E21" s="14" t="s">
        <v>124</v>
      </c>
      <c r="F21" s="14" t="str">
        <f t="shared" si="0"/>
        <v>CB</v>
      </c>
      <c r="G21" s="12">
        <v>4275000</v>
      </c>
      <c r="H21" s="26">
        <f t="shared" si="1"/>
        <v>106875</v>
      </c>
      <c r="I21" s="26">
        <f t="shared" si="2"/>
        <v>42750</v>
      </c>
      <c r="J21" s="26">
        <f t="shared" si="3"/>
        <v>85500</v>
      </c>
      <c r="K21" s="26">
        <f t="shared" si="4"/>
        <v>42750</v>
      </c>
      <c r="L21" s="26">
        <f t="shared" si="5"/>
        <v>277875</v>
      </c>
      <c r="M21" s="26">
        <f t="shared" si="6"/>
        <v>3997125</v>
      </c>
    </row>
    <row r="23" spans="3:13" x14ac:dyDescent="0.25">
      <c r="C23" s="1" t="s">
        <v>157</v>
      </c>
    </row>
    <row r="24" spans="3:13" x14ac:dyDescent="0.25">
      <c r="C24" s="1" t="s">
        <v>158</v>
      </c>
    </row>
    <row r="25" spans="3:13" x14ac:dyDescent="0.25">
      <c r="C25" s="1" t="s">
        <v>169</v>
      </c>
    </row>
    <row r="26" spans="3:13" x14ac:dyDescent="0.25">
      <c r="C26" s="1" t="s">
        <v>170</v>
      </c>
    </row>
    <row r="27" spans="3:13" x14ac:dyDescent="0.25">
      <c r="D27" t="s">
        <v>160</v>
      </c>
    </row>
    <row r="28" spans="3:13" x14ac:dyDescent="0.25">
      <c r="D28" t="s">
        <v>161</v>
      </c>
    </row>
    <row r="29" spans="3:13" x14ac:dyDescent="0.25">
      <c r="D29" t="s">
        <v>162</v>
      </c>
    </row>
    <row r="30" spans="3:13" x14ac:dyDescent="0.25">
      <c r="D30" t="s">
        <v>163</v>
      </c>
    </row>
    <row r="31" spans="3:13" x14ac:dyDescent="0.25">
      <c r="C31" s="1" t="s">
        <v>202</v>
      </c>
    </row>
    <row r="32" spans="3:13" x14ac:dyDescent="0.25">
      <c r="D32" s="2" t="s">
        <v>164</v>
      </c>
      <c r="E32" s="2" t="s">
        <v>165</v>
      </c>
      <c r="F32" s="2" t="s">
        <v>166</v>
      </c>
    </row>
    <row r="33" spans="3:6" x14ac:dyDescent="0.25">
      <c r="D33" s="11" t="s">
        <v>120</v>
      </c>
      <c r="E33" s="17" t="str">
        <f>LEFT(D33,5)</f>
        <v>Bruno</v>
      </c>
      <c r="F33" s="17" t="str">
        <f>MID(D33,FIND(" ",D33)+1,9)</f>
        <v>Fernandes</v>
      </c>
    </row>
    <row r="34" spans="3:6" x14ac:dyDescent="0.25">
      <c r="D34" s="11" t="s">
        <v>121</v>
      </c>
      <c r="E34" s="17" t="str">
        <f t="shared" ref="E34:E38" si="7">LEFT(D34,5)</f>
        <v>Jadon</v>
      </c>
      <c r="F34" s="17" t="str">
        <f t="shared" ref="F34:F38" si="8">MID(D34,FIND(" ",D34)+1,9)</f>
        <v>Sancho</v>
      </c>
    </row>
    <row r="35" spans="3:6" x14ac:dyDescent="0.25">
      <c r="D35" s="11" t="s">
        <v>129</v>
      </c>
      <c r="E35" s="17" t="str">
        <f>LEFT(D35,9)</f>
        <v>Alejandro</v>
      </c>
      <c r="F35" s="17" t="str">
        <f t="shared" si="8"/>
        <v>Garnacho</v>
      </c>
    </row>
    <row r="36" spans="3:6" x14ac:dyDescent="0.25">
      <c r="D36" s="11" t="s">
        <v>130</v>
      </c>
      <c r="E36" s="17" t="str">
        <f>LEFT(D36,6)</f>
        <v>Marcus</v>
      </c>
      <c r="F36" s="17" t="str">
        <f t="shared" si="8"/>
        <v>Rashford</v>
      </c>
    </row>
    <row r="37" spans="3:6" x14ac:dyDescent="0.25">
      <c r="D37" s="11" t="s">
        <v>135</v>
      </c>
      <c r="E37" s="17" t="str">
        <f>LEFT(D37,6)</f>
        <v>Victor</v>
      </c>
      <c r="F37" s="17" t="str">
        <f t="shared" si="8"/>
        <v>Lindelof</v>
      </c>
    </row>
    <row r="38" spans="3:6" x14ac:dyDescent="0.25">
      <c r="D38" s="11" t="s">
        <v>136</v>
      </c>
      <c r="E38" s="17" t="str">
        <f t="shared" si="7"/>
        <v>Aaron</v>
      </c>
      <c r="F38" s="17" t="str">
        <f>MID(D38,FIND(" ",D38)+1,11)</f>
        <v>Wan-Bissaka</v>
      </c>
    </row>
    <row r="39" spans="3:6" x14ac:dyDescent="0.25">
      <c r="C39" s="1" t="s">
        <v>203</v>
      </c>
    </row>
    <row r="40" spans="3:6" x14ac:dyDescent="0.25">
      <c r="D40" s="42">
        <f>AVERAGEIF(E7:E21,"Penyerang",M7:M21)</f>
        <v>4049718.75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962-0821-4D58-B3D2-40DB4D8F9B1E}">
  <dimension ref="B2:Q39"/>
  <sheetViews>
    <sheetView showGridLines="0" topLeftCell="F17" workbookViewId="0">
      <selection activeCell="O20" sqref="O20:O39"/>
    </sheetView>
  </sheetViews>
  <sheetFormatPr defaultRowHeight="15" x14ac:dyDescent="0.25"/>
  <cols>
    <col min="2" max="2" width="13.5703125" bestFit="1" customWidth="1"/>
    <col min="3" max="3" width="13.42578125" customWidth="1"/>
    <col min="4" max="4" width="12.42578125" bestFit="1" customWidth="1"/>
    <col min="5" max="5" width="18.28515625" customWidth="1"/>
    <col min="6" max="6" width="9.5703125" bestFit="1" customWidth="1"/>
    <col min="7" max="7" width="14.140625" bestFit="1" customWidth="1"/>
    <col min="8" max="8" width="20.140625" bestFit="1" customWidth="1"/>
    <col min="9" max="9" width="14" bestFit="1" customWidth="1"/>
    <col min="10" max="10" width="17.7109375" customWidth="1"/>
    <col min="12" max="12" width="17.85546875" customWidth="1"/>
    <col min="13" max="13" width="15.85546875" bestFit="1" customWidth="1"/>
    <col min="14" max="14" width="18.85546875" bestFit="1" customWidth="1"/>
    <col min="15" max="15" width="15.5703125" bestFit="1" customWidth="1"/>
    <col min="16" max="16" width="17.5703125" customWidth="1"/>
    <col min="17" max="17" width="17.85546875" customWidth="1"/>
  </cols>
  <sheetData>
    <row r="2" spans="2:17" x14ac:dyDescent="0.25">
      <c r="B2" s="1" t="s">
        <v>188</v>
      </c>
      <c r="L2" s="1" t="s">
        <v>157</v>
      </c>
    </row>
    <row r="4" spans="2:17" x14ac:dyDescent="0.25">
      <c r="B4" s="2" t="s">
        <v>67</v>
      </c>
      <c r="C4" s="2" t="s">
        <v>0</v>
      </c>
      <c r="D4" s="27" t="s">
        <v>68</v>
      </c>
      <c r="E4" s="29" t="s">
        <v>232</v>
      </c>
      <c r="F4" s="2" t="s">
        <v>24</v>
      </c>
      <c r="G4" s="2" t="s">
        <v>204</v>
      </c>
      <c r="H4" s="2" t="s">
        <v>205</v>
      </c>
      <c r="I4" s="2" t="s">
        <v>154</v>
      </c>
      <c r="J4" s="18" t="s">
        <v>2</v>
      </c>
      <c r="L4" s="22" t="s">
        <v>206</v>
      </c>
    </row>
    <row r="5" spans="2:17" x14ac:dyDescent="0.25">
      <c r="B5" s="3" t="s">
        <v>69</v>
      </c>
      <c r="C5" s="4">
        <v>45413</v>
      </c>
      <c r="D5" s="28" t="s">
        <v>70</v>
      </c>
      <c r="E5" s="11" t="s">
        <v>212</v>
      </c>
      <c r="F5" s="3" t="s">
        <v>3</v>
      </c>
      <c r="G5" s="3">
        <v>3</v>
      </c>
      <c r="H5" s="3" t="str">
        <f>IF(G5&lt;7,"Produksi Lagi","Cukup")</f>
        <v>Produksi Lagi</v>
      </c>
      <c r="I5" s="25">
        <v>10000000</v>
      </c>
      <c r="J5" s="43">
        <f>I5*G5</f>
        <v>30000000</v>
      </c>
      <c r="L5" s="21" t="s">
        <v>207</v>
      </c>
    </row>
    <row r="6" spans="2:17" x14ac:dyDescent="0.25">
      <c r="B6" s="3" t="s">
        <v>71</v>
      </c>
      <c r="C6" s="4">
        <v>45414</v>
      </c>
      <c r="D6" s="28" t="s">
        <v>72</v>
      </c>
      <c r="E6" s="11" t="s">
        <v>213</v>
      </c>
      <c r="F6" s="3" t="s">
        <v>4</v>
      </c>
      <c r="G6" s="3">
        <v>6</v>
      </c>
      <c r="H6" s="3" t="str">
        <f t="shared" ref="H6:H24" si="0">IF(G6&lt;7,"Produksi Lagi","Cukup")</f>
        <v>Produksi Lagi</v>
      </c>
      <c r="I6" s="25">
        <v>2000000</v>
      </c>
      <c r="J6" s="43">
        <f t="shared" ref="J6:J24" si="1">I6*G6</f>
        <v>12000000</v>
      </c>
      <c r="L6" s="21" t="s">
        <v>208</v>
      </c>
    </row>
    <row r="7" spans="2:17" x14ac:dyDescent="0.25">
      <c r="B7" s="3" t="s">
        <v>73</v>
      </c>
      <c r="C7" s="4">
        <v>45415</v>
      </c>
      <c r="D7" s="28" t="s">
        <v>74</v>
      </c>
      <c r="E7" s="11" t="s">
        <v>214</v>
      </c>
      <c r="F7" s="3" t="s">
        <v>5</v>
      </c>
      <c r="G7" s="3">
        <v>5</v>
      </c>
      <c r="H7" s="3" t="str">
        <f t="shared" si="0"/>
        <v>Produksi Lagi</v>
      </c>
      <c r="I7" s="25">
        <v>1200000</v>
      </c>
      <c r="J7" s="43">
        <f t="shared" si="1"/>
        <v>6000000</v>
      </c>
      <c r="L7" s="22" t="s">
        <v>209</v>
      </c>
    </row>
    <row r="8" spans="2:17" x14ac:dyDescent="0.25">
      <c r="B8" s="3" t="s">
        <v>75</v>
      </c>
      <c r="C8" s="4">
        <v>45416</v>
      </c>
      <c r="D8" s="28" t="s">
        <v>76</v>
      </c>
      <c r="E8" s="11" t="s">
        <v>215</v>
      </c>
      <c r="F8" s="3" t="s">
        <v>6</v>
      </c>
      <c r="G8" s="3">
        <v>8</v>
      </c>
      <c r="H8" s="3" t="str">
        <f t="shared" si="0"/>
        <v>Cukup</v>
      </c>
      <c r="I8" s="25">
        <v>7000000</v>
      </c>
      <c r="J8" s="43">
        <f t="shared" si="1"/>
        <v>56000000</v>
      </c>
      <c r="L8" s="1" t="s">
        <v>210</v>
      </c>
    </row>
    <row r="9" spans="2:17" x14ac:dyDescent="0.25">
      <c r="B9" s="3" t="s">
        <v>77</v>
      </c>
      <c r="C9" s="4">
        <v>45417</v>
      </c>
      <c r="D9" s="28" t="s">
        <v>78</v>
      </c>
      <c r="E9" s="11" t="s">
        <v>216</v>
      </c>
      <c r="F9" s="3" t="s">
        <v>7</v>
      </c>
      <c r="G9" s="3">
        <v>12</v>
      </c>
      <c r="H9" s="3" t="str">
        <f t="shared" si="0"/>
        <v>Cukup</v>
      </c>
      <c r="I9" s="25">
        <v>500000</v>
      </c>
      <c r="J9" s="43">
        <f t="shared" si="1"/>
        <v>6000000</v>
      </c>
      <c r="L9" s="2" t="s">
        <v>67</v>
      </c>
      <c r="M9" s="2" t="s">
        <v>68</v>
      </c>
      <c r="N9" s="2" t="s">
        <v>24</v>
      </c>
      <c r="O9" s="2" t="s">
        <v>204</v>
      </c>
      <c r="P9" s="2" t="s">
        <v>154</v>
      </c>
      <c r="Q9" s="18" t="s">
        <v>2</v>
      </c>
    </row>
    <row r="10" spans="2:17" x14ac:dyDescent="0.25">
      <c r="B10" s="3" t="s">
        <v>79</v>
      </c>
      <c r="C10" s="4">
        <v>45418</v>
      </c>
      <c r="D10" s="28" t="s">
        <v>80</v>
      </c>
      <c r="E10" s="11" t="s">
        <v>217</v>
      </c>
      <c r="F10" s="3" t="s">
        <v>8</v>
      </c>
      <c r="G10" s="3">
        <v>2</v>
      </c>
      <c r="H10" s="3" t="str">
        <f t="shared" si="0"/>
        <v>Produksi Lagi</v>
      </c>
      <c r="I10" s="25">
        <v>3500000</v>
      </c>
      <c r="J10" s="43">
        <f t="shared" si="1"/>
        <v>7000000</v>
      </c>
      <c r="L10" s="3" t="s">
        <v>87</v>
      </c>
      <c r="M10" s="17" t="str">
        <f>VLOOKUP(L10,B5:J24,3,0)</f>
        <v>C010</v>
      </c>
      <c r="N10" s="17" t="str">
        <f>VLOOKUP(L10,B5:J24,5,0)</f>
        <v>P110</v>
      </c>
      <c r="O10" s="17">
        <f>VLOOKUP(L10,B5:J24,6,0)</f>
        <v>5</v>
      </c>
      <c r="P10" s="26">
        <f>VLOOKUP(L10,B5:J24,8,0)</f>
        <v>300000</v>
      </c>
      <c r="Q10" s="26">
        <f>VLOOKUP(L10,B5:J24,9,0)</f>
        <v>1500000</v>
      </c>
    </row>
    <row r="11" spans="2:17" x14ac:dyDescent="0.25">
      <c r="B11" s="3" t="s">
        <v>81</v>
      </c>
      <c r="C11" s="4">
        <v>45419</v>
      </c>
      <c r="D11" s="28" t="s">
        <v>82</v>
      </c>
      <c r="E11" s="11" t="s">
        <v>218</v>
      </c>
      <c r="F11" s="3" t="s">
        <v>9</v>
      </c>
      <c r="G11" s="3">
        <v>7</v>
      </c>
      <c r="H11" s="3" t="str">
        <f t="shared" si="0"/>
        <v>Cukup</v>
      </c>
      <c r="I11" s="25">
        <v>1285714.2857142857</v>
      </c>
      <c r="J11" s="43">
        <f t="shared" si="1"/>
        <v>9000000</v>
      </c>
      <c r="L11" s="3" t="s">
        <v>91</v>
      </c>
      <c r="M11" s="17" t="str">
        <f t="shared" ref="M11:M15" si="2">VLOOKUP(L11,B6:J25,3,0)</f>
        <v>C012</v>
      </c>
      <c r="N11" s="17" t="str">
        <f t="shared" ref="N11:N15" si="3">VLOOKUP(L11,B6:J25,5,0)</f>
        <v>P112</v>
      </c>
      <c r="O11" s="17">
        <f t="shared" ref="O11:O15" si="4">VLOOKUP(L11,B6:J25,6,0)</f>
        <v>10</v>
      </c>
      <c r="P11" s="26">
        <f t="shared" ref="P11:P14" si="5">VLOOKUP(L11,B6:J25,8,0)</f>
        <v>150000</v>
      </c>
      <c r="Q11" s="26">
        <f t="shared" ref="Q11:Q15" si="6">VLOOKUP(L11,B6:J25,9,0)</f>
        <v>1500000</v>
      </c>
    </row>
    <row r="12" spans="2:17" x14ac:dyDescent="0.25">
      <c r="B12" s="3" t="s">
        <v>83</v>
      </c>
      <c r="C12" s="4">
        <v>45420</v>
      </c>
      <c r="D12" s="28" t="s">
        <v>84</v>
      </c>
      <c r="E12" s="11" t="s">
        <v>219</v>
      </c>
      <c r="F12" s="3" t="s">
        <v>10</v>
      </c>
      <c r="G12" s="3">
        <v>4</v>
      </c>
      <c r="H12" s="3" t="str">
        <f t="shared" si="0"/>
        <v>Produksi Lagi</v>
      </c>
      <c r="I12" s="25">
        <v>900000</v>
      </c>
      <c r="J12" s="43">
        <f t="shared" si="1"/>
        <v>3600000</v>
      </c>
      <c r="L12" s="3" t="s">
        <v>95</v>
      </c>
      <c r="M12" s="17" t="str">
        <f t="shared" si="2"/>
        <v>C014</v>
      </c>
      <c r="N12" s="17" t="str">
        <f t="shared" si="3"/>
        <v>P114</v>
      </c>
      <c r="O12" s="17">
        <f t="shared" si="4"/>
        <v>6</v>
      </c>
      <c r="P12" s="26">
        <f t="shared" si="5"/>
        <v>2500000</v>
      </c>
      <c r="Q12" s="26">
        <f t="shared" si="6"/>
        <v>15000000</v>
      </c>
    </row>
    <row r="13" spans="2:17" x14ac:dyDescent="0.25">
      <c r="B13" s="3" t="s">
        <v>85</v>
      </c>
      <c r="C13" s="4">
        <v>45421</v>
      </c>
      <c r="D13" s="28" t="s">
        <v>86</v>
      </c>
      <c r="E13" s="11" t="s">
        <v>220</v>
      </c>
      <c r="F13" s="3" t="s">
        <v>11</v>
      </c>
      <c r="G13" s="3">
        <v>9</v>
      </c>
      <c r="H13" s="3" t="str">
        <f t="shared" si="0"/>
        <v>Cukup</v>
      </c>
      <c r="I13" s="25">
        <v>1600000</v>
      </c>
      <c r="J13" s="43">
        <f t="shared" si="1"/>
        <v>14400000</v>
      </c>
      <c r="L13" s="3" t="s">
        <v>99</v>
      </c>
      <c r="M13" s="17" t="str">
        <f t="shared" si="2"/>
        <v>C016</v>
      </c>
      <c r="N13" s="17" t="str">
        <f t="shared" si="3"/>
        <v>P116</v>
      </c>
      <c r="O13" s="17">
        <f t="shared" si="4"/>
        <v>6</v>
      </c>
      <c r="P13" s="26">
        <f t="shared" si="5"/>
        <v>400000</v>
      </c>
      <c r="Q13" s="26">
        <f t="shared" si="6"/>
        <v>2400000</v>
      </c>
    </row>
    <row r="14" spans="2:17" x14ac:dyDescent="0.25">
      <c r="B14" s="3" t="s">
        <v>87</v>
      </c>
      <c r="C14" s="4">
        <v>45422</v>
      </c>
      <c r="D14" s="28" t="s">
        <v>88</v>
      </c>
      <c r="E14" s="11" t="s">
        <v>221</v>
      </c>
      <c r="F14" s="3" t="s">
        <v>12</v>
      </c>
      <c r="G14" s="3">
        <v>5</v>
      </c>
      <c r="H14" s="3" t="str">
        <f t="shared" si="0"/>
        <v>Produksi Lagi</v>
      </c>
      <c r="I14" s="25">
        <v>300000</v>
      </c>
      <c r="J14" s="43">
        <f t="shared" si="1"/>
        <v>1500000</v>
      </c>
      <c r="L14" s="3" t="s">
        <v>103</v>
      </c>
      <c r="M14" s="17" t="str">
        <f t="shared" si="2"/>
        <v>C018</v>
      </c>
      <c r="N14" s="17" t="str">
        <f t="shared" si="3"/>
        <v>P118</v>
      </c>
      <c r="O14" s="17">
        <f t="shared" si="4"/>
        <v>2</v>
      </c>
      <c r="P14" s="26">
        <f t="shared" si="5"/>
        <v>2200000</v>
      </c>
      <c r="Q14" s="26">
        <f t="shared" si="6"/>
        <v>4400000</v>
      </c>
    </row>
    <row r="15" spans="2:17" x14ac:dyDescent="0.25">
      <c r="B15" s="3" t="s">
        <v>89</v>
      </c>
      <c r="C15" s="4">
        <v>45423</v>
      </c>
      <c r="D15" s="28" t="s">
        <v>90</v>
      </c>
      <c r="E15" s="11" t="s">
        <v>222</v>
      </c>
      <c r="F15" s="3" t="s">
        <v>13</v>
      </c>
      <c r="G15" s="3">
        <v>4</v>
      </c>
      <c r="H15" s="3" t="str">
        <f t="shared" si="0"/>
        <v>Produksi Lagi</v>
      </c>
      <c r="I15" s="25">
        <v>1500000</v>
      </c>
      <c r="J15" s="43">
        <f t="shared" si="1"/>
        <v>6000000</v>
      </c>
      <c r="L15" s="3" t="s">
        <v>107</v>
      </c>
      <c r="M15" s="17" t="str">
        <f t="shared" si="2"/>
        <v>C020</v>
      </c>
      <c r="N15" s="17" t="str">
        <f t="shared" si="3"/>
        <v>P120</v>
      </c>
      <c r="O15" s="17">
        <f t="shared" si="4"/>
        <v>6</v>
      </c>
      <c r="P15" s="26">
        <f>VLOOKUP(L15,B10:J29,8,0)</f>
        <v>1200000</v>
      </c>
      <c r="Q15" s="26">
        <f t="shared" si="6"/>
        <v>7200000</v>
      </c>
    </row>
    <row r="16" spans="2:17" x14ac:dyDescent="0.25">
      <c r="B16" s="3" t="s">
        <v>91</v>
      </c>
      <c r="C16" s="4">
        <v>45424</v>
      </c>
      <c r="D16" s="28" t="s">
        <v>92</v>
      </c>
      <c r="E16" s="11" t="s">
        <v>223</v>
      </c>
      <c r="F16" s="3" t="s">
        <v>14</v>
      </c>
      <c r="G16" s="3">
        <v>10</v>
      </c>
      <c r="H16" s="3" t="str">
        <f t="shared" si="0"/>
        <v>Cukup</v>
      </c>
      <c r="I16" s="25">
        <v>150000</v>
      </c>
      <c r="J16" s="43">
        <f t="shared" si="1"/>
        <v>1500000</v>
      </c>
      <c r="L16" s="24" t="s">
        <v>211</v>
      </c>
    </row>
    <row r="17" spans="2:15" x14ac:dyDescent="0.25">
      <c r="B17" s="3" t="s">
        <v>93</v>
      </c>
      <c r="C17" s="4">
        <v>45425</v>
      </c>
      <c r="D17" s="28" t="s">
        <v>94</v>
      </c>
      <c r="E17" s="11" t="s">
        <v>224</v>
      </c>
      <c r="F17" s="3" t="s">
        <v>15</v>
      </c>
      <c r="G17" s="3">
        <v>8</v>
      </c>
      <c r="H17" s="3" t="str">
        <f t="shared" si="0"/>
        <v>Cukup</v>
      </c>
      <c r="I17" s="25">
        <v>800000</v>
      </c>
      <c r="J17" s="43">
        <f t="shared" si="1"/>
        <v>6400000</v>
      </c>
      <c r="L17" s="42">
        <f>SUMIF(G5:G24,"&gt;5",J5:J24)</f>
        <v>149150000</v>
      </c>
    </row>
    <row r="18" spans="2:15" x14ac:dyDescent="0.25">
      <c r="B18" s="3" t="s">
        <v>95</v>
      </c>
      <c r="C18" s="4">
        <v>45426</v>
      </c>
      <c r="D18" s="28" t="s">
        <v>96</v>
      </c>
      <c r="E18" s="11" t="s">
        <v>225</v>
      </c>
      <c r="F18" s="3" t="s">
        <v>16</v>
      </c>
      <c r="G18" s="3">
        <v>6</v>
      </c>
      <c r="H18" s="3" t="str">
        <f t="shared" si="0"/>
        <v>Produksi Lagi</v>
      </c>
      <c r="I18" s="25">
        <v>2500000</v>
      </c>
      <c r="J18" s="43">
        <f t="shared" si="1"/>
        <v>15000000</v>
      </c>
      <c r="L18" s="22" t="s">
        <v>233</v>
      </c>
    </row>
    <row r="19" spans="2:15" x14ac:dyDescent="0.25">
      <c r="B19" s="3" t="s">
        <v>97</v>
      </c>
      <c r="C19" s="4">
        <v>45427</v>
      </c>
      <c r="D19" s="28" t="s">
        <v>98</v>
      </c>
      <c r="E19" s="11" t="s">
        <v>226</v>
      </c>
      <c r="F19" s="3" t="s">
        <v>17</v>
      </c>
      <c r="G19" s="3">
        <v>7</v>
      </c>
      <c r="H19" s="3" t="str">
        <f t="shared" si="0"/>
        <v>Cukup</v>
      </c>
      <c r="I19" s="25">
        <v>2750000</v>
      </c>
      <c r="J19" s="43">
        <f t="shared" si="1"/>
        <v>19250000</v>
      </c>
      <c r="L19" s="29" t="s">
        <v>234</v>
      </c>
      <c r="M19" s="29" t="s">
        <v>232</v>
      </c>
      <c r="N19" s="6" t="s">
        <v>235</v>
      </c>
      <c r="O19" s="6" t="s">
        <v>236</v>
      </c>
    </row>
    <row r="20" spans="2:15" x14ac:dyDescent="0.25">
      <c r="B20" s="3" t="s">
        <v>99</v>
      </c>
      <c r="C20" s="4">
        <v>45428</v>
      </c>
      <c r="D20" s="28" t="s">
        <v>100</v>
      </c>
      <c r="E20" s="11" t="s">
        <v>227</v>
      </c>
      <c r="F20" s="3" t="s">
        <v>18</v>
      </c>
      <c r="G20" s="3">
        <v>6</v>
      </c>
      <c r="H20" s="3" t="str">
        <f t="shared" si="0"/>
        <v>Produksi Lagi</v>
      </c>
      <c r="I20" s="25">
        <v>400000</v>
      </c>
      <c r="J20" s="43">
        <f t="shared" si="1"/>
        <v>2400000</v>
      </c>
      <c r="L20" s="11" t="s">
        <v>237</v>
      </c>
      <c r="M20" s="11" t="str">
        <f>PROPER(L20)</f>
        <v>John Doe</v>
      </c>
      <c r="N20" s="17" t="str">
        <f>UPPER(L20)</f>
        <v>JOHN DOE</v>
      </c>
      <c r="O20" s="17" t="str">
        <f>LOWER(L20)</f>
        <v>john doe</v>
      </c>
    </row>
    <row r="21" spans="2:15" x14ac:dyDescent="0.25">
      <c r="B21" s="3" t="s">
        <v>101</v>
      </c>
      <c r="C21" s="4">
        <v>45429</v>
      </c>
      <c r="D21" s="28" t="s">
        <v>102</v>
      </c>
      <c r="E21" s="11" t="s">
        <v>228</v>
      </c>
      <c r="F21" s="3" t="s">
        <v>19</v>
      </c>
      <c r="G21" s="3">
        <v>3</v>
      </c>
      <c r="H21" s="3" t="str">
        <f t="shared" si="0"/>
        <v>Produksi Lagi</v>
      </c>
      <c r="I21" s="25">
        <v>1250000</v>
      </c>
      <c r="J21" s="43">
        <f t="shared" si="1"/>
        <v>3750000</v>
      </c>
      <c r="L21" s="11" t="s">
        <v>238</v>
      </c>
      <c r="M21" s="11" t="str">
        <f t="shared" ref="M21:M39" si="7">PROPER(L21)</f>
        <v>Mahn Gaarcia</v>
      </c>
      <c r="N21" s="17" t="str">
        <f t="shared" ref="N21:N39" si="8">UPPER(L21)</f>
        <v>MAHN GAARCIA</v>
      </c>
      <c r="O21" s="17" t="str">
        <f t="shared" ref="O21:O39" si="9">LOWER(L21)</f>
        <v>mahn gaarcia</v>
      </c>
    </row>
    <row r="22" spans="2:15" x14ac:dyDescent="0.25">
      <c r="B22" s="3" t="s">
        <v>103</v>
      </c>
      <c r="C22" s="4">
        <v>45430</v>
      </c>
      <c r="D22" s="28" t="s">
        <v>104</v>
      </c>
      <c r="E22" s="11" t="s">
        <v>229</v>
      </c>
      <c r="F22" s="3" t="s">
        <v>20</v>
      </c>
      <c r="G22" s="3">
        <v>2</v>
      </c>
      <c r="H22" s="3" t="str">
        <f t="shared" si="0"/>
        <v>Produksi Lagi</v>
      </c>
      <c r="I22" s="25">
        <v>2200000</v>
      </c>
      <c r="J22" s="43">
        <f t="shared" si="1"/>
        <v>4400000</v>
      </c>
      <c r="L22" s="11" t="s">
        <v>239</v>
      </c>
      <c r="M22" s="11" t="str">
        <f t="shared" si="7"/>
        <v>Lihn Wii</v>
      </c>
      <c r="N22" s="17" t="str">
        <f t="shared" si="8"/>
        <v>LIHN WII</v>
      </c>
      <c r="O22" s="17" t="str">
        <f t="shared" si="9"/>
        <v>lihn wii</v>
      </c>
    </row>
    <row r="23" spans="2:15" x14ac:dyDescent="0.25">
      <c r="B23" s="3" t="s">
        <v>105</v>
      </c>
      <c r="C23" s="4">
        <v>45431</v>
      </c>
      <c r="D23" s="28" t="s">
        <v>106</v>
      </c>
      <c r="E23" s="11" t="s">
        <v>230</v>
      </c>
      <c r="F23" s="3" t="s">
        <v>21</v>
      </c>
      <c r="G23" s="3">
        <v>5</v>
      </c>
      <c r="H23" s="3" t="str">
        <f t="shared" si="0"/>
        <v>Produksi Lagi</v>
      </c>
      <c r="I23" s="25">
        <v>1700000</v>
      </c>
      <c r="J23" s="43">
        <f t="shared" si="1"/>
        <v>8500000</v>
      </c>
      <c r="L23" s="11" t="s">
        <v>240</v>
      </c>
      <c r="M23" s="11" t="str">
        <f t="shared" si="7"/>
        <v>Ahhn Khhan</v>
      </c>
      <c r="N23" s="17" t="str">
        <f t="shared" si="8"/>
        <v>AHHN KHHAN</v>
      </c>
      <c r="O23" s="17" t="str">
        <f t="shared" si="9"/>
        <v>ahhn khhan</v>
      </c>
    </row>
    <row r="24" spans="2:15" x14ac:dyDescent="0.25">
      <c r="B24" s="3" t="s">
        <v>107</v>
      </c>
      <c r="C24" s="4">
        <v>45432</v>
      </c>
      <c r="D24" s="28" t="s">
        <v>108</v>
      </c>
      <c r="E24" s="11" t="s">
        <v>231</v>
      </c>
      <c r="F24" s="3" t="s">
        <v>22</v>
      </c>
      <c r="G24" s="3">
        <v>6</v>
      </c>
      <c r="H24" s="3" t="str">
        <f t="shared" si="0"/>
        <v>Produksi Lagi</v>
      </c>
      <c r="I24" s="25">
        <v>1200000</v>
      </c>
      <c r="J24" s="43">
        <f t="shared" si="1"/>
        <v>7200000</v>
      </c>
      <c r="L24" s="11" t="s">
        <v>241</v>
      </c>
      <c r="M24" s="11" t="str">
        <f t="shared" si="7"/>
        <v>Sohn Dodupont</v>
      </c>
      <c r="N24" s="17" t="str">
        <f t="shared" si="8"/>
        <v>SOHN DODUPONT</v>
      </c>
      <c r="O24" s="17" t="str">
        <f t="shared" si="9"/>
        <v>sohn dodupont</v>
      </c>
    </row>
    <row r="25" spans="2:15" x14ac:dyDescent="0.25">
      <c r="L25" s="11" t="s">
        <v>242</v>
      </c>
      <c r="M25" s="11" t="str">
        <f t="shared" si="7"/>
        <v>Kihn Niyen</v>
      </c>
      <c r="N25" s="17" t="str">
        <f t="shared" si="8"/>
        <v>KIHN NIYEN</v>
      </c>
      <c r="O25" s="17" t="str">
        <f t="shared" si="9"/>
        <v>kihn niyen</v>
      </c>
    </row>
    <row r="26" spans="2:15" x14ac:dyDescent="0.25">
      <c r="L26" s="11" t="s">
        <v>243</v>
      </c>
      <c r="M26" s="11" t="str">
        <f t="shared" si="7"/>
        <v>Rahn Paatel</v>
      </c>
      <c r="N26" s="17" t="str">
        <f t="shared" si="8"/>
        <v>RAHN PAATEL</v>
      </c>
      <c r="O26" s="17" t="str">
        <f t="shared" si="9"/>
        <v>rahn paatel</v>
      </c>
    </row>
    <row r="27" spans="2:15" x14ac:dyDescent="0.25">
      <c r="L27" s="11" t="s">
        <v>244</v>
      </c>
      <c r="M27" s="11" t="str">
        <f t="shared" si="7"/>
        <v>Anhn Snith</v>
      </c>
      <c r="N27" s="17" t="str">
        <f t="shared" si="8"/>
        <v>ANHN SNITH</v>
      </c>
      <c r="O27" s="17" t="str">
        <f t="shared" si="9"/>
        <v>anhn snith</v>
      </c>
    </row>
    <row r="28" spans="2:15" x14ac:dyDescent="0.25">
      <c r="L28" s="11" t="s">
        <v>245</v>
      </c>
      <c r="M28" s="11" t="str">
        <f t="shared" si="7"/>
        <v>Juhn Lupez</v>
      </c>
      <c r="N28" s="17" t="str">
        <f t="shared" si="8"/>
        <v>JUHN LUPEZ</v>
      </c>
      <c r="O28" s="17" t="str">
        <f t="shared" si="9"/>
        <v>juhn lupez</v>
      </c>
    </row>
    <row r="29" spans="2:15" x14ac:dyDescent="0.25">
      <c r="L29" s="11" t="s">
        <v>246</v>
      </c>
      <c r="M29" s="11" t="str">
        <f t="shared" si="7"/>
        <v>Mihn Ki</v>
      </c>
      <c r="N29" s="17" t="str">
        <f t="shared" si="8"/>
        <v>MIHN KI</v>
      </c>
      <c r="O29" s="17" t="str">
        <f t="shared" si="9"/>
        <v>mihn ki</v>
      </c>
    </row>
    <row r="30" spans="2:15" x14ac:dyDescent="0.25">
      <c r="L30" s="11" t="s">
        <v>247</v>
      </c>
      <c r="M30" s="11" t="str">
        <f t="shared" si="7"/>
        <v>Chhn Whi</v>
      </c>
      <c r="N30" s="17" t="str">
        <f t="shared" si="8"/>
        <v>CHHN WHI</v>
      </c>
      <c r="O30" s="17" t="str">
        <f t="shared" si="9"/>
        <v>chhn whi</v>
      </c>
    </row>
    <row r="31" spans="2:15" x14ac:dyDescent="0.25">
      <c r="L31" s="11" t="s">
        <v>248</v>
      </c>
      <c r="M31" s="11" t="str">
        <f t="shared" si="7"/>
        <v>Mohn Aod Ali</v>
      </c>
      <c r="N31" s="17" t="str">
        <f t="shared" si="8"/>
        <v>MOHN AOD ALI</v>
      </c>
      <c r="O31" s="17" t="str">
        <f t="shared" si="9"/>
        <v>mohn aod ali</v>
      </c>
    </row>
    <row r="32" spans="2:15" x14ac:dyDescent="0.25">
      <c r="L32" s="11" t="s">
        <v>249</v>
      </c>
      <c r="M32" s="11" t="str">
        <f t="shared" si="7"/>
        <v>Sahn Jaohnson</v>
      </c>
      <c r="N32" s="17" t="str">
        <f t="shared" si="8"/>
        <v>SAHN JAOHNSON</v>
      </c>
      <c r="O32" s="17" t="str">
        <f t="shared" si="9"/>
        <v>sahn jaohnson</v>
      </c>
    </row>
    <row r="33" spans="12:15" x14ac:dyDescent="0.25">
      <c r="L33" s="11" t="s">
        <v>250</v>
      </c>
      <c r="M33" s="11" t="str">
        <f t="shared" si="7"/>
        <v>Anhn Snva</v>
      </c>
      <c r="N33" s="17" t="str">
        <f t="shared" si="8"/>
        <v>ANHN SNVA</v>
      </c>
      <c r="O33" s="17" t="str">
        <f t="shared" si="9"/>
        <v>anhn snva</v>
      </c>
    </row>
    <row r="34" spans="12:15" x14ac:dyDescent="0.25">
      <c r="L34" s="11" t="s">
        <v>251</v>
      </c>
      <c r="M34" s="11" t="str">
        <f t="shared" si="7"/>
        <v>Nghn Tgtran</v>
      </c>
      <c r="N34" s="17" t="str">
        <f t="shared" si="8"/>
        <v>NGHN TGTRAN</v>
      </c>
      <c r="O34" s="17" t="str">
        <f t="shared" si="9"/>
        <v>nghn tgtran</v>
      </c>
    </row>
    <row r="35" spans="12:15" x14ac:dyDescent="0.25">
      <c r="L35" s="11" t="s">
        <v>252</v>
      </c>
      <c r="M35" s="11" t="str">
        <f t="shared" si="7"/>
        <v>Pahn Maartinez</v>
      </c>
      <c r="N35" s="17" t="str">
        <f t="shared" si="8"/>
        <v>PAHN MAARTINEZ</v>
      </c>
      <c r="O35" s="17" t="str">
        <f t="shared" si="9"/>
        <v>pahn maartinez</v>
      </c>
    </row>
    <row r="36" spans="12:15" x14ac:dyDescent="0.25">
      <c r="L36" s="11" t="s">
        <v>253</v>
      </c>
      <c r="M36" s="11" t="str">
        <f t="shared" si="7"/>
        <v>Juhn Huernandez</v>
      </c>
      <c r="N36" s="17" t="str">
        <f t="shared" si="8"/>
        <v>JUHN HUERNANDEZ</v>
      </c>
      <c r="O36" s="17" t="str">
        <f t="shared" si="9"/>
        <v>juhn huernandez</v>
      </c>
    </row>
    <row r="37" spans="12:15" x14ac:dyDescent="0.25">
      <c r="L37" s="11" t="s">
        <v>254</v>
      </c>
      <c r="M37" s="11" t="str">
        <f t="shared" si="7"/>
        <v>Mohn Soingh</v>
      </c>
      <c r="N37" s="17" t="str">
        <f t="shared" si="8"/>
        <v>MOHN SOINGH</v>
      </c>
      <c r="O37" s="17" t="str">
        <f t="shared" si="9"/>
        <v>mohn soingh</v>
      </c>
    </row>
    <row r="38" spans="12:15" x14ac:dyDescent="0.25">
      <c r="L38" s="11" t="s">
        <v>255</v>
      </c>
      <c r="M38" s="11" t="str">
        <f t="shared" si="7"/>
        <v>Kihn Titanaka</v>
      </c>
      <c r="N38" s="17" t="str">
        <f t="shared" si="8"/>
        <v>KIHN TITANAKA</v>
      </c>
      <c r="O38" s="17" t="str">
        <f t="shared" si="9"/>
        <v>kihn titanaka</v>
      </c>
    </row>
    <row r="39" spans="12:15" x14ac:dyDescent="0.25">
      <c r="L39" s="11" t="s">
        <v>256</v>
      </c>
      <c r="M39" s="11" t="str">
        <f t="shared" si="7"/>
        <v>Prhn Grupta</v>
      </c>
      <c r="N39" s="17" t="str">
        <f t="shared" si="8"/>
        <v>PRHN GRUPTA</v>
      </c>
      <c r="O39" s="17" t="str">
        <f t="shared" si="9"/>
        <v>prhn grupta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529E-061E-4857-A019-BA1292941805}">
  <dimension ref="B2:N29"/>
  <sheetViews>
    <sheetView showGridLines="0" tabSelected="1" topLeftCell="A3" workbookViewId="0">
      <selection activeCell="B4" sqref="B4:J24"/>
    </sheetView>
  </sheetViews>
  <sheetFormatPr defaultRowHeight="15" x14ac:dyDescent="0.25"/>
  <cols>
    <col min="2" max="2" width="3.5703125" bestFit="1" customWidth="1"/>
    <col min="3" max="3" width="15" customWidth="1"/>
    <col min="4" max="4" width="13.5703125" customWidth="1"/>
    <col min="5" max="5" width="10.5703125" customWidth="1"/>
    <col min="6" max="6" width="9.5703125" customWidth="1"/>
    <col min="7" max="7" width="14.5703125" bestFit="1" customWidth="1"/>
    <col min="8" max="8" width="19.42578125" bestFit="1" customWidth="1"/>
    <col min="9" max="9" width="19" bestFit="1" customWidth="1"/>
    <col min="10" max="10" width="23" bestFit="1" customWidth="1"/>
    <col min="12" max="12" width="12.5703125" customWidth="1"/>
    <col min="13" max="13" width="25.5703125" customWidth="1"/>
    <col min="14" max="14" width="25" customWidth="1"/>
  </cols>
  <sheetData>
    <row r="2" spans="2:13" x14ac:dyDescent="0.25">
      <c r="B2" s="15" t="s">
        <v>187</v>
      </c>
      <c r="C2" s="13"/>
      <c r="D2" s="13"/>
      <c r="E2" s="13"/>
      <c r="F2" s="13"/>
      <c r="G2" s="13"/>
      <c r="H2" s="13"/>
      <c r="I2" s="13"/>
      <c r="J2" s="13"/>
      <c r="L2" s="1" t="s">
        <v>157</v>
      </c>
    </row>
    <row r="3" spans="2:13" x14ac:dyDescent="0.25">
      <c r="B3" s="13"/>
      <c r="C3" s="13"/>
      <c r="D3" s="13"/>
      <c r="E3" s="13"/>
      <c r="F3" s="13"/>
      <c r="G3" s="13"/>
      <c r="H3" s="13"/>
      <c r="I3" s="13"/>
      <c r="J3" s="13"/>
    </row>
    <row r="4" spans="2:13" x14ac:dyDescent="0.25">
      <c r="B4" s="19" t="s">
        <v>115</v>
      </c>
      <c r="C4" s="19" t="s">
        <v>137</v>
      </c>
      <c r="D4" s="19" t="s">
        <v>156</v>
      </c>
      <c r="E4" s="19" t="s">
        <v>138</v>
      </c>
      <c r="F4" s="19" t="s">
        <v>140</v>
      </c>
      <c r="G4" s="19" t="s">
        <v>139</v>
      </c>
      <c r="H4" s="19" t="s">
        <v>178</v>
      </c>
      <c r="I4" s="19" t="s">
        <v>154</v>
      </c>
      <c r="J4" s="19" t="s">
        <v>155</v>
      </c>
      <c r="L4" t="s">
        <v>171</v>
      </c>
    </row>
    <row r="5" spans="2:13" x14ac:dyDescent="0.25">
      <c r="B5" s="14">
        <v>1</v>
      </c>
      <c r="C5" s="11" t="s">
        <v>141</v>
      </c>
      <c r="D5" s="11" t="str">
        <f>_xlfn.IFS(C5="Laptop","LP",C5="Smartphone","HP",C5="Printer","PR")</f>
        <v>LP</v>
      </c>
      <c r="E5" s="14" t="s">
        <v>142</v>
      </c>
      <c r="F5" s="14" t="s">
        <v>143</v>
      </c>
      <c r="G5" s="14">
        <v>100</v>
      </c>
      <c r="H5" s="14" t="str">
        <f>IF(G5&lt;100,"Perlu Dievaluasi","Patut Dipertahankan")</f>
        <v>Patut Dipertahankan</v>
      </c>
      <c r="I5" s="20">
        <v>10000000</v>
      </c>
      <c r="J5" s="20">
        <v>1000000000</v>
      </c>
      <c r="L5" t="s">
        <v>172</v>
      </c>
    </row>
    <row r="6" spans="2:13" x14ac:dyDescent="0.25">
      <c r="B6" s="14">
        <v>2</v>
      </c>
      <c r="C6" s="11" t="s">
        <v>144</v>
      </c>
      <c r="D6" s="11" t="str">
        <f t="shared" ref="D6:D24" si="0">_xlfn.IFS(C6="Laptop","LP",C6="Smartphone","HP",C6="Printer","PR")</f>
        <v>HP</v>
      </c>
      <c r="E6" s="14" t="s">
        <v>142</v>
      </c>
      <c r="F6" s="14" t="s">
        <v>145</v>
      </c>
      <c r="G6" s="14">
        <v>150</v>
      </c>
      <c r="H6" s="14" t="str">
        <f t="shared" ref="H6:H24" si="1">IF(G6&lt;100,"Perlu Dievaluasi","Patut Dipertahankan")</f>
        <v>Patut Dipertahankan</v>
      </c>
      <c r="I6" s="20">
        <v>8000000</v>
      </c>
      <c r="J6" s="20">
        <v>1200000000</v>
      </c>
      <c r="L6" t="s">
        <v>173</v>
      </c>
    </row>
    <row r="7" spans="2:13" x14ac:dyDescent="0.25">
      <c r="B7" s="14">
        <v>3</v>
      </c>
      <c r="C7" s="11" t="s">
        <v>146</v>
      </c>
      <c r="D7" s="11" t="str">
        <f t="shared" si="0"/>
        <v>PR</v>
      </c>
      <c r="E7" s="14" t="s">
        <v>142</v>
      </c>
      <c r="F7" s="14" t="s">
        <v>147</v>
      </c>
      <c r="G7" s="14">
        <v>50</v>
      </c>
      <c r="H7" s="14" t="str">
        <f t="shared" si="1"/>
        <v>Perlu Dievaluasi</v>
      </c>
      <c r="I7" s="20">
        <v>2000000</v>
      </c>
      <c r="J7" s="20">
        <v>100000000</v>
      </c>
      <c r="L7" t="s">
        <v>174</v>
      </c>
    </row>
    <row r="8" spans="2:13" x14ac:dyDescent="0.25">
      <c r="B8" s="14">
        <v>4</v>
      </c>
      <c r="C8" s="11" t="s">
        <v>141</v>
      </c>
      <c r="D8" s="11" t="str">
        <f t="shared" si="0"/>
        <v>LP</v>
      </c>
      <c r="E8" s="14" t="s">
        <v>148</v>
      </c>
      <c r="F8" s="14" t="s">
        <v>143</v>
      </c>
      <c r="G8" s="14">
        <v>120</v>
      </c>
      <c r="H8" s="14" t="str">
        <f t="shared" si="1"/>
        <v>Patut Dipertahankan</v>
      </c>
      <c r="I8" s="20">
        <v>10000000</v>
      </c>
      <c r="J8" s="20">
        <v>1200000000</v>
      </c>
      <c r="L8" t="s">
        <v>175</v>
      </c>
    </row>
    <row r="9" spans="2:13" x14ac:dyDescent="0.25">
      <c r="B9" s="14">
        <v>5</v>
      </c>
      <c r="C9" s="11" t="s">
        <v>144</v>
      </c>
      <c r="D9" s="11" t="str">
        <f t="shared" si="0"/>
        <v>HP</v>
      </c>
      <c r="E9" s="14" t="s">
        <v>148</v>
      </c>
      <c r="F9" s="14" t="s">
        <v>145</v>
      </c>
      <c r="G9" s="14">
        <v>160</v>
      </c>
      <c r="H9" s="14" t="str">
        <f t="shared" si="1"/>
        <v>Patut Dipertahankan</v>
      </c>
      <c r="I9" s="20">
        <v>8000000</v>
      </c>
      <c r="J9" s="20">
        <v>1280000000</v>
      </c>
      <c r="L9" s="19" t="s">
        <v>138</v>
      </c>
      <c r="M9" s="19" t="s">
        <v>155</v>
      </c>
    </row>
    <row r="10" spans="2:13" x14ac:dyDescent="0.25">
      <c r="B10" s="14">
        <v>6</v>
      </c>
      <c r="C10" s="11" t="s">
        <v>146</v>
      </c>
      <c r="D10" s="11" t="str">
        <f t="shared" si="0"/>
        <v>PR</v>
      </c>
      <c r="E10" s="14" t="s">
        <v>148</v>
      </c>
      <c r="F10" s="14" t="s">
        <v>147</v>
      </c>
      <c r="G10" s="14">
        <v>60</v>
      </c>
      <c r="H10" s="14" t="str">
        <f t="shared" si="1"/>
        <v>Perlu Dievaluasi</v>
      </c>
      <c r="I10" s="20">
        <v>2000000</v>
      </c>
      <c r="J10" s="20">
        <v>120000000</v>
      </c>
      <c r="L10" s="14" t="s">
        <v>142</v>
      </c>
      <c r="M10" s="44">
        <f>SUMIF($E$5:$E$24,L10,$J$5:$J$24)</f>
        <v>2300000000</v>
      </c>
    </row>
    <row r="11" spans="2:13" x14ac:dyDescent="0.25">
      <c r="B11" s="14">
        <v>7</v>
      </c>
      <c r="C11" s="11" t="s">
        <v>141</v>
      </c>
      <c r="D11" s="11" t="str">
        <f t="shared" si="0"/>
        <v>LP</v>
      </c>
      <c r="E11" s="14" t="s">
        <v>149</v>
      </c>
      <c r="F11" s="14" t="s">
        <v>143</v>
      </c>
      <c r="G11" s="14">
        <v>110</v>
      </c>
      <c r="H11" s="14" t="str">
        <f t="shared" si="1"/>
        <v>Patut Dipertahankan</v>
      </c>
      <c r="I11" s="20">
        <v>10000000</v>
      </c>
      <c r="J11" s="20">
        <v>1100000000</v>
      </c>
      <c r="L11" s="14" t="s">
        <v>148</v>
      </c>
      <c r="M11" s="44">
        <f t="shared" ref="M11:M16" si="2">SUMIF($E$5:$E$24,L11,$J$5:$J$24)</f>
        <v>2600000000</v>
      </c>
    </row>
    <row r="12" spans="2:13" x14ac:dyDescent="0.25">
      <c r="B12" s="14">
        <v>8</v>
      </c>
      <c r="C12" s="11" t="s">
        <v>144</v>
      </c>
      <c r="D12" s="11" t="str">
        <f t="shared" si="0"/>
        <v>HP</v>
      </c>
      <c r="E12" s="14" t="s">
        <v>149</v>
      </c>
      <c r="F12" s="14" t="s">
        <v>145</v>
      </c>
      <c r="G12" s="14">
        <v>140</v>
      </c>
      <c r="H12" s="14" t="str">
        <f t="shared" si="1"/>
        <v>Patut Dipertahankan</v>
      </c>
      <c r="I12" s="20">
        <v>8000000</v>
      </c>
      <c r="J12" s="20">
        <v>1120000000</v>
      </c>
      <c r="L12" s="14" t="s">
        <v>149</v>
      </c>
      <c r="M12" s="44">
        <f t="shared" si="2"/>
        <v>2360000000</v>
      </c>
    </row>
    <row r="13" spans="2:13" x14ac:dyDescent="0.25">
      <c r="B13" s="14">
        <v>9</v>
      </c>
      <c r="C13" s="11" t="s">
        <v>146</v>
      </c>
      <c r="D13" s="11" t="str">
        <f t="shared" si="0"/>
        <v>PR</v>
      </c>
      <c r="E13" s="14" t="s">
        <v>149</v>
      </c>
      <c r="F13" s="14" t="s">
        <v>147</v>
      </c>
      <c r="G13" s="14">
        <v>70</v>
      </c>
      <c r="H13" s="14" t="str">
        <f t="shared" si="1"/>
        <v>Perlu Dievaluasi</v>
      </c>
      <c r="I13" s="20">
        <v>2000000</v>
      </c>
      <c r="J13" s="20">
        <v>140000000</v>
      </c>
      <c r="L13" s="14" t="s">
        <v>150</v>
      </c>
      <c r="M13" s="44">
        <f t="shared" si="2"/>
        <v>2820000000</v>
      </c>
    </row>
    <row r="14" spans="2:13" x14ac:dyDescent="0.25">
      <c r="B14" s="14">
        <v>10</v>
      </c>
      <c r="C14" s="11" t="s">
        <v>141</v>
      </c>
      <c r="D14" s="11" t="str">
        <f t="shared" si="0"/>
        <v>LP</v>
      </c>
      <c r="E14" s="14" t="s">
        <v>150</v>
      </c>
      <c r="F14" s="14" t="s">
        <v>143</v>
      </c>
      <c r="G14" s="14">
        <v>130</v>
      </c>
      <c r="H14" s="14" t="str">
        <f t="shared" si="1"/>
        <v>Patut Dipertahankan</v>
      </c>
      <c r="I14" s="20">
        <v>10000000</v>
      </c>
      <c r="J14" s="20">
        <v>1300000000</v>
      </c>
      <c r="L14" s="14" t="s">
        <v>151</v>
      </c>
      <c r="M14" s="44">
        <f t="shared" si="2"/>
        <v>2820000000</v>
      </c>
    </row>
    <row r="15" spans="2:13" x14ac:dyDescent="0.25">
      <c r="B15" s="14">
        <v>11</v>
      </c>
      <c r="C15" s="11" t="s">
        <v>144</v>
      </c>
      <c r="D15" s="11" t="str">
        <f t="shared" si="0"/>
        <v>HP</v>
      </c>
      <c r="E15" s="14" t="s">
        <v>150</v>
      </c>
      <c r="F15" s="14" t="s">
        <v>145</v>
      </c>
      <c r="G15" s="14">
        <v>170</v>
      </c>
      <c r="H15" s="14" t="str">
        <f t="shared" si="1"/>
        <v>Patut Dipertahankan</v>
      </c>
      <c r="I15" s="20">
        <v>8000000</v>
      </c>
      <c r="J15" s="20">
        <v>1360000000</v>
      </c>
      <c r="L15" s="14" t="s">
        <v>152</v>
      </c>
      <c r="M15" s="44">
        <f t="shared" si="2"/>
        <v>3200000000</v>
      </c>
    </row>
    <row r="16" spans="2:13" x14ac:dyDescent="0.25">
      <c r="B16" s="14">
        <v>12</v>
      </c>
      <c r="C16" s="11" t="s">
        <v>146</v>
      </c>
      <c r="D16" s="11" t="str">
        <f t="shared" si="0"/>
        <v>PR</v>
      </c>
      <c r="E16" s="14" t="s">
        <v>150</v>
      </c>
      <c r="F16" s="14" t="s">
        <v>147</v>
      </c>
      <c r="G16" s="14">
        <v>80</v>
      </c>
      <c r="H16" s="14" t="str">
        <f t="shared" si="1"/>
        <v>Perlu Dievaluasi</v>
      </c>
      <c r="I16" s="20">
        <v>2000000</v>
      </c>
      <c r="J16" s="20">
        <v>160000000</v>
      </c>
      <c r="L16" s="14" t="s">
        <v>153</v>
      </c>
      <c r="M16" s="44">
        <f t="shared" si="2"/>
        <v>3260000000</v>
      </c>
    </row>
    <row r="17" spans="2:14" x14ac:dyDescent="0.25">
      <c r="B17" s="14">
        <v>13</v>
      </c>
      <c r="C17" s="11" t="s">
        <v>141</v>
      </c>
      <c r="D17" s="11" t="str">
        <f t="shared" si="0"/>
        <v>LP</v>
      </c>
      <c r="E17" s="14" t="s">
        <v>151</v>
      </c>
      <c r="F17" s="14" t="s">
        <v>143</v>
      </c>
      <c r="G17" s="14">
        <v>120</v>
      </c>
      <c r="H17" s="14" t="str">
        <f t="shared" si="1"/>
        <v>Patut Dipertahankan</v>
      </c>
      <c r="I17" s="20">
        <v>10000000</v>
      </c>
      <c r="J17" s="20">
        <v>1200000000</v>
      </c>
      <c r="L17" t="s">
        <v>176</v>
      </c>
    </row>
    <row r="18" spans="2:14" x14ac:dyDescent="0.25">
      <c r="B18" s="14">
        <v>14</v>
      </c>
      <c r="C18" s="11" t="s">
        <v>144</v>
      </c>
      <c r="D18" s="11" t="str">
        <f t="shared" si="0"/>
        <v>HP</v>
      </c>
      <c r="E18" s="14" t="s">
        <v>151</v>
      </c>
      <c r="F18" s="14" t="s">
        <v>145</v>
      </c>
      <c r="G18" s="14">
        <v>180</v>
      </c>
      <c r="H18" s="14" t="str">
        <f t="shared" si="1"/>
        <v>Patut Dipertahankan</v>
      </c>
      <c r="I18" s="20">
        <v>8000000</v>
      </c>
      <c r="J18" s="20">
        <v>1440000000</v>
      </c>
      <c r="L18" s="19" t="s">
        <v>140</v>
      </c>
      <c r="M18" s="19" t="s">
        <v>177</v>
      </c>
    </row>
    <row r="19" spans="2:14" x14ac:dyDescent="0.25">
      <c r="B19" s="14">
        <v>15</v>
      </c>
      <c r="C19" s="11" t="s">
        <v>146</v>
      </c>
      <c r="D19" s="11" t="str">
        <f t="shared" si="0"/>
        <v>PR</v>
      </c>
      <c r="E19" s="14" t="s">
        <v>151</v>
      </c>
      <c r="F19" s="14" t="s">
        <v>147</v>
      </c>
      <c r="G19" s="14">
        <v>90</v>
      </c>
      <c r="H19" s="14" t="str">
        <f t="shared" si="1"/>
        <v>Perlu Dievaluasi</v>
      </c>
      <c r="I19" s="20">
        <v>2000000</v>
      </c>
      <c r="J19" s="20">
        <v>180000000</v>
      </c>
      <c r="L19" s="14" t="s">
        <v>143</v>
      </c>
      <c r="M19" s="45">
        <f>AVERAGEIF($F$5:$F$24,L19,$G$5:$G$24)</f>
        <v>124.28571428571429</v>
      </c>
    </row>
    <row r="20" spans="2:14" x14ac:dyDescent="0.25">
      <c r="B20" s="14">
        <v>16</v>
      </c>
      <c r="C20" s="11" t="s">
        <v>141</v>
      </c>
      <c r="D20" s="11" t="str">
        <f t="shared" si="0"/>
        <v>LP</v>
      </c>
      <c r="E20" s="14" t="s">
        <v>152</v>
      </c>
      <c r="F20" s="14" t="s">
        <v>143</v>
      </c>
      <c r="G20" s="14">
        <v>140</v>
      </c>
      <c r="H20" s="14" t="str">
        <f t="shared" si="1"/>
        <v>Patut Dipertahankan</v>
      </c>
      <c r="I20" s="20">
        <v>10000000</v>
      </c>
      <c r="J20" s="20">
        <v>1400000000</v>
      </c>
      <c r="L20" s="14" t="s">
        <v>145</v>
      </c>
      <c r="M20" s="45">
        <f t="shared" ref="M20:M21" si="3">AVERAGEIF($F$5:$F$24,L20,$G$5:$G$24)</f>
        <v>174.28571428571428</v>
      </c>
    </row>
    <row r="21" spans="2:14" x14ac:dyDescent="0.25">
      <c r="B21" s="14">
        <v>17</v>
      </c>
      <c r="C21" s="11" t="s">
        <v>144</v>
      </c>
      <c r="D21" s="11" t="str">
        <f t="shared" si="0"/>
        <v>HP</v>
      </c>
      <c r="E21" s="14" t="s">
        <v>152</v>
      </c>
      <c r="F21" s="14" t="s">
        <v>145</v>
      </c>
      <c r="G21" s="14">
        <v>200</v>
      </c>
      <c r="H21" s="14" t="str">
        <f t="shared" si="1"/>
        <v>Patut Dipertahankan</v>
      </c>
      <c r="I21" s="20">
        <v>8000000</v>
      </c>
      <c r="J21" s="20">
        <v>1600000000</v>
      </c>
      <c r="L21" s="14" t="s">
        <v>147</v>
      </c>
      <c r="M21" s="45">
        <f t="shared" si="3"/>
        <v>75</v>
      </c>
    </row>
    <row r="22" spans="2:14" x14ac:dyDescent="0.25">
      <c r="B22" s="14">
        <v>18</v>
      </c>
      <c r="C22" s="11" t="s">
        <v>146</v>
      </c>
      <c r="D22" s="11" t="str">
        <f t="shared" si="0"/>
        <v>PR</v>
      </c>
      <c r="E22" s="14" t="s">
        <v>152</v>
      </c>
      <c r="F22" s="14" t="s">
        <v>147</v>
      </c>
      <c r="G22" s="14">
        <v>100</v>
      </c>
      <c r="H22" s="14" t="str">
        <f t="shared" si="1"/>
        <v>Patut Dipertahankan</v>
      </c>
      <c r="I22" s="20">
        <v>2000000</v>
      </c>
      <c r="J22" s="20">
        <v>200000000</v>
      </c>
      <c r="L22" t="s">
        <v>179</v>
      </c>
    </row>
    <row r="23" spans="2:14" x14ac:dyDescent="0.25">
      <c r="B23" s="14">
        <v>19</v>
      </c>
      <c r="C23" s="11" t="s">
        <v>141</v>
      </c>
      <c r="D23" s="11" t="str">
        <f t="shared" si="0"/>
        <v>LP</v>
      </c>
      <c r="E23" s="14" t="s">
        <v>153</v>
      </c>
      <c r="F23" s="14" t="s">
        <v>143</v>
      </c>
      <c r="G23" s="14">
        <v>150</v>
      </c>
      <c r="H23" s="14" t="str">
        <f t="shared" si="1"/>
        <v>Patut Dipertahankan</v>
      </c>
      <c r="I23" s="20">
        <v>10000000</v>
      </c>
      <c r="J23" s="20">
        <v>1500000000</v>
      </c>
      <c r="L23" s="21" t="s">
        <v>180</v>
      </c>
    </row>
    <row r="24" spans="2:14" x14ac:dyDescent="0.25">
      <c r="B24" s="14">
        <v>20</v>
      </c>
      <c r="C24" s="11" t="s">
        <v>144</v>
      </c>
      <c r="D24" s="11" t="str">
        <f t="shared" si="0"/>
        <v>HP</v>
      </c>
      <c r="E24" s="14" t="s">
        <v>153</v>
      </c>
      <c r="F24" s="14" t="s">
        <v>145</v>
      </c>
      <c r="G24" s="14">
        <v>220</v>
      </c>
      <c r="H24" s="14" t="str">
        <f t="shared" si="1"/>
        <v>Patut Dipertahankan</v>
      </c>
      <c r="I24" s="20">
        <v>8000000</v>
      </c>
      <c r="J24" s="20">
        <v>1760000000</v>
      </c>
      <c r="L24" s="21" t="s">
        <v>181</v>
      </c>
    </row>
    <row r="25" spans="2:14" x14ac:dyDescent="0.25">
      <c r="L25" t="s">
        <v>182</v>
      </c>
    </row>
    <row r="26" spans="2:14" x14ac:dyDescent="0.25">
      <c r="L26" s="19" t="s">
        <v>137</v>
      </c>
      <c r="M26" s="2" t="s">
        <v>183</v>
      </c>
      <c r="N26" s="2" t="s">
        <v>184</v>
      </c>
    </row>
    <row r="27" spans="2:14" x14ac:dyDescent="0.25">
      <c r="L27" s="11" t="s">
        <v>141</v>
      </c>
      <c r="M27" s="44">
        <f>_xlfn.MAXIFS($I$5:$I$24,$C$5:$C$24,L27)</f>
        <v>10000000</v>
      </c>
      <c r="N27" s="44">
        <f>_xlfn.MINIFS($I$5:$I$24,$C$5:$C$24,L27)</f>
        <v>10000000</v>
      </c>
    </row>
    <row r="28" spans="2:14" x14ac:dyDescent="0.25">
      <c r="L28" s="11" t="s">
        <v>144</v>
      </c>
      <c r="M28" s="44">
        <f t="shared" ref="M28:M29" si="4">_xlfn.MAXIFS($I$5:$I$24,$C$5:$C$24,L28)</f>
        <v>8000000</v>
      </c>
      <c r="N28" s="44">
        <f t="shared" ref="N28:N29" si="5">_xlfn.MINIFS($I$5:$I$24,$C$5:$C$24,L28)</f>
        <v>8000000</v>
      </c>
    </row>
    <row r="29" spans="2:14" x14ac:dyDescent="0.25">
      <c r="L29" s="11" t="s">
        <v>146</v>
      </c>
      <c r="M29" s="44">
        <f t="shared" si="4"/>
        <v>2000000</v>
      </c>
      <c r="N29" s="44">
        <f t="shared" si="5"/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Produksi</vt:lpstr>
      <vt:lpstr>Gaji Pemain</vt:lpstr>
      <vt:lpstr>Data Penjualan Produk Jadi</vt:lpstr>
      <vt:lpstr>Penjualan Barang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ROANMA.NET</cp:lastModifiedBy>
  <dcterms:created xsi:type="dcterms:W3CDTF">2024-05-29T15:33:13Z</dcterms:created>
  <dcterms:modified xsi:type="dcterms:W3CDTF">2024-11-03T11:30:17Z</dcterms:modified>
</cp:coreProperties>
</file>