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rukhAfridi/Downloads/"/>
    </mc:Choice>
  </mc:AlternateContent>
  <xr:revisionPtr revIDLastSave="0" documentId="13_ncr:1_{C2BAEDE4-1397-5E46-88E8-32A0D73B1E9B}" xr6:coauthVersionLast="36" xr6:coauthVersionMax="45" xr10:uidLastSave="{00000000-0000-0000-0000-000000000000}"/>
  <bookViews>
    <workbookView xWindow="0" yWindow="0" windowWidth="25600" windowHeight="16000" activeTab="5" xr2:uid="{F93F6C93-5A09-A748-86C9-2273E566E3D2}"/>
  </bookViews>
  <sheets>
    <sheet name="Exhibit 1" sheetId="1" r:id="rId1"/>
    <sheet name="Exhibit 2" sheetId="2" r:id="rId2"/>
    <sheet name="Exhibit 3" sheetId="3" r:id="rId3"/>
    <sheet name="Exhibit 4" sheetId="4" r:id="rId4"/>
    <sheet name="Exhibit 5" sheetId="5" r:id="rId5"/>
    <sheet name="Exhibit 5.a" sheetId="12" r:id="rId6"/>
    <sheet name="Exhibit 6" sheetId="6" r:id="rId7"/>
    <sheet name="Exhibit 7" sheetId="7" r:id="rId8"/>
    <sheet name="Exhibit 8" sheetId="8" r:id="rId9"/>
    <sheet name="Exhibit 9" sheetId="9" r:id="rId10"/>
    <sheet name="Sheet10" sheetId="10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5" l="1"/>
  <c r="I24" i="5"/>
  <c r="I25" i="5" s="1"/>
  <c r="G33" i="12" l="1"/>
  <c r="H33" i="12"/>
  <c r="I33" i="12"/>
  <c r="J33" i="12"/>
  <c r="K33" i="12"/>
  <c r="G34" i="12"/>
  <c r="H34" i="12"/>
  <c r="I34" i="12"/>
  <c r="J34" i="12"/>
  <c r="K34" i="12"/>
  <c r="G35" i="12"/>
  <c r="H35" i="12"/>
  <c r="I35" i="12"/>
  <c r="J35" i="12"/>
  <c r="K35" i="12"/>
  <c r="G36" i="12"/>
  <c r="H36" i="12"/>
  <c r="I36" i="12"/>
  <c r="J36" i="12"/>
  <c r="K36" i="12"/>
  <c r="H32" i="12"/>
  <c r="I32" i="12"/>
  <c r="J32" i="12"/>
  <c r="K32" i="12"/>
  <c r="G32" i="12"/>
  <c r="F32" i="12"/>
  <c r="I28" i="12"/>
  <c r="J28" i="12"/>
  <c r="K28" i="12"/>
  <c r="H28" i="12"/>
  <c r="G24" i="12"/>
  <c r="I24" i="12"/>
  <c r="J24" i="12"/>
  <c r="K24" i="12"/>
  <c r="H24" i="12"/>
  <c r="F16" i="12"/>
  <c r="F8" i="12"/>
  <c r="E5" i="6"/>
  <c r="H3" i="4"/>
  <c r="I3" i="4"/>
  <c r="J3" i="4"/>
  <c r="G3" i="4"/>
  <c r="I2" i="4"/>
  <c r="J2" i="4"/>
  <c r="H2" i="4"/>
  <c r="E6" i="4"/>
  <c r="I6" i="4" s="1"/>
  <c r="H7" i="2"/>
  <c r="I7" i="2"/>
  <c r="J7" i="2"/>
  <c r="H10" i="2"/>
  <c r="I10" i="2"/>
  <c r="J10" i="2"/>
  <c r="H11" i="2"/>
  <c r="I11" i="2"/>
  <c r="J11" i="2"/>
  <c r="G11" i="2"/>
  <c r="G10" i="2"/>
  <c r="G7" i="2"/>
  <c r="H3" i="2"/>
  <c r="H4" i="2" s="1"/>
  <c r="G3" i="2"/>
  <c r="I2" i="2"/>
  <c r="I3" i="2" s="1"/>
  <c r="H2" i="2"/>
  <c r="H4" i="1"/>
  <c r="I4" i="1"/>
  <c r="J4" i="1"/>
  <c r="G4" i="1"/>
  <c r="E4" i="2"/>
  <c r="I4" i="2" l="1"/>
  <c r="I5" i="2"/>
  <c r="I6" i="2" s="1"/>
  <c r="H6" i="4"/>
  <c r="G6" i="4"/>
  <c r="H5" i="2"/>
  <c r="J6" i="4"/>
  <c r="G4" i="2"/>
  <c r="G5" i="2" s="1"/>
  <c r="J2" i="2"/>
  <c r="J3" i="2" s="1"/>
  <c r="B5" i="1"/>
  <c r="G6" i="2" l="1"/>
  <c r="H6" i="2"/>
  <c r="J4" i="2"/>
  <c r="J5" i="2" s="1"/>
  <c r="E5" i="10"/>
  <c r="D5" i="10"/>
  <c r="C5" i="10"/>
  <c r="B5" i="10"/>
  <c r="J6" i="2" l="1"/>
  <c r="C8" i="6"/>
  <c r="D8" i="6"/>
  <c r="E8" i="6"/>
  <c r="B8" i="6"/>
  <c r="C5" i="6"/>
  <c r="D5" i="6"/>
  <c r="B5" i="6"/>
  <c r="E122" i="5"/>
  <c r="E125" i="5" s="1"/>
  <c r="B58" i="8" s="1"/>
  <c r="C58" i="8" s="1"/>
  <c r="E129" i="5"/>
  <c r="F129" i="5"/>
  <c r="G129" i="5"/>
  <c r="H129" i="5"/>
  <c r="I129" i="5"/>
  <c r="J129" i="5"/>
  <c r="K129" i="5"/>
  <c r="L129" i="5"/>
  <c r="M129" i="5"/>
  <c r="D129" i="5"/>
  <c r="B141" i="5" s="1"/>
  <c r="B140" i="5"/>
  <c r="D154" i="5"/>
  <c r="D156" i="5" s="1"/>
  <c r="B145" i="5"/>
  <c r="I139" i="5"/>
  <c r="C136" i="5"/>
  <c r="D125" i="5"/>
  <c r="B57" i="8" s="1"/>
  <c r="D86" i="5"/>
  <c r="B40" i="8" s="1"/>
  <c r="E90" i="5"/>
  <c r="F90" i="5"/>
  <c r="G90" i="5"/>
  <c r="H90" i="5"/>
  <c r="I90" i="5"/>
  <c r="J90" i="5"/>
  <c r="K90" i="5"/>
  <c r="L90" i="5"/>
  <c r="M90" i="5"/>
  <c r="D90" i="5"/>
  <c r="B102" i="5" s="1"/>
  <c r="B101" i="5"/>
  <c r="D115" i="5"/>
  <c r="D117" i="5" s="1"/>
  <c r="B106" i="5"/>
  <c r="I100" i="5"/>
  <c r="C97" i="5"/>
  <c r="E83" i="5"/>
  <c r="E86" i="5" s="1"/>
  <c r="B41" i="8" s="1"/>
  <c r="C41" i="8" s="1"/>
  <c r="I61" i="5"/>
  <c r="B62" i="5"/>
  <c r="D76" i="5"/>
  <c r="D78" i="5" s="1"/>
  <c r="B67" i="5"/>
  <c r="C58" i="5"/>
  <c r="D47" i="5"/>
  <c r="B23" i="8" s="1"/>
  <c r="E44" i="5"/>
  <c r="F44" i="5" s="1"/>
  <c r="F122" i="5" l="1"/>
  <c r="G122" i="5" s="1"/>
  <c r="H122" i="5" s="1"/>
  <c r="I122" i="5" s="1"/>
  <c r="J122" i="5" s="1"/>
  <c r="K122" i="5" s="1"/>
  <c r="L122" i="5" s="1"/>
  <c r="M122" i="5" s="1"/>
  <c r="E6" i="6" s="1"/>
  <c r="C57" i="8"/>
  <c r="C23" i="8"/>
  <c r="C40" i="8"/>
  <c r="F125" i="5"/>
  <c r="B59" i="8" s="1"/>
  <c r="C59" i="8" s="1"/>
  <c r="E143" i="5"/>
  <c r="E144" i="5" s="1"/>
  <c r="E6" i="10" s="1"/>
  <c r="B142" i="5"/>
  <c r="E140" i="5" s="1"/>
  <c r="E141" i="5" s="1"/>
  <c r="D127" i="5"/>
  <c r="D130" i="5" s="1"/>
  <c r="D132" i="5" s="1"/>
  <c r="D151" i="5"/>
  <c r="E154" i="5" s="1"/>
  <c r="E104" i="5"/>
  <c r="E105" i="5" s="1"/>
  <c r="D6" i="10" s="1"/>
  <c r="B103" i="5"/>
  <c r="E101" i="5" s="1"/>
  <c r="E102" i="5" s="1"/>
  <c r="D88" i="5"/>
  <c r="D91" i="5" s="1"/>
  <c r="D93" i="5" s="1"/>
  <c r="D112" i="5"/>
  <c r="E115" i="5" s="1"/>
  <c r="F83" i="5"/>
  <c r="F86" i="5" s="1"/>
  <c r="B42" i="8" s="1"/>
  <c r="C42" i="8" s="1"/>
  <c r="G44" i="5"/>
  <c r="H44" i="5" s="1"/>
  <c r="H47" i="5" s="1"/>
  <c r="B27" i="8" s="1"/>
  <c r="C27" i="8" s="1"/>
  <c r="F47" i="5"/>
  <c r="B25" i="8" s="1"/>
  <c r="C25" i="8" s="1"/>
  <c r="E47" i="5"/>
  <c r="B24" i="8" s="1"/>
  <c r="C24" i="8" s="1"/>
  <c r="D73" i="5"/>
  <c r="E76" i="5" s="1"/>
  <c r="D49" i="5"/>
  <c r="I44" i="5" l="1"/>
  <c r="G47" i="5"/>
  <c r="B26" i="8" s="1"/>
  <c r="C26" i="8" s="1"/>
  <c r="D94" i="5"/>
  <c r="D97" i="5" s="1"/>
  <c r="K40" i="8" s="1"/>
  <c r="E40" i="8"/>
  <c r="D133" i="5"/>
  <c r="D136" i="5" s="1"/>
  <c r="K57" i="8" s="1"/>
  <c r="E57" i="8"/>
  <c r="G125" i="5"/>
  <c r="B60" i="8" s="1"/>
  <c r="C60" i="8" s="1"/>
  <c r="E156" i="5"/>
  <c r="E145" i="5"/>
  <c r="E146" i="5" s="1"/>
  <c r="E106" i="5"/>
  <c r="E107" i="5" s="1"/>
  <c r="D7" i="10" s="1"/>
  <c r="G83" i="5"/>
  <c r="G86" i="5" s="1"/>
  <c r="B43" i="8" s="1"/>
  <c r="C43" i="8" s="1"/>
  <c r="E108" i="5"/>
  <c r="I101" i="5" s="1"/>
  <c r="E117" i="5"/>
  <c r="E78" i="5"/>
  <c r="J44" i="5"/>
  <c r="I47" i="5"/>
  <c r="B28" i="8" s="1"/>
  <c r="C28" i="8" s="1"/>
  <c r="L57" i="8" l="1"/>
  <c r="E49" i="5"/>
  <c r="F40" i="8"/>
  <c r="E88" i="5"/>
  <c r="E91" i="5" s="1"/>
  <c r="E93" i="5" s="1"/>
  <c r="E147" i="5"/>
  <c r="I140" i="5" s="1"/>
  <c r="E7" i="10"/>
  <c r="L40" i="8"/>
  <c r="E127" i="5"/>
  <c r="E130" i="5" s="1"/>
  <c r="E132" i="5" s="1"/>
  <c r="F57" i="8"/>
  <c r="E151" i="5"/>
  <c r="H125" i="5"/>
  <c r="B61" i="8" s="1"/>
  <c r="C61" i="8" s="1"/>
  <c r="H83" i="5"/>
  <c r="H86" i="5" s="1"/>
  <c r="B44" i="8" s="1"/>
  <c r="C44" i="8" s="1"/>
  <c r="E112" i="5"/>
  <c r="F115" i="5" s="1"/>
  <c r="J47" i="5"/>
  <c r="B29" i="8" s="1"/>
  <c r="C29" i="8" s="1"/>
  <c r="K44" i="5"/>
  <c r="E73" i="5"/>
  <c r="F76" i="5" s="1"/>
  <c r="E94" i="5" l="1"/>
  <c r="E97" i="5" s="1"/>
  <c r="K41" i="8" s="1"/>
  <c r="E41" i="8"/>
  <c r="E133" i="5"/>
  <c r="E136" i="5" s="1"/>
  <c r="K58" i="8" s="1"/>
  <c r="E58" i="8"/>
  <c r="F154" i="5"/>
  <c r="F156" i="5" s="1"/>
  <c r="I125" i="5"/>
  <c r="B62" i="8" s="1"/>
  <c r="C62" i="8" s="1"/>
  <c r="F117" i="5"/>
  <c r="I83" i="5"/>
  <c r="I86" i="5" s="1"/>
  <c r="B45" i="8" s="1"/>
  <c r="C45" i="8" s="1"/>
  <c r="F78" i="5"/>
  <c r="L44" i="5"/>
  <c r="K47" i="5"/>
  <c r="B30" i="8" s="1"/>
  <c r="F58" i="8" l="1"/>
  <c r="L41" i="8"/>
  <c r="F49" i="5"/>
  <c r="L58" i="8"/>
  <c r="F127" i="5"/>
  <c r="F130" i="5" s="1"/>
  <c r="F132" i="5" s="1"/>
  <c r="C30" i="8"/>
  <c r="F88" i="5"/>
  <c r="F91" i="5" s="1"/>
  <c r="F93" i="5" s="1"/>
  <c r="F41" i="8"/>
  <c r="F151" i="5"/>
  <c r="G154" i="5" s="1"/>
  <c r="G156" i="5" s="1"/>
  <c r="G127" i="5" s="1"/>
  <c r="G130" i="5" s="1"/>
  <c r="G132" i="5" s="1"/>
  <c r="J125" i="5"/>
  <c r="B63" i="8" s="1"/>
  <c r="C63" i="8" s="1"/>
  <c r="J83" i="5"/>
  <c r="J86" i="5" s="1"/>
  <c r="B46" i="8" s="1"/>
  <c r="C46" i="8" s="1"/>
  <c r="F112" i="5"/>
  <c r="G115" i="5" s="1"/>
  <c r="F73" i="5"/>
  <c r="G76" i="5" s="1"/>
  <c r="L47" i="5"/>
  <c r="B31" i="8" s="1"/>
  <c r="C31" i="8" s="1"/>
  <c r="M44" i="5"/>
  <c r="M47" i="5" l="1"/>
  <c r="B32" i="8" s="1"/>
  <c r="C32" i="8" s="1"/>
  <c r="C33" i="8" s="1"/>
  <c r="C34" i="8" s="1"/>
  <c r="C3" i="9" s="1"/>
  <c r="C6" i="6"/>
  <c r="G133" i="5"/>
  <c r="G136" i="5" s="1"/>
  <c r="K60" i="8" s="1"/>
  <c r="L60" i="8" s="1"/>
  <c r="E60" i="8"/>
  <c r="F60" i="8" s="1"/>
  <c r="F94" i="5"/>
  <c r="F97" i="5" s="1"/>
  <c r="K42" i="8" s="1"/>
  <c r="E42" i="8"/>
  <c r="B33" i="8"/>
  <c r="F133" i="5"/>
  <c r="F136" i="5" s="1"/>
  <c r="K59" i="8" s="1"/>
  <c r="E59" i="8"/>
  <c r="G151" i="5"/>
  <c r="K125" i="5"/>
  <c r="B64" i="8" s="1"/>
  <c r="C64" i="8" s="1"/>
  <c r="K83" i="5"/>
  <c r="K86" i="5" s="1"/>
  <c r="B47" i="8" s="1"/>
  <c r="C47" i="8" s="1"/>
  <c r="G117" i="5"/>
  <c r="G78" i="5"/>
  <c r="G49" i="5" l="1"/>
  <c r="F42" i="8"/>
  <c r="G88" i="5"/>
  <c r="G91" i="5" s="1"/>
  <c r="G93" i="5" s="1"/>
  <c r="F59" i="8"/>
  <c r="L59" i="8"/>
  <c r="L42" i="8"/>
  <c r="H154" i="5"/>
  <c r="H156" i="5" s="1"/>
  <c r="L125" i="5"/>
  <c r="B65" i="8" s="1"/>
  <c r="C65" i="8" s="1"/>
  <c r="M125" i="5"/>
  <c r="B66" i="8" s="1"/>
  <c r="G112" i="5"/>
  <c r="H115" i="5" s="1"/>
  <c r="H117" i="5"/>
  <c r="H88" i="5" s="1"/>
  <c r="H91" i="5" s="1"/>
  <c r="H93" i="5" s="1"/>
  <c r="L83" i="5"/>
  <c r="L86" i="5" s="1"/>
  <c r="B48" i="8" s="1"/>
  <c r="C48" i="8" s="1"/>
  <c r="G73" i="5"/>
  <c r="H76" i="5" s="1"/>
  <c r="H78" i="5" s="1"/>
  <c r="H49" i="5" s="1"/>
  <c r="H94" i="5" l="1"/>
  <c r="E44" i="8"/>
  <c r="F44" i="8" s="1"/>
  <c r="G94" i="5"/>
  <c r="G97" i="5" s="1"/>
  <c r="K43" i="8" s="1"/>
  <c r="E43" i="8"/>
  <c r="C66" i="8"/>
  <c r="C67" i="8" s="1"/>
  <c r="C68" i="8" s="1"/>
  <c r="E3" i="9" s="1"/>
  <c r="B67" i="8"/>
  <c r="H127" i="5"/>
  <c r="H130" i="5" s="1"/>
  <c r="H132" i="5" s="1"/>
  <c r="H151" i="5"/>
  <c r="I154" i="5" s="1"/>
  <c r="I156" i="5" s="1"/>
  <c r="I127" i="5" s="1"/>
  <c r="I130" i="5" s="1"/>
  <c r="I132" i="5" s="1"/>
  <c r="H112" i="5"/>
  <c r="M83" i="5"/>
  <c r="H73" i="5"/>
  <c r="M86" i="5" l="1"/>
  <c r="B49" i="8" s="1"/>
  <c r="C49" i="8" s="1"/>
  <c r="C50" i="8" s="1"/>
  <c r="C51" i="8" s="1"/>
  <c r="D3" i="9" s="1"/>
  <c r="D6" i="6"/>
  <c r="F43" i="8"/>
  <c r="L43" i="8"/>
  <c r="I133" i="5"/>
  <c r="I136" i="5" s="1"/>
  <c r="K62" i="8" s="1"/>
  <c r="L62" i="8" s="1"/>
  <c r="E62" i="8"/>
  <c r="F62" i="8" s="1"/>
  <c r="H133" i="5"/>
  <c r="H136" i="5" s="1"/>
  <c r="K61" i="8" s="1"/>
  <c r="E61" i="8"/>
  <c r="H97" i="5"/>
  <c r="K44" i="8"/>
  <c r="L44" i="8" s="1"/>
  <c r="I151" i="5"/>
  <c r="J154" i="5" s="1"/>
  <c r="I115" i="5"/>
  <c r="I117" i="5" s="1"/>
  <c r="I76" i="5"/>
  <c r="I78" i="5" s="1"/>
  <c r="B50" i="8" l="1"/>
  <c r="F61" i="8"/>
  <c r="L61" i="8"/>
  <c r="J156" i="5"/>
  <c r="J127" i="5" s="1"/>
  <c r="J130" i="5" s="1"/>
  <c r="J132" i="5" s="1"/>
  <c r="I88" i="5"/>
  <c r="I91" i="5" s="1"/>
  <c r="I93" i="5" s="1"/>
  <c r="I112" i="5"/>
  <c r="J115" i="5" s="1"/>
  <c r="J117" i="5" s="1"/>
  <c r="J88" i="5" s="1"/>
  <c r="J91" i="5" s="1"/>
  <c r="J93" i="5" s="1"/>
  <c r="I49" i="5"/>
  <c r="I73" i="5"/>
  <c r="J133" i="5" l="1"/>
  <c r="J136" i="5" s="1"/>
  <c r="K63" i="8" s="1"/>
  <c r="E63" i="8"/>
  <c r="I94" i="5"/>
  <c r="E45" i="8"/>
  <c r="J94" i="5"/>
  <c r="J97" i="5" s="1"/>
  <c r="K46" i="8" s="1"/>
  <c r="L46" i="8" s="1"/>
  <c r="E46" i="8"/>
  <c r="F46" i="8" s="1"/>
  <c r="J151" i="5"/>
  <c r="K154" i="5" s="1"/>
  <c r="J112" i="5"/>
  <c r="K115" i="5" s="1"/>
  <c r="J76" i="5"/>
  <c r="J78" i="5" s="1"/>
  <c r="L63" i="8" l="1"/>
  <c r="I97" i="5"/>
  <c r="K45" i="8"/>
  <c r="L45" i="8" s="1"/>
  <c r="F63" i="8"/>
  <c r="F45" i="8"/>
  <c r="K156" i="5"/>
  <c r="K127" i="5" s="1"/>
  <c r="K130" i="5" s="1"/>
  <c r="K132" i="5" s="1"/>
  <c r="K117" i="5"/>
  <c r="K88" i="5" s="1"/>
  <c r="K91" i="5" s="1"/>
  <c r="K93" i="5" s="1"/>
  <c r="J49" i="5"/>
  <c r="J73" i="5"/>
  <c r="K94" i="5" l="1"/>
  <c r="K97" i="5" s="1"/>
  <c r="K47" i="8" s="1"/>
  <c r="L47" i="8" s="1"/>
  <c r="E47" i="8"/>
  <c r="F47" i="8" s="1"/>
  <c r="K133" i="5"/>
  <c r="K136" i="5" s="1"/>
  <c r="K64" i="8" s="1"/>
  <c r="L64" i="8" s="1"/>
  <c r="E64" i="8"/>
  <c r="F64" i="8" s="1"/>
  <c r="K151" i="5"/>
  <c r="L154" i="5" s="1"/>
  <c r="K112" i="5"/>
  <c r="L115" i="5" s="1"/>
  <c r="K76" i="5"/>
  <c r="K78" i="5" s="1"/>
  <c r="K49" i="5" s="1"/>
  <c r="K73" i="5" l="1"/>
  <c r="L156" i="5"/>
  <c r="L127" i="5" s="1"/>
  <c r="L130" i="5" s="1"/>
  <c r="L132" i="5" s="1"/>
  <c r="L117" i="5"/>
  <c r="L88" i="5" s="1"/>
  <c r="L91" i="5" s="1"/>
  <c r="L93" i="5" s="1"/>
  <c r="L76" i="5"/>
  <c r="L78" i="5" s="1"/>
  <c r="L49" i="5" s="1"/>
  <c r="L133" i="5" l="1"/>
  <c r="L136" i="5" s="1"/>
  <c r="K65" i="8" s="1"/>
  <c r="L65" i="8" s="1"/>
  <c r="E65" i="8"/>
  <c r="F65" i="8" s="1"/>
  <c r="L94" i="5"/>
  <c r="L97" i="5" s="1"/>
  <c r="K48" i="8" s="1"/>
  <c r="L48" i="8" s="1"/>
  <c r="E48" i="8"/>
  <c r="F48" i="8" s="1"/>
  <c r="L151" i="5"/>
  <c r="L112" i="5"/>
  <c r="M115" i="5" s="1"/>
  <c r="L73" i="5"/>
  <c r="M154" i="5" l="1"/>
  <c r="M156" i="5" s="1"/>
  <c r="M117" i="5"/>
  <c r="M76" i="5"/>
  <c r="M78" i="5" s="1"/>
  <c r="M73" i="5"/>
  <c r="I63" i="5" s="1"/>
  <c r="M127" i="5" l="1"/>
  <c r="M130" i="5" s="1"/>
  <c r="M132" i="5" s="1"/>
  <c r="E4" i="10"/>
  <c r="M151" i="5"/>
  <c r="I141" i="5" s="1"/>
  <c r="I142" i="5" s="1"/>
  <c r="M49" i="5"/>
  <c r="C4" i="10"/>
  <c r="M88" i="5"/>
  <c r="M91" i="5" s="1"/>
  <c r="M93" i="5" s="1"/>
  <c r="D4" i="10"/>
  <c r="M112" i="5"/>
  <c r="I102" i="5" s="1"/>
  <c r="I103" i="5" s="1"/>
  <c r="M94" i="5" l="1"/>
  <c r="E49" i="8"/>
  <c r="M96" i="5"/>
  <c r="D8" i="10"/>
  <c r="M135" i="5"/>
  <c r="H66" i="8" s="1"/>
  <c r="E8" i="10"/>
  <c r="M133" i="5"/>
  <c r="E66" i="8"/>
  <c r="F66" i="8" l="1"/>
  <c r="F67" i="8" s="1"/>
  <c r="F68" i="8" s="1"/>
  <c r="E4" i="9" s="1"/>
  <c r="E67" i="8"/>
  <c r="M136" i="5"/>
  <c r="M97" i="5"/>
  <c r="H49" i="8"/>
  <c r="F49" i="8"/>
  <c r="F50" i="8" s="1"/>
  <c r="F51" i="8" s="1"/>
  <c r="D4" i="9" s="1"/>
  <c r="E50" i="8"/>
  <c r="I66" i="8"/>
  <c r="I67" i="8" s="1"/>
  <c r="I68" i="8" s="1"/>
  <c r="E5" i="9" s="1"/>
  <c r="H67" i="8"/>
  <c r="B28" i="5"/>
  <c r="C19" i="5"/>
  <c r="J12" i="5"/>
  <c r="K12" i="5"/>
  <c r="H12" i="5"/>
  <c r="L12" i="5"/>
  <c r="D12" i="5"/>
  <c r="B24" i="5" s="1"/>
  <c r="D37" i="5"/>
  <c r="D39" i="5" s="1"/>
  <c r="D8" i="5"/>
  <c r="B6" i="8" s="1"/>
  <c r="E5" i="5"/>
  <c r="F5" i="5" s="1"/>
  <c r="G5" i="5" s="1"/>
  <c r="H5" i="5" s="1"/>
  <c r="I5" i="5" s="1"/>
  <c r="J5" i="5" s="1"/>
  <c r="K5" i="5" s="1"/>
  <c r="L5" i="5" s="1"/>
  <c r="M5" i="5" s="1"/>
  <c r="C6" i="4"/>
  <c r="D6" i="4"/>
  <c r="B6" i="4"/>
  <c r="D6" i="3"/>
  <c r="E6" i="3"/>
  <c r="B6" i="3"/>
  <c r="D5" i="3"/>
  <c r="E5" i="3"/>
  <c r="B5" i="3"/>
  <c r="C3" i="3"/>
  <c r="D3" i="3"/>
  <c r="E3" i="3"/>
  <c r="B3" i="3"/>
  <c r="E8" i="2"/>
  <c r="E6" i="2"/>
  <c r="E7" i="3" s="1"/>
  <c r="E5" i="2"/>
  <c r="E9" i="2" s="1"/>
  <c r="E7" i="4" s="1"/>
  <c r="D8" i="2"/>
  <c r="D6" i="2"/>
  <c r="D7" i="3" s="1"/>
  <c r="D4" i="2"/>
  <c r="D5" i="2" s="1"/>
  <c r="D18" i="2"/>
  <c r="E18" i="2"/>
  <c r="C10" i="2"/>
  <c r="C18" i="2"/>
  <c r="C7" i="2"/>
  <c r="C5" i="3" s="1"/>
  <c r="C8" i="2"/>
  <c r="C6" i="2"/>
  <c r="C4" i="2"/>
  <c r="C5" i="2" s="1"/>
  <c r="C9" i="2" s="1"/>
  <c r="C7" i="4" s="1"/>
  <c r="B10" i="2"/>
  <c r="B18" i="2"/>
  <c r="B8" i="2"/>
  <c r="B6" i="2"/>
  <c r="B7" i="3" s="1"/>
  <c r="B4" i="2"/>
  <c r="B5" i="2" s="1"/>
  <c r="E12" i="1"/>
  <c r="D12" i="1"/>
  <c r="C5" i="1"/>
  <c r="C12" i="1"/>
  <c r="B12" i="1"/>
  <c r="B3" i="6" s="1"/>
  <c r="F12" i="5"/>
  <c r="B9" i="2" l="1"/>
  <c r="B7" i="4" s="1"/>
  <c r="G7" i="4"/>
  <c r="I7" i="4"/>
  <c r="J7" i="4"/>
  <c r="H7" i="4"/>
  <c r="D9" i="2"/>
  <c r="D7" i="4" s="1"/>
  <c r="C7" i="3"/>
  <c r="G8" i="2"/>
  <c r="G9" i="2" s="1"/>
  <c r="G12" i="2" s="1"/>
  <c r="G4" i="4" s="1"/>
  <c r="G5" i="4" s="1"/>
  <c r="H8" i="2"/>
  <c r="H9" i="2" s="1"/>
  <c r="H12" i="2" s="1"/>
  <c r="H4" i="4" s="1"/>
  <c r="H5" i="4" s="1"/>
  <c r="I8" i="2"/>
  <c r="I9" i="2" s="1"/>
  <c r="I12" i="2" s="1"/>
  <c r="I4" i="4" s="1"/>
  <c r="I5" i="4" s="1"/>
  <c r="J8" i="2"/>
  <c r="J9" i="2" s="1"/>
  <c r="J12" i="2" s="1"/>
  <c r="J4" i="4" s="1"/>
  <c r="J5" i="4" s="1"/>
  <c r="M8" i="5"/>
  <c r="B15" i="8" s="1"/>
  <c r="C15" i="8" s="1"/>
  <c r="B6" i="6"/>
  <c r="C12" i="2"/>
  <c r="D12" i="2"/>
  <c r="E12" i="2"/>
  <c r="B12" i="2"/>
  <c r="D4" i="3"/>
  <c r="F51" i="5"/>
  <c r="F52" i="5" s="1"/>
  <c r="F54" i="5" s="1"/>
  <c r="J51" i="5"/>
  <c r="J52" i="5" s="1"/>
  <c r="J54" i="5" s="1"/>
  <c r="D51" i="5"/>
  <c r="E51" i="5"/>
  <c r="E52" i="5" s="1"/>
  <c r="E54" i="5" s="1"/>
  <c r="G51" i="5"/>
  <c r="G52" i="5" s="1"/>
  <c r="G54" i="5" s="1"/>
  <c r="K51" i="5"/>
  <c r="K52" i="5" s="1"/>
  <c r="K54" i="5" s="1"/>
  <c r="M51" i="5"/>
  <c r="M52" i="5" s="1"/>
  <c r="M54" i="5" s="1"/>
  <c r="H51" i="5"/>
  <c r="H52" i="5" s="1"/>
  <c r="H54" i="5" s="1"/>
  <c r="L51" i="5"/>
  <c r="L52" i="5" s="1"/>
  <c r="L54" i="5" s="1"/>
  <c r="I51" i="5"/>
  <c r="I52" i="5" s="1"/>
  <c r="I54" i="5" s="1"/>
  <c r="C4" i="3"/>
  <c r="C6" i="3"/>
  <c r="I146" i="5"/>
  <c r="E12" i="6" s="1"/>
  <c r="E13" i="6" s="1"/>
  <c r="K66" i="8"/>
  <c r="I147" i="5"/>
  <c r="E11" i="6" s="1"/>
  <c r="D3" i="10"/>
  <c r="D3" i="6"/>
  <c r="B4" i="3"/>
  <c r="E12" i="5"/>
  <c r="G12" i="5"/>
  <c r="I12" i="5"/>
  <c r="C3" i="10"/>
  <c r="C3" i="6"/>
  <c r="K49" i="8"/>
  <c r="I107" i="5"/>
  <c r="D12" i="6" s="1"/>
  <c r="I108" i="5"/>
  <c r="D11" i="6" s="1"/>
  <c r="E3" i="10"/>
  <c r="E3" i="6"/>
  <c r="E4" i="3"/>
  <c r="C6" i="8"/>
  <c r="M12" i="5"/>
  <c r="H50" i="8"/>
  <c r="I49" i="8"/>
  <c r="I50" i="8" s="1"/>
  <c r="I51" i="8" s="1"/>
  <c r="D5" i="9" s="1"/>
  <c r="E26" i="5"/>
  <c r="E27" i="5" s="1"/>
  <c r="B6" i="10" s="1"/>
  <c r="B25" i="5"/>
  <c r="E23" i="5" s="1"/>
  <c r="E24" i="5" s="1"/>
  <c r="D10" i="5"/>
  <c r="D13" i="5" s="1"/>
  <c r="D15" i="5" s="1"/>
  <c r="D34" i="5"/>
  <c r="K8" i="5"/>
  <c r="B13" i="8" s="1"/>
  <c r="C13" i="8" s="1"/>
  <c r="G8" i="5"/>
  <c r="B9" i="8" s="1"/>
  <c r="C9" i="8" s="1"/>
  <c r="J8" i="5"/>
  <c r="B12" i="8" s="1"/>
  <c r="C12" i="8" s="1"/>
  <c r="F8" i="5"/>
  <c r="B8" i="8" s="1"/>
  <c r="C8" i="8" s="1"/>
  <c r="I8" i="5"/>
  <c r="B11" i="8" s="1"/>
  <c r="C11" i="8" s="1"/>
  <c r="E8" i="5"/>
  <c r="B7" i="8" s="1"/>
  <c r="C7" i="8" s="1"/>
  <c r="L8" i="5"/>
  <c r="B14" i="8" s="1"/>
  <c r="C14" i="8" s="1"/>
  <c r="H8" i="5"/>
  <c r="B10" i="8" s="1"/>
  <c r="C10" i="8" s="1"/>
  <c r="G28" i="12" l="1"/>
  <c r="E7" i="6"/>
  <c r="C16" i="8"/>
  <c r="C17" i="8" s="1"/>
  <c r="E28" i="5"/>
  <c r="E29" i="5" s="1"/>
  <c r="B7" i="10" s="1"/>
  <c r="D13" i="6"/>
  <c r="L66" i="8"/>
  <c r="L67" i="8" s="1"/>
  <c r="L68" i="8" s="1"/>
  <c r="K67" i="8"/>
  <c r="I55" i="5"/>
  <c r="I58" i="5" s="1"/>
  <c r="K28" i="8" s="1"/>
  <c r="L28" i="8" s="1"/>
  <c r="E28" i="8"/>
  <c r="F28" i="8" s="1"/>
  <c r="K55" i="5"/>
  <c r="K58" i="5" s="1"/>
  <c r="K30" i="8" s="1"/>
  <c r="L30" i="8" s="1"/>
  <c r="E30" i="8"/>
  <c r="F30" i="8" s="1"/>
  <c r="J55" i="5"/>
  <c r="J58" i="5" s="1"/>
  <c r="K29" i="8" s="1"/>
  <c r="L29" i="8" s="1"/>
  <c r="E29" i="8"/>
  <c r="F29" i="8" s="1"/>
  <c r="L55" i="5"/>
  <c r="L58" i="5" s="1"/>
  <c r="K31" i="8" s="1"/>
  <c r="L31" i="8" s="1"/>
  <c r="E31" i="8"/>
  <c r="F31" i="8" s="1"/>
  <c r="G55" i="5"/>
  <c r="E26" i="8"/>
  <c r="F26" i="8" s="1"/>
  <c r="F55" i="5"/>
  <c r="F58" i="5" s="1"/>
  <c r="K25" i="8" s="1"/>
  <c r="L25" i="8" s="1"/>
  <c r="E25" i="8"/>
  <c r="F25" i="8" s="1"/>
  <c r="D7" i="6"/>
  <c r="D4" i="4"/>
  <c r="D5" i="4" s="1"/>
  <c r="B16" i="8"/>
  <c r="H55" i="5"/>
  <c r="H58" i="5" s="1"/>
  <c r="K27" i="8" s="1"/>
  <c r="L27" i="8" s="1"/>
  <c r="E27" i="8"/>
  <c r="F27" i="8" s="1"/>
  <c r="E55" i="5"/>
  <c r="E58" i="5" s="1"/>
  <c r="K24" i="8" s="1"/>
  <c r="L24" i="8" s="1"/>
  <c r="E24" i="8"/>
  <c r="F24" i="8" s="1"/>
  <c r="E4" i="4"/>
  <c r="E5" i="4" s="1"/>
  <c r="L49" i="8"/>
  <c r="L50" i="8" s="1"/>
  <c r="L51" i="8" s="1"/>
  <c r="K50" i="8"/>
  <c r="D16" i="5"/>
  <c r="D19" i="5" s="1"/>
  <c r="E6" i="8"/>
  <c r="M55" i="5"/>
  <c r="E32" i="8"/>
  <c r="F32" i="8" s="1"/>
  <c r="B63" i="5"/>
  <c r="D52" i="5"/>
  <c r="D54" i="5" s="1"/>
  <c r="B7" i="6"/>
  <c r="B4" i="4"/>
  <c r="B5" i="4" s="1"/>
  <c r="C7" i="6"/>
  <c r="C4" i="4"/>
  <c r="C5" i="4" s="1"/>
  <c r="E30" i="5"/>
  <c r="E37" i="5"/>
  <c r="E39" i="5" s="1"/>
  <c r="D55" i="5" l="1"/>
  <c r="D58" i="5" s="1"/>
  <c r="E23" i="8"/>
  <c r="F6" i="8"/>
  <c r="G58" i="5"/>
  <c r="K26" i="8"/>
  <c r="L26" i="8" s="1"/>
  <c r="E65" i="5"/>
  <c r="E66" i="5" s="1"/>
  <c r="C6" i="10" s="1"/>
  <c r="B64" i="5"/>
  <c r="E62" i="5" s="1"/>
  <c r="E63" i="5" s="1"/>
  <c r="E67" i="5" s="1"/>
  <c r="E68" i="5" s="1"/>
  <c r="K6" i="8"/>
  <c r="E10" i="5"/>
  <c r="E13" i="5" s="1"/>
  <c r="E15" i="5" s="1"/>
  <c r="E34" i="5"/>
  <c r="E69" i="5" l="1"/>
  <c r="I62" i="5" s="1"/>
  <c r="I64" i="5" s="1"/>
  <c r="C7" i="10"/>
  <c r="L6" i="8"/>
  <c r="F23" i="8"/>
  <c r="F33" i="8" s="1"/>
  <c r="F34" i="8" s="1"/>
  <c r="C4" i="9" s="1"/>
  <c r="E33" i="8"/>
  <c r="E16" i="5"/>
  <c r="E19" i="5" s="1"/>
  <c r="E7" i="8"/>
  <c r="K23" i="8"/>
  <c r="F37" i="5"/>
  <c r="F39" i="5" s="1"/>
  <c r="F10" i="5" l="1"/>
  <c r="F13" i="5" s="1"/>
  <c r="F15" i="5" s="1"/>
  <c r="F7" i="8"/>
  <c r="K7" i="8"/>
  <c r="F34" i="5"/>
  <c r="G37" i="5" s="1"/>
  <c r="G39" i="5" s="1"/>
  <c r="G10" i="5" s="1"/>
  <c r="G13" i="5" s="1"/>
  <c r="G15" i="5" s="1"/>
  <c r="L23" i="8"/>
  <c r="M57" i="5"/>
  <c r="C8" i="10"/>
  <c r="G34" i="5" l="1"/>
  <c r="H37" i="5" s="1"/>
  <c r="H39" i="5" s="1"/>
  <c r="L7" i="8"/>
  <c r="M58" i="5"/>
  <c r="H32" i="8"/>
  <c r="G16" i="5"/>
  <c r="G19" i="5" s="1"/>
  <c r="K9" i="8" s="1"/>
  <c r="L9" i="8" s="1"/>
  <c r="E9" i="8"/>
  <c r="F9" i="8" s="1"/>
  <c r="F16" i="5"/>
  <c r="F19" i="5" s="1"/>
  <c r="E8" i="8"/>
  <c r="H34" i="5"/>
  <c r="H10" i="5"/>
  <c r="H13" i="5" s="1"/>
  <c r="H15" i="5" s="1"/>
  <c r="F8" i="8" l="1"/>
  <c r="K8" i="8"/>
  <c r="I32" i="8"/>
  <c r="I33" i="8" s="1"/>
  <c r="I34" i="8" s="1"/>
  <c r="C5" i="9" s="1"/>
  <c r="H33" i="8"/>
  <c r="H16" i="5"/>
  <c r="H19" i="5" s="1"/>
  <c r="K10" i="8" s="1"/>
  <c r="L10" i="8" s="1"/>
  <c r="E10" i="8"/>
  <c r="F10" i="8" s="1"/>
  <c r="K32" i="8"/>
  <c r="I69" i="5"/>
  <c r="C11" i="6" s="1"/>
  <c r="I68" i="5"/>
  <c r="C12" i="6" s="1"/>
  <c r="C13" i="6" s="1"/>
  <c r="I37" i="5"/>
  <c r="I39" i="5" s="1"/>
  <c r="I10" i="5" s="1"/>
  <c r="I13" i="5" s="1"/>
  <c r="I15" i="5" s="1"/>
  <c r="L8" i="8" l="1"/>
  <c r="I34" i="5"/>
  <c r="J37" i="5" s="1"/>
  <c r="J39" i="5" s="1"/>
  <c r="L32" i="8"/>
  <c r="L33" i="8" s="1"/>
  <c r="L34" i="8" s="1"/>
  <c r="K33" i="8"/>
  <c r="I16" i="5"/>
  <c r="I19" i="5" s="1"/>
  <c r="K11" i="8" s="1"/>
  <c r="L11" i="8" s="1"/>
  <c r="E11" i="8"/>
  <c r="F11" i="8" s="1"/>
  <c r="J10" i="5"/>
  <c r="J13" i="5" s="1"/>
  <c r="J15" i="5" s="1"/>
  <c r="J34" i="5" l="1"/>
  <c r="K37" i="5" s="1"/>
  <c r="K39" i="5" s="1"/>
  <c r="K10" i="5" s="1"/>
  <c r="K13" i="5" s="1"/>
  <c r="K15" i="5" s="1"/>
  <c r="J16" i="5"/>
  <c r="J19" i="5" s="1"/>
  <c r="K12" i="8" s="1"/>
  <c r="L12" i="8" s="1"/>
  <c r="E12" i="8"/>
  <c r="F12" i="8" s="1"/>
  <c r="K16" i="5" l="1"/>
  <c r="K19" i="5" s="1"/>
  <c r="K13" i="8" s="1"/>
  <c r="L13" i="8" s="1"/>
  <c r="E13" i="8"/>
  <c r="F13" i="8" s="1"/>
  <c r="K34" i="5"/>
  <c r="L37" i="5" s="1"/>
  <c r="L39" i="5" s="1"/>
  <c r="L10" i="5" s="1"/>
  <c r="L13" i="5" s="1"/>
  <c r="L15" i="5" s="1"/>
  <c r="L16" i="5" l="1"/>
  <c r="L19" i="5" s="1"/>
  <c r="K14" i="8" s="1"/>
  <c r="E14" i="8"/>
  <c r="F14" i="8" s="1"/>
  <c r="L34" i="5"/>
  <c r="M37" i="5" s="1"/>
  <c r="M39" i="5" s="1"/>
  <c r="B4" i="10" s="1"/>
  <c r="M34" i="5" l="1"/>
  <c r="M10" i="5"/>
  <c r="M13" i="5" s="1"/>
  <c r="M15" i="5" s="1"/>
  <c r="L14" i="8"/>
  <c r="M16" i="5" l="1"/>
  <c r="E15" i="8"/>
  <c r="B8" i="10"/>
  <c r="M18" i="5"/>
  <c r="H15" i="8" s="1"/>
  <c r="M19" i="5" l="1"/>
  <c r="H16" i="8"/>
  <c r="I15" i="8"/>
  <c r="I16" i="8" s="1"/>
  <c r="I17" i="8" s="1"/>
  <c r="K15" i="8"/>
  <c r="F15" i="8"/>
  <c r="F16" i="8" s="1"/>
  <c r="F17" i="8" s="1"/>
  <c r="E16" i="8"/>
  <c r="I30" i="5" l="1"/>
  <c r="B11" i="6" s="1"/>
  <c r="I29" i="5"/>
  <c r="B12" i="6" s="1"/>
  <c r="B13" i="6" s="1"/>
  <c r="L15" i="8"/>
  <c r="L16" i="8" s="1"/>
  <c r="L17" i="8" s="1"/>
  <c r="K16" i="8"/>
</calcChain>
</file>

<file path=xl/sharedStrings.xml><?xml version="1.0" encoding="utf-8"?>
<sst xmlns="http://schemas.openxmlformats.org/spreadsheetml/2006/main" count="420" uniqueCount="168">
  <si>
    <t>Exhibit 1</t>
  </si>
  <si>
    <t>Gross Purchase Price</t>
  </si>
  <si>
    <t>Depreciable Base</t>
  </si>
  <si>
    <t>Depreciable Life (Capital Recovery Period)</t>
  </si>
  <si>
    <t xml:space="preserve">Estimated Sales Price </t>
  </si>
  <si>
    <t>Expected Year of Sale</t>
  </si>
  <si>
    <t xml:space="preserve">Cash Flow from Operations </t>
  </si>
  <si>
    <t>Annual Increase in CFO</t>
  </si>
  <si>
    <t xml:space="preserve">Leasehold Payments </t>
  </si>
  <si>
    <t xml:space="preserve">Equity Investment </t>
  </si>
  <si>
    <t>Amount of 1st Mortgage</t>
  </si>
  <si>
    <t>Interest Rate</t>
  </si>
  <si>
    <t>Term</t>
  </si>
  <si>
    <t>Amortization Period</t>
  </si>
  <si>
    <t xml:space="preserve">Constant Loan Payments </t>
  </si>
  <si>
    <t>Alison Green</t>
  </si>
  <si>
    <t>900 Stony Walk</t>
  </si>
  <si>
    <t>Ivy Terrace</t>
  </si>
  <si>
    <t xml:space="preserve">The Fowler Building </t>
  </si>
  <si>
    <t>10 years</t>
  </si>
  <si>
    <t>30 years</t>
  </si>
  <si>
    <t>20 years</t>
  </si>
  <si>
    <t xml:space="preserve">10 years </t>
  </si>
  <si>
    <t>25 years</t>
  </si>
  <si>
    <t xml:space="preserve">Gross Rents </t>
  </si>
  <si>
    <t xml:space="preserve"> - Vacancies </t>
  </si>
  <si>
    <t xml:space="preserve">Effective Gross Income </t>
  </si>
  <si>
    <t xml:space="preserve"> - Real Estate Taxes</t>
  </si>
  <si>
    <t xml:space="preserve"> - Other Operating Expenses</t>
  </si>
  <si>
    <t xml:space="preserve"> - Capital Reserves</t>
  </si>
  <si>
    <t>Cash Flow From Operations</t>
  </si>
  <si>
    <t xml:space="preserve"> - Finance Payments </t>
  </si>
  <si>
    <t xml:space="preserve"> - Lease Payments </t>
  </si>
  <si>
    <t xml:space="preserve">BEFORE TAX CASH FLOW </t>
  </si>
  <si>
    <t xml:space="preserve">Alison Green </t>
  </si>
  <si>
    <t xml:space="preserve">Exhibit 2: First-Year Project Setups </t>
  </si>
  <si>
    <t>i/y</t>
  </si>
  <si>
    <t>n</t>
  </si>
  <si>
    <t>pv</t>
  </si>
  <si>
    <t>pmt</t>
  </si>
  <si>
    <t xml:space="preserve">Exhibit 3: Purchase and Operating Comparables </t>
  </si>
  <si>
    <t>Price/Unit or Price/Rentable Square Foot</t>
  </si>
  <si>
    <t>Real Estate Taxes/Gross Revenue</t>
  </si>
  <si>
    <t>Other Operating Expenses/Rentable Square Foot</t>
  </si>
  <si>
    <t>Other Operating Expenses/Gross Revenue</t>
  </si>
  <si>
    <t xml:space="preserve">Average Monthly Rents for the Apartments or Yearly Dollars per Rentable Sq. of Office Space </t>
  </si>
  <si>
    <t xml:space="preserve">Actual or Projected Occupancy </t>
  </si>
  <si>
    <t>Exhibit 4: Break-Even Analysis</t>
  </si>
  <si>
    <t>Current or Projected Occupancy</t>
  </si>
  <si>
    <t>Added Margin</t>
  </si>
  <si>
    <t>Break-even Occupancy</t>
  </si>
  <si>
    <t>Loan to Value</t>
  </si>
  <si>
    <t>Debt Coverage Ratio</t>
  </si>
  <si>
    <t>Exhbit 5: Alison Green Projected Cash Flow</t>
  </si>
  <si>
    <t>ALISON GREEN</t>
  </si>
  <si>
    <t>Projected Cash Flow</t>
  </si>
  <si>
    <t>Assumptions</t>
  </si>
  <si>
    <t>Cash Flow from Operations</t>
  </si>
  <si>
    <t>3% growth</t>
  </si>
  <si>
    <t xml:space="preserve"> - Financing </t>
  </si>
  <si>
    <t>BEFORE TAX CASH FLOW</t>
  </si>
  <si>
    <t xml:space="preserve"> + Amortization</t>
  </si>
  <si>
    <t>mortgage</t>
  </si>
  <si>
    <t xml:space="preserve"> + Reserve</t>
  </si>
  <si>
    <t xml:space="preserve"> - Depreciation</t>
  </si>
  <si>
    <t xml:space="preserve">Taxable Income </t>
  </si>
  <si>
    <t xml:space="preserve"> - Tax Payable @35%</t>
  </si>
  <si>
    <t>AFTER TAX CASH FLOW</t>
  </si>
  <si>
    <t xml:space="preserve"> - Equity In</t>
  </si>
  <si>
    <t xml:space="preserve"> + Net Cash from Sale</t>
  </si>
  <si>
    <t>TOTAL RETURN</t>
  </si>
  <si>
    <t>Purchase Price</t>
  </si>
  <si>
    <t xml:space="preserve"> + Capital Exp.</t>
  </si>
  <si>
    <t>Net Book Value</t>
  </si>
  <si>
    <t>Land Value</t>
  </si>
  <si>
    <t>SALES PRICE</t>
  </si>
  <si>
    <t>NET BOOK VALUE</t>
  </si>
  <si>
    <t>GAIN ON SALE</t>
  </si>
  <si>
    <t>Depreciation taken</t>
  </si>
  <si>
    <t>Taxes at 25%</t>
  </si>
  <si>
    <t>Remaining Gain</t>
  </si>
  <si>
    <t>Taxes at 15%</t>
  </si>
  <si>
    <t>Total Taxes</t>
  </si>
  <si>
    <t xml:space="preserve"> - Income Tax</t>
  </si>
  <si>
    <t xml:space="preserve"> - Mortage Balance</t>
  </si>
  <si>
    <t>Net Cash From Sale</t>
  </si>
  <si>
    <t>NET PRESENT VALUE AT 12%</t>
  </si>
  <si>
    <t xml:space="preserve">INTERNAL RATE OF RETURN </t>
  </si>
  <si>
    <t>Amortization Schedule</t>
  </si>
  <si>
    <t>Ending Balance</t>
  </si>
  <si>
    <t xml:space="preserve">Finance Charge </t>
  </si>
  <si>
    <t>Interest Charge</t>
  </si>
  <si>
    <t>Amortization</t>
  </si>
  <si>
    <t>6.0% Interest</t>
  </si>
  <si>
    <t>rate</t>
  </si>
  <si>
    <t>amortization</t>
  </si>
  <si>
    <t>27.5 years</t>
  </si>
  <si>
    <t>tax rate</t>
  </si>
  <si>
    <t>900 STONY WALK</t>
  </si>
  <si>
    <t>6.5% Interest</t>
  </si>
  <si>
    <t>39 years</t>
  </si>
  <si>
    <t>IVY TERRACE</t>
  </si>
  <si>
    <t>THE FOWLER BUILDING</t>
  </si>
  <si>
    <t>7.5% Interest</t>
  </si>
  <si>
    <t>4% growth</t>
  </si>
  <si>
    <t>Exhibit 6: Financial Analysis</t>
  </si>
  <si>
    <t>Equity Required</t>
  </si>
  <si>
    <t>Simple Return Measures</t>
  </si>
  <si>
    <t>Capitalization Rate - Purchase</t>
  </si>
  <si>
    <t>Capitalization Rate - Sale</t>
  </si>
  <si>
    <t>Cash-on-Cash Return (year 1)</t>
  </si>
  <si>
    <t>Increase in Capital Value</t>
  </si>
  <si>
    <t>Discounted Return Measures</t>
  </si>
  <si>
    <t>Internal Rate of Return</t>
  </si>
  <si>
    <t>Net Present Value @ 12%</t>
  </si>
  <si>
    <t>Profitability Index (NPV/Initial Equity)</t>
  </si>
  <si>
    <t>Exhibit 7: Investment Ranking</t>
  </si>
  <si>
    <t>Cash-on-Cash Return</t>
  </si>
  <si>
    <t xml:space="preserve">Discounted Return Measures </t>
  </si>
  <si>
    <t>Net Present Value</t>
  </si>
  <si>
    <t xml:space="preserve">Profitability Index </t>
  </si>
  <si>
    <t xml:space="preserve">Exhibit 8: Breakdown of 14.93% Internal Rate of Return </t>
  </si>
  <si>
    <t>Year</t>
  </si>
  <si>
    <t>Actual</t>
  </si>
  <si>
    <t xml:space="preserve">Discounted </t>
  </si>
  <si>
    <t>Discounted</t>
  </si>
  <si>
    <t xml:space="preserve">Actual </t>
  </si>
  <si>
    <t>Cash Flow Before Tax</t>
  </si>
  <si>
    <t>Income Tax</t>
  </si>
  <si>
    <t>Futures</t>
  </si>
  <si>
    <t>Total</t>
  </si>
  <si>
    <t>IRR: 14.93%</t>
  </si>
  <si>
    <t xml:space="preserve">Percent </t>
  </si>
  <si>
    <t>IRR: 14.54%</t>
  </si>
  <si>
    <t>IRR: 15.13%</t>
  </si>
  <si>
    <t>The Fowler Building</t>
  </si>
  <si>
    <t>IRR: 15.38%</t>
  </si>
  <si>
    <t>Exhibit 9: Percent of Total Benefits (at Internal Rate of Return)</t>
  </si>
  <si>
    <t>Before Tax Cash Flow</t>
  </si>
  <si>
    <t xml:space="preserve">Tax Benefits </t>
  </si>
  <si>
    <t>Future Value</t>
  </si>
  <si>
    <t>Exhibit 10: Breakdown of Futures</t>
  </si>
  <si>
    <t>Return on Initial Cash</t>
  </si>
  <si>
    <t>Recapture Mtg. Amortization</t>
  </si>
  <si>
    <t>Increase in Sales Price</t>
  </si>
  <si>
    <t>25% Tax on Depreciation</t>
  </si>
  <si>
    <t>Capital Gains Tax on Increased Sales Price</t>
  </si>
  <si>
    <t>Net Cash From Sale (Total)</t>
  </si>
  <si>
    <t>yr 10 CFO/sales price</t>
  </si>
  <si>
    <t>CAP RATE</t>
  </si>
  <si>
    <t>NPV</t>
  </si>
  <si>
    <t>IRR</t>
  </si>
  <si>
    <t>Rent / s.f.</t>
  </si>
  <si>
    <t>divisor for sales price</t>
  </si>
  <si>
    <t>Cap Rate</t>
  </si>
  <si>
    <t>Cash-on-Cash</t>
  </si>
  <si>
    <t>Profitability</t>
  </si>
  <si>
    <t>Futures Sales Price</t>
  </si>
  <si>
    <t xml:space="preserve"># units (or) rentable s.f. </t>
  </si>
  <si>
    <t xml:space="preserve">Finance Payments: </t>
  </si>
  <si>
    <t>Tax and Operating Expense / unit (or) s.f.</t>
  </si>
  <si>
    <t>B</t>
  </si>
  <si>
    <t>First Year Project Startup Cost</t>
  </si>
  <si>
    <t>=current rent / .95</t>
  </si>
  <si>
    <t>=current rent / .9</t>
  </si>
  <si>
    <t>=current rent / .85</t>
  </si>
  <si>
    <t>=current rent / .8</t>
  </si>
  <si>
    <t>Breakeven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</si>
</sst>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$&quot;* #,##0.00_-;\-&quot;$&quot;* #,##0.00_-;_-&quot;$&quot;* &quot;-&quot;??_-;_-@_-"/>
    <numFmt numFmtId="164" formatCode="&quot;$&quot;#,##0_);[Red]\(&quot;$&quot;#,##0\)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* #,##0.00_);_(* \(#,##0.00\);_(* &quot;-&quot;??_);_(@_)"/>
    <numFmt numFmtId="169" formatCode="0.0%"/>
    <numFmt numFmtId="170" formatCode="_(&quot;$&quot;* #,##0.0000_);_(&quot;$&quot;* \(#,##0.0000\);_(&quot;$&quot;* &quot;-&quot;??_);_(@_)"/>
    <numFmt numFmtId="171" formatCode="_(&quot;$&quot;* #,##0_);_(&quot;$&quot;* \(#,##0\);_(&quot;$&quot;* &quot;-&quot;??_);_(@_)"/>
    <numFmt numFmtId="172" formatCode="_(* #,##0_);_(* \(#,##0\);_(* &quot;-&quot;??_);_(@_)"/>
    <numFmt numFmtId="173" formatCode="_-&quot;$&quot;* #,##0_-;\-&quot;$&quot;* #,##0_-;_-&quot;$&quot;* &quot;-&quot;??_-;_-@_-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EE79A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7">
    <xf numFmtId="0" fontId="0" fillId="0" borderId="0" xfId="0"/>
    <xf numFmtId="10" fontId="0" fillId="0" borderId="0" xfId="2" applyNumberFormat="1" applyFont="1"/>
    <xf numFmtId="0" fontId="0" fillId="6" borderId="0" xfId="0" applyFill="1"/>
    <xf numFmtId="0" fontId="0" fillId="6" borderId="0" xfId="0" applyFill="1" applyAlignment="1">
      <alignment wrapText="1"/>
    </xf>
    <xf numFmtId="44" fontId="0" fillId="0" borderId="0" xfId="0" applyNumberFormat="1"/>
    <xf numFmtId="9" fontId="0" fillId="0" borderId="0" xfId="2" applyFont="1"/>
    <xf numFmtId="0" fontId="3" fillId="0" borderId="0" xfId="0" applyFont="1"/>
    <xf numFmtId="171" fontId="3" fillId="8" borderId="0" xfId="1" applyNumberFormat="1" applyFont="1" applyFill="1"/>
    <xf numFmtId="171" fontId="3" fillId="8" borderId="0" xfId="1" applyNumberFormat="1" applyFont="1" applyFill="1" applyAlignment="1">
      <alignment wrapText="1"/>
    </xf>
    <xf numFmtId="171" fontId="3" fillId="8" borderId="0" xfId="1" applyNumberFormat="1" applyFont="1" applyFill="1" applyBorder="1"/>
    <xf numFmtId="10" fontId="3" fillId="8" borderId="0" xfId="2" applyNumberFormat="1" applyFont="1" applyFill="1"/>
    <xf numFmtId="171" fontId="3" fillId="9" borderId="0" xfId="0" applyNumberFormat="1" applyFont="1" applyFill="1"/>
    <xf numFmtId="167" fontId="3" fillId="9" borderId="0" xfId="0" applyNumberFormat="1" applyFont="1" applyFill="1"/>
    <xf numFmtId="167" fontId="3" fillId="9" borderId="0" xfId="1" applyNumberFormat="1" applyFont="1" applyFill="1"/>
    <xf numFmtId="9" fontId="2" fillId="9" borderId="0" xfId="0" applyNumberFormat="1" applyFont="1" applyFill="1" applyAlignment="1">
      <alignment vertical="center"/>
    </xf>
    <xf numFmtId="9" fontId="2" fillId="9" borderId="0" xfId="2" applyFont="1" applyFill="1" applyAlignment="1">
      <alignment horizontal="center"/>
    </xf>
    <xf numFmtId="9" fontId="2" fillId="9" borderId="0" xfId="0" applyNumberFormat="1" applyFont="1" applyFill="1" applyAlignment="1">
      <alignment horizontal="center" vertical="center" textRotation="45"/>
    </xf>
    <xf numFmtId="0" fontId="4" fillId="9" borderId="0" xfId="0" applyFont="1" applyFill="1" applyAlignment="1">
      <alignment horizontal="center" vertical="center"/>
    </xf>
    <xf numFmtId="9" fontId="2" fillId="9" borderId="0" xfId="0" applyNumberFormat="1" applyFont="1" applyFill="1" applyAlignment="1">
      <alignment horizontal="center"/>
    </xf>
    <xf numFmtId="0" fontId="3" fillId="6" borderId="2" xfId="0" applyFont="1" applyFill="1" applyBorder="1"/>
    <xf numFmtId="0" fontId="5" fillId="6" borderId="0" xfId="0" applyFont="1" applyFill="1"/>
    <xf numFmtId="0" fontId="3" fillId="2" borderId="0" xfId="0" applyFont="1" applyFill="1"/>
    <xf numFmtId="3" fontId="3" fillId="3" borderId="0" xfId="0" applyNumberFormat="1" applyFont="1" applyFill="1"/>
    <xf numFmtId="0" fontId="3" fillId="4" borderId="0" xfId="0" applyFont="1" applyFill="1"/>
    <xf numFmtId="3" fontId="3" fillId="5" borderId="0" xfId="0" applyNumberFormat="1" applyFont="1" applyFill="1"/>
    <xf numFmtId="171" fontId="3" fillId="2" borderId="0" xfId="1" applyNumberFormat="1" applyFont="1" applyFill="1"/>
    <xf numFmtId="171" fontId="3" fillId="3" borderId="0" xfId="1" applyNumberFormat="1" applyFont="1" applyFill="1"/>
    <xf numFmtId="171" fontId="3" fillId="4" borderId="0" xfId="1" applyNumberFormat="1" applyFont="1" applyFill="1"/>
    <xf numFmtId="171" fontId="3" fillId="5" borderId="0" xfId="1" applyNumberFormat="1" applyFont="1" applyFill="1"/>
    <xf numFmtId="171" fontId="3" fillId="3" borderId="0" xfId="0" applyNumberFormat="1" applyFont="1" applyFill="1"/>
    <xf numFmtId="0" fontId="3" fillId="3" borderId="0" xfId="0" applyFont="1" applyFill="1"/>
    <xf numFmtId="0" fontId="3" fillId="5" borderId="0" xfId="0" applyFont="1" applyFill="1"/>
    <xf numFmtId="9" fontId="3" fillId="2" borderId="0" xfId="2" applyFont="1" applyFill="1"/>
    <xf numFmtId="9" fontId="3" fillId="3" borderId="0" xfId="2" applyFont="1" applyFill="1"/>
    <xf numFmtId="9" fontId="3" fillId="4" borderId="0" xfId="2" applyFont="1" applyFill="1"/>
    <xf numFmtId="9" fontId="3" fillId="5" borderId="0" xfId="2" applyFont="1" applyFill="1"/>
    <xf numFmtId="167" fontId="3" fillId="2" borderId="0" xfId="1" applyFont="1" applyFill="1"/>
    <xf numFmtId="167" fontId="3" fillId="3" borderId="0" xfId="1" applyFont="1" applyFill="1"/>
    <xf numFmtId="169" fontId="3" fillId="3" borderId="0" xfId="2" applyNumberFormat="1" applyFont="1" applyFill="1"/>
    <xf numFmtId="169" fontId="3" fillId="5" borderId="0" xfId="2" applyNumberFormat="1" applyFont="1" applyFill="1"/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0" fontId="3" fillId="2" borderId="0" xfId="2" applyNumberFormat="1" applyFont="1" applyFill="1"/>
    <xf numFmtId="10" fontId="3" fillId="3" borderId="0" xfId="2" applyNumberFormat="1" applyFont="1" applyFill="1"/>
    <xf numFmtId="10" fontId="3" fillId="4" borderId="0" xfId="2" applyNumberFormat="1" applyFont="1" applyFill="1"/>
    <xf numFmtId="10" fontId="3" fillId="5" borderId="0" xfId="2" applyNumberFormat="1" applyFont="1" applyFill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6" borderId="0" xfId="0" applyFont="1" applyFill="1"/>
    <xf numFmtId="171" fontId="3" fillId="0" borderId="0" xfId="1" applyNumberFormat="1" applyFont="1" applyFill="1"/>
    <xf numFmtId="173" fontId="3" fillId="0" borderId="0" xfId="0" applyNumberFormat="1" applyFont="1"/>
    <xf numFmtId="0" fontId="5" fillId="6" borderId="1" xfId="0" applyFont="1" applyFill="1" applyBorder="1"/>
    <xf numFmtId="172" fontId="3" fillId="2" borderId="1" xfId="0" applyNumberFormat="1" applyFont="1" applyFill="1" applyBorder="1"/>
    <xf numFmtId="172" fontId="3" fillId="3" borderId="1" xfId="0" applyNumberFormat="1" applyFont="1" applyFill="1" applyBorder="1"/>
    <xf numFmtId="172" fontId="3" fillId="4" borderId="1" xfId="0" applyNumberFormat="1" applyFont="1" applyFill="1" applyBorder="1"/>
    <xf numFmtId="172" fontId="3" fillId="5" borderId="1" xfId="0" applyNumberFormat="1" applyFont="1" applyFill="1" applyBorder="1"/>
    <xf numFmtId="44" fontId="3" fillId="0" borderId="0" xfId="0" applyNumberFormat="1" applyFont="1"/>
    <xf numFmtId="171" fontId="3" fillId="2" borderId="0" xfId="0" applyNumberFormat="1" applyFont="1" applyFill="1"/>
    <xf numFmtId="171" fontId="3" fillId="4" borderId="0" xfId="0" applyNumberFormat="1" applyFont="1" applyFill="1"/>
    <xf numFmtId="171" fontId="3" fillId="5" borderId="0" xfId="0" applyNumberFormat="1" applyFont="1" applyFill="1"/>
    <xf numFmtId="166" fontId="3" fillId="2" borderId="0" xfId="0" applyNumberFormat="1" applyFont="1" applyFill="1"/>
    <xf numFmtId="166" fontId="3" fillId="3" borderId="0" xfId="0" applyNumberFormat="1" applyFont="1" applyFill="1"/>
    <xf numFmtId="166" fontId="3" fillId="4" borderId="0" xfId="0" applyNumberFormat="1" applyFont="1" applyFill="1"/>
    <xf numFmtId="166" fontId="3" fillId="5" borderId="0" xfId="0" applyNumberFormat="1" applyFont="1" applyFill="1"/>
    <xf numFmtId="166" fontId="3" fillId="2" borderId="0" xfId="1" applyNumberFormat="1" applyFont="1" applyFill="1"/>
    <xf numFmtId="166" fontId="3" fillId="3" borderId="0" xfId="1" applyNumberFormat="1" applyFont="1" applyFill="1"/>
    <xf numFmtId="166" fontId="3" fillId="4" borderId="0" xfId="1" applyNumberFormat="1" applyFont="1" applyFill="1"/>
    <xf numFmtId="166" fontId="3" fillId="5" borderId="0" xfId="1" applyNumberFormat="1" applyFont="1" applyFill="1"/>
    <xf numFmtId="166" fontId="3" fillId="2" borderId="0" xfId="2" applyNumberFormat="1" applyFont="1" applyFill="1"/>
    <xf numFmtId="166" fontId="3" fillId="3" borderId="0" xfId="2" applyNumberFormat="1" applyFont="1" applyFill="1"/>
    <xf numFmtId="166" fontId="3" fillId="4" borderId="0" xfId="2" applyNumberFormat="1" applyFont="1" applyFill="1"/>
    <xf numFmtId="166" fontId="3" fillId="5" borderId="0" xfId="2" applyNumberFormat="1" applyFont="1" applyFill="1"/>
    <xf numFmtId="0" fontId="3" fillId="2" borderId="1" xfId="0" applyFont="1" applyFill="1" applyBorder="1"/>
    <xf numFmtId="0" fontId="3" fillId="3" borderId="1" xfId="0" applyFont="1" applyFill="1" applyBorder="1"/>
    <xf numFmtId="166" fontId="3" fillId="4" borderId="1" xfId="1" applyNumberFormat="1" applyFont="1" applyFill="1" applyBorder="1"/>
    <xf numFmtId="166" fontId="3" fillId="5" borderId="1" xfId="1" applyNumberFormat="1" applyFont="1" applyFill="1" applyBorder="1"/>
    <xf numFmtId="171" fontId="5" fillId="2" borderId="0" xfId="0" applyNumberFormat="1" applyFont="1" applyFill="1"/>
    <xf numFmtId="171" fontId="5" fillId="3" borderId="0" xfId="0" applyNumberFormat="1" applyFont="1" applyFill="1"/>
    <xf numFmtId="171" fontId="5" fillId="4" borderId="0" xfId="0" applyNumberFormat="1" applyFont="1" applyFill="1"/>
    <xf numFmtId="171" fontId="5" fillId="5" borderId="0" xfId="0" applyNumberFormat="1" applyFont="1" applyFill="1"/>
    <xf numFmtId="9" fontId="3" fillId="6" borderId="0" xfId="2" applyFont="1" applyFill="1"/>
    <xf numFmtId="169" fontId="3" fillId="6" borderId="0" xfId="2" applyNumberFormat="1" applyFont="1" applyFill="1"/>
    <xf numFmtId="165" fontId="3" fillId="6" borderId="0" xfId="0" applyNumberFormat="1" applyFont="1" applyFill="1"/>
    <xf numFmtId="167" fontId="3" fillId="2" borderId="0" xfId="1" applyNumberFormat="1" applyFont="1" applyFill="1"/>
    <xf numFmtId="167" fontId="3" fillId="4" borderId="0" xfId="1" applyNumberFormat="1" applyFont="1" applyFill="1"/>
    <xf numFmtId="167" fontId="3" fillId="5" borderId="0" xfId="1" applyNumberFormat="1" applyFont="1" applyFill="1"/>
    <xf numFmtId="167" fontId="3" fillId="4" borderId="0" xfId="1" applyFont="1" applyFill="1"/>
    <xf numFmtId="167" fontId="3" fillId="5" borderId="0" xfId="1" applyFont="1" applyFill="1"/>
    <xf numFmtId="0" fontId="5" fillId="6" borderId="0" xfId="0" applyFont="1" applyFill="1" applyAlignment="1">
      <alignment wrapText="1"/>
    </xf>
    <xf numFmtId="0" fontId="3" fillId="0" borderId="0" xfId="0" applyNumberFormat="1" applyFont="1"/>
    <xf numFmtId="0" fontId="5" fillId="0" borderId="0" xfId="0" applyFont="1"/>
    <xf numFmtId="10" fontId="3" fillId="0" borderId="0" xfId="0" applyNumberFormat="1" applyFont="1"/>
    <xf numFmtId="10" fontId="3" fillId="0" borderId="0" xfId="2" applyNumberFormat="1" applyFont="1"/>
    <xf numFmtId="10" fontId="3" fillId="5" borderId="0" xfId="0" applyNumberFormat="1" applyFont="1" applyFill="1"/>
    <xf numFmtId="168" fontId="3" fillId="0" borderId="0" xfId="0" applyNumberFormat="1" applyFont="1"/>
    <xf numFmtId="0" fontId="5" fillId="2" borderId="0" xfId="0" applyFont="1" applyFill="1"/>
    <xf numFmtId="0" fontId="5" fillId="6" borderId="2" xfId="0" applyFont="1" applyFill="1" applyBorder="1"/>
    <xf numFmtId="167" fontId="3" fillId="6" borderId="0" xfId="1" applyFont="1" applyFill="1"/>
    <xf numFmtId="171" fontId="3" fillId="6" borderId="0" xfId="0" applyNumberFormat="1" applyFont="1" applyFill="1"/>
    <xf numFmtId="2" fontId="3" fillId="6" borderId="0" xfId="0" applyNumberFormat="1" applyFont="1" applyFill="1"/>
    <xf numFmtId="0" fontId="3" fillId="6" borderId="1" xfId="0" applyFont="1" applyFill="1" applyBorder="1"/>
    <xf numFmtId="166" fontId="3" fillId="6" borderId="1" xfId="1" applyNumberFormat="1" applyFont="1" applyFill="1" applyBorder="1"/>
    <xf numFmtId="166" fontId="3" fillId="6" borderId="0" xfId="0" applyNumberFormat="1" applyFont="1" applyFill="1"/>
    <xf numFmtId="164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166" fontId="3" fillId="6" borderId="0" xfId="1" applyNumberFormat="1" applyFont="1" applyFill="1"/>
    <xf numFmtId="169" fontId="3" fillId="6" borderId="0" xfId="0" applyNumberFormat="1" applyFont="1" applyFill="1" applyAlignment="1">
      <alignment horizontal="center"/>
    </xf>
    <xf numFmtId="172" fontId="3" fillId="6" borderId="1" xfId="0" applyNumberFormat="1" applyFont="1" applyFill="1" applyBorder="1"/>
    <xf numFmtId="171" fontId="3" fillId="6" borderId="1" xfId="0" applyNumberFormat="1" applyFont="1" applyFill="1" applyBorder="1"/>
    <xf numFmtId="171" fontId="3" fillId="6" borderId="1" xfId="1" applyNumberFormat="1" applyFont="1" applyFill="1" applyBorder="1"/>
    <xf numFmtId="0" fontId="3" fillId="6" borderId="4" xfId="0" applyFont="1" applyFill="1" applyBorder="1"/>
    <xf numFmtId="171" fontId="3" fillId="6" borderId="4" xfId="1" applyNumberFormat="1" applyFont="1" applyFill="1" applyBorder="1"/>
    <xf numFmtId="0" fontId="3" fillId="6" borderId="0" xfId="0" applyFont="1" applyFill="1" applyBorder="1"/>
    <xf numFmtId="171" fontId="3" fillId="6" borderId="0" xfId="1" applyNumberFormat="1" applyFont="1" applyFill="1" applyBorder="1"/>
    <xf numFmtId="171" fontId="3" fillId="6" borderId="3" xfId="0" applyNumberFormat="1" applyFont="1" applyFill="1" applyBorder="1"/>
    <xf numFmtId="171" fontId="3" fillId="6" borderId="0" xfId="0" applyNumberFormat="1" applyFont="1" applyFill="1" applyBorder="1"/>
    <xf numFmtId="171" fontId="3" fillId="6" borderId="3" xfId="1" applyNumberFormat="1" applyFont="1" applyFill="1" applyBorder="1"/>
    <xf numFmtId="9" fontId="3" fillId="6" borderId="0" xfId="2" applyFont="1" applyFill="1" applyBorder="1"/>
    <xf numFmtId="164" fontId="3" fillId="6" borderId="0" xfId="0" applyNumberFormat="1" applyFont="1" applyFill="1" applyBorder="1"/>
    <xf numFmtId="165" fontId="3" fillId="6" borderId="0" xfId="0" applyNumberFormat="1" applyFont="1" applyFill="1" applyBorder="1"/>
    <xf numFmtId="10" fontId="3" fillId="6" borderId="1" xfId="0" applyNumberFormat="1" applyFont="1" applyFill="1" applyBorder="1"/>
    <xf numFmtId="171" fontId="3" fillId="6" borderId="0" xfId="1" applyNumberFormat="1" applyFont="1" applyFill="1"/>
    <xf numFmtId="0" fontId="3" fillId="6" borderId="1" xfId="0" applyFont="1" applyFill="1" applyBorder="1" applyAlignment="1">
      <alignment horizontal="center"/>
    </xf>
    <xf numFmtId="171" fontId="3" fillId="0" borderId="0" xfId="0" applyNumberFormat="1" applyFont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9" borderId="0" xfId="0" applyFont="1" applyFill="1"/>
    <xf numFmtId="0" fontId="6" fillId="0" borderId="0" xfId="0" applyFont="1"/>
    <xf numFmtId="10" fontId="3" fillId="2" borderId="0" xfId="0" applyNumberFormat="1" applyFont="1" applyFill="1"/>
    <xf numFmtId="10" fontId="3" fillId="3" borderId="0" xfId="0" applyNumberFormat="1" applyFont="1" applyFill="1"/>
    <xf numFmtId="10" fontId="3" fillId="4" borderId="0" xfId="0" applyNumberFormat="1" applyFont="1" applyFill="1"/>
    <xf numFmtId="164" fontId="3" fillId="2" borderId="0" xfId="0" applyNumberFormat="1" applyFont="1" applyFill="1"/>
    <xf numFmtId="164" fontId="3" fillId="3" borderId="0" xfId="0" applyNumberFormat="1" applyFont="1" applyFill="1"/>
    <xf numFmtId="164" fontId="3" fillId="4" borderId="0" xfId="0" applyNumberFormat="1" applyFont="1" applyFill="1"/>
    <xf numFmtId="164" fontId="3" fillId="5" borderId="0" xfId="0" applyNumberFormat="1" applyFont="1" applyFill="1"/>
    <xf numFmtId="0" fontId="3" fillId="0" borderId="0" xfId="0" applyFont="1" applyAlignment="1">
      <alignment wrapText="1"/>
    </xf>
    <xf numFmtId="0" fontId="3" fillId="0" borderId="0" xfId="0" applyFont="1" applyFill="1"/>
    <xf numFmtId="0" fontId="5" fillId="0" borderId="0" xfId="0" applyFont="1" applyFill="1"/>
    <xf numFmtId="168" fontId="3" fillId="5" borderId="0" xfId="0" applyNumberFormat="1" applyFont="1" applyFill="1"/>
    <xf numFmtId="168" fontId="3" fillId="4" borderId="0" xfId="0" applyNumberFormat="1" applyFont="1" applyFill="1"/>
    <xf numFmtId="168" fontId="3" fillId="3" borderId="0" xfId="0" applyNumberFormat="1" applyFont="1" applyFill="1"/>
    <xf numFmtId="168" fontId="3" fillId="2" borderId="0" xfId="0" applyNumberFormat="1" applyFont="1" applyFill="1"/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5" fillId="2" borderId="1" xfId="0" applyFont="1" applyFill="1" applyBorder="1" applyAlignment="1"/>
    <xf numFmtId="10" fontId="5" fillId="2" borderId="1" xfId="0" applyNumberFormat="1" applyFont="1" applyFill="1" applyBorder="1" applyAlignment="1"/>
    <xf numFmtId="0" fontId="5" fillId="6" borderId="1" xfId="0" applyFont="1" applyFill="1" applyBorder="1" applyAlignment="1">
      <alignment horizontal="center"/>
    </xf>
    <xf numFmtId="170" fontId="3" fillId="6" borderId="0" xfId="1" applyNumberFormat="1" applyFont="1" applyFill="1"/>
    <xf numFmtId="0" fontId="6" fillId="6" borderId="1" xfId="0" applyFont="1" applyFill="1" applyBorder="1" applyAlignment="1">
      <alignment horizontal="center"/>
    </xf>
    <xf numFmtId="10" fontId="3" fillId="6" borderId="1" xfId="2" applyNumberFormat="1" applyFont="1" applyFill="1" applyBorder="1"/>
    <xf numFmtId="9" fontId="3" fillId="6" borderId="1" xfId="2" applyFont="1" applyFill="1" applyBorder="1"/>
    <xf numFmtId="0" fontId="5" fillId="3" borderId="1" xfId="0" applyFont="1" applyFill="1" applyBorder="1" applyAlignment="1"/>
    <xf numFmtId="10" fontId="5" fillId="3" borderId="1" xfId="0" applyNumberFormat="1" applyFont="1" applyFill="1" applyBorder="1" applyAlignment="1"/>
    <xf numFmtId="0" fontId="5" fillId="4" borderId="1" xfId="0" applyFont="1" applyFill="1" applyBorder="1" applyAlignment="1"/>
    <xf numFmtId="10" fontId="5" fillId="4" borderId="1" xfId="0" applyNumberFormat="1" applyFont="1" applyFill="1" applyBorder="1" applyAlignment="1"/>
    <xf numFmtId="0" fontId="7" fillId="7" borderId="1" xfId="0" applyFont="1" applyFill="1" applyBorder="1"/>
    <xf numFmtId="10" fontId="7" fillId="7" borderId="1" xfId="0" applyNumberFormat="1" applyFont="1" applyFill="1" applyBorder="1"/>
    <xf numFmtId="0" fontId="7" fillId="6" borderId="0" xfId="0" applyFont="1" applyFill="1"/>
    <xf numFmtId="0" fontId="7" fillId="6" borderId="2" xfId="0" applyFont="1" applyFill="1" applyBorder="1" applyAlignment="1">
      <alignment horizontal="center"/>
    </xf>
    <xf numFmtId="0" fontId="7" fillId="6" borderId="1" xfId="0" applyFont="1" applyFill="1" applyBorder="1"/>
    <xf numFmtId="0" fontId="8" fillId="6" borderId="0" xfId="0" applyFont="1" applyFill="1"/>
    <xf numFmtId="171" fontId="8" fillId="6" borderId="0" xfId="0" applyNumberFormat="1" applyFont="1" applyFill="1"/>
    <xf numFmtId="170" fontId="8" fillId="6" borderId="0" xfId="0" applyNumberFormat="1" applyFont="1" applyFill="1"/>
    <xf numFmtId="167" fontId="8" fillId="6" borderId="0" xfId="0" applyNumberFormat="1" applyFont="1" applyFill="1"/>
    <xf numFmtId="0" fontId="8" fillId="6" borderId="0" xfId="0" applyFont="1" applyFill="1" applyAlignment="1">
      <alignment horizontal="center"/>
    </xf>
    <xf numFmtId="171" fontId="8" fillId="6" borderId="1" xfId="0" applyNumberFormat="1" applyFont="1" applyFill="1" applyBorder="1"/>
    <xf numFmtId="0" fontId="8" fillId="6" borderId="1" xfId="0" applyFont="1" applyFill="1" applyBorder="1"/>
    <xf numFmtId="0" fontId="9" fillId="6" borderId="1" xfId="0" applyFont="1" applyFill="1" applyBorder="1" applyAlignment="1">
      <alignment horizontal="center"/>
    </xf>
    <xf numFmtId="10" fontId="8" fillId="6" borderId="1" xfId="0" applyNumberFormat="1" applyFont="1" applyFill="1" applyBorder="1"/>
    <xf numFmtId="10" fontId="8" fillId="6" borderId="1" xfId="2" applyNumberFormat="1" applyFont="1" applyFill="1" applyBorder="1"/>
    <xf numFmtId="9" fontId="8" fillId="6" borderId="1" xfId="0" applyNumberFormat="1" applyFont="1" applyFill="1" applyBorder="1"/>
    <xf numFmtId="0" fontId="3" fillId="6" borderId="0" xfId="0" applyFont="1" applyFill="1" applyAlignment="1">
      <alignment wrapText="1"/>
    </xf>
    <xf numFmtId="0" fontId="5" fillId="8" borderId="5" xfId="0" applyFont="1" applyFill="1" applyBorder="1"/>
    <xf numFmtId="167" fontId="3" fillId="8" borderId="2" xfId="0" applyNumberFormat="1" applyFont="1" applyFill="1" applyBorder="1"/>
    <xf numFmtId="167" fontId="3" fillId="8" borderId="6" xfId="0" applyNumberFormat="1" applyFont="1" applyFill="1" applyBorder="1"/>
    <xf numFmtId="0" fontId="5" fillId="8" borderId="7" xfId="0" applyFont="1" applyFill="1" applyBorder="1"/>
    <xf numFmtId="171" fontId="3" fillId="8" borderId="4" xfId="1" applyNumberFormat="1" applyFont="1" applyFill="1" applyBorder="1"/>
    <xf numFmtId="171" fontId="3" fillId="8" borderId="8" xfId="1" applyNumberFormat="1" applyFont="1" applyFill="1" applyBorder="1"/>
    <xf numFmtId="0" fontId="5" fillId="8" borderId="9" xfId="0" applyFont="1" applyFill="1" applyBorder="1"/>
    <xf numFmtId="171" fontId="3" fillId="8" borderId="1" xfId="1" applyNumberFormat="1" applyFont="1" applyFill="1" applyBorder="1"/>
    <xf numFmtId="171" fontId="3" fillId="8" borderId="10" xfId="1" applyNumberFormat="1" applyFont="1" applyFill="1" applyBorder="1"/>
    <xf numFmtId="0" fontId="5" fillId="8" borderId="11" xfId="0" applyFont="1" applyFill="1" applyBorder="1"/>
    <xf numFmtId="171" fontId="3" fillId="8" borderId="12" xfId="1" applyNumberFormat="1" applyFont="1" applyFill="1" applyBorder="1"/>
    <xf numFmtId="171" fontId="3" fillId="8" borderId="2" xfId="1" applyNumberFormat="1" applyFont="1" applyFill="1" applyBorder="1"/>
    <xf numFmtId="171" fontId="3" fillId="8" borderId="6" xfId="1" applyNumberFormat="1" applyFont="1" applyFill="1" applyBorder="1"/>
    <xf numFmtId="0" fontId="3" fillId="0" borderId="0" xfId="0" quotePrefix="1" applyFont="1"/>
    <xf numFmtId="0" fontId="3" fillId="0" borderId="0" xfId="0" applyFont="1" applyFill="1" applyAlignment="1"/>
    <xf numFmtId="0" fontId="5" fillId="0" borderId="7" xfId="0" applyFont="1" applyBorder="1"/>
    <xf numFmtId="10" fontId="3" fillId="0" borderId="4" xfId="0" applyNumberFormat="1" applyFont="1" applyBorder="1"/>
    <xf numFmtId="10" fontId="3" fillId="0" borderId="8" xfId="0" applyNumberFormat="1" applyFont="1" applyBorder="1"/>
    <xf numFmtId="0" fontId="5" fillId="0" borderId="11" xfId="0" applyFont="1" applyBorder="1"/>
    <xf numFmtId="10" fontId="3" fillId="0" borderId="0" xfId="2" applyNumberFormat="1" applyFont="1" applyBorder="1"/>
    <xf numFmtId="10" fontId="3" fillId="0" borderId="12" xfId="2" applyNumberFormat="1" applyFont="1" applyBorder="1"/>
    <xf numFmtId="10" fontId="3" fillId="0" borderId="0" xfId="0" applyNumberFormat="1" applyFont="1" applyBorder="1"/>
    <xf numFmtId="10" fontId="3" fillId="0" borderId="12" xfId="0" applyNumberFormat="1" applyFont="1" applyBorder="1"/>
    <xf numFmtId="0" fontId="5" fillId="0" borderId="9" xfId="0" applyFont="1" applyFill="1" applyBorder="1"/>
    <xf numFmtId="168" fontId="3" fillId="0" borderId="1" xfId="0" applyNumberFormat="1" applyFont="1" applyBorder="1"/>
    <xf numFmtId="168" fontId="3" fillId="0" borderId="10" xfId="0" applyNumberFormat="1" applyFont="1" applyBorder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EE7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5D2CF-6839-CB48-B88C-CBEB933AD1DD}">
  <dimension ref="A1:J26"/>
  <sheetViews>
    <sheetView zoomScale="160" zoomScaleNormal="160" workbookViewId="0">
      <selection activeCell="A2" sqref="A2:E17"/>
    </sheetView>
  </sheetViews>
  <sheetFormatPr baseColWidth="10" defaultRowHeight="16" x14ac:dyDescent="0.2"/>
  <cols>
    <col min="1" max="1" width="38.33203125" bestFit="1" customWidth="1"/>
    <col min="2" max="2" width="17" bestFit="1" customWidth="1"/>
    <col min="3" max="4" width="15.83203125" bestFit="1" customWidth="1"/>
    <col min="5" max="5" width="19.6640625" bestFit="1" customWidth="1"/>
  </cols>
  <sheetData>
    <row r="1" spans="1:10" ht="17" thickBot="1" x14ac:dyDescent="0.25">
      <c r="A1" s="2" t="s">
        <v>0</v>
      </c>
      <c r="B1" s="2"/>
      <c r="C1" s="2"/>
      <c r="D1" s="2"/>
      <c r="E1" s="2"/>
    </row>
    <row r="2" spans="1:10" ht="17" thickBot="1" x14ac:dyDescent="0.25">
      <c r="A2" s="19"/>
      <c r="B2" s="48" t="s">
        <v>15</v>
      </c>
      <c r="C2" s="49" t="s">
        <v>16</v>
      </c>
      <c r="D2" s="50" t="s">
        <v>17</v>
      </c>
      <c r="E2" s="51" t="s">
        <v>18</v>
      </c>
    </row>
    <row r="3" spans="1:10" x14ac:dyDescent="0.2">
      <c r="A3" s="20" t="s">
        <v>158</v>
      </c>
      <c r="B3" s="21">
        <v>100</v>
      </c>
      <c r="C3" s="22">
        <v>67000</v>
      </c>
      <c r="D3" s="23">
        <v>80</v>
      </c>
      <c r="E3" s="24">
        <v>50000</v>
      </c>
    </row>
    <row r="4" spans="1:10" x14ac:dyDescent="0.2">
      <c r="A4" s="20" t="s">
        <v>1</v>
      </c>
      <c r="B4" s="25">
        <v>9600000</v>
      </c>
      <c r="C4" s="26">
        <v>11500000</v>
      </c>
      <c r="D4" s="27">
        <v>8400000</v>
      </c>
      <c r="E4" s="28">
        <v>9400000</v>
      </c>
      <c r="G4" s="5">
        <f>(B7-B4)/B4</f>
        <v>0.30208333333333331</v>
      </c>
      <c r="H4" s="5">
        <f t="shared" ref="H4:J4" si="0">(C7-C4)/C4</f>
        <v>0.2608695652173913</v>
      </c>
      <c r="I4" s="5">
        <f t="shared" si="0"/>
        <v>0.25</v>
      </c>
      <c r="J4" s="5">
        <f t="shared" si="0"/>
        <v>0.41489361702127658</v>
      </c>
    </row>
    <row r="5" spans="1:10" x14ac:dyDescent="0.2">
      <c r="A5" s="20" t="s">
        <v>2</v>
      </c>
      <c r="B5" s="25">
        <f>B4-2100000</f>
        <v>7500000</v>
      </c>
      <c r="C5" s="29">
        <f>C4-3500000</f>
        <v>8000000</v>
      </c>
      <c r="D5" s="27">
        <v>8400000</v>
      </c>
      <c r="E5" s="28">
        <v>9400000</v>
      </c>
    </row>
    <row r="6" spans="1:10" x14ac:dyDescent="0.2">
      <c r="A6" s="20" t="s">
        <v>3</v>
      </c>
      <c r="B6" s="21">
        <v>27.5</v>
      </c>
      <c r="C6" s="30">
        <v>39</v>
      </c>
      <c r="D6" s="23">
        <v>27.5</v>
      </c>
      <c r="E6" s="31">
        <v>39</v>
      </c>
    </row>
    <row r="7" spans="1:10" x14ac:dyDescent="0.2">
      <c r="A7" s="20" t="s">
        <v>4</v>
      </c>
      <c r="B7" s="25">
        <v>12500000</v>
      </c>
      <c r="C7" s="26">
        <v>14500000</v>
      </c>
      <c r="D7" s="27">
        <v>10500000</v>
      </c>
      <c r="E7" s="28">
        <v>13300000</v>
      </c>
    </row>
    <row r="8" spans="1:10" x14ac:dyDescent="0.2">
      <c r="A8" s="20" t="s">
        <v>5</v>
      </c>
      <c r="B8" s="21">
        <v>10</v>
      </c>
      <c r="C8" s="30">
        <v>10</v>
      </c>
      <c r="D8" s="23">
        <v>10</v>
      </c>
      <c r="E8" s="31">
        <v>10</v>
      </c>
    </row>
    <row r="9" spans="1:10" x14ac:dyDescent="0.2">
      <c r="A9" s="20" t="s">
        <v>6</v>
      </c>
      <c r="B9" s="25">
        <v>870200</v>
      </c>
      <c r="C9" s="26">
        <v>1057200</v>
      </c>
      <c r="D9" s="27">
        <v>765700</v>
      </c>
      <c r="E9" s="28">
        <v>788300</v>
      </c>
    </row>
    <row r="10" spans="1:10" x14ac:dyDescent="0.2">
      <c r="A10" s="20" t="s">
        <v>7</v>
      </c>
      <c r="B10" s="32">
        <v>0.03</v>
      </c>
      <c r="C10" s="33">
        <v>0.03</v>
      </c>
      <c r="D10" s="34">
        <v>0.03</v>
      </c>
      <c r="E10" s="35">
        <v>0.04</v>
      </c>
    </row>
    <row r="11" spans="1:10" x14ac:dyDescent="0.2">
      <c r="A11" s="20" t="s">
        <v>8</v>
      </c>
      <c r="B11" s="36">
        <v>0</v>
      </c>
      <c r="C11" s="37">
        <v>0</v>
      </c>
      <c r="D11" s="27">
        <v>30000</v>
      </c>
      <c r="E11" s="28">
        <v>70000</v>
      </c>
    </row>
    <row r="12" spans="1:10" x14ac:dyDescent="0.2">
      <c r="A12" s="20" t="s">
        <v>9</v>
      </c>
      <c r="B12" s="25">
        <f>B4-B13</f>
        <v>3600000</v>
      </c>
      <c r="C12" s="26">
        <f>C4-C13</f>
        <v>3500000</v>
      </c>
      <c r="D12" s="27">
        <f>D4-D13</f>
        <v>2900000</v>
      </c>
      <c r="E12" s="28">
        <f>E4-E13</f>
        <v>2400000</v>
      </c>
    </row>
    <row r="13" spans="1:10" x14ac:dyDescent="0.2">
      <c r="A13" s="20" t="s">
        <v>10</v>
      </c>
      <c r="B13" s="25">
        <v>6000000</v>
      </c>
      <c r="C13" s="26">
        <v>8000000</v>
      </c>
      <c r="D13" s="27">
        <v>5500000</v>
      </c>
      <c r="E13" s="28">
        <v>7000000</v>
      </c>
    </row>
    <row r="14" spans="1:10" x14ac:dyDescent="0.2">
      <c r="A14" s="20" t="s">
        <v>11</v>
      </c>
      <c r="B14" s="32">
        <v>0.06</v>
      </c>
      <c r="C14" s="38">
        <v>6.5000000000000002E-2</v>
      </c>
      <c r="D14" s="34">
        <v>0.06</v>
      </c>
      <c r="E14" s="39">
        <v>7.4999999999999997E-2</v>
      </c>
    </row>
    <row r="15" spans="1:10" x14ac:dyDescent="0.2">
      <c r="A15" s="20" t="s">
        <v>12</v>
      </c>
      <c r="B15" s="40" t="s">
        <v>19</v>
      </c>
      <c r="C15" s="41" t="s">
        <v>19</v>
      </c>
      <c r="D15" s="42" t="s">
        <v>19</v>
      </c>
      <c r="E15" s="43" t="s">
        <v>22</v>
      </c>
    </row>
    <row r="16" spans="1:10" x14ac:dyDescent="0.2">
      <c r="A16" s="20" t="s">
        <v>13</v>
      </c>
      <c r="B16" s="40" t="s">
        <v>20</v>
      </c>
      <c r="C16" s="41" t="s">
        <v>21</v>
      </c>
      <c r="D16" s="42" t="s">
        <v>20</v>
      </c>
      <c r="E16" s="43" t="s">
        <v>23</v>
      </c>
    </row>
    <row r="17" spans="1:5" x14ac:dyDescent="0.2">
      <c r="A17" s="20" t="s">
        <v>14</v>
      </c>
      <c r="B17" s="44">
        <v>7.2599999999999998E-2</v>
      </c>
      <c r="C17" s="45">
        <v>9.0800000000000006E-2</v>
      </c>
      <c r="D17" s="46">
        <v>7.2599999999999998E-2</v>
      </c>
      <c r="E17" s="47">
        <v>8.9700000000000002E-2</v>
      </c>
    </row>
    <row r="20" spans="1:5" x14ac:dyDescent="0.2">
      <c r="E20" s="4"/>
    </row>
    <row r="21" spans="1:5" x14ac:dyDescent="0.2">
      <c r="E21" s="4"/>
    </row>
    <row r="22" spans="1:5" x14ac:dyDescent="0.2">
      <c r="E22" s="4"/>
    </row>
    <row r="23" spans="1:5" x14ac:dyDescent="0.2">
      <c r="E23" s="4"/>
    </row>
    <row r="26" spans="1:5" x14ac:dyDescent="0.2">
      <c r="A2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A8472-464B-CD4C-AADF-57F01E8BA92E}">
  <dimension ref="A1:E5"/>
  <sheetViews>
    <sheetView zoomScale="200" zoomScaleNormal="200" workbookViewId="0">
      <selection activeCell="E2" sqref="A2:E5"/>
    </sheetView>
  </sheetViews>
  <sheetFormatPr baseColWidth="10" defaultRowHeight="16" x14ac:dyDescent="0.2"/>
  <cols>
    <col min="1" max="1" width="19.33203125" customWidth="1"/>
    <col min="2" max="2" width="13.33203125" bestFit="1" customWidth="1"/>
    <col min="3" max="3" width="14.83203125" bestFit="1" customWidth="1"/>
    <col min="4" max="4" width="11.1640625" bestFit="1" customWidth="1"/>
    <col min="5" max="5" width="19.6640625" bestFit="1" customWidth="1"/>
  </cols>
  <sheetData>
    <row r="1" spans="1:5" ht="52" thickBot="1" x14ac:dyDescent="0.25">
      <c r="A1" s="3" t="s">
        <v>137</v>
      </c>
      <c r="B1" s="2"/>
      <c r="C1" s="2"/>
      <c r="D1" s="2"/>
      <c r="E1" s="2"/>
    </row>
    <row r="2" spans="1:5" ht="17" thickBot="1" x14ac:dyDescent="0.25">
      <c r="A2" s="19"/>
      <c r="B2" s="48" t="s">
        <v>34</v>
      </c>
      <c r="C2" s="49" t="s">
        <v>16</v>
      </c>
      <c r="D2" s="50" t="s">
        <v>17</v>
      </c>
      <c r="E2" s="51" t="s">
        <v>18</v>
      </c>
    </row>
    <row r="3" spans="1:5" x14ac:dyDescent="0.2">
      <c r="A3" s="52" t="s">
        <v>138</v>
      </c>
      <c r="B3" s="44">
        <v>0.73980000000000001</v>
      </c>
      <c r="C3" s="45">
        <f>'Exhibit 8'!C34</f>
        <v>0.65278146772382062</v>
      </c>
      <c r="D3" s="46">
        <f>'Exhibit 8'!C51</f>
        <v>0.72199013592778893</v>
      </c>
      <c r="E3" s="47">
        <f>'Exhibit 8'!C68</f>
        <v>0.42579834600929017</v>
      </c>
    </row>
    <row r="4" spans="1:5" x14ac:dyDescent="0.2">
      <c r="A4" s="52" t="s">
        <v>139</v>
      </c>
      <c r="B4" s="44">
        <v>-0.1825</v>
      </c>
      <c r="C4" s="45">
        <f>'Exhibit 8'!F34</f>
        <v>-0.26646512006187806</v>
      </c>
      <c r="D4" s="46">
        <f>'Exhibit 8'!F51</f>
        <v>-0.1323574824541216</v>
      </c>
      <c r="E4" s="47">
        <f>'Exhibit 8'!F68</f>
        <v>-8.2603976695075756E-2</v>
      </c>
    </row>
    <row r="5" spans="1:5" x14ac:dyDescent="0.2">
      <c r="A5" s="52" t="s">
        <v>140</v>
      </c>
      <c r="B5" s="44">
        <v>0.44369999999999998</v>
      </c>
      <c r="C5" s="45">
        <f>'Exhibit 8'!I34</f>
        <v>0.61367125352898588</v>
      </c>
      <c r="D5" s="46">
        <f>'Exhibit 8'!I51</f>
        <v>0.41029640381888621</v>
      </c>
      <c r="E5" s="47">
        <f>'Exhibit 8'!I68</f>
        <v>0.65687535686105059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FC76-40B9-D447-BD71-C64A314F04EB}">
  <dimension ref="A1:E8"/>
  <sheetViews>
    <sheetView zoomScale="200" zoomScaleNormal="200" workbookViewId="0">
      <selection activeCell="E2" sqref="A2:E8"/>
    </sheetView>
  </sheetViews>
  <sheetFormatPr baseColWidth="10" defaultRowHeight="16" x14ac:dyDescent="0.2"/>
  <cols>
    <col min="1" max="1" width="28.6640625" bestFit="1" customWidth="1"/>
    <col min="2" max="2" width="13.33203125" bestFit="1" customWidth="1"/>
    <col min="3" max="3" width="14.83203125" bestFit="1" customWidth="1"/>
    <col min="4" max="4" width="11.5" bestFit="1" customWidth="1"/>
    <col min="5" max="5" width="19.6640625" bestFit="1" customWidth="1"/>
  </cols>
  <sheetData>
    <row r="1" spans="1:5" ht="17" thickBot="1" x14ac:dyDescent="0.25">
      <c r="A1" s="2" t="s">
        <v>141</v>
      </c>
      <c r="B1" s="2"/>
      <c r="C1" s="2"/>
      <c r="D1" s="2"/>
      <c r="E1" s="2"/>
    </row>
    <row r="2" spans="1:5" ht="17" thickBot="1" x14ac:dyDescent="0.25">
      <c r="A2" s="19"/>
      <c r="B2" s="48" t="s">
        <v>34</v>
      </c>
      <c r="C2" s="49" t="s">
        <v>16</v>
      </c>
      <c r="D2" s="50" t="s">
        <v>17</v>
      </c>
      <c r="E2" s="51" t="s">
        <v>161</v>
      </c>
    </row>
    <row r="3" spans="1:5" x14ac:dyDescent="0.2">
      <c r="A3" s="52" t="s">
        <v>142</v>
      </c>
      <c r="B3" s="25">
        <v>3600000</v>
      </c>
      <c r="C3" s="26">
        <f>'Exhibit 1'!C12</f>
        <v>3500000</v>
      </c>
      <c r="D3" s="27">
        <f>'Exhibit 1'!D12</f>
        <v>2900000</v>
      </c>
      <c r="E3" s="28">
        <f>'Exhibit 1'!E12</f>
        <v>2400000</v>
      </c>
    </row>
    <row r="4" spans="1:5" x14ac:dyDescent="0.2">
      <c r="A4" s="52" t="s">
        <v>143</v>
      </c>
      <c r="B4" s="25">
        <f>SUM('Exhibit 5'!D39:M39)</f>
        <v>1000330.0705621135</v>
      </c>
      <c r="C4" s="26">
        <f>SUM('Exhibit 5'!D78:M78)</f>
        <v>2780539.2593264142</v>
      </c>
      <c r="D4" s="27">
        <f>SUM('Exhibit 5'!D117:M117)</f>
        <v>916974.72334649693</v>
      </c>
      <c r="E4" s="28">
        <f>SUM('Exhibit 5'!D156:M156)</f>
        <v>1456796.3348521492</v>
      </c>
    </row>
    <row r="5" spans="1:5" x14ac:dyDescent="0.2">
      <c r="A5" s="52" t="s">
        <v>144</v>
      </c>
      <c r="B5" s="25">
        <f>'Exhibit 1'!B7-'Exhibit 1'!B4</f>
        <v>2900000</v>
      </c>
      <c r="C5" s="26">
        <f>'Exhibit 1'!C7-'Exhibit 1'!C4</f>
        <v>3000000</v>
      </c>
      <c r="D5" s="27">
        <f>'Exhibit 1'!D7-'Exhibit 1'!D4</f>
        <v>2100000</v>
      </c>
      <c r="E5" s="28">
        <f>'Exhibit 1'!E7-'Exhibit 1'!E4</f>
        <v>3900000</v>
      </c>
    </row>
    <row r="6" spans="1:5" x14ac:dyDescent="0.2">
      <c r="A6" s="52" t="s">
        <v>145</v>
      </c>
      <c r="B6" s="25">
        <f>'Exhibit 5'!E27*-1</f>
        <v>-681818.18181818177</v>
      </c>
      <c r="C6" s="26">
        <f>'Exhibit 5'!E66*-1</f>
        <v>-512820.51282051281</v>
      </c>
      <c r="D6" s="27">
        <f>'Exhibit 5'!E105*-1</f>
        <v>-763636.36363636365</v>
      </c>
      <c r="E6" s="28">
        <f>'Exhibit 5'!E144*-1</f>
        <v>-602564.10256410262</v>
      </c>
    </row>
    <row r="7" spans="1:5" ht="34" x14ac:dyDescent="0.2">
      <c r="A7" s="178" t="s">
        <v>146</v>
      </c>
      <c r="B7" s="25">
        <f>'Exhibit 5'!E29*-1</f>
        <v>-397499.99999999994</v>
      </c>
      <c r="C7" s="26">
        <f>'Exhibit 5'!E68*-1</f>
        <v>-419850.00000000012</v>
      </c>
      <c r="D7" s="27">
        <f>'Exhibit 5'!E107*-1</f>
        <v>-285000.00000000006</v>
      </c>
      <c r="E7" s="28">
        <f>'Exhibit 5'!E146*-1</f>
        <v>-562499.99999999988</v>
      </c>
    </row>
    <row r="8" spans="1:5" x14ac:dyDescent="0.2">
      <c r="A8" s="52" t="s">
        <v>147</v>
      </c>
      <c r="B8" s="25">
        <f>'Exhibit 5'!I25</f>
        <v>6421011.8887439333</v>
      </c>
      <c r="C8" s="26">
        <f>'Exhibit 5'!I64</f>
        <v>8347868.7465059031</v>
      </c>
      <c r="D8" s="27">
        <f>'Exhibit 5'!I103</f>
        <v>4868338.3597101346</v>
      </c>
      <c r="E8" s="28">
        <f>'Exhibit 5'!I142</f>
        <v>6591732.2322880458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5D89C-17C4-6440-95B4-CA0DD93C8D89}">
  <dimension ref="A1:J18"/>
  <sheetViews>
    <sheetView zoomScale="150" zoomScaleNormal="150" workbookViewId="0">
      <selection activeCell="D33" sqref="D33"/>
    </sheetView>
  </sheetViews>
  <sheetFormatPr baseColWidth="10" defaultRowHeight="16" x14ac:dyDescent="0.2"/>
  <cols>
    <col min="1" max="1" width="30.83203125" style="6" bestFit="1" customWidth="1"/>
    <col min="2" max="2" width="13.33203125" style="6" bestFit="1" customWidth="1"/>
    <col min="3" max="3" width="14.83203125" style="6" bestFit="1" customWidth="1"/>
    <col min="4" max="4" width="12.5" style="6" bestFit="1" customWidth="1"/>
    <col min="5" max="5" width="19.83203125" style="6" bestFit="1" customWidth="1"/>
    <col min="6" max="6" width="10.83203125" style="6"/>
    <col min="7" max="7" width="14.1640625" style="6" bestFit="1" customWidth="1"/>
    <col min="8" max="10" width="13" style="6" bestFit="1" customWidth="1"/>
    <col min="11" max="16384" width="10.83203125" style="6"/>
  </cols>
  <sheetData>
    <row r="1" spans="1:10" ht="17" thickBot="1" x14ac:dyDescent="0.25">
      <c r="A1" s="52" t="s">
        <v>35</v>
      </c>
      <c r="B1" s="52"/>
      <c r="C1" s="52"/>
      <c r="D1" s="52"/>
      <c r="E1" s="52"/>
    </row>
    <row r="2" spans="1:10" ht="17" thickBot="1" x14ac:dyDescent="0.25">
      <c r="A2" s="19"/>
      <c r="B2" s="48" t="s">
        <v>34</v>
      </c>
      <c r="C2" s="49" t="s">
        <v>16</v>
      </c>
      <c r="D2" s="50" t="s">
        <v>17</v>
      </c>
      <c r="E2" s="51" t="s">
        <v>18</v>
      </c>
      <c r="G2" s="6">
        <v>0.95</v>
      </c>
      <c r="H2" s="6">
        <f>G2-0.05</f>
        <v>0.89999999999999991</v>
      </c>
      <c r="I2" s="6">
        <f t="shared" ref="I2:J2" si="0">H2-0.05</f>
        <v>0.84999999999999987</v>
      </c>
      <c r="J2" s="6">
        <f t="shared" si="0"/>
        <v>0.79999999999999982</v>
      </c>
    </row>
    <row r="3" spans="1:10" x14ac:dyDescent="0.2">
      <c r="A3" s="20" t="s">
        <v>24</v>
      </c>
      <c r="B3" s="25">
        <v>1440000</v>
      </c>
      <c r="C3" s="26">
        <v>1742000</v>
      </c>
      <c r="D3" s="27">
        <v>1296000</v>
      </c>
      <c r="E3" s="28">
        <v>1275000</v>
      </c>
      <c r="F3" s="53"/>
      <c r="G3" s="54">
        <f>$E$3/G2</f>
        <v>1342105.2631578948</v>
      </c>
      <c r="H3" s="54">
        <f t="shared" ref="H3:J3" si="1">$E$3/H2</f>
        <v>1416666.6666666667</v>
      </c>
      <c r="I3" s="54">
        <f t="shared" si="1"/>
        <v>1500000.0000000002</v>
      </c>
      <c r="J3" s="54">
        <f t="shared" si="1"/>
        <v>1593750.0000000005</v>
      </c>
    </row>
    <row r="4" spans="1:10" ht="17" thickBot="1" x14ac:dyDescent="0.25">
      <c r="A4" s="55" t="s">
        <v>25</v>
      </c>
      <c r="B4" s="56">
        <f>B3*-0.05</f>
        <v>-72000</v>
      </c>
      <c r="C4" s="57">
        <f>C3*-0.05</f>
        <v>-87100</v>
      </c>
      <c r="D4" s="58">
        <f>D3*-0.07</f>
        <v>-90720.000000000015</v>
      </c>
      <c r="E4" s="59">
        <f>E3*-0.07</f>
        <v>-89250.000000000015</v>
      </c>
      <c r="G4" s="60">
        <f>G3*-0.07</f>
        <v>-93947.368421052641</v>
      </c>
      <c r="H4" s="60">
        <f t="shared" ref="H4:J4" si="2">H3*-0.07</f>
        <v>-99166.666666666686</v>
      </c>
      <c r="I4" s="60">
        <f t="shared" si="2"/>
        <v>-105000.00000000003</v>
      </c>
      <c r="J4" s="60">
        <f t="shared" si="2"/>
        <v>-111562.50000000004</v>
      </c>
    </row>
    <row r="5" spans="1:10" x14ac:dyDescent="0.2">
      <c r="A5" s="20" t="s">
        <v>26</v>
      </c>
      <c r="B5" s="61">
        <f>B3+B4</f>
        <v>1368000</v>
      </c>
      <c r="C5" s="29">
        <f>C3+C4</f>
        <v>1654900</v>
      </c>
      <c r="D5" s="62">
        <f>D3+D4</f>
        <v>1205280</v>
      </c>
      <c r="E5" s="63">
        <f>E3+E4</f>
        <v>1185750</v>
      </c>
      <c r="G5" s="54">
        <f>G3+G4</f>
        <v>1248157.8947368423</v>
      </c>
      <c r="H5" s="54">
        <f t="shared" ref="H5:J5" si="3">H3+H4</f>
        <v>1317500</v>
      </c>
      <c r="I5" s="54">
        <f t="shared" si="3"/>
        <v>1395000.0000000002</v>
      </c>
      <c r="J5" s="54">
        <f t="shared" si="3"/>
        <v>1482187.5000000005</v>
      </c>
    </row>
    <row r="6" spans="1:10" x14ac:dyDescent="0.2">
      <c r="A6" s="20" t="s">
        <v>27</v>
      </c>
      <c r="B6" s="64">
        <f>B3*-0.12</f>
        <v>-172800</v>
      </c>
      <c r="C6" s="65">
        <f>C3*-0.12</f>
        <v>-209040</v>
      </c>
      <c r="D6" s="66">
        <f>D3*-0.1</f>
        <v>-129600</v>
      </c>
      <c r="E6" s="67">
        <f>E3*-0.1</f>
        <v>-127500</v>
      </c>
      <c r="G6" s="54">
        <f>G5*-0.1</f>
        <v>-124815.78947368423</v>
      </c>
      <c r="H6" s="54">
        <f t="shared" ref="H6:J6" si="4">H5*-0.1</f>
        <v>-131750</v>
      </c>
      <c r="I6" s="54">
        <f t="shared" si="4"/>
        <v>-139500.00000000003</v>
      </c>
      <c r="J6" s="54">
        <f t="shared" si="4"/>
        <v>-148218.75000000006</v>
      </c>
    </row>
    <row r="7" spans="1:10" x14ac:dyDescent="0.2">
      <c r="A7" s="20" t="s">
        <v>28</v>
      </c>
      <c r="B7" s="68">
        <v>-300000</v>
      </c>
      <c r="C7" s="69">
        <f>-368560</f>
        <v>-368560</v>
      </c>
      <c r="D7" s="70">
        <v>-289980</v>
      </c>
      <c r="E7" s="71">
        <v>-254950</v>
      </c>
      <c r="G7" s="54">
        <f>$E$7</f>
        <v>-254950</v>
      </c>
      <c r="H7" s="54">
        <f t="shared" ref="H7:J7" si="5">$E$7</f>
        <v>-254950</v>
      </c>
      <c r="I7" s="54">
        <f t="shared" si="5"/>
        <v>-254950</v>
      </c>
      <c r="J7" s="54">
        <f t="shared" si="5"/>
        <v>-254950</v>
      </c>
    </row>
    <row r="8" spans="1:10" ht="17" thickBot="1" x14ac:dyDescent="0.25">
      <c r="A8" s="55" t="s">
        <v>29</v>
      </c>
      <c r="B8" s="56">
        <f>250*-100</f>
        <v>-25000</v>
      </c>
      <c r="C8" s="57">
        <f>67000*-0.3</f>
        <v>-20100</v>
      </c>
      <c r="D8" s="58">
        <f>250*-80</f>
        <v>-20000</v>
      </c>
      <c r="E8" s="59">
        <f>0.3*-50000</f>
        <v>-15000</v>
      </c>
      <c r="G8" s="54">
        <f>$E$8</f>
        <v>-15000</v>
      </c>
      <c r="H8" s="54">
        <f t="shared" ref="H8:J8" si="6">$E$8</f>
        <v>-15000</v>
      </c>
      <c r="I8" s="54">
        <f t="shared" si="6"/>
        <v>-15000</v>
      </c>
      <c r="J8" s="54">
        <f t="shared" si="6"/>
        <v>-15000</v>
      </c>
    </row>
    <row r="9" spans="1:10" x14ac:dyDescent="0.2">
      <c r="A9" s="20" t="s">
        <v>30</v>
      </c>
      <c r="B9" s="61">
        <f>B5+B6+B7+B8</f>
        <v>870200</v>
      </c>
      <c r="C9" s="29">
        <f>C5+C6+C7+C8</f>
        <v>1057200</v>
      </c>
      <c r="D9" s="62">
        <f>D5+D6+D7+D8</f>
        <v>765700</v>
      </c>
      <c r="E9" s="63">
        <f>E5+E6+E7+E8</f>
        <v>788300</v>
      </c>
      <c r="G9" s="54">
        <f>SUM(G5:G8)</f>
        <v>853392.10526315798</v>
      </c>
      <c r="H9" s="54">
        <f t="shared" ref="H9:J9" si="7">SUM(H5:H8)</f>
        <v>915800</v>
      </c>
      <c r="I9" s="54">
        <f t="shared" si="7"/>
        <v>985550.00000000023</v>
      </c>
      <c r="J9" s="54">
        <f t="shared" si="7"/>
        <v>1064018.7500000005</v>
      </c>
    </row>
    <row r="10" spans="1:10" x14ac:dyDescent="0.2">
      <c r="A10" s="20" t="s">
        <v>31</v>
      </c>
      <c r="B10" s="72">
        <f>-435893</f>
        <v>-435893</v>
      </c>
      <c r="C10" s="73">
        <f>-726051</f>
        <v>-726051</v>
      </c>
      <c r="D10" s="74">
        <v>-399569</v>
      </c>
      <c r="E10" s="75">
        <v>-627975</v>
      </c>
      <c r="G10" s="54">
        <f>$E$10</f>
        <v>-627975</v>
      </c>
      <c r="H10" s="54">
        <f t="shared" ref="H10:J10" si="8">$E$10</f>
        <v>-627975</v>
      </c>
      <c r="I10" s="54">
        <f t="shared" si="8"/>
        <v>-627975</v>
      </c>
      <c r="J10" s="54">
        <f t="shared" si="8"/>
        <v>-627975</v>
      </c>
    </row>
    <row r="11" spans="1:10" ht="17" thickBot="1" x14ac:dyDescent="0.25">
      <c r="A11" s="55" t="s">
        <v>32</v>
      </c>
      <c r="B11" s="76">
        <v>0</v>
      </c>
      <c r="C11" s="77">
        <v>0</v>
      </c>
      <c r="D11" s="78">
        <v>-30000</v>
      </c>
      <c r="E11" s="79">
        <v>-70000</v>
      </c>
      <c r="G11" s="54">
        <f>$E$11</f>
        <v>-70000</v>
      </c>
      <c r="H11" s="54">
        <f t="shared" ref="H11:J11" si="9">$E$11</f>
        <v>-70000</v>
      </c>
      <c r="I11" s="54">
        <f t="shared" si="9"/>
        <v>-70000</v>
      </c>
      <c r="J11" s="54">
        <f t="shared" si="9"/>
        <v>-70000</v>
      </c>
    </row>
    <row r="12" spans="1:10" x14ac:dyDescent="0.2">
      <c r="A12" s="20" t="s">
        <v>33</v>
      </c>
      <c r="B12" s="80">
        <f>B9+B10</f>
        <v>434307</v>
      </c>
      <c r="C12" s="81">
        <f>C9+C10</f>
        <v>331149</v>
      </c>
      <c r="D12" s="82">
        <f>D9+D10+D11</f>
        <v>336131</v>
      </c>
      <c r="E12" s="83">
        <f>E9+E10+E11</f>
        <v>90325</v>
      </c>
      <c r="G12" s="54">
        <f>SUM(G9:G11)</f>
        <v>155417.10526315798</v>
      </c>
      <c r="H12" s="54">
        <f t="shared" ref="H12:J12" si="10">SUM(H9:H11)</f>
        <v>217825</v>
      </c>
      <c r="I12" s="54">
        <f t="shared" si="10"/>
        <v>287575.00000000023</v>
      </c>
      <c r="J12" s="54">
        <f t="shared" si="10"/>
        <v>366043.75000000047</v>
      </c>
    </row>
    <row r="13" spans="1:10" x14ac:dyDescent="0.2">
      <c r="A13" s="52"/>
      <c r="B13" s="52"/>
      <c r="C13" s="52"/>
      <c r="D13" s="52"/>
      <c r="E13" s="52"/>
    </row>
    <row r="14" spans="1:10" x14ac:dyDescent="0.2">
      <c r="A14" s="20" t="s">
        <v>159</v>
      </c>
      <c r="B14" s="52"/>
      <c r="C14" s="52"/>
      <c r="D14" s="52"/>
      <c r="E14" s="52"/>
    </row>
    <row r="15" spans="1:10" x14ac:dyDescent="0.2">
      <c r="A15" s="52" t="s">
        <v>36</v>
      </c>
      <c r="B15" s="84">
        <v>0.06</v>
      </c>
      <c r="C15" s="85">
        <v>6.5000000000000002E-2</v>
      </c>
      <c r="D15" s="85">
        <v>0.06</v>
      </c>
      <c r="E15" s="85">
        <v>7.4999999999999997E-2</v>
      </c>
    </row>
    <row r="16" spans="1:10" x14ac:dyDescent="0.2">
      <c r="A16" s="52" t="s">
        <v>37</v>
      </c>
      <c r="B16" s="52">
        <v>30</v>
      </c>
      <c r="C16" s="52">
        <v>20</v>
      </c>
      <c r="D16" s="52">
        <v>30</v>
      </c>
      <c r="E16" s="52">
        <v>25</v>
      </c>
    </row>
    <row r="17" spans="1:5" x14ac:dyDescent="0.2">
      <c r="A17" s="52" t="s">
        <v>38</v>
      </c>
      <c r="B17" s="52">
        <v>6000000</v>
      </c>
      <c r="C17" s="52">
        <v>8000000</v>
      </c>
      <c r="D17" s="52">
        <v>5500000</v>
      </c>
      <c r="E17" s="52">
        <v>7000000</v>
      </c>
    </row>
    <row r="18" spans="1:5" x14ac:dyDescent="0.2">
      <c r="A18" s="52" t="s">
        <v>39</v>
      </c>
      <c r="B18" s="86">
        <f>PMT(B15,B16,B17)</f>
        <v>-435893.46894028329</v>
      </c>
      <c r="C18" s="86">
        <f>PMT(C15,C16,C17)</f>
        <v>-726051.16286643618</v>
      </c>
      <c r="D18" s="86">
        <f t="shared" ref="D18:E18" si="11">PMT(D15,D16,D17)</f>
        <v>-399569.01319525973</v>
      </c>
      <c r="E18" s="86">
        <f t="shared" si="11"/>
        <v>-627974.701546108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6FCCD-D566-AF4B-94D7-AF0F7DFB70C4}">
  <dimension ref="A1:E9"/>
  <sheetViews>
    <sheetView zoomScale="180" zoomScaleNormal="180" workbookViewId="0">
      <selection activeCell="A2" sqref="A2:E9"/>
    </sheetView>
  </sheetViews>
  <sheetFormatPr baseColWidth="10" defaultRowHeight="16" x14ac:dyDescent="0.2"/>
  <cols>
    <col min="1" max="1" width="46.5" style="6" bestFit="1" customWidth="1"/>
    <col min="2" max="2" width="13.5" style="6" bestFit="1" customWidth="1"/>
    <col min="3" max="3" width="15" style="6" bestFit="1" customWidth="1"/>
    <col min="4" max="4" width="12.5" style="6" bestFit="1" customWidth="1"/>
    <col min="5" max="5" width="20" style="6" bestFit="1" customWidth="1"/>
    <col min="6" max="16384" width="10.83203125" style="6"/>
  </cols>
  <sheetData>
    <row r="1" spans="1:5" ht="17" thickBot="1" x14ac:dyDescent="0.25">
      <c r="A1" s="52" t="s">
        <v>40</v>
      </c>
      <c r="B1" s="52"/>
      <c r="C1" s="52"/>
      <c r="D1" s="52"/>
      <c r="E1" s="52"/>
    </row>
    <row r="2" spans="1:5" ht="17" thickBot="1" x14ac:dyDescent="0.25">
      <c r="A2" s="19"/>
      <c r="B2" s="48" t="s">
        <v>34</v>
      </c>
      <c r="C2" s="49" t="s">
        <v>16</v>
      </c>
      <c r="D2" s="50" t="s">
        <v>17</v>
      </c>
      <c r="E2" s="51" t="s">
        <v>18</v>
      </c>
    </row>
    <row r="3" spans="1:5" x14ac:dyDescent="0.2">
      <c r="A3" s="20" t="s">
        <v>41</v>
      </c>
      <c r="B3" s="87">
        <f>'Exhibit 1'!B4/'Exhibit 1'!B3</f>
        <v>96000</v>
      </c>
      <c r="C3" s="37">
        <f>'Exhibit 1'!C4/'Exhibit 1'!C3</f>
        <v>171.64179104477611</v>
      </c>
      <c r="D3" s="88">
        <f>'Exhibit 1'!D4/'Exhibit 1'!D3</f>
        <v>105000</v>
      </c>
      <c r="E3" s="89">
        <f>'Exhibit 1'!E4/'Exhibit 1'!E3</f>
        <v>188</v>
      </c>
    </row>
    <row r="4" spans="1:5" x14ac:dyDescent="0.2">
      <c r="A4" s="20" t="s">
        <v>42</v>
      </c>
      <c r="B4" s="32">
        <f>('Exhibit 2'!B6/'Exhibit 2'!B3)*-1</f>
        <v>0.12</v>
      </c>
      <c r="C4" s="33">
        <f>('Exhibit 2'!C6/'Exhibit 2'!C3)*-1</f>
        <v>0.12</v>
      </c>
      <c r="D4" s="34">
        <f>('Exhibit 2'!D6/'Exhibit 2'!D3)*-1</f>
        <v>0.1</v>
      </c>
      <c r="E4" s="35">
        <f>('Exhibit 2'!E6/'Exhibit 2'!E3)*-1</f>
        <v>0.1</v>
      </c>
    </row>
    <row r="5" spans="1:5" x14ac:dyDescent="0.2">
      <c r="A5" s="20" t="s">
        <v>43</v>
      </c>
      <c r="B5" s="87">
        <f>'Exhibit 2'!B7/'Exhibit 1'!B3*-1</f>
        <v>3000</v>
      </c>
      <c r="C5" s="37">
        <f>'Exhibit 2'!C7/'Exhibit 1'!C3*-1</f>
        <v>5.5008955223880598</v>
      </c>
      <c r="D5" s="90">
        <f>'Exhibit 2'!D7/'Exhibit 1'!D3*-1</f>
        <v>3624.75</v>
      </c>
      <c r="E5" s="91">
        <f>'Exhibit 2'!E7/'Exhibit 1'!E3*-1</f>
        <v>5.0990000000000002</v>
      </c>
    </row>
    <row r="6" spans="1:5" x14ac:dyDescent="0.2">
      <c r="A6" s="20" t="s">
        <v>44</v>
      </c>
      <c r="B6" s="44">
        <f>'Exhibit 2'!B7/'Exhibit 2'!B3*-1</f>
        <v>0.20833333333333334</v>
      </c>
      <c r="C6" s="45">
        <f>'Exhibit 2'!C7/'Exhibit 2'!C3*-1</f>
        <v>0.21157290470723306</v>
      </c>
      <c r="D6" s="46">
        <f>'Exhibit 2'!D7/'Exhibit 2'!D3*-1</f>
        <v>0.22375</v>
      </c>
      <c r="E6" s="47">
        <f>'Exhibit 2'!E7/'Exhibit 2'!E3*-1</f>
        <v>0.19996078431372549</v>
      </c>
    </row>
    <row r="7" spans="1:5" ht="17" x14ac:dyDescent="0.2">
      <c r="A7" s="92" t="s">
        <v>160</v>
      </c>
      <c r="B7" s="87">
        <f>('Exhibit 2'!B6+'Exhibit 2'!B7)/'Exhibit 1'!B3*-1</f>
        <v>4728</v>
      </c>
      <c r="C7" s="37">
        <f>('Exhibit 2'!C6+'Exhibit 2'!C7)/'Exhibit 1'!C3*-1</f>
        <v>8.620895522388059</v>
      </c>
      <c r="D7" s="90">
        <f>('Exhibit 2'!D6+'Exhibit 2'!D7)/'Exhibit 1'!D3*-1</f>
        <v>5244.75</v>
      </c>
      <c r="E7" s="91">
        <f>('Exhibit 2'!E6+'Exhibit 2'!E7)/'Exhibit 1'!E3*-1</f>
        <v>7.649</v>
      </c>
    </row>
    <row r="8" spans="1:5" ht="34" x14ac:dyDescent="0.2">
      <c r="A8" s="92" t="s">
        <v>45</v>
      </c>
      <c r="B8" s="87">
        <v>1200</v>
      </c>
      <c r="C8" s="37">
        <v>26</v>
      </c>
      <c r="D8" s="90">
        <v>1350</v>
      </c>
      <c r="E8" s="91">
        <v>25.5</v>
      </c>
    </row>
    <row r="9" spans="1:5" x14ac:dyDescent="0.2">
      <c r="A9" s="20" t="s">
        <v>46</v>
      </c>
      <c r="B9" s="32">
        <v>0.95</v>
      </c>
      <c r="C9" s="33">
        <v>0.95</v>
      </c>
      <c r="D9" s="34">
        <v>0.93</v>
      </c>
      <c r="E9" s="35">
        <v>0.93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02E49-CF8D-564F-AFA6-73D545CF40BC}">
  <dimension ref="A1:J7"/>
  <sheetViews>
    <sheetView zoomScale="200" zoomScaleNormal="200" workbookViewId="0">
      <selection activeCell="A3" sqref="A3:A7"/>
    </sheetView>
  </sheetViews>
  <sheetFormatPr baseColWidth="10" defaultRowHeight="16" x14ac:dyDescent="0.2"/>
  <cols>
    <col min="1" max="1" width="29.5" style="6" bestFit="1" customWidth="1"/>
    <col min="2" max="2" width="13.33203125" style="6" bestFit="1" customWidth="1"/>
    <col min="3" max="3" width="14.83203125" style="6" bestFit="1" customWidth="1"/>
    <col min="4" max="4" width="11.1640625" style="6" bestFit="1" customWidth="1"/>
    <col min="5" max="5" width="19.6640625" style="6" bestFit="1" customWidth="1"/>
    <col min="6" max="16384" width="10.83203125" style="6"/>
  </cols>
  <sheetData>
    <row r="1" spans="1:10" ht="17" thickBot="1" x14ac:dyDescent="0.25">
      <c r="A1" s="6" t="s">
        <v>47</v>
      </c>
    </row>
    <row r="2" spans="1:10" ht="17" thickBot="1" x14ac:dyDescent="0.25">
      <c r="A2" s="19"/>
      <c r="B2" s="48" t="s">
        <v>34</v>
      </c>
      <c r="C2" s="49" t="s">
        <v>16</v>
      </c>
      <c r="D2" s="50" t="s">
        <v>17</v>
      </c>
      <c r="E2" s="51" t="s">
        <v>18</v>
      </c>
      <c r="G2" s="93">
        <v>0.95</v>
      </c>
      <c r="H2" s="6">
        <f>G2-0.05</f>
        <v>0.89999999999999991</v>
      </c>
      <c r="I2" s="6">
        <f t="shared" ref="I2:J2" si="0">H2-0.05</f>
        <v>0.84999999999999987</v>
      </c>
      <c r="J2" s="6">
        <f t="shared" si="0"/>
        <v>0.79999999999999982</v>
      </c>
    </row>
    <row r="3" spans="1:10" x14ac:dyDescent="0.2">
      <c r="A3" s="94" t="s">
        <v>48</v>
      </c>
      <c r="B3" s="44">
        <v>0.95</v>
      </c>
      <c r="C3" s="45">
        <v>0.95</v>
      </c>
      <c r="D3" s="46">
        <v>0.93</v>
      </c>
      <c r="E3" s="47">
        <v>0.93</v>
      </c>
      <c r="G3" s="95">
        <f>$E$3</f>
        <v>0.93</v>
      </c>
      <c r="H3" s="95">
        <f t="shared" ref="H3:J3" si="1">$E$3</f>
        <v>0.93</v>
      </c>
      <c r="I3" s="95">
        <f t="shared" si="1"/>
        <v>0.93</v>
      </c>
      <c r="J3" s="95">
        <f t="shared" si="1"/>
        <v>0.93</v>
      </c>
    </row>
    <row r="4" spans="1:10" x14ac:dyDescent="0.2">
      <c r="A4" s="94" t="s">
        <v>49</v>
      </c>
      <c r="B4" s="44">
        <f>'Exhibit 2'!B12/'Exhibit 2'!B3</f>
        <v>0.30160208333333333</v>
      </c>
      <c r="C4" s="45">
        <f>'Exhibit 2'!C12/'Exhibit 2'!C3</f>
        <v>0.19009701492537315</v>
      </c>
      <c r="D4" s="46">
        <f>'Exhibit 2'!D12/'Exhibit 2'!D3</f>
        <v>0.25936033950617282</v>
      </c>
      <c r="E4" s="47">
        <f>'Exhibit 2'!E12/'Exhibit 2'!E3</f>
        <v>7.0843137254901961E-2</v>
      </c>
      <c r="G4" s="96">
        <f>'Exhibit 2'!G12/'Exhibit 2'!G3</f>
        <v>0.11580098039215692</v>
      </c>
      <c r="H4" s="96">
        <f>'Exhibit 2'!H12/'Exhibit 2'!H3</f>
        <v>0.15375882352941175</v>
      </c>
      <c r="I4" s="96">
        <f>'Exhibit 2'!I12/'Exhibit 2'!I3</f>
        <v>0.19171666666666679</v>
      </c>
      <c r="J4" s="96">
        <f>'Exhibit 2'!J12/'Exhibit 2'!J3</f>
        <v>0.22967450980392179</v>
      </c>
    </row>
    <row r="5" spans="1:10" x14ac:dyDescent="0.2">
      <c r="A5" s="94" t="s">
        <v>50</v>
      </c>
      <c r="B5" s="44">
        <f>100%-5%-B4</f>
        <v>0.64839791666666668</v>
      </c>
      <c r="C5" s="45">
        <f>100%-5%-C4</f>
        <v>0.75990298507462684</v>
      </c>
      <c r="D5" s="46">
        <f>100%-7%-D4</f>
        <v>0.67063966049382717</v>
      </c>
      <c r="E5" s="97">
        <f>100%-7%-E4</f>
        <v>0.85915686274509795</v>
      </c>
      <c r="G5" s="95">
        <f>0.93-G4</f>
        <v>0.81419901960784313</v>
      </c>
      <c r="H5" s="95">
        <f t="shared" ref="H5:J5" si="2">0.93-H4</f>
        <v>0.77624117647058832</v>
      </c>
      <c r="I5" s="95">
        <f t="shared" si="2"/>
        <v>0.73828333333333329</v>
      </c>
      <c r="J5" s="95">
        <f t="shared" si="2"/>
        <v>0.70032549019607826</v>
      </c>
    </row>
    <row r="6" spans="1:10" x14ac:dyDescent="0.2">
      <c r="A6" s="94" t="s">
        <v>51</v>
      </c>
      <c r="B6" s="44">
        <f>'Exhibit 1'!B13/'Exhibit 1'!B4</f>
        <v>0.625</v>
      </c>
      <c r="C6" s="45">
        <f>'Exhibit 1'!C13/'Exhibit 1'!C4</f>
        <v>0.69565217391304346</v>
      </c>
      <c r="D6" s="46">
        <f>'Exhibit 1'!D13/'Exhibit 1'!D4</f>
        <v>0.65476190476190477</v>
      </c>
      <c r="E6" s="47">
        <f>'Exhibit 1'!E13/'Exhibit 1'!E4</f>
        <v>0.74468085106382975</v>
      </c>
      <c r="G6" s="95">
        <f>$E$6</f>
        <v>0.74468085106382975</v>
      </c>
      <c r="H6" s="95">
        <f t="shared" ref="H6:J6" si="3">$E$6</f>
        <v>0.74468085106382975</v>
      </c>
      <c r="I6" s="95">
        <f t="shared" si="3"/>
        <v>0.74468085106382975</v>
      </c>
      <c r="J6" s="95">
        <f t="shared" si="3"/>
        <v>0.74468085106382975</v>
      </c>
    </row>
    <row r="7" spans="1:10" x14ac:dyDescent="0.2">
      <c r="A7" s="142" t="s">
        <v>52</v>
      </c>
      <c r="B7" s="146">
        <f>'Exhibit 2'!B9/'Exhibit 2'!B10*-1</f>
        <v>1.9963614923845989</v>
      </c>
      <c r="C7" s="145">
        <f>'Exhibit 2'!C9/'Exhibit 2'!C10*-1</f>
        <v>1.4560960593677303</v>
      </c>
      <c r="D7" s="144">
        <f>'Exhibit 2'!D9/SUM('Exhibit 5'!D84:D85)*-1</f>
        <v>1.7824843040349745</v>
      </c>
      <c r="E7" s="143">
        <f>'Exhibit 2'!E9/SUM('Exhibit 5'!D123:D124)*-1</f>
        <v>1.129410079157563</v>
      </c>
      <c r="G7" s="98">
        <f>$E$7</f>
        <v>1.129410079157563</v>
      </c>
      <c r="H7" s="98">
        <f t="shared" ref="H7:J7" si="4">$E$7</f>
        <v>1.129410079157563</v>
      </c>
      <c r="I7" s="98">
        <f t="shared" si="4"/>
        <v>1.129410079157563</v>
      </c>
      <c r="J7" s="98">
        <f t="shared" si="4"/>
        <v>1.129410079157563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C7540-CDB4-3F48-BE43-00C661DD6520}">
  <dimension ref="A1:N156"/>
  <sheetViews>
    <sheetView topLeftCell="A127" zoomScale="120" zoomScaleNormal="120" workbookViewId="0">
      <selection activeCell="M120" sqref="A120:M156"/>
    </sheetView>
  </sheetViews>
  <sheetFormatPr baseColWidth="10" defaultRowHeight="16" x14ac:dyDescent="0.2"/>
  <cols>
    <col min="1" max="1" width="37" style="6" bestFit="1" customWidth="1"/>
    <col min="2" max="2" width="12.5" style="6" bestFit="1" customWidth="1"/>
    <col min="3" max="3" width="12.1640625" style="6" bestFit="1" customWidth="1"/>
    <col min="4" max="4" width="16.6640625" style="6" bestFit="1" customWidth="1"/>
    <col min="5" max="5" width="12.5" style="6" bestFit="1" customWidth="1"/>
    <col min="6" max="6" width="11.5" style="6" bestFit="1" customWidth="1"/>
    <col min="7" max="7" width="25.5" style="6" customWidth="1"/>
    <col min="8" max="8" width="11.5" style="6" bestFit="1" customWidth="1"/>
    <col min="9" max="9" width="12.5" style="6" bestFit="1" customWidth="1"/>
    <col min="10" max="13" width="11.5" style="6" bestFit="1" customWidth="1"/>
    <col min="14" max="14" width="11.6640625" style="6" bestFit="1" customWidth="1"/>
    <col min="15" max="16" width="10.83203125" style="6"/>
    <col min="17" max="17" width="13.1640625" style="6" bestFit="1" customWidth="1"/>
    <col min="18" max="22" width="12.5" style="6" customWidth="1"/>
    <col min="23" max="16384" width="10.83203125" style="6"/>
  </cols>
  <sheetData>
    <row r="1" spans="1:13" x14ac:dyDescent="0.2">
      <c r="A1" s="52" t="s">
        <v>53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3" x14ac:dyDescent="0.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</row>
    <row r="3" spans="1:13" ht="17" thickBot="1" x14ac:dyDescent="0.25">
      <c r="A3" s="99" t="s">
        <v>54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13" ht="17" thickBot="1" x14ac:dyDescent="0.25">
      <c r="A4" s="100" t="s">
        <v>55</v>
      </c>
      <c r="B4" s="100" t="s">
        <v>56</v>
      </c>
      <c r="C4" s="100">
        <v>0</v>
      </c>
      <c r="D4" s="100">
        <v>1</v>
      </c>
      <c r="E4" s="100">
        <v>2</v>
      </c>
      <c r="F4" s="100">
        <v>3</v>
      </c>
      <c r="G4" s="100">
        <v>4</v>
      </c>
      <c r="H4" s="100">
        <v>5</v>
      </c>
      <c r="I4" s="100">
        <v>6</v>
      </c>
      <c r="J4" s="100">
        <v>7</v>
      </c>
      <c r="K4" s="100">
        <v>8</v>
      </c>
      <c r="L4" s="100">
        <v>9</v>
      </c>
      <c r="M4" s="100">
        <v>10</v>
      </c>
    </row>
    <row r="5" spans="1:13" x14ac:dyDescent="0.2">
      <c r="A5" s="52" t="s">
        <v>57</v>
      </c>
      <c r="B5" s="52" t="s">
        <v>58</v>
      </c>
      <c r="C5" s="101"/>
      <c r="D5" s="102">
        <v>870200</v>
      </c>
      <c r="E5" s="102">
        <f t="shared" ref="E5:M5" si="0">D5*1.03</f>
        <v>896306</v>
      </c>
      <c r="F5" s="102">
        <f t="shared" si="0"/>
        <v>923195.18</v>
      </c>
      <c r="G5" s="102">
        <f t="shared" si="0"/>
        <v>950891.03540000005</v>
      </c>
      <c r="H5" s="102">
        <f t="shared" si="0"/>
        <v>979417.76646200009</v>
      </c>
      <c r="I5" s="102">
        <f t="shared" si="0"/>
        <v>1008800.2994558602</v>
      </c>
      <c r="J5" s="102">
        <f t="shared" si="0"/>
        <v>1039064.308439536</v>
      </c>
      <c r="K5" s="102">
        <f t="shared" si="0"/>
        <v>1070236.2376927221</v>
      </c>
      <c r="L5" s="102">
        <f t="shared" si="0"/>
        <v>1102343.3248235038</v>
      </c>
      <c r="M5" s="102">
        <f t="shared" si="0"/>
        <v>1135413.6245682091</v>
      </c>
    </row>
    <row r="6" spans="1:13" x14ac:dyDescent="0.2">
      <c r="A6" s="52" t="s">
        <v>32</v>
      </c>
      <c r="B6" s="52"/>
      <c r="C6" s="52"/>
      <c r="D6" s="103">
        <v>0</v>
      </c>
      <c r="E6" s="103">
        <v>0</v>
      </c>
      <c r="F6" s="103">
        <v>0</v>
      </c>
      <c r="G6" s="103">
        <v>0</v>
      </c>
      <c r="H6" s="103">
        <v>0</v>
      </c>
      <c r="I6" s="103">
        <v>0</v>
      </c>
      <c r="J6" s="103">
        <v>0</v>
      </c>
      <c r="K6" s="103">
        <v>0</v>
      </c>
      <c r="L6" s="103">
        <v>0</v>
      </c>
      <c r="M6" s="103">
        <v>0</v>
      </c>
    </row>
    <row r="7" spans="1:13" ht="17" thickBot="1" x14ac:dyDescent="0.25">
      <c r="A7" s="52" t="s">
        <v>59</v>
      </c>
      <c r="B7" s="52"/>
      <c r="C7" s="104"/>
      <c r="D7" s="105">
        <v>-435893</v>
      </c>
      <c r="E7" s="105">
        <v>-435893</v>
      </c>
      <c r="F7" s="105">
        <v>-435893</v>
      </c>
      <c r="G7" s="105">
        <v>-435893</v>
      </c>
      <c r="H7" s="105">
        <v>-435893</v>
      </c>
      <c r="I7" s="105">
        <v>-435893</v>
      </c>
      <c r="J7" s="105">
        <v>-435893</v>
      </c>
      <c r="K7" s="105">
        <v>-435893</v>
      </c>
      <c r="L7" s="105">
        <v>-435893</v>
      </c>
      <c r="M7" s="105">
        <v>-435893</v>
      </c>
    </row>
    <row r="8" spans="1:13" x14ac:dyDescent="0.2">
      <c r="A8" s="52" t="s">
        <v>60</v>
      </c>
      <c r="B8" s="52"/>
      <c r="C8" s="52"/>
      <c r="D8" s="106">
        <f>D5+D7</f>
        <v>434307</v>
      </c>
      <c r="E8" s="106">
        <f t="shared" ref="E8:M8" si="1">E5+E7</f>
        <v>460413</v>
      </c>
      <c r="F8" s="106">
        <f t="shared" si="1"/>
        <v>487302.18000000005</v>
      </c>
      <c r="G8" s="106">
        <f t="shared" si="1"/>
        <v>514998.03540000005</v>
      </c>
      <c r="H8" s="106">
        <f t="shared" si="1"/>
        <v>543524.76646200009</v>
      </c>
      <c r="I8" s="106">
        <f t="shared" si="1"/>
        <v>572907.29945586016</v>
      </c>
      <c r="J8" s="106">
        <f t="shared" si="1"/>
        <v>603171.30843953602</v>
      </c>
      <c r="K8" s="106">
        <f t="shared" si="1"/>
        <v>634343.23769272212</v>
      </c>
      <c r="L8" s="106">
        <f t="shared" si="1"/>
        <v>666450.32482350385</v>
      </c>
      <c r="M8" s="106">
        <f t="shared" si="1"/>
        <v>699520.62456820905</v>
      </c>
    </row>
    <row r="9" spans="1:13" x14ac:dyDescent="0.2">
      <c r="A9" s="52" t="s">
        <v>61</v>
      </c>
      <c r="B9" s="107">
        <v>6000000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</row>
    <row r="10" spans="1:13" x14ac:dyDescent="0.2">
      <c r="A10" s="52"/>
      <c r="B10" s="108" t="s">
        <v>62</v>
      </c>
      <c r="C10" s="52"/>
      <c r="D10" s="106">
        <f>D39</f>
        <v>75893</v>
      </c>
      <c r="E10" s="106">
        <f t="shared" ref="E10:M10" si="2">E39</f>
        <v>80446.580000000016</v>
      </c>
      <c r="F10" s="106">
        <f t="shared" si="2"/>
        <v>85273.374799999991</v>
      </c>
      <c r="G10" s="106">
        <f t="shared" si="2"/>
        <v>90389.777288000041</v>
      </c>
      <c r="H10" s="106">
        <f t="shared" si="2"/>
        <v>95813.163925280038</v>
      </c>
      <c r="I10" s="106">
        <f t="shared" si="2"/>
        <v>101561.95376079681</v>
      </c>
      <c r="J10" s="106">
        <f>J39</f>
        <v>107655.67098644469</v>
      </c>
      <c r="K10" s="106">
        <f t="shared" si="2"/>
        <v>114115.01124563132</v>
      </c>
      <c r="L10" s="106">
        <f t="shared" si="2"/>
        <v>120961.91192036925</v>
      </c>
      <c r="M10" s="106">
        <f t="shared" si="2"/>
        <v>128219.62663559144</v>
      </c>
    </row>
    <row r="11" spans="1:13" x14ac:dyDescent="0.2">
      <c r="A11" s="52" t="s">
        <v>63</v>
      </c>
      <c r="B11" s="52"/>
      <c r="C11" s="52"/>
      <c r="D11" s="109">
        <v>25000</v>
      </c>
      <c r="E11" s="109">
        <v>25000</v>
      </c>
      <c r="F11" s="109">
        <v>25000</v>
      </c>
      <c r="G11" s="109">
        <v>25000</v>
      </c>
      <c r="H11" s="109">
        <v>25000</v>
      </c>
      <c r="I11" s="109">
        <v>25000</v>
      </c>
      <c r="J11" s="109">
        <v>25000</v>
      </c>
      <c r="K11" s="109">
        <v>25000</v>
      </c>
      <c r="L11" s="109">
        <v>25000</v>
      </c>
      <c r="M11" s="109">
        <v>25000</v>
      </c>
    </row>
    <row r="12" spans="1:13" ht="17" thickBot="1" x14ac:dyDescent="0.25">
      <c r="A12" s="52" t="s">
        <v>64</v>
      </c>
      <c r="B12" s="108" t="s">
        <v>96</v>
      </c>
      <c r="C12" s="104"/>
      <c r="D12" s="105">
        <f>'Exhibit 1'!$B$5/'Exhibit 1'!$B$6*-1</f>
        <v>-272727.27272727271</v>
      </c>
      <c r="E12" s="105">
        <f>'Exhibit 1'!$B$5/'Exhibit 1'!$B$6*-1</f>
        <v>-272727.27272727271</v>
      </c>
      <c r="F12" s="105">
        <f>'Exhibit 1'!$B$5/'Exhibit 1'!$B$6*-1</f>
        <v>-272727.27272727271</v>
      </c>
      <c r="G12" s="105">
        <f>'Exhibit 1'!$B$5/'Exhibit 1'!$B$6*-1</f>
        <v>-272727.27272727271</v>
      </c>
      <c r="H12" s="105">
        <f>'Exhibit 1'!$B$5/'Exhibit 1'!$B$6*-1</f>
        <v>-272727.27272727271</v>
      </c>
      <c r="I12" s="105">
        <f>'Exhibit 1'!$B$5/'Exhibit 1'!$B$6*-1</f>
        <v>-272727.27272727271</v>
      </c>
      <c r="J12" s="105">
        <f>'Exhibit 1'!$B$5/'Exhibit 1'!$B$6*-1</f>
        <v>-272727.27272727271</v>
      </c>
      <c r="K12" s="105">
        <f>'Exhibit 1'!$B$5/'Exhibit 1'!$B$6*-1</f>
        <v>-272727.27272727271</v>
      </c>
      <c r="L12" s="105">
        <f>'Exhibit 1'!$B$5/'Exhibit 1'!$B$6*-1</f>
        <v>-272727.27272727271</v>
      </c>
      <c r="M12" s="105">
        <f>'Exhibit 1'!$B$5/'Exhibit 1'!$B$6*-1</f>
        <v>-272727.27272727271</v>
      </c>
    </row>
    <row r="13" spans="1:13" x14ac:dyDescent="0.2">
      <c r="A13" s="52" t="s">
        <v>65</v>
      </c>
      <c r="B13" s="52"/>
      <c r="C13" s="52"/>
      <c r="D13" s="106">
        <f>D8+D10+D11+D12</f>
        <v>262472.72727272729</v>
      </c>
      <c r="E13" s="106">
        <f t="shared" ref="E13:M13" si="3">E8+E10+E11+E12</f>
        <v>293132.30727272737</v>
      </c>
      <c r="F13" s="106">
        <f t="shared" si="3"/>
        <v>324848.28207272734</v>
      </c>
      <c r="G13" s="106">
        <f t="shared" si="3"/>
        <v>357660.53996072733</v>
      </c>
      <c r="H13" s="106">
        <f t="shared" si="3"/>
        <v>391610.65766000748</v>
      </c>
      <c r="I13" s="106">
        <f t="shared" si="3"/>
        <v>426741.98048938427</v>
      </c>
      <c r="J13" s="106">
        <f t="shared" si="3"/>
        <v>463099.706698708</v>
      </c>
      <c r="K13" s="106">
        <f t="shared" si="3"/>
        <v>500730.97621108079</v>
      </c>
      <c r="L13" s="106">
        <f t="shared" si="3"/>
        <v>539684.9640166004</v>
      </c>
      <c r="M13" s="106">
        <f t="shared" si="3"/>
        <v>580012.97847652785</v>
      </c>
    </row>
    <row r="14" spans="1:13" x14ac:dyDescent="0.2">
      <c r="A14" s="52" t="s">
        <v>66</v>
      </c>
      <c r="B14" s="110">
        <v>0.35</v>
      </c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</row>
    <row r="15" spans="1:13" ht="17" thickBot="1" x14ac:dyDescent="0.25">
      <c r="A15" s="52"/>
      <c r="B15" s="108" t="s">
        <v>97</v>
      </c>
      <c r="C15" s="104"/>
      <c r="D15" s="111">
        <f>D13*0.35*-1</f>
        <v>-91865.454545454544</v>
      </c>
      <c r="E15" s="111">
        <f>E13*0.35*-1</f>
        <v>-102596.30754545458</v>
      </c>
      <c r="F15" s="111">
        <f t="shared" ref="F15:M15" si="4">F13*0.35*-1</f>
        <v>-113696.89872545456</v>
      </c>
      <c r="G15" s="111">
        <f t="shared" si="4"/>
        <v>-125181.18898625455</v>
      </c>
      <c r="H15" s="111">
        <f t="shared" si="4"/>
        <v>-137063.73018100261</v>
      </c>
      <c r="I15" s="111">
        <f t="shared" si="4"/>
        <v>-149359.69317128448</v>
      </c>
      <c r="J15" s="111">
        <f t="shared" si="4"/>
        <v>-162084.89734454779</v>
      </c>
      <c r="K15" s="111">
        <f t="shared" si="4"/>
        <v>-175255.84167387825</v>
      </c>
      <c r="L15" s="111">
        <f t="shared" si="4"/>
        <v>-188889.73740581013</v>
      </c>
      <c r="M15" s="111">
        <f t="shared" si="4"/>
        <v>-203004.54246678474</v>
      </c>
    </row>
    <row r="16" spans="1:13" x14ac:dyDescent="0.2">
      <c r="A16" s="52" t="s">
        <v>67</v>
      </c>
      <c r="B16" s="52"/>
      <c r="C16" s="52"/>
      <c r="D16" s="106">
        <f>D8+D15</f>
        <v>342441.54545454547</v>
      </c>
      <c r="E16" s="106">
        <f t="shared" ref="E16:M16" si="5">E8+E15</f>
        <v>357816.69245454541</v>
      </c>
      <c r="F16" s="106">
        <f t="shared" si="5"/>
        <v>373605.28127454547</v>
      </c>
      <c r="G16" s="106">
        <f t="shared" si="5"/>
        <v>389816.84641374549</v>
      </c>
      <c r="H16" s="106">
        <f t="shared" si="5"/>
        <v>406461.03628099745</v>
      </c>
      <c r="I16" s="106">
        <f t="shared" si="5"/>
        <v>423547.60628457565</v>
      </c>
      <c r="J16" s="106">
        <f t="shared" si="5"/>
        <v>441086.41109498823</v>
      </c>
      <c r="K16" s="106">
        <f t="shared" si="5"/>
        <v>459087.39601884387</v>
      </c>
      <c r="L16" s="106">
        <f t="shared" si="5"/>
        <v>477560.58741769369</v>
      </c>
      <c r="M16" s="106">
        <f t="shared" si="5"/>
        <v>496516.08210142434</v>
      </c>
    </row>
    <row r="17" spans="1:13" x14ac:dyDescent="0.2">
      <c r="A17" s="52" t="s">
        <v>68</v>
      </c>
      <c r="B17" s="52"/>
      <c r="C17" s="109">
        <v>-3600000</v>
      </c>
      <c r="D17" s="52"/>
      <c r="E17" s="52"/>
      <c r="F17" s="52"/>
      <c r="G17" s="52"/>
      <c r="H17" s="52"/>
      <c r="I17" s="52"/>
      <c r="J17" s="52"/>
      <c r="K17" s="52"/>
      <c r="L17" s="52"/>
      <c r="M17" s="52"/>
    </row>
    <row r="18" spans="1:13" ht="17" thickBot="1" x14ac:dyDescent="0.25">
      <c r="A18" s="52" t="s">
        <v>69</v>
      </c>
      <c r="B18" s="52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12">
        <f>I25</f>
        <v>6421011.8887439333</v>
      </c>
    </row>
    <row r="19" spans="1:13" ht="17" thickBot="1" x14ac:dyDescent="0.25">
      <c r="A19" s="104" t="s">
        <v>70</v>
      </c>
      <c r="B19" s="104"/>
      <c r="C19" s="113">
        <f>C17</f>
        <v>-3600000</v>
      </c>
      <c r="D19" s="113">
        <f>D16</f>
        <v>342441.54545454547</v>
      </c>
      <c r="E19" s="113">
        <f t="shared" ref="E19:L19" si="6">E16</f>
        <v>357816.69245454541</v>
      </c>
      <c r="F19" s="113">
        <f t="shared" si="6"/>
        <v>373605.28127454547</v>
      </c>
      <c r="G19" s="113">
        <f t="shared" si="6"/>
        <v>389816.84641374549</v>
      </c>
      <c r="H19" s="113">
        <f t="shared" si="6"/>
        <v>406461.03628099745</v>
      </c>
      <c r="I19" s="113">
        <f t="shared" si="6"/>
        <v>423547.60628457565</v>
      </c>
      <c r="J19" s="113">
        <f t="shared" si="6"/>
        <v>441086.41109498823</v>
      </c>
      <c r="K19" s="113">
        <f t="shared" si="6"/>
        <v>459087.39601884387</v>
      </c>
      <c r="L19" s="113">
        <f t="shared" si="6"/>
        <v>477560.58741769369</v>
      </c>
      <c r="M19" s="113">
        <f>M16+M18</f>
        <v>6917527.9708453575</v>
      </c>
    </row>
    <row r="20" spans="1:13" x14ac:dyDescent="0.2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</row>
    <row r="21" spans="1:13" ht="17" thickBot="1" x14ac:dyDescent="0.25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</row>
    <row r="22" spans="1:13" x14ac:dyDescent="0.2">
      <c r="A22" s="114" t="s">
        <v>71</v>
      </c>
      <c r="B22" s="115">
        <v>9600000</v>
      </c>
      <c r="C22" s="114"/>
      <c r="D22" s="114" t="s">
        <v>75</v>
      </c>
      <c r="E22" s="115">
        <v>12500000</v>
      </c>
      <c r="F22" s="114"/>
      <c r="G22" s="114" t="s">
        <v>75</v>
      </c>
      <c r="H22" s="114"/>
      <c r="I22" s="115">
        <v>12500000</v>
      </c>
      <c r="J22" s="114"/>
      <c r="K22" s="114"/>
      <c r="L22" s="114"/>
      <c r="M22" s="114"/>
    </row>
    <row r="23" spans="1:13" x14ac:dyDescent="0.2">
      <c r="A23" s="116" t="s">
        <v>72</v>
      </c>
      <c r="B23" s="117">
        <v>250000</v>
      </c>
      <c r="C23" s="116"/>
      <c r="D23" s="116" t="s">
        <v>76</v>
      </c>
      <c r="E23" s="118">
        <f>B25*-1</f>
        <v>-7122727.2727272734</v>
      </c>
      <c r="F23" s="116"/>
      <c r="G23" s="116" t="s">
        <v>83</v>
      </c>
      <c r="H23" s="116"/>
      <c r="I23" s="119">
        <f>E30*-1</f>
        <v>-1079318.1818181816</v>
      </c>
      <c r="J23" s="116"/>
      <c r="K23" s="116"/>
      <c r="L23" s="116"/>
      <c r="M23" s="116"/>
    </row>
    <row r="24" spans="1:13" x14ac:dyDescent="0.2">
      <c r="A24" s="116" t="s">
        <v>64</v>
      </c>
      <c r="B24" s="120">
        <f>D12*10</f>
        <v>-2727272.7272727271</v>
      </c>
      <c r="C24" s="116"/>
      <c r="D24" s="116" t="s">
        <v>77</v>
      </c>
      <c r="E24" s="119">
        <f>E22+E23</f>
        <v>5377272.7272727266</v>
      </c>
      <c r="F24" s="116"/>
      <c r="G24" s="116" t="s">
        <v>84</v>
      </c>
      <c r="H24" s="116"/>
      <c r="I24" s="118">
        <f>M34*-1</f>
        <v>-4999669.9294378851</v>
      </c>
      <c r="J24" s="116"/>
      <c r="K24" s="116"/>
      <c r="L24" s="116"/>
      <c r="M24" s="116"/>
    </row>
    <row r="25" spans="1:13" x14ac:dyDescent="0.2">
      <c r="A25" s="116" t="s">
        <v>73</v>
      </c>
      <c r="B25" s="119">
        <f>B22+B23+B24</f>
        <v>7122727.2727272734</v>
      </c>
      <c r="C25" s="116"/>
      <c r="D25" s="116"/>
      <c r="E25" s="116"/>
      <c r="F25" s="116"/>
      <c r="G25" s="116" t="s">
        <v>85</v>
      </c>
      <c r="H25" s="116"/>
      <c r="I25" s="119">
        <f>I22+I23+I24</f>
        <v>6421011.8887439333</v>
      </c>
      <c r="J25" s="116"/>
      <c r="K25" s="116"/>
      <c r="L25" s="116"/>
      <c r="M25" s="116"/>
    </row>
    <row r="26" spans="1:13" x14ac:dyDescent="0.2">
      <c r="A26" s="116"/>
      <c r="B26" s="116"/>
      <c r="C26" s="116"/>
      <c r="D26" s="116" t="s">
        <v>78</v>
      </c>
      <c r="E26" s="119">
        <f>B24*-1</f>
        <v>2727272.7272727271</v>
      </c>
      <c r="F26" s="116"/>
      <c r="G26" s="116"/>
      <c r="H26" s="116"/>
      <c r="I26" s="116"/>
      <c r="J26" s="116"/>
      <c r="K26" s="116"/>
      <c r="L26" s="116"/>
      <c r="M26" s="116"/>
    </row>
    <row r="27" spans="1:13" x14ac:dyDescent="0.2">
      <c r="A27" s="116" t="s">
        <v>74</v>
      </c>
      <c r="B27" s="117">
        <v>2100000</v>
      </c>
      <c r="C27" s="116"/>
      <c r="D27" s="116" t="s">
        <v>79</v>
      </c>
      <c r="E27" s="119">
        <f>E26*0.25</f>
        <v>681818.18181818177</v>
      </c>
      <c r="F27" s="116"/>
      <c r="G27" s="116"/>
      <c r="H27" s="116"/>
      <c r="I27" s="116"/>
      <c r="J27" s="116"/>
      <c r="K27" s="116"/>
      <c r="L27" s="116"/>
      <c r="M27" s="116"/>
    </row>
    <row r="28" spans="1:13" x14ac:dyDescent="0.2">
      <c r="A28" s="116" t="s">
        <v>2</v>
      </c>
      <c r="B28" s="119">
        <f>B22-B27</f>
        <v>7500000</v>
      </c>
      <c r="C28" s="116"/>
      <c r="D28" s="116" t="s">
        <v>80</v>
      </c>
      <c r="E28" s="119">
        <f>E24-E26</f>
        <v>2649999.9999999995</v>
      </c>
      <c r="F28" s="116"/>
      <c r="G28" s="116"/>
      <c r="H28" s="121"/>
      <c r="I28" s="116"/>
      <c r="J28" s="116"/>
      <c r="K28" s="116"/>
      <c r="L28" s="116"/>
      <c r="M28" s="116"/>
    </row>
    <row r="29" spans="1:13" x14ac:dyDescent="0.2">
      <c r="A29" s="116"/>
      <c r="B29" s="116"/>
      <c r="C29" s="116"/>
      <c r="D29" s="116" t="s">
        <v>81</v>
      </c>
      <c r="E29" s="118">
        <f>E28*0.15</f>
        <v>397499.99999999994</v>
      </c>
      <c r="F29" s="116"/>
      <c r="G29" s="116" t="s">
        <v>86</v>
      </c>
      <c r="H29" s="116"/>
      <c r="I29" s="122">
        <f>NPV(0.12,D19:M19)+C19</f>
        <v>734295.27238809224</v>
      </c>
      <c r="J29" s="123"/>
      <c r="K29" s="116"/>
      <c r="L29" s="116"/>
      <c r="M29" s="116"/>
    </row>
    <row r="30" spans="1:13" ht="17" thickBot="1" x14ac:dyDescent="0.25">
      <c r="A30" s="104"/>
      <c r="B30" s="104"/>
      <c r="C30" s="104"/>
      <c r="D30" s="104" t="s">
        <v>82</v>
      </c>
      <c r="E30" s="112">
        <f>E27+E29</f>
        <v>1079318.1818181816</v>
      </c>
      <c r="F30" s="104"/>
      <c r="G30" s="104" t="s">
        <v>87</v>
      </c>
      <c r="H30" s="104"/>
      <c r="I30" s="124">
        <f>IRR(C19:M19)</f>
        <v>0.14925646118571145</v>
      </c>
      <c r="J30" s="104"/>
      <c r="K30" s="104"/>
      <c r="L30" s="104"/>
      <c r="M30" s="104"/>
    </row>
    <row r="31" spans="1:13" x14ac:dyDescent="0.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</row>
    <row r="32" spans="1:13" ht="17" thickBot="1" x14ac:dyDescent="0.2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</row>
    <row r="33" spans="1:14" ht="17" thickBot="1" x14ac:dyDescent="0.25">
      <c r="A33" s="100" t="s">
        <v>88</v>
      </c>
      <c r="B33" s="100"/>
      <c r="C33" s="100">
        <v>0</v>
      </c>
      <c r="D33" s="100">
        <v>1</v>
      </c>
      <c r="E33" s="100">
        <v>2</v>
      </c>
      <c r="F33" s="100">
        <v>3</v>
      </c>
      <c r="G33" s="100">
        <v>4</v>
      </c>
      <c r="H33" s="100">
        <v>5</v>
      </c>
      <c r="I33" s="100">
        <v>6</v>
      </c>
      <c r="J33" s="100">
        <v>7</v>
      </c>
      <c r="K33" s="100">
        <v>8</v>
      </c>
      <c r="L33" s="100">
        <v>9</v>
      </c>
      <c r="M33" s="100">
        <v>10</v>
      </c>
    </row>
    <row r="34" spans="1:14" x14ac:dyDescent="0.2">
      <c r="A34" s="52" t="s">
        <v>89</v>
      </c>
      <c r="B34" s="52"/>
      <c r="C34" s="125">
        <v>6000000</v>
      </c>
      <c r="D34" s="102">
        <f>C34-D39</f>
        <v>5924107</v>
      </c>
      <c r="E34" s="102">
        <f>D34-E39</f>
        <v>5843660.4199999999</v>
      </c>
      <c r="F34" s="102">
        <f t="shared" ref="F34:M34" si="7">E34-F39</f>
        <v>5758387.0451999996</v>
      </c>
      <c r="G34" s="102">
        <f t="shared" si="7"/>
        <v>5667997.2679119995</v>
      </c>
      <c r="H34" s="102">
        <f t="shared" si="7"/>
        <v>5572184.1039867196</v>
      </c>
      <c r="I34" s="102">
        <f t="shared" si="7"/>
        <v>5470622.1502259225</v>
      </c>
      <c r="J34" s="102">
        <f t="shared" si="7"/>
        <v>5362966.4792394778</v>
      </c>
      <c r="K34" s="102">
        <f t="shared" si="7"/>
        <v>5248851.4679938462</v>
      </c>
      <c r="L34" s="102">
        <f t="shared" si="7"/>
        <v>5127889.5560734766</v>
      </c>
      <c r="M34" s="102">
        <f t="shared" si="7"/>
        <v>4999669.9294378851</v>
      </c>
    </row>
    <row r="35" spans="1:14" x14ac:dyDescent="0.2">
      <c r="A35" s="52" t="s">
        <v>90</v>
      </c>
      <c r="B35" s="52"/>
      <c r="C35" s="52"/>
      <c r="D35" s="125">
        <v>435893</v>
      </c>
      <c r="E35" s="125">
        <v>435893</v>
      </c>
      <c r="F35" s="125">
        <v>435893</v>
      </c>
      <c r="G35" s="125">
        <v>435893</v>
      </c>
      <c r="H35" s="125">
        <v>435893</v>
      </c>
      <c r="I35" s="125">
        <v>435893</v>
      </c>
      <c r="J35" s="125">
        <v>435893</v>
      </c>
      <c r="K35" s="125">
        <v>435893</v>
      </c>
      <c r="L35" s="125">
        <v>435893</v>
      </c>
      <c r="M35" s="125">
        <v>435893</v>
      </c>
    </row>
    <row r="36" spans="1:14" x14ac:dyDescent="0.2">
      <c r="A36" s="52" t="s">
        <v>91</v>
      </c>
      <c r="B36" s="108" t="s">
        <v>93</v>
      </c>
      <c r="C36" s="52"/>
      <c r="D36" s="102"/>
      <c r="E36" s="52"/>
      <c r="F36" s="52"/>
      <c r="G36" s="52"/>
      <c r="H36" s="52"/>
      <c r="I36" s="52"/>
      <c r="J36" s="52"/>
      <c r="K36" s="52"/>
      <c r="L36" s="52"/>
      <c r="M36" s="52"/>
    </row>
    <row r="37" spans="1:14" x14ac:dyDescent="0.2">
      <c r="A37" s="52"/>
      <c r="B37" s="108" t="s">
        <v>94</v>
      </c>
      <c r="C37" s="52"/>
      <c r="D37" s="102">
        <f>C34*0.06</f>
        <v>360000</v>
      </c>
      <c r="E37" s="102">
        <f>D34*0.06</f>
        <v>355446.42</v>
      </c>
      <c r="F37" s="102">
        <f>E34*0.06</f>
        <v>350619.62520000001</v>
      </c>
      <c r="G37" s="102">
        <f t="shared" ref="G37:M37" si="8">F34*0.06</f>
        <v>345503.22271199996</v>
      </c>
      <c r="H37" s="102">
        <f t="shared" si="8"/>
        <v>340079.83607471996</v>
      </c>
      <c r="I37" s="102">
        <f t="shared" si="8"/>
        <v>334331.04623920319</v>
      </c>
      <c r="J37" s="102">
        <f t="shared" si="8"/>
        <v>328237.32901355531</v>
      </c>
      <c r="K37" s="102">
        <f t="shared" si="8"/>
        <v>321777.98875436868</v>
      </c>
      <c r="L37" s="102">
        <f t="shared" si="8"/>
        <v>314931.08807963075</v>
      </c>
      <c r="M37" s="102">
        <f t="shared" si="8"/>
        <v>307673.37336440856</v>
      </c>
    </row>
    <row r="38" spans="1:14" x14ac:dyDescent="0.2">
      <c r="A38" s="52" t="s">
        <v>92</v>
      </c>
      <c r="B38" s="108">
        <v>30</v>
      </c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</row>
    <row r="39" spans="1:14" ht="17" thickBot="1" x14ac:dyDescent="0.25">
      <c r="A39" s="104"/>
      <c r="B39" s="126" t="s">
        <v>95</v>
      </c>
      <c r="C39" s="104"/>
      <c r="D39" s="112">
        <f>D35-D37</f>
        <v>75893</v>
      </c>
      <c r="E39" s="112">
        <f>E35-E37</f>
        <v>80446.580000000016</v>
      </c>
      <c r="F39" s="112">
        <f t="shared" ref="F39:M39" si="9">F35-F37</f>
        <v>85273.374799999991</v>
      </c>
      <c r="G39" s="112">
        <f t="shared" si="9"/>
        <v>90389.777288000041</v>
      </c>
      <c r="H39" s="112">
        <f t="shared" si="9"/>
        <v>95813.163925280038</v>
      </c>
      <c r="I39" s="112">
        <f t="shared" si="9"/>
        <v>101561.95376079681</v>
      </c>
      <c r="J39" s="112">
        <f t="shared" si="9"/>
        <v>107655.67098644469</v>
      </c>
      <c r="K39" s="112">
        <f t="shared" si="9"/>
        <v>114115.01124563132</v>
      </c>
      <c r="L39" s="112">
        <f t="shared" si="9"/>
        <v>120961.91192036925</v>
      </c>
      <c r="M39" s="112">
        <f t="shared" si="9"/>
        <v>128219.62663559144</v>
      </c>
    </row>
    <row r="40" spans="1:14" x14ac:dyDescent="0.2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127"/>
    </row>
    <row r="41" spans="1:14" x14ac:dyDescent="0.2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</row>
    <row r="42" spans="1:14" ht="17" thickBot="1" x14ac:dyDescent="0.25">
      <c r="A42" s="128" t="s">
        <v>98</v>
      </c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</row>
    <row r="43" spans="1:14" ht="17" thickBot="1" x14ac:dyDescent="0.25">
      <c r="A43" s="100" t="s">
        <v>55</v>
      </c>
      <c r="B43" s="100" t="s">
        <v>56</v>
      </c>
      <c r="C43" s="100">
        <v>0</v>
      </c>
      <c r="D43" s="100">
        <v>1</v>
      </c>
      <c r="E43" s="100">
        <v>2</v>
      </c>
      <c r="F43" s="100">
        <v>3</v>
      </c>
      <c r="G43" s="100">
        <v>4</v>
      </c>
      <c r="H43" s="100">
        <v>5</v>
      </c>
      <c r="I43" s="100">
        <v>6</v>
      </c>
      <c r="J43" s="100">
        <v>7</v>
      </c>
      <c r="K43" s="100">
        <v>8</v>
      </c>
      <c r="L43" s="100">
        <v>9</v>
      </c>
      <c r="M43" s="100">
        <v>10</v>
      </c>
    </row>
    <row r="44" spans="1:14" x14ac:dyDescent="0.2">
      <c r="A44" s="52" t="s">
        <v>57</v>
      </c>
      <c r="B44" s="52" t="s">
        <v>58</v>
      </c>
      <c r="C44" s="101"/>
      <c r="D44" s="102">
        <v>1057200</v>
      </c>
      <c r="E44" s="102">
        <f t="shared" ref="E44:M44" si="10">D44*1.03</f>
        <v>1088916</v>
      </c>
      <c r="F44" s="102">
        <f t="shared" si="10"/>
        <v>1121583.48</v>
      </c>
      <c r="G44" s="102">
        <f t="shared" si="10"/>
        <v>1155230.9844</v>
      </c>
      <c r="H44" s="102">
        <f t="shared" si="10"/>
        <v>1189887.9139320001</v>
      </c>
      <c r="I44" s="102">
        <f t="shared" si="10"/>
        <v>1225584.55134996</v>
      </c>
      <c r="J44" s="102">
        <f t="shared" si="10"/>
        <v>1262352.0878904588</v>
      </c>
      <c r="K44" s="102">
        <f t="shared" si="10"/>
        <v>1300222.6505271725</v>
      </c>
      <c r="L44" s="102">
        <f t="shared" si="10"/>
        <v>1339229.3300429876</v>
      </c>
      <c r="M44" s="102">
        <f t="shared" si="10"/>
        <v>1379406.2099442773</v>
      </c>
    </row>
    <row r="45" spans="1:14" x14ac:dyDescent="0.2">
      <c r="A45" s="52" t="s">
        <v>32</v>
      </c>
      <c r="B45" s="52"/>
      <c r="C45" s="52"/>
      <c r="D45" s="103">
        <v>0</v>
      </c>
      <c r="E45" s="103">
        <v>0</v>
      </c>
      <c r="F45" s="103">
        <v>0</v>
      </c>
      <c r="G45" s="103">
        <v>0</v>
      </c>
      <c r="H45" s="103">
        <v>0</v>
      </c>
      <c r="I45" s="103">
        <v>0</v>
      </c>
      <c r="J45" s="103">
        <v>0</v>
      </c>
      <c r="K45" s="103">
        <v>0</v>
      </c>
      <c r="L45" s="103">
        <v>0</v>
      </c>
      <c r="M45" s="103">
        <v>0</v>
      </c>
    </row>
    <row r="46" spans="1:14" ht="17" thickBot="1" x14ac:dyDescent="0.25">
      <c r="A46" s="52" t="s">
        <v>59</v>
      </c>
      <c r="B46" s="52"/>
      <c r="C46" s="104"/>
      <c r="D46" s="105">
        <v>-726051</v>
      </c>
      <c r="E46" s="105">
        <v>-726051</v>
      </c>
      <c r="F46" s="105">
        <v>-726051</v>
      </c>
      <c r="G46" s="105">
        <v>-726051</v>
      </c>
      <c r="H46" s="105">
        <v>-726051</v>
      </c>
      <c r="I46" s="105">
        <v>-726051</v>
      </c>
      <c r="J46" s="105">
        <v>-726051</v>
      </c>
      <c r="K46" s="105">
        <v>-726051</v>
      </c>
      <c r="L46" s="105">
        <v>-726051</v>
      </c>
      <c r="M46" s="105">
        <v>-726051</v>
      </c>
    </row>
    <row r="47" spans="1:14" x14ac:dyDescent="0.2">
      <c r="A47" s="52" t="s">
        <v>60</v>
      </c>
      <c r="B47" s="52"/>
      <c r="C47" s="52"/>
      <c r="D47" s="106">
        <f>D44+D46</f>
        <v>331149</v>
      </c>
      <c r="E47" s="106">
        <f t="shared" ref="E47" si="11">E44+E46</f>
        <v>362865</v>
      </c>
      <c r="F47" s="106">
        <f t="shared" ref="F47" si="12">F44+F46</f>
        <v>395532.48</v>
      </c>
      <c r="G47" s="106">
        <f t="shared" ref="G47" si="13">G44+G46</f>
        <v>429179.98439999996</v>
      </c>
      <c r="H47" s="106">
        <f t="shared" ref="H47" si="14">H44+H46</f>
        <v>463836.91393200005</v>
      </c>
      <c r="I47" s="106">
        <f t="shared" ref="I47" si="15">I44+I46</f>
        <v>499533.55134996003</v>
      </c>
      <c r="J47" s="106">
        <f t="shared" ref="J47" si="16">J44+J46</f>
        <v>536301.08789045876</v>
      </c>
      <c r="K47" s="106">
        <f t="shared" ref="K47" si="17">K44+K46</f>
        <v>574171.65052717249</v>
      </c>
      <c r="L47" s="106">
        <f t="shared" ref="L47" si="18">L44+L46</f>
        <v>613178.3300429876</v>
      </c>
      <c r="M47" s="106">
        <f t="shared" ref="M47" si="19">M44+M46</f>
        <v>653355.2099442773</v>
      </c>
    </row>
    <row r="48" spans="1:14" x14ac:dyDescent="0.2">
      <c r="A48" s="52" t="s">
        <v>61</v>
      </c>
      <c r="B48" s="107">
        <v>8000000</v>
      </c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</row>
    <row r="49" spans="1:13" x14ac:dyDescent="0.2">
      <c r="A49" s="52"/>
      <c r="B49" s="108" t="s">
        <v>62</v>
      </c>
      <c r="C49" s="52"/>
      <c r="D49" s="106">
        <f>D78</f>
        <v>206051</v>
      </c>
      <c r="E49" s="106">
        <f t="shared" ref="E49:I49" si="20">E78</f>
        <v>219444.315</v>
      </c>
      <c r="F49" s="106">
        <f t="shared" si="20"/>
        <v>233708.19547500001</v>
      </c>
      <c r="G49" s="106">
        <f t="shared" si="20"/>
        <v>248899.22818087501</v>
      </c>
      <c r="H49" s="106">
        <f t="shared" si="20"/>
        <v>265077.67801263189</v>
      </c>
      <c r="I49" s="106">
        <f t="shared" si="20"/>
        <v>282307.72708345298</v>
      </c>
      <c r="J49" s="106">
        <f>J78</f>
        <v>300657.72934387741</v>
      </c>
      <c r="K49" s="106">
        <f t="shared" ref="K49:M49" si="21">K78</f>
        <v>320200.48175122944</v>
      </c>
      <c r="L49" s="106">
        <f t="shared" si="21"/>
        <v>341013.51306505932</v>
      </c>
      <c r="M49" s="106">
        <f t="shared" si="21"/>
        <v>363179.3914142882</v>
      </c>
    </row>
    <row r="50" spans="1:13" x14ac:dyDescent="0.2">
      <c r="A50" s="52" t="s">
        <v>63</v>
      </c>
      <c r="B50" s="52"/>
      <c r="C50" s="52"/>
      <c r="D50" s="109">
        <v>20100</v>
      </c>
      <c r="E50" s="109">
        <v>20100</v>
      </c>
      <c r="F50" s="109">
        <v>20100</v>
      </c>
      <c r="G50" s="109">
        <v>20100</v>
      </c>
      <c r="H50" s="109">
        <v>20100</v>
      </c>
      <c r="I50" s="109">
        <v>20100</v>
      </c>
      <c r="J50" s="109">
        <v>20100</v>
      </c>
      <c r="K50" s="109">
        <v>20100</v>
      </c>
      <c r="L50" s="109">
        <v>20100</v>
      </c>
      <c r="M50" s="109">
        <v>20100</v>
      </c>
    </row>
    <row r="51" spans="1:13" ht="17" thickBot="1" x14ac:dyDescent="0.25">
      <c r="A51" s="52" t="s">
        <v>64</v>
      </c>
      <c r="B51" s="108" t="s">
        <v>100</v>
      </c>
      <c r="C51" s="104"/>
      <c r="D51" s="105">
        <f>'Exhibit 1'!$C$5/'Exhibit 1'!$C$6*-1</f>
        <v>-205128.20512820513</v>
      </c>
      <c r="E51" s="105">
        <f>'Exhibit 1'!$C$5/'Exhibit 1'!$C$6*-1</f>
        <v>-205128.20512820513</v>
      </c>
      <c r="F51" s="105">
        <f>'Exhibit 1'!$C$5/'Exhibit 1'!$C$6*-1</f>
        <v>-205128.20512820513</v>
      </c>
      <c r="G51" s="105">
        <f>'Exhibit 1'!$C$5/'Exhibit 1'!$C$6*-1</f>
        <v>-205128.20512820513</v>
      </c>
      <c r="H51" s="105">
        <f>'Exhibit 1'!$C$5/'Exhibit 1'!$C$6*-1</f>
        <v>-205128.20512820513</v>
      </c>
      <c r="I51" s="105">
        <f>'Exhibit 1'!$C$5/'Exhibit 1'!$C$6*-1</f>
        <v>-205128.20512820513</v>
      </c>
      <c r="J51" s="105">
        <f>'Exhibit 1'!$C$5/'Exhibit 1'!$C$6*-1</f>
        <v>-205128.20512820513</v>
      </c>
      <c r="K51" s="105">
        <f>'Exhibit 1'!$C$5/'Exhibit 1'!$C$6*-1</f>
        <v>-205128.20512820513</v>
      </c>
      <c r="L51" s="105">
        <f>'Exhibit 1'!$C$5/'Exhibit 1'!$C$6*-1</f>
        <v>-205128.20512820513</v>
      </c>
      <c r="M51" s="105">
        <f>'Exhibit 1'!$C$5/'Exhibit 1'!$C$6*-1</f>
        <v>-205128.20512820513</v>
      </c>
    </row>
    <row r="52" spans="1:13" x14ac:dyDescent="0.2">
      <c r="A52" s="52" t="s">
        <v>65</v>
      </c>
      <c r="B52" s="52"/>
      <c r="C52" s="52"/>
      <c r="D52" s="106">
        <f>D47+D49+D50+D51</f>
        <v>352171.79487179487</v>
      </c>
      <c r="E52" s="106">
        <f t="shared" ref="E52" si="22">E47+E49+E50+E51</f>
        <v>397281.10987179482</v>
      </c>
      <c r="F52" s="106">
        <f t="shared" ref="F52" si="23">F47+F49+F50+F51</f>
        <v>444212.47034679481</v>
      </c>
      <c r="G52" s="106">
        <f t="shared" ref="G52" si="24">G47+G49+G50+G51</f>
        <v>493051.0074526699</v>
      </c>
      <c r="H52" s="106">
        <f t="shared" ref="H52" si="25">H47+H49+H50+H51</f>
        <v>543886.38681642676</v>
      </c>
      <c r="I52" s="106">
        <f t="shared" ref="I52" si="26">I47+I49+I50+I51</f>
        <v>596813.07330520789</v>
      </c>
      <c r="J52" s="106">
        <f t="shared" ref="J52" si="27">J47+J49+J50+J51</f>
        <v>651930.61210613104</v>
      </c>
      <c r="K52" s="106">
        <f t="shared" ref="K52" si="28">K47+K49+K50+K51</f>
        <v>709343.92715019675</v>
      </c>
      <c r="L52" s="106">
        <f t="shared" ref="L52" si="29">L47+L49+L50+L51</f>
        <v>769163.63797984179</v>
      </c>
      <c r="M52" s="106">
        <f t="shared" ref="M52" si="30">M47+M49+M50+M51</f>
        <v>831506.39623036038</v>
      </c>
    </row>
    <row r="53" spans="1:13" x14ac:dyDescent="0.2">
      <c r="A53" s="52" t="s">
        <v>66</v>
      </c>
      <c r="B53" s="110">
        <v>0.35</v>
      </c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</row>
    <row r="54" spans="1:13" ht="17" thickBot="1" x14ac:dyDescent="0.25">
      <c r="A54" s="52"/>
      <c r="B54" s="108" t="s">
        <v>97</v>
      </c>
      <c r="C54" s="104"/>
      <c r="D54" s="111">
        <f>D52*0.35*-1</f>
        <v>-123260.1282051282</v>
      </c>
      <c r="E54" s="111">
        <f>E52*0.35*-1</f>
        <v>-139048.38845512818</v>
      </c>
      <c r="F54" s="111">
        <f t="shared" ref="F54:M54" si="31">F52*0.35*-1</f>
        <v>-155474.36462137816</v>
      </c>
      <c r="G54" s="111">
        <f t="shared" si="31"/>
        <v>-172567.85260843445</v>
      </c>
      <c r="H54" s="111">
        <f t="shared" si="31"/>
        <v>-190360.23538574934</v>
      </c>
      <c r="I54" s="111">
        <f t="shared" si="31"/>
        <v>-208884.57565682274</v>
      </c>
      <c r="J54" s="111">
        <f t="shared" si="31"/>
        <v>-228175.71423714585</v>
      </c>
      <c r="K54" s="111">
        <f t="shared" si="31"/>
        <v>-248270.37450256885</v>
      </c>
      <c r="L54" s="111">
        <f t="shared" si="31"/>
        <v>-269207.27329294459</v>
      </c>
      <c r="M54" s="111">
        <f t="shared" si="31"/>
        <v>-291027.23868062609</v>
      </c>
    </row>
    <row r="55" spans="1:13" x14ac:dyDescent="0.2">
      <c r="A55" s="52" t="s">
        <v>67</v>
      </c>
      <c r="B55" s="52"/>
      <c r="C55" s="52"/>
      <c r="D55" s="106">
        <f>D47+D54</f>
        <v>207888.87179487181</v>
      </c>
      <c r="E55" s="106">
        <f t="shared" ref="E55" si="32">E47+E54</f>
        <v>223816.61154487182</v>
      </c>
      <c r="F55" s="106">
        <f t="shared" ref="F55" si="33">F47+F54</f>
        <v>240058.11537862182</v>
      </c>
      <c r="G55" s="106">
        <f t="shared" ref="G55" si="34">G47+G54</f>
        <v>256612.13179156551</v>
      </c>
      <c r="H55" s="106">
        <f t="shared" ref="H55" si="35">H47+H54</f>
        <v>273476.67854625068</v>
      </c>
      <c r="I55" s="106">
        <f t="shared" ref="I55" si="36">I47+I54</f>
        <v>290648.97569313727</v>
      </c>
      <c r="J55" s="106">
        <f t="shared" ref="J55" si="37">J47+J54</f>
        <v>308125.37365331291</v>
      </c>
      <c r="K55" s="106">
        <f t="shared" ref="K55" si="38">K47+K54</f>
        <v>325901.27602460363</v>
      </c>
      <c r="L55" s="106">
        <f t="shared" ref="L55" si="39">L47+L54</f>
        <v>343971.056750043</v>
      </c>
      <c r="M55" s="106">
        <f t="shared" ref="M55" si="40">M47+M54</f>
        <v>362327.97126365121</v>
      </c>
    </row>
    <row r="56" spans="1:13" x14ac:dyDescent="0.2">
      <c r="A56" s="52" t="s">
        <v>68</v>
      </c>
      <c r="B56" s="52"/>
      <c r="C56" s="109">
        <v>-3500000</v>
      </c>
      <c r="D56" s="52"/>
      <c r="E56" s="52"/>
      <c r="F56" s="52"/>
      <c r="G56" s="52"/>
      <c r="H56" s="52"/>
      <c r="I56" s="52"/>
      <c r="J56" s="52"/>
      <c r="K56" s="52"/>
      <c r="L56" s="52"/>
      <c r="M56" s="52"/>
    </row>
    <row r="57" spans="1:13" ht="17" thickBot="1" x14ac:dyDescent="0.25">
      <c r="A57" s="52" t="s">
        <v>69</v>
      </c>
      <c r="B57" s="52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12">
        <f>I64</f>
        <v>8347868.7465059031</v>
      </c>
    </row>
    <row r="58" spans="1:13" ht="17" thickBot="1" x14ac:dyDescent="0.25">
      <c r="A58" s="104" t="s">
        <v>70</v>
      </c>
      <c r="B58" s="104"/>
      <c r="C58" s="113">
        <f>C56</f>
        <v>-3500000</v>
      </c>
      <c r="D58" s="113">
        <f>D55</f>
        <v>207888.87179487181</v>
      </c>
      <c r="E58" s="113">
        <f t="shared" ref="E58:L58" si="41">E55</f>
        <v>223816.61154487182</v>
      </c>
      <c r="F58" s="113">
        <f t="shared" si="41"/>
        <v>240058.11537862182</v>
      </c>
      <c r="G58" s="113">
        <f t="shared" si="41"/>
        <v>256612.13179156551</v>
      </c>
      <c r="H58" s="113">
        <f t="shared" si="41"/>
        <v>273476.67854625068</v>
      </c>
      <c r="I58" s="113">
        <f t="shared" si="41"/>
        <v>290648.97569313727</v>
      </c>
      <c r="J58" s="113">
        <f t="shared" si="41"/>
        <v>308125.37365331291</v>
      </c>
      <c r="K58" s="113">
        <f t="shared" si="41"/>
        <v>325901.27602460363</v>
      </c>
      <c r="L58" s="113">
        <f t="shared" si="41"/>
        <v>343971.056750043</v>
      </c>
      <c r="M58" s="113">
        <f>M55+M57</f>
        <v>8710196.7177695539</v>
      </c>
    </row>
    <row r="59" spans="1:13" x14ac:dyDescent="0.2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</row>
    <row r="60" spans="1:13" ht="17" thickBot="1" x14ac:dyDescent="0.2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</row>
    <row r="61" spans="1:13" x14ac:dyDescent="0.2">
      <c r="A61" s="114" t="s">
        <v>71</v>
      </c>
      <c r="B61" s="115">
        <v>11500000</v>
      </c>
      <c r="C61" s="114"/>
      <c r="D61" s="114" t="s">
        <v>75</v>
      </c>
      <c r="E61" s="115">
        <v>14500000</v>
      </c>
      <c r="F61" s="114"/>
      <c r="G61" s="114" t="s">
        <v>75</v>
      </c>
      <c r="H61" s="114"/>
      <c r="I61" s="115">
        <f>E61</f>
        <v>14500000</v>
      </c>
      <c r="J61" s="114"/>
      <c r="K61" s="114"/>
      <c r="L61" s="114"/>
      <c r="M61" s="114"/>
    </row>
    <row r="62" spans="1:13" x14ac:dyDescent="0.2">
      <c r="A62" s="116" t="s">
        <v>72</v>
      </c>
      <c r="B62" s="117">
        <f>20100*10</f>
        <v>201000</v>
      </c>
      <c r="C62" s="116"/>
      <c r="D62" s="116" t="s">
        <v>76</v>
      </c>
      <c r="E62" s="118">
        <f>B64*-1</f>
        <v>-9649717.948717948</v>
      </c>
      <c r="F62" s="116"/>
      <c r="G62" s="116" t="s">
        <v>83</v>
      </c>
      <c r="H62" s="116"/>
      <c r="I62" s="119">
        <f>E69*-1</f>
        <v>-932670.51282051299</v>
      </c>
      <c r="J62" s="116"/>
      <c r="K62" s="116"/>
      <c r="L62" s="116"/>
      <c r="M62" s="116"/>
    </row>
    <row r="63" spans="1:13" x14ac:dyDescent="0.2">
      <c r="A63" s="116" t="s">
        <v>64</v>
      </c>
      <c r="B63" s="120">
        <f>D51*10</f>
        <v>-2051282.0512820513</v>
      </c>
      <c r="C63" s="116"/>
      <c r="D63" s="116" t="s">
        <v>77</v>
      </c>
      <c r="E63" s="119">
        <f>E61+E62</f>
        <v>4850282.051282052</v>
      </c>
      <c r="F63" s="116"/>
      <c r="G63" s="116" t="s">
        <v>84</v>
      </c>
      <c r="H63" s="116"/>
      <c r="I63" s="118">
        <f>M73*-1</f>
        <v>-5219460.7406735849</v>
      </c>
      <c r="J63" s="116"/>
      <c r="K63" s="116"/>
      <c r="L63" s="116"/>
      <c r="M63" s="116"/>
    </row>
    <row r="64" spans="1:13" x14ac:dyDescent="0.2">
      <c r="A64" s="116" t="s">
        <v>73</v>
      </c>
      <c r="B64" s="119">
        <f>B61+B62+B63</f>
        <v>9649717.948717948</v>
      </c>
      <c r="C64" s="116"/>
      <c r="D64" s="116"/>
      <c r="E64" s="116"/>
      <c r="F64" s="116"/>
      <c r="G64" s="116" t="s">
        <v>85</v>
      </c>
      <c r="H64" s="116"/>
      <c r="I64" s="119">
        <f>I61+I62+I63</f>
        <v>8347868.7465059031</v>
      </c>
      <c r="J64" s="116"/>
      <c r="K64" s="116"/>
      <c r="L64" s="116"/>
      <c r="M64" s="116"/>
    </row>
    <row r="65" spans="1:13" x14ac:dyDescent="0.2">
      <c r="A65" s="116"/>
      <c r="B65" s="116"/>
      <c r="C65" s="116"/>
      <c r="D65" s="116" t="s">
        <v>78</v>
      </c>
      <c r="E65" s="119">
        <f>B63*-1</f>
        <v>2051282.0512820513</v>
      </c>
      <c r="F65" s="116"/>
      <c r="G65" s="116"/>
      <c r="H65" s="116"/>
      <c r="I65" s="116"/>
      <c r="J65" s="116"/>
      <c r="K65" s="116"/>
      <c r="L65" s="116"/>
      <c r="M65" s="116"/>
    </row>
    <row r="66" spans="1:13" x14ac:dyDescent="0.2">
      <c r="A66" s="116" t="s">
        <v>74</v>
      </c>
      <c r="B66" s="117">
        <v>3500000</v>
      </c>
      <c r="C66" s="116"/>
      <c r="D66" s="116" t="s">
        <v>79</v>
      </c>
      <c r="E66" s="119">
        <f>E65*0.25</f>
        <v>512820.51282051281</v>
      </c>
      <c r="F66" s="116"/>
      <c r="G66" s="116"/>
      <c r="H66" s="116"/>
      <c r="I66" s="116"/>
      <c r="J66" s="116"/>
      <c r="K66" s="116"/>
      <c r="L66" s="116"/>
      <c r="M66" s="116"/>
    </row>
    <row r="67" spans="1:13" x14ac:dyDescent="0.2">
      <c r="A67" s="116" t="s">
        <v>2</v>
      </c>
      <c r="B67" s="119">
        <f>B61-B66</f>
        <v>8000000</v>
      </c>
      <c r="C67" s="116"/>
      <c r="D67" s="116" t="s">
        <v>80</v>
      </c>
      <c r="E67" s="119">
        <f>E63-E65</f>
        <v>2799000.0000000009</v>
      </c>
      <c r="F67" s="116"/>
      <c r="G67" s="116"/>
      <c r="H67" s="121"/>
      <c r="I67" s="116"/>
      <c r="J67" s="116"/>
      <c r="K67" s="116"/>
      <c r="L67" s="116"/>
      <c r="M67" s="116"/>
    </row>
    <row r="68" spans="1:13" x14ac:dyDescent="0.2">
      <c r="A68" s="116"/>
      <c r="B68" s="116"/>
      <c r="C68" s="116"/>
      <c r="D68" s="116" t="s">
        <v>81</v>
      </c>
      <c r="E68" s="118">
        <f>E67*0.15</f>
        <v>419850.00000000012</v>
      </c>
      <c r="F68" s="116"/>
      <c r="G68" s="116" t="s">
        <v>86</v>
      </c>
      <c r="H68" s="116"/>
      <c r="I68" s="122">
        <f>NPV(0.12,D58:M58)+C58</f>
        <v>699916.3688003961</v>
      </c>
      <c r="J68" s="123"/>
      <c r="K68" s="116"/>
      <c r="L68" s="116"/>
      <c r="M68" s="116"/>
    </row>
    <row r="69" spans="1:13" ht="17" thickBot="1" x14ac:dyDescent="0.25">
      <c r="A69" s="104"/>
      <c r="B69" s="104"/>
      <c r="C69" s="104"/>
      <c r="D69" s="104" t="s">
        <v>82</v>
      </c>
      <c r="E69" s="112">
        <f>E66+E68</f>
        <v>932670.51282051299</v>
      </c>
      <c r="F69" s="104"/>
      <c r="G69" s="104" t="s">
        <v>87</v>
      </c>
      <c r="H69" s="104"/>
      <c r="I69" s="124">
        <f>IRR(C58:M58)</f>
        <v>0.14539823121039053</v>
      </c>
      <c r="J69" s="104"/>
      <c r="K69" s="104"/>
      <c r="L69" s="104"/>
      <c r="M69" s="104"/>
    </row>
    <row r="70" spans="1:13" x14ac:dyDescent="0.2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</row>
    <row r="71" spans="1:13" ht="17" thickBot="1" x14ac:dyDescent="0.2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</row>
    <row r="72" spans="1:13" ht="17" thickBot="1" x14ac:dyDescent="0.25">
      <c r="A72" s="100" t="s">
        <v>88</v>
      </c>
      <c r="B72" s="100"/>
      <c r="C72" s="100">
        <v>0</v>
      </c>
      <c r="D72" s="100">
        <v>1</v>
      </c>
      <c r="E72" s="100">
        <v>2</v>
      </c>
      <c r="F72" s="100">
        <v>3</v>
      </c>
      <c r="G72" s="100">
        <v>4</v>
      </c>
      <c r="H72" s="100">
        <v>5</v>
      </c>
      <c r="I72" s="100">
        <v>6</v>
      </c>
      <c r="J72" s="100">
        <v>7</v>
      </c>
      <c r="K72" s="100">
        <v>8</v>
      </c>
      <c r="L72" s="100">
        <v>9</v>
      </c>
      <c r="M72" s="100">
        <v>10</v>
      </c>
    </row>
    <row r="73" spans="1:13" x14ac:dyDescent="0.2">
      <c r="A73" s="52" t="s">
        <v>89</v>
      </c>
      <c r="B73" s="52"/>
      <c r="C73" s="125">
        <v>8000000</v>
      </c>
      <c r="D73" s="102">
        <f>C73-D78</f>
        <v>7793949</v>
      </c>
      <c r="E73" s="102">
        <f>D73-E78</f>
        <v>7574504.6849999996</v>
      </c>
      <c r="F73" s="102">
        <f t="shared" ref="F73:M73" si="42">E73-F78</f>
        <v>7340796.4895249996</v>
      </c>
      <c r="G73" s="102">
        <f t="shared" si="42"/>
        <v>7091897.2613441246</v>
      </c>
      <c r="H73" s="102">
        <f t="shared" si="42"/>
        <v>6826819.5833314927</v>
      </c>
      <c r="I73" s="102">
        <f t="shared" si="42"/>
        <v>6544511.8562480398</v>
      </c>
      <c r="J73" s="102">
        <f t="shared" si="42"/>
        <v>6243854.1269041626</v>
      </c>
      <c r="K73" s="102">
        <f t="shared" si="42"/>
        <v>5923653.645152933</v>
      </c>
      <c r="L73" s="102">
        <f t="shared" si="42"/>
        <v>5582640.1320878733</v>
      </c>
      <c r="M73" s="102">
        <f t="shared" si="42"/>
        <v>5219460.7406735849</v>
      </c>
    </row>
    <row r="74" spans="1:13" x14ac:dyDescent="0.2">
      <c r="A74" s="52" t="s">
        <v>90</v>
      </c>
      <c r="B74" s="52"/>
      <c r="C74" s="52"/>
      <c r="D74" s="125">
        <v>726051</v>
      </c>
      <c r="E74" s="125">
        <v>726051</v>
      </c>
      <c r="F74" s="125">
        <v>726051</v>
      </c>
      <c r="G74" s="125">
        <v>726051</v>
      </c>
      <c r="H74" s="125">
        <v>726051</v>
      </c>
      <c r="I74" s="125">
        <v>726051</v>
      </c>
      <c r="J74" s="125">
        <v>726051</v>
      </c>
      <c r="K74" s="125">
        <v>726051</v>
      </c>
      <c r="L74" s="125">
        <v>726051</v>
      </c>
      <c r="M74" s="125">
        <v>726051</v>
      </c>
    </row>
    <row r="75" spans="1:13" x14ac:dyDescent="0.2">
      <c r="A75" s="52" t="s">
        <v>91</v>
      </c>
      <c r="B75" s="108" t="s">
        <v>99</v>
      </c>
      <c r="C75" s="52"/>
      <c r="D75" s="102"/>
      <c r="E75" s="52"/>
      <c r="F75" s="52"/>
      <c r="G75" s="52"/>
      <c r="H75" s="52"/>
      <c r="I75" s="52"/>
      <c r="J75" s="52"/>
      <c r="K75" s="52"/>
      <c r="L75" s="52"/>
      <c r="M75" s="52"/>
    </row>
    <row r="76" spans="1:13" x14ac:dyDescent="0.2">
      <c r="A76" s="52"/>
      <c r="B76" s="108" t="s">
        <v>94</v>
      </c>
      <c r="C76" s="52"/>
      <c r="D76" s="102">
        <f>C73*0.065</f>
        <v>520000</v>
      </c>
      <c r="E76" s="102">
        <f t="shared" ref="E76:M76" si="43">D73*0.065</f>
        <v>506606.685</v>
      </c>
      <c r="F76" s="102">
        <f t="shared" si="43"/>
        <v>492342.80452499999</v>
      </c>
      <c r="G76" s="102">
        <f t="shared" si="43"/>
        <v>477151.77181912499</v>
      </c>
      <c r="H76" s="102">
        <f t="shared" si="43"/>
        <v>460973.32198736811</v>
      </c>
      <c r="I76" s="102">
        <f t="shared" si="43"/>
        <v>443743.27291654702</v>
      </c>
      <c r="J76" s="102">
        <f t="shared" si="43"/>
        <v>425393.27065612259</v>
      </c>
      <c r="K76" s="102">
        <f t="shared" si="43"/>
        <v>405850.51824877056</v>
      </c>
      <c r="L76" s="102">
        <f t="shared" si="43"/>
        <v>385037.48693494068</v>
      </c>
      <c r="M76" s="102">
        <f t="shared" si="43"/>
        <v>362871.6085857118</v>
      </c>
    </row>
    <row r="77" spans="1:13" x14ac:dyDescent="0.2">
      <c r="A77" s="52" t="s">
        <v>92</v>
      </c>
      <c r="B77" s="108">
        <v>20</v>
      </c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</row>
    <row r="78" spans="1:13" ht="17" thickBot="1" x14ac:dyDescent="0.25">
      <c r="A78" s="104"/>
      <c r="B78" s="126" t="s">
        <v>95</v>
      </c>
      <c r="C78" s="104"/>
      <c r="D78" s="112">
        <f>D74-D76</f>
        <v>206051</v>
      </c>
      <c r="E78" s="112">
        <f>E74-E76</f>
        <v>219444.315</v>
      </c>
      <c r="F78" s="112">
        <f t="shared" ref="F78:M78" si="44">F74-F76</f>
        <v>233708.19547500001</v>
      </c>
      <c r="G78" s="112">
        <f t="shared" si="44"/>
        <v>248899.22818087501</v>
      </c>
      <c r="H78" s="112">
        <f t="shared" si="44"/>
        <v>265077.67801263189</v>
      </c>
      <c r="I78" s="112">
        <f t="shared" si="44"/>
        <v>282307.72708345298</v>
      </c>
      <c r="J78" s="112">
        <f t="shared" si="44"/>
        <v>300657.72934387741</v>
      </c>
      <c r="K78" s="112">
        <f t="shared" si="44"/>
        <v>320200.48175122944</v>
      </c>
      <c r="L78" s="112">
        <f t="shared" si="44"/>
        <v>341013.51306505932</v>
      </c>
      <c r="M78" s="112">
        <f t="shared" si="44"/>
        <v>363179.3914142882</v>
      </c>
    </row>
    <row r="79" spans="1:13" x14ac:dyDescent="0.2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</row>
    <row r="80" spans="1:13" x14ac:dyDescent="0.2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</row>
    <row r="81" spans="1:13" ht="17" thickBot="1" x14ac:dyDescent="0.25">
      <c r="A81" s="129" t="s">
        <v>101</v>
      </c>
      <c r="B81" s="129"/>
      <c r="C81" s="129"/>
      <c r="D81" s="129"/>
      <c r="E81" s="129"/>
      <c r="F81" s="129"/>
      <c r="G81" s="129"/>
      <c r="H81" s="129"/>
      <c r="I81" s="129"/>
      <c r="J81" s="129"/>
      <c r="K81" s="129"/>
      <c r="L81" s="129"/>
      <c r="M81" s="129"/>
    </row>
    <row r="82" spans="1:13" ht="17" thickBot="1" x14ac:dyDescent="0.25">
      <c r="A82" s="100" t="s">
        <v>55</v>
      </c>
      <c r="B82" s="100" t="s">
        <v>56</v>
      </c>
      <c r="C82" s="100">
        <v>0</v>
      </c>
      <c r="D82" s="100">
        <v>1</v>
      </c>
      <c r="E82" s="100">
        <v>2</v>
      </c>
      <c r="F82" s="100">
        <v>3</v>
      </c>
      <c r="G82" s="100">
        <v>4</v>
      </c>
      <c r="H82" s="100">
        <v>5</v>
      </c>
      <c r="I82" s="100">
        <v>6</v>
      </c>
      <c r="J82" s="100">
        <v>7</v>
      </c>
      <c r="K82" s="100">
        <v>8</v>
      </c>
      <c r="L82" s="100">
        <v>9</v>
      </c>
      <c r="M82" s="100">
        <v>10</v>
      </c>
    </row>
    <row r="83" spans="1:13" x14ac:dyDescent="0.2">
      <c r="A83" s="52" t="s">
        <v>57</v>
      </c>
      <c r="B83" s="52" t="s">
        <v>58</v>
      </c>
      <c r="C83" s="101"/>
      <c r="D83" s="102">
        <v>765700</v>
      </c>
      <c r="E83" s="102">
        <f t="shared" ref="E83:M83" si="45">D83*1.03</f>
        <v>788671</v>
      </c>
      <c r="F83" s="102">
        <f t="shared" si="45"/>
        <v>812331.13</v>
      </c>
      <c r="G83" s="102">
        <f t="shared" si="45"/>
        <v>836701.06390000007</v>
      </c>
      <c r="H83" s="102">
        <f t="shared" si="45"/>
        <v>861802.09581700014</v>
      </c>
      <c r="I83" s="102">
        <f t="shared" si="45"/>
        <v>887656.15869151021</v>
      </c>
      <c r="J83" s="102">
        <f t="shared" si="45"/>
        <v>914285.84345225559</v>
      </c>
      <c r="K83" s="102">
        <f t="shared" si="45"/>
        <v>941714.41875582328</v>
      </c>
      <c r="L83" s="102">
        <f t="shared" si="45"/>
        <v>969965.85131849803</v>
      </c>
      <c r="M83" s="102">
        <f t="shared" si="45"/>
        <v>999064.82685805298</v>
      </c>
    </row>
    <row r="84" spans="1:13" x14ac:dyDescent="0.2">
      <c r="A84" s="52" t="s">
        <v>32</v>
      </c>
      <c r="B84" s="52"/>
      <c r="C84" s="52"/>
      <c r="D84" s="109">
        <v>-30000</v>
      </c>
      <c r="E84" s="109">
        <v>-30000</v>
      </c>
      <c r="F84" s="109">
        <v>-30000</v>
      </c>
      <c r="G84" s="109">
        <v>-30000</v>
      </c>
      <c r="H84" s="109">
        <v>-30000</v>
      </c>
      <c r="I84" s="109">
        <v>-30000</v>
      </c>
      <c r="J84" s="109">
        <v>-30000</v>
      </c>
      <c r="K84" s="109">
        <v>-30000</v>
      </c>
      <c r="L84" s="109">
        <v>-30000</v>
      </c>
      <c r="M84" s="109">
        <v>-30000</v>
      </c>
    </row>
    <row r="85" spans="1:13" ht="17" thickBot="1" x14ac:dyDescent="0.25">
      <c r="A85" s="52" t="s">
        <v>59</v>
      </c>
      <c r="B85" s="52"/>
      <c r="C85" s="104"/>
      <c r="D85" s="105">
        <v>-399569</v>
      </c>
      <c r="E85" s="105">
        <v>-399569</v>
      </c>
      <c r="F85" s="105">
        <v>-399569</v>
      </c>
      <c r="G85" s="105">
        <v>-399569</v>
      </c>
      <c r="H85" s="105">
        <v>-399569</v>
      </c>
      <c r="I85" s="105">
        <v>-399569</v>
      </c>
      <c r="J85" s="105">
        <v>-399569</v>
      </c>
      <c r="K85" s="105">
        <v>-399569</v>
      </c>
      <c r="L85" s="105">
        <v>-399569</v>
      </c>
      <c r="M85" s="105">
        <v>-399569</v>
      </c>
    </row>
    <row r="86" spans="1:13" x14ac:dyDescent="0.2">
      <c r="A86" s="52" t="s">
        <v>60</v>
      </c>
      <c r="B86" s="52"/>
      <c r="C86" s="52"/>
      <c r="D86" s="106">
        <f>D83+D84+D85</f>
        <v>336131</v>
      </c>
      <c r="E86" s="106">
        <f t="shared" ref="E86:M86" si="46">E83+E84+E85</f>
        <v>359102</v>
      </c>
      <c r="F86" s="106">
        <f t="shared" si="46"/>
        <v>382762.13</v>
      </c>
      <c r="G86" s="106">
        <f t="shared" si="46"/>
        <v>407132.06390000007</v>
      </c>
      <c r="H86" s="106">
        <f t="shared" si="46"/>
        <v>432233.09581700014</v>
      </c>
      <c r="I86" s="106">
        <f t="shared" si="46"/>
        <v>458087.15869151021</v>
      </c>
      <c r="J86" s="106">
        <f t="shared" si="46"/>
        <v>484716.84345225559</v>
      </c>
      <c r="K86" s="106">
        <f t="shared" si="46"/>
        <v>512145.41875582328</v>
      </c>
      <c r="L86" s="106">
        <f t="shared" si="46"/>
        <v>540396.85131849803</v>
      </c>
      <c r="M86" s="106">
        <f t="shared" si="46"/>
        <v>569495.82685805298</v>
      </c>
    </row>
    <row r="87" spans="1:13" x14ac:dyDescent="0.2">
      <c r="A87" s="52" t="s">
        <v>61</v>
      </c>
      <c r="B87" s="107">
        <v>5500000</v>
      </c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</row>
    <row r="88" spans="1:13" x14ac:dyDescent="0.2">
      <c r="A88" s="52"/>
      <c r="B88" s="108" t="s">
        <v>62</v>
      </c>
      <c r="C88" s="52"/>
      <c r="D88" s="106">
        <f>D117</f>
        <v>69569</v>
      </c>
      <c r="E88" s="106">
        <f t="shared" ref="E88:I88" si="47">E117</f>
        <v>73743.140000000014</v>
      </c>
      <c r="F88" s="106">
        <f t="shared" si="47"/>
        <v>78167.728399999964</v>
      </c>
      <c r="G88" s="106">
        <f t="shared" si="47"/>
        <v>82857.792103999993</v>
      </c>
      <c r="H88" s="106">
        <f t="shared" si="47"/>
        <v>87829.259630240034</v>
      </c>
      <c r="I88" s="106">
        <f t="shared" si="47"/>
        <v>93099.01520805445</v>
      </c>
      <c r="J88" s="106">
        <f>J117</f>
        <v>98684.95612053771</v>
      </c>
      <c r="K88" s="106">
        <f t="shared" ref="K88:M88" si="48">K117</f>
        <v>104606.05348776997</v>
      </c>
      <c r="L88" s="106">
        <f t="shared" si="48"/>
        <v>110882.41669703618</v>
      </c>
      <c r="M88" s="106">
        <f t="shared" si="48"/>
        <v>117535.36169885838</v>
      </c>
    </row>
    <row r="89" spans="1:13" x14ac:dyDescent="0.2">
      <c r="A89" s="52" t="s">
        <v>63</v>
      </c>
      <c r="B89" s="52"/>
      <c r="C89" s="52"/>
      <c r="D89" s="109">
        <v>20000</v>
      </c>
      <c r="E89" s="109">
        <v>20000</v>
      </c>
      <c r="F89" s="109">
        <v>20000</v>
      </c>
      <c r="G89" s="109">
        <v>20000</v>
      </c>
      <c r="H89" s="109">
        <v>20000</v>
      </c>
      <c r="I89" s="109">
        <v>20000</v>
      </c>
      <c r="J89" s="109">
        <v>20000</v>
      </c>
      <c r="K89" s="109">
        <v>20000</v>
      </c>
      <c r="L89" s="109">
        <v>20000</v>
      </c>
      <c r="M89" s="109">
        <v>20000</v>
      </c>
    </row>
    <row r="90" spans="1:13" ht="17" thickBot="1" x14ac:dyDescent="0.25">
      <c r="A90" s="52" t="s">
        <v>64</v>
      </c>
      <c r="B90" s="108" t="s">
        <v>96</v>
      </c>
      <c r="C90" s="104"/>
      <c r="D90" s="105">
        <f>'Exhibit 1'!$D$5/'Exhibit 1'!$D$6*-1</f>
        <v>-305454.54545454547</v>
      </c>
      <c r="E90" s="105">
        <f>'Exhibit 1'!$D$5/'Exhibit 1'!$D$6*-1</f>
        <v>-305454.54545454547</v>
      </c>
      <c r="F90" s="105">
        <f>'Exhibit 1'!$D$5/'Exhibit 1'!$D$6*-1</f>
        <v>-305454.54545454547</v>
      </c>
      <c r="G90" s="105">
        <f>'Exhibit 1'!$D$5/'Exhibit 1'!$D$6*-1</f>
        <v>-305454.54545454547</v>
      </c>
      <c r="H90" s="105">
        <f>'Exhibit 1'!$D$5/'Exhibit 1'!$D$6*-1</f>
        <v>-305454.54545454547</v>
      </c>
      <c r="I90" s="105">
        <f>'Exhibit 1'!$D$5/'Exhibit 1'!$D$6*-1</f>
        <v>-305454.54545454547</v>
      </c>
      <c r="J90" s="105">
        <f>'Exhibit 1'!$D$5/'Exhibit 1'!$D$6*-1</f>
        <v>-305454.54545454547</v>
      </c>
      <c r="K90" s="105">
        <f>'Exhibit 1'!$D$5/'Exhibit 1'!$D$6*-1</f>
        <v>-305454.54545454547</v>
      </c>
      <c r="L90" s="105">
        <f>'Exhibit 1'!$D$5/'Exhibit 1'!$D$6*-1</f>
        <v>-305454.54545454547</v>
      </c>
      <c r="M90" s="105">
        <f>'Exhibit 1'!$D$5/'Exhibit 1'!$D$6*-1</f>
        <v>-305454.54545454547</v>
      </c>
    </row>
    <row r="91" spans="1:13" x14ac:dyDescent="0.2">
      <c r="A91" s="52" t="s">
        <v>65</v>
      </c>
      <c r="B91" s="52"/>
      <c r="C91" s="52"/>
      <c r="D91" s="106">
        <f>D86+D88+D89+D90</f>
        <v>120245.45454545453</v>
      </c>
      <c r="E91" s="106">
        <f t="shared" ref="E91" si="49">E86+E88+E89+E90</f>
        <v>147390.59454545454</v>
      </c>
      <c r="F91" s="106">
        <f t="shared" ref="F91" si="50">F86+F88+F89+F90</f>
        <v>175475.3129454545</v>
      </c>
      <c r="G91" s="106">
        <f t="shared" ref="G91" si="51">G86+G88+G89+G90</f>
        <v>204535.31054945459</v>
      </c>
      <c r="H91" s="106">
        <f t="shared" ref="H91" si="52">H86+H88+H89+H90</f>
        <v>234607.8099926947</v>
      </c>
      <c r="I91" s="106">
        <f t="shared" ref="I91" si="53">I86+I88+I89+I90</f>
        <v>265731.62844501919</v>
      </c>
      <c r="J91" s="106">
        <f t="shared" ref="J91" si="54">J86+J88+J89+J90</f>
        <v>297947.25411824783</v>
      </c>
      <c r="K91" s="106">
        <f t="shared" ref="K91" si="55">K86+K88+K89+K90</f>
        <v>331296.92678904784</v>
      </c>
      <c r="L91" s="106">
        <f t="shared" ref="L91" si="56">L86+L88+L89+L90</f>
        <v>365824.72256098868</v>
      </c>
      <c r="M91" s="106">
        <f t="shared" ref="M91" si="57">M86+M88+M89+M90</f>
        <v>401576.64310236595</v>
      </c>
    </row>
    <row r="92" spans="1:13" x14ac:dyDescent="0.2">
      <c r="A92" s="52" t="s">
        <v>66</v>
      </c>
      <c r="B92" s="110">
        <v>0.35</v>
      </c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</row>
    <row r="93" spans="1:13" ht="17" thickBot="1" x14ac:dyDescent="0.25">
      <c r="A93" s="52"/>
      <c r="B93" s="108" t="s">
        <v>97</v>
      </c>
      <c r="C93" s="104"/>
      <c r="D93" s="111">
        <f>D91*0.35*-1</f>
        <v>-42085.909090909081</v>
      </c>
      <c r="E93" s="111">
        <f>E91*0.35*-1</f>
        <v>-51586.708090909087</v>
      </c>
      <c r="F93" s="111">
        <f t="shared" ref="F93:M93" si="58">F91*0.35*-1</f>
        <v>-61416.359530909067</v>
      </c>
      <c r="G93" s="111">
        <f t="shared" si="58"/>
        <v>-71587.358692309106</v>
      </c>
      <c r="H93" s="111">
        <f t="shared" si="58"/>
        <v>-82112.733497443143</v>
      </c>
      <c r="I93" s="111">
        <f t="shared" si="58"/>
        <v>-93006.069955756713</v>
      </c>
      <c r="J93" s="111">
        <f t="shared" si="58"/>
        <v>-104281.53894138674</v>
      </c>
      <c r="K93" s="111">
        <f t="shared" si="58"/>
        <v>-115953.92437616673</v>
      </c>
      <c r="L93" s="111">
        <f t="shared" si="58"/>
        <v>-128038.65289634603</v>
      </c>
      <c r="M93" s="111">
        <f t="shared" si="58"/>
        <v>-140551.82508582808</v>
      </c>
    </row>
    <row r="94" spans="1:13" x14ac:dyDescent="0.2">
      <c r="A94" s="52" t="s">
        <v>67</v>
      </c>
      <c r="B94" s="52"/>
      <c r="C94" s="52"/>
      <c r="D94" s="106">
        <f>D86+D93</f>
        <v>294045.09090909094</v>
      </c>
      <c r="E94" s="106">
        <f t="shared" ref="E94" si="59">E86+E93</f>
        <v>307515.29190909094</v>
      </c>
      <c r="F94" s="106">
        <f t="shared" ref="F94" si="60">F86+F93</f>
        <v>321345.77046909096</v>
      </c>
      <c r="G94" s="106">
        <f t="shared" ref="G94" si="61">G86+G93</f>
        <v>335544.70520769095</v>
      </c>
      <c r="H94" s="106">
        <f t="shared" ref="H94" si="62">H86+H93</f>
        <v>350120.362319557</v>
      </c>
      <c r="I94" s="106">
        <f t="shared" ref="I94" si="63">I86+I93</f>
        <v>365081.0887357535</v>
      </c>
      <c r="J94" s="106">
        <f t="shared" ref="J94" si="64">J86+J93</f>
        <v>380435.30451086885</v>
      </c>
      <c r="K94" s="106">
        <f t="shared" ref="K94" si="65">K86+K93</f>
        <v>396191.49437965656</v>
      </c>
      <c r="L94" s="106">
        <f t="shared" ref="L94" si="66">L86+L93</f>
        <v>412358.19842215197</v>
      </c>
      <c r="M94" s="106">
        <f t="shared" ref="M94" si="67">M86+M93</f>
        <v>428944.0017722249</v>
      </c>
    </row>
    <row r="95" spans="1:13" x14ac:dyDescent="0.2">
      <c r="A95" s="52" t="s">
        <v>68</v>
      </c>
      <c r="B95" s="52"/>
      <c r="C95" s="109">
        <v>-2900000</v>
      </c>
      <c r="D95" s="52"/>
      <c r="E95" s="52"/>
      <c r="F95" s="52"/>
      <c r="G95" s="52"/>
      <c r="H95" s="52"/>
      <c r="I95" s="52"/>
      <c r="J95" s="52"/>
      <c r="K95" s="52"/>
      <c r="L95" s="52"/>
      <c r="M95" s="52"/>
    </row>
    <row r="96" spans="1:13" ht="17" thickBot="1" x14ac:dyDescent="0.25">
      <c r="A96" s="52" t="s">
        <v>69</v>
      </c>
      <c r="B96" s="52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12">
        <f>I103</f>
        <v>4868338.3597101346</v>
      </c>
    </row>
    <row r="97" spans="1:13" ht="17" thickBot="1" x14ac:dyDescent="0.25">
      <c r="A97" s="104" t="s">
        <v>70</v>
      </c>
      <c r="B97" s="104"/>
      <c r="C97" s="113">
        <f>C95</f>
        <v>-2900000</v>
      </c>
      <c r="D97" s="113">
        <f>D94</f>
        <v>294045.09090909094</v>
      </c>
      <c r="E97" s="113">
        <f t="shared" ref="E97:L97" si="68">E94</f>
        <v>307515.29190909094</v>
      </c>
      <c r="F97" s="113">
        <f t="shared" si="68"/>
        <v>321345.77046909096</v>
      </c>
      <c r="G97" s="113">
        <f t="shared" si="68"/>
        <v>335544.70520769095</v>
      </c>
      <c r="H97" s="113">
        <f t="shared" si="68"/>
        <v>350120.362319557</v>
      </c>
      <c r="I97" s="113">
        <f t="shared" si="68"/>
        <v>365081.0887357535</v>
      </c>
      <c r="J97" s="113">
        <f t="shared" si="68"/>
        <v>380435.30451086885</v>
      </c>
      <c r="K97" s="113">
        <f t="shared" si="68"/>
        <v>396191.49437965656</v>
      </c>
      <c r="L97" s="113">
        <f t="shared" si="68"/>
        <v>412358.19842215197</v>
      </c>
      <c r="M97" s="113">
        <f>M94+M96</f>
        <v>5297282.3614823595</v>
      </c>
    </row>
    <row r="98" spans="1:13" x14ac:dyDescent="0.2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</row>
    <row r="99" spans="1:13" ht="17" thickBot="1" x14ac:dyDescent="0.2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</row>
    <row r="100" spans="1:13" x14ac:dyDescent="0.2">
      <c r="A100" s="114" t="s">
        <v>71</v>
      </c>
      <c r="B100" s="115">
        <v>8400000</v>
      </c>
      <c r="C100" s="114"/>
      <c r="D100" s="114" t="s">
        <v>75</v>
      </c>
      <c r="E100" s="115">
        <v>10500000</v>
      </c>
      <c r="F100" s="114"/>
      <c r="G100" s="114" t="s">
        <v>75</v>
      </c>
      <c r="H100" s="114"/>
      <c r="I100" s="115">
        <f>E100</f>
        <v>10500000</v>
      </c>
      <c r="J100" s="114"/>
      <c r="K100" s="114"/>
      <c r="L100" s="114"/>
      <c r="M100" s="114"/>
    </row>
    <row r="101" spans="1:13" x14ac:dyDescent="0.2">
      <c r="A101" s="116" t="s">
        <v>72</v>
      </c>
      <c r="B101" s="117">
        <f>20000*10</f>
        <v>200000</v>
      </c>
      <c r="C101" s="116"/>
      <c r="D101" s="116" t="s">
        <v>76</v>
      </c>
      <c r="E101" s="118">
        <f>B103*-1</f>
        <v>-5545454.5454545449</v>
      </c>
      <c r="F101" s="116"/>
      <c r="G101" s="116" t="s">
        <v>83</v>
      </c>
      <c r="H101" s="116"/>
      <c r="I101" s="119">
        <f>E108*-1</f>
        <v>-1048636.3636363638</v>
      </c>
      <c r="J101" s="116"/>
      <c r="K101" s="116"/>
      <c r="L101" s="116"/>
      <c r="M101" s="116"/>
    </row>
    <row r="102" spans="1:13" x14ac:dyDescent="0.2">
      <c r="A102" s="116" t="s">
        <v>64</v>
      </c>
      <c r="B102" s="120">
        <f>D90*10</f>
        <v>-3054545.4545454546</v>
      </c>
      <c r="C102" s="116"/>
      <c r="D102" s="116" t="s">
        <v>77</v>
      </c>
      <c r="E102" s="119">
        <f>E100+E101</f>
        <v>4954545.4545454551</v>
      </c>
      <c r="F102" s="116"/>
      <c r="G102" s="116" t="s">
        <v>84</v>
      </c>
      <c r="H102" s="116"/>
      <c r="I102" s="118">
        <f>M112*-1</f>
        <v>-4583025.2766535021</v>
      </c>
      <c r="J102" s="116"/>
      <c r="K102" s="116"/>
      <c r="L102" s="116"/>
      <c r="M102" s="116"/>
    </row>
    <row r="103" spans="1:13" x14ac:dyDescent="0.2">
      <c r="A103" s="116" t="s">
        <v>73</v>
      </c>
      <c r="B103" s="119">
        <f>B100+B101+B102</f>
        <v>5545454.5454545449</v>
      </c>
      <c r="C103" s="116"/>
      <c r="D103" s="116"/>
      <c r="E103" s="116"/>
      <c r="F103" s="116"/>
      <c r="G103" s="116" t="s">
        <v>85</v>
      </c>
      <c r="H103" s="116"/>
      <c r="I103" s="119">
        <f>I100+I101+I102</f>
        <v>4868338.3597101346</v>
      </c>
      <c r="J103" s="116"/>
      <c r="K103" s="116"/>
      <c r="L103" s="116"/>
      <c r="M103" s="116"/>
    </row>
    <row r="104" spans="1:13" x14ac:dyDescent="0.2">
      <c r="A104" s="116"/>
      <c r="B104" s="116"/>
      <c r="C104" s="116"/>
      <c r="D104" s="116" t="s">
        <v>78</v>
      </c>
      <c r="E104" s="119">
        <f>B102*-1</f>
        <v>3054545.4545454546</v>
      </c>
      <c r="F104" s="116"/>
      <c r="G104" s="116"/>
      <c r="H104" s="116"/>
      <c r="I104" s="116"/>
      <c r="J104" s="116"/>
      <c r="K104" s="116"/>
      <c r="L104" s="116"/>
      <c r="M104" s="116"/>
    </row>
    <row r="105" spans="1:13" x14ac:dyDescent="0.2">
      <c r="A105" s="116" t="s">
        <v>74</v>
      </c>
      <c r="B105" s="117">
        <v>0</v>
      </c>
      <c r="C105" s="116"/>
      <c r="D105" s="116" t="s">
        <v>79</v>
      </c>
      <c r="E105" s="119">
        <f>E104*0.25</f>
        <v>763636.36363636365</v>
      </c>
      <c r="F105" s="116"/>
      <c r="G105" s="116"/>
      <c r="H105" s="116"/>
      <c r="I105" s="116"/>
      <c r="J105" s="116"/>
      <c r="K105" s="116"/>
      <c r="L105" s="116"/>
      <c r="M105" s="116"/>
    </row>
    <row r="106" spans="1:13" x14ac:dyDescent="0.2">
      <c r="A106" s="116" t="s">
        <v>2</v>
      </c>
      <c r="B106" s="119">
        <f>B100-B105</f>
        <v>8400000</v>
      </c>
      <c r="C106" s="116"/>
      <c r="D106" s="116" t="s">
        <v>80</v>
      </c>
      <c r="E106" s="119">
        <f>E102-E104</f>
        <v>1900000.0000000005</v>
      </c>
      <c r="F106" s="116"/>
      <c r="G106" s="116"/>
      <c r="H106" s="121"/>
      <c r="I106" s="116"/>
      <c r="J106" s="116"/>
      <c r="K106" s="116"/>
      <c r="L106" s="116"/>
      <c r="M106" s="116"/>
    </row>
    <row r="107" spans="1:13" x14ac:dyDescent="0.2">
      <c r="A107" s="116"/>
      <c r="B107" s="116"/>
      <c r="C107" s="116"/>
      <c r="D107" s="116" t="s">
        <v>81</v>
      </c>
      <c r="E107" s="118">
        <f>E106*0.15</f>
        <v>285000.00000000006</v>
      </c>
      <c r="F107" s="116"/>
      <c r="G107" s="116" t="s">
        <v>86</v>
      </c>
      <c r="H107" s="116"/>
      <c r="I107" s="122">
        <f>NPV(0.12,D97:M97)+C97</f>
        <v>619679.36216078512</v>
      </c>
      <c r="J107" s="123"/>
      <c r="K107" s="116"/>
      <c r="L107" s="116"/>
      <c r="M107" s="116"/>
    </row>
    <row r="108" spans="1:13" ht="17" thickBot="1" x14ac:dyDescent="0.25">
      <c r="A108" s="104"/>
      <c r="B108" s="104"/>
      <c r="C108" s="104"/>
      <c r="D108" s="104" t="s">
        <v>82</v>
      </c>
      <c r="E108" s="112">
        <f>E105+E107</f>
        <v>1048636.3636363638</v>
      </c>
      <c r="F108" s="104"/>
      <c r="G108" s="104" t="s">
        <v>87</v>
      </c>
      <c r="H108" s="104"/>
      <c r="I108" s="124">
        <f>IRR(C97:M97)</f>
        <v>0.15128811737524339</v>
      </c>
      <c r="J108" s="104"/>
      <c r="K108" s="104"/>
      <c r="L108" s="104"/>
      <c r="M108" s="104"/>
    </row>
    <row r="109" spans="1:13" x14ac:dyDescent="0.2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</row>
    <row r="110" spans="1:13" ht="17" thickBot="1" x14ac:dyDescent="0.2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</row>
    <row r="111" spans="1:13" ht="17" thickBot="1" x14ac:dyDescent="0.25">
      <c r="A111" s="100" t="s">
        <v>88</v>
      </c>
      <c r="B111" s="100"/>
      <c r="C111" s="100">
        <v>0</v>
      </c>
      <c r="D111" s="100">
        <v>1</v>
      </c>
      <c r="E111" s="100">
        <v>2</v>
      </c>
      <c r="F111" s="100">
        <v>3</v>
      </c>
      <c r="G111" s="100">
        <v>4</v>
      </c>
      <c r="H111" s="100">
        <v>5</v>
      </c>
      <c r="I111" s="100">
        <v>6</v>
      </c>
      <c r="J111" s="100">
        <v>7</v>
      </c>
      <c r="K111" s="100">
        <v>8</v>
      </c>
      <c r="L111" s="100">
        <v>9</v>
      </c>
      <c r="M111" s="100">
        <v>10</v>
      </c>
    </row>
    <row r="112" spans="1:13" x14ac:dyDescent="0.2">
      <c r="A112" s="52" t="s">
        <v>89</v>
      </c>
      <c r="B112" s="52"/>
      <c r="C112" s="125">
        <v>5500000</v>
      </c>
      <c r="D112" s="102">
        <f>C112-D117</f>
        <v>5430431</v>
      </c>
      <c r="E112" s="102">
        <f>D112-E117</f>
        <v>5356687.8600000003</v>
      </c>
      <c r="F112" s="102">
        <f t="shared" ref="F112:M112" si="69">E112-F117</f>
        <v>5278520.1316</v>
      </c>
      <c r="G112" s="102">
        <f t="shared" si="69"/>
        <v>5195662.3394959997</v>
      </c>
      <c r="H112" s="102">
        <f t="shared" si="69"/>
        <v>5107833.0798657592</v>
      </c>
      <c r="I112" s="102">
        <f t="shared" si="69"/>
        <v>5014734.0646577049</v>
      </c>
      <c r="J112" s="102">
        <f t="shared" si="69"/>
        <v>4916049.1085371673</v>
      </c>
      <c r="K112" s="102">
        <f t="shared" si="69"/>
        <v>4811443.0550493971</v>
      </c>
      <c r="L112" s="102">
        <f t="shared" si="69"/>
        <v>4700560.6383523606</v>
      </c>
      <c r="M112" s="102">
        <f t="shared" si="69"/>
        <v>4583025.2766535021</v>
      </c>
    </row>
    <row r="113" spans="1:13" x14ac:dyDescent="0.2">
      <c r="A113" s="52" t="s">
        <v>90</v>
      </c>
      <c r="B113" s="52"/>
      <c r="C113" s="52"/>
      <c r="D113" s="125">
        <v>399569</v>
      </c>
      <c r="E113" s="125">
        <v>399569</v>
      </c>
      <c r="F113" s="125">
        <v>399569</v>
      </c>
      <c r="G113" s="125">
        <v>399569</v>
      </c>
      <c r="H113" s="125">
        <v>399569</v>
      </c>
      <c r="I113" s="125">
        <v>399569</v>
      </c>
      <c r="J113" s="125">
        <v>399569</v>
      </c>
      <c r="K113" s="125">
        <v>399569</v>
      </c>
      <c r="L113" s="125">
        <v>399569</v>
      </c>
      <c r="M113" s="125">
        <v>399569</v>
      </c>
    </row>
    <row r="114" spans="1:13" x14ac:dyDescent="0.2">
      <c r="A114" s="52" t="s">
        <v>91</v>
      </c>
      <c r="B114" s="108" t="s">
        <v>93</v>
      </c>
      <c r="C114" s="52"/>
      <c r="D114" s="102"/>
      <c r="E114" s="52"/>
      <c r="F114" s="52"/>
      <c r="G114" s="52"/>
      <c r="H114" s="52"/>
      <c r="I114" s="52"/>
      <c r="J114" s="52"/>
      <c r="K114" s="52"/>
      <c r="L114" s="52"/>
      <c r="M114" s="52"/>
    </row>
    <row r="115" spans="1:13" x14ac:dyDescent="0.2">
      <c r="A115" s="52"/>
      <c r="B115" s="108" t="s">
        <v>94</v>
      </c>
      <c r="C115" s="52"/>
      <c r="D115" s="102">
        <f>C112*0.06</f>
        <v>330000</v>
      </c>
      <c r="E115" s="102">
        <f t="shared" ref="E115:M115" si="70">D112*0.06</f>
        <v>325825.86</v>
      </c>
      <c r="F115" s="102">
        <f t="shared" si="70"/>
        <v>321401.27160000004</v>
      </c>
      <c r="G115" s="102">
        <f t="shared" si="70"/>
        <v>316711.20789600001</v>
      </c>
      <c r="H115" s="102">
        <f t="shared" si="70"/>
        <v>311739.74036975997</v>
      </c>
      <c r="I115" s="102">
        <f t="shared" si="70"/>
        <v>306469.98479194555</v>
      </c>
      <c r="J115" s="102">
        <f t="shared" si="70"/>
        <v>300884.04387946229</v>
      </c>
      <c r="K115" s="102">
        <f t="shared" si="70"/>
        <v>294962.94651223003</v>
      </c>
      <c r="L115" s="102">
        <f t="shared" si="70"/>
        <v>288686.58330296382</v>
      </c>
      <c r="M115" s="102">
        <f t="shared" si="70"/>
        <v>282033.63830114162</v>
      </c>
    </row>
    <row r="116" spans="1:13" x14ac:dyDescent="0.2">
      <c r="A116" s="52" t="s">
        <v>92</v>
      </c>
      <c r="B116" s="108">
        <v>30</v>
      </c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</row>
    <row r="117" spans="1:13" ht="17" thickBot="1" x14ac:dyDescent="0.25">
      <c r="A117" s="104"/>
      <c r="B117" s="126" t="s">
        <v>95</v>
      </c>
      <c r="C117" s="104"/>
      <c r="D117" s="112">
        <f>D113-D115</f>
        <v>69569</v>
      </c>
      <c r="E117" s="112">
        <f>E113-E115</f>
        <v>73743.140000000014</v>
      </c>
      <c r="F117" s="112">
        <f t="shared" ref="F117:M117" si="71">F113-F115</f>
        <v>78167.728399999964</v>
      </c>
      <c r="G117" s="112">
        <f t="shared" si="71"/>
        <v>82857.792103999993</v>
      </c>
      <c r="H117" s="112">
        <f t="shared" si="71"/>
        <v>87829.259630240034</v>
      </c>
      <c r="I117" s="112">
        <f t="shared" si="71"/>
        <v>93099.01520805445</v>
      </c>
      <c r="J117" s="112">
        <f t="shared" si="71"/>
        <v>98684.95612053771</v>
      </c>
      <c r="K117" s="112">
        <f t="shared" si="71"/>
        <v>104606.05348776997</v>
      </c>
      <c r="L117" s="112">
        <f t="shared" si="71"/>
        <v>110882.41669703618</v>
      </c>
      <c r="M117" s="112">
        <f t="shared" si="71"/>
        <v>117535.36169885838</v>
      </c>
    </row>
    <row r="118" spans="1:13" x14ac:dyDescent="0.2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</row>
    <row r="119" spans="1:13" x14ac:dyDescent="0.2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</row>
    <row r="120" spans="1:13" ht="17" thickBot="1" x14ac:dyDescent="0.25">
      <c r="A120" s="130" t="s">
        <v>102</v>
      </c>
      <c r="B120" s="130"/>
      <c r="C120" s="130"/>
      <c r="D120" s="130"/>
      <c r="E120" s="130"/>
      <c r="F120" s="130"/>
      <c r="G120" s="130"/>
      <c r="H120" s="130"/>
      <c r="I120" s="130"/>
      <c r="J120" s="130"/>
      <c r="K120" s="130"/>
      <c r="L120" s="130"/>
      <c r="M120" s="131"/>
    </row>
    <row r="121" spans="1:13" ht="17" thickBot="1" x14ac:dyDescent="0.25">
      <c r="A121" s="100" t="s">
        <v>55</v>
      </c>
      <c r="B121" s="100" t="s">
        <v>56</v>
      </c>
      <c r="C121" s="100">
        <v>0</v>
      </c>
      <c r="D121" s="100">
        <v>1</v>
      </c>
      <c r="E121" s="100">
        <v>2</v>
      </c>
      <c r="F121" s="100">
        <v>3</v>
      </c>
      <c r="G121" s="100">
        <v>4</v>
      </c>
      <c r="H121" s="100">
        <v>5</v>
      </c>
      <c r="I121" s="100">
        <v>6</v>
      </c>
      <c r="J121" s="100">
        <v>7</v>
      </c>
      <c r="K121" s="100">
        <v>8</v>
      </c>
      <c r="L121" s="100">
        <v>9</v>
      </c>
      <c r="M121" s="100">
        <v>10</v>
      </c>
    </row>
    <row r="122" spans="1:13" x14ac:dyDescent="0.2">
      <c r="A122" s="52" t="s">
        <v>57</v>
      </c>
      <c r="B122" s="52" t="s">
        <v>104</v>
      </c>
      <c r="C122" s="101"/>
      <c r="D122" s="102">
        <v>788300</v>
      </c>
      <c r="E122" s="102">
        <f>D122*1.04</f>
        <v>819832</v>
      </c>
      <c r="F122" s="102">
        <f t="shared" ref="F122:M122" si="72">E122*1.04</f>
        <v>852625.28</v>
      </c>
      <c r="G122" s="102">
        <f t="shared" si="72"/>
        <v>886730.29120000009</v>
      </c>
      <c r="H122" s="102">
        <f t="shared" si="72"/>
        <v>922199.50284800015</v>
      </c>
      <c r="I122" s="102">
        <f t="shared" si="72"/>
        <v>959087.48296192021</v>
      </c>
      <c r="J122" s="102">
        <f t="shared" si="72"/>
        <v>997450.98228039709</v>
      </c>
      <c r="K122" s="102">
        <f t="shared" si="72"/>
        <v>1037349.021571613</v>
      </c>
      <c r="L122" s="102">
        <f t="shared" si="72"/>
        <v>1078842.9824344777</v>
      </c>
      <c r="M122" s="102">
        <f t="shared" si="72"/>
        <v>1121996.7017318569</v>
      </c>
    </row>
    <row r="123" spans="1:13" x14ac:dyDescent="0.2">
      <c r="A123" s="52" t="s">
        <v>32</v>
      </c>
      <c r="B123" s="52"/>
      <c r="C123" s="52"/>
      <c r="D123" s="109">
        <v>-70000</v>
      </c>
      <c r="E123" s="109">
        <v>-70000</v>
      </c>
      <c r="F123" s="109">
        <v>-70000</v>
      </c>
      <c r="G123" s="109">
        <v>-70000</v>
      </c>
      <c r="H123" s="109">
        <v>-70000</v>
      </c>
      <c r="I123" s="109">
        <v>-70000</v>
      </c>
      <c r="J123" s="109">
        <v>-70000</v>
      </c>
      <c r="K123" s="109">
        <v>-70000</v>
      </c>
      <c r="L123" s="109">
        <v>-70000</v>
      </c>
      <c r="M123" s="109">
        <v>-70000</v>
      </c>
    </row>
    <row r="124" spans="1:13" ht="17" customHeight="1" thickBot="1" x14ac:dyDescent="0.25">
      <c r="A124" s="52" t="s">
        <v>59</v>
      </c>
      <c r="B124" s="52"/>
      <c r="C124" s="104"/>
      <c r="D124" s="105">
        <v>-627975</v>
      </c>
      <c r="E124" s="105">
        <v>-627975</v>
      </c>
      <c r="F124" s="105">
        <v>-627975</v>
      </c>
      <c r="G124" s="105">
        <v>-627975</v>
      </c>
      <c r="H124" s="105">
        <v>-627975</v>
      </c>
      <c r="I124" s="105">
        <v>-627975</v>
      </c>
      <c r="J124" s="105">
        <v>-627975</v>
      </c>
      <c r="K124" s="105">
        <v>-627975</v>
      </c>
      <c r="L124" s="105">
        <v>-627975</v>
      </c>
      <c r="M124" s="105">
        <v>-627975</v>
      </c>
    </row>
    <row r="125" spans="1:13" ht="16" customHeight="1" x14ac:dyDescent="0.2">
      <c r="A125" s="52" t="s">
        <v>60</v>
      </c>
      <c r="B125" s="52"/>
      <c r="C125" s="52"/>
      <c r="D125" s="106">
        <f>D122+D123+D124</f>
        <v>90325</v>
      </c>
      <c r="E125" s="106">
        <f t="shared" ref="E125" si="73">E122+E123+E124</f>
        <v>121857</v>
      </c>
      <c r="F125" s="106">
        <f t="shared" ref="F125" si="74">F122+F123+F124</f>
        <v>154650.28000000003</v>
      </c>
      <c r="G125" s="106">
        <f t="shared" ref="G125" si="75">G122+G123+G124</f>
        <v>188755.29120000009</v>
      </c>
      <c r="H125" s="106">
        <f t="shared" ref="H125" si="76">H122+H123+H124</f>
        <v>224224.50284800015</v>
      </c>
      <c r="I125" s="106">
        <f t="shared" ref="I125" si="77">I122+I123+I124</f>
        <v>261112.48296192021</v>
      </c>
      <c r="J125" s="106">
        <f t="shared" ref="J125" si="78">J122+J123+J124</f>
        <v>299475.98228039709</v>
      </c>
      <c r="K125" s="106">
        <f t="shared" ref="K125" si="79">K122+K123+K124</f>
        <v>339374.02157161303</v>
      </c>
      <c r="L125" s="106">
        <f t="shared" ref="L125" si="80">L122+L123+L124</f>
        <v>380867.98243447766</v>
      </c>
      <c r="M125" s="106">
        <f t="shared" ref="M125" si="81">M122+M123+M124</f>
        <v>424021.70173185691</v>
      </c>
    </row>
    <row r="126" spans="1:13" ht="16" customHeight="1" x14ac:dyDescent="0.2">
      <c r="A126" s="52" t="s">
        <v>61</v>
      </c>
      <c r="B126" s="107">
        <v>7000000</v>
      </c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</row>
    <row r="127" spans="1:13" x14ac:dyDescent="0.2">
      <c r="A127" s="52"/>
      <c r="B127" s="108" t="s">
        <v>62</v>
      </c>
      <c r="C127" s="52"/>
      <c r="D127" s="106">
        <f>D156</f>
        <v>102975</v>
      </c>
      <c r="E127" s="106">
        <f t="shared" ref="E127:I127" si="82">E156</f>
        <v>110698.125</v>
      </c>
      <c r="F127" s="106">
        <f t="shared" si="82"/>
        <v>119000.484375</v>
      </c>
      <c r="G127" s="106">
        <f t="shared" si="82"/>
        <v>127925.52070312505</v>
      </c>
      <c r="H127" s="106">
        <f t="shared" si="82"/>
        <v>137519.93475585937</v>
      </c>
      <c r="I127" s="106">
        <f t="shared" si="82"/>
        <v>147833.92986254883</v>
      </c>
      <c r="J127" s="106">
        <f>J156</f>
        <v>158921.47460223996</v>
      </c>
      <c r="K127" s="106">
        <f t="shared" ref="K127:M127" si="83">K156</f>
        <v>170840.58519740793</v>
      </c>
      <c r="L127" s="106">
        <f t="shared" si="83"/>
        <v>183653.62908721354</v>
      </c>
      <c r="M127" s="106">
        <f t="shared" si="83"/>
        <v>197427.65126875456</v>
      </c>
    </row>
    <row r="128" spans="1:13" x14ac:dyDescent="0.2">
      <c r="A128" s="52" t="s">
        <v>63</v>
      </c>
      <c r="B128" s="52"/>
      <c r="C128" s="52"/>
      <c r="D128" s="109">
        <v>15000</v>
      </c>
      <c r="E128" s="109">
        <v>15000</v>
      </c>
      <c r="F128" s="109">
        <v>15000</v>
      </c>
      <c r="G128" s="109">
        <v>15000</v>
      </c>
      <c r="H128" s="109">
        <v>15000</v>
      </c>
      <c r="I128" s="109">
        <v>15000</v>
      </c>
      <c r="J128" s="109">
        <v>15000</v>
      </c>
      <c r="K128" s="109">
        <v>15000</v>
      </c>
      <c r="L128" s="109">
        <v>15000</v>
      </c>
      <c r="M128" s="109">
        <v>15000</v>
      </c>
    </row>
    <row r="129" spans="1:13" ht="17" thickBot="1" x14ac:dyDescent="0.25">
      <c r="A129" s="52" t="s">
        <v>64</v>
      </c>
      <c r="B129" s="108" t="s">
        <v>100</v>
      </c>
      <c r="C129" s="104"/>
      <c r="D129" s="105">
        <f>'Exhibit 1'!$E$5/'Exhibit 1'!$E$6*-1</f>
        <v>-241025.64102564103</v>
      </c>
      <c r="E129" s="105">
        <f>'Exhibit 1'!$E$5/'Exhibit 1'!$E$6*-1</f>
        <v>-241025.64102564103</v>
      </c>
      <c r="F129" s="105">
        <f>'Exhibit 1'!$E$5/'Exhibit 1'!$E$6*-1</f>
        <v>-241025.64102564103</v>
      </c>
      <c r="G129" s="105">
        <f>'Exhibit 1'!$E$5/'Exhibit 1'!$E$6*-1</f>
        <v>-241025.64102564103</v>
      </c>
      <c r="H129" s="105">
        <f>'Exhibit 1'!$E$5/'Exhibit 1'!$E$6*-1</f>
        <v>-241025.64102564103</v>
      </c>
      <c r="I129" s="105">
        <f>'Exhibit 1'!$E$5/'Exhibit 1'!$E$6*-1</f>
        <v>-241025.64102564103</v>
      </c>
      <c r="J129" s="105">
        <f>'Exhibit 1'!$E$5/'Exhibit 1'!$E$6*-1</f>
        <v>-241025.64102564103</v>
      </c>
      <c r="K129" s="105">
        <f>'Exhibit 1'!$E$5/'Exhibit 1'!$E$6*-1</f>
        <v>-241025.64102564103</v>
      </c>
      <c r="L129" s="105">
        <f>'Exhibit 1'!$E$5/'Exhibit 1'!$E$6*-1</f>
        <v>-241025.64102564103</v>
      </c>
      <c r="M129" s="105">
        <f>'Exhibit 1'!$E$5/'Exhibit 1'!$E$6*-1</f>
        <v>-241025.64102564103</v>
      </c>
    </row>
    <row r="130" spans="1:13" x14ac:dyDescent="0.2">
      <c r="A130" s="52" t="s">
        <v>65</v>
      </c>
      <c r="B130" s="52"/>
      <c r="C130" s="52"/>
      <c r="D130" s="106">
        <f>D125+D127+D128+D129</f>
        <v>-32725.641025641031</v>
      </c>
      <c r="E130" s="106">
        <f t="shared" ref="E130" si="84">E125+E127+E128+E129</f>
        <v>6529.4839743589691</v>
      </c>
      <c r="F130" s="106">
        <f t="shared" ref="F130" si="85">F125+F127+F128+F129</f>
        <v>47625.123349358997</v>
      </c>
      <c r="G130" s="106">
        <f t="shared" ref="G130" si="86">G125+G127+G128+G129</f>
        <v>90655.17087748411</v>
      </c>
      <c r="H130" s="106">
        <f t="shared" ref="H130" si="87">H125+H127+H128+H129</f>
        <v>135718.79657821849</v>
      </c>
      <c r="I130" s="106">
        <f t="shared" ref="I130" si="88">I125+I127+I128+I129</f>
        <v>182920.77179882801</v>
      </c>
      <c r="J130" s="106">
        <f t="shared" ref="J130" si="89">J125+J127+J128+J129</f>
        <v>232371.81585699602</v>
      </c>
      <c r="K130" s="106">
        <f t="shared" ref="K130" si="90">K125+K127+K128+K129</f>
        <v>284188.9657433799</v>
      </c>
      <c r="L130" s="106">
        <f t="shared" ref="L130" si="91">L125+L127+L128+L129</f>
        <v>338495.9704960502</v>
      </c>
      <c r="M130" s="106">
        <f t="shared" ref="M130" si="92">M125+M127+M128+M129</f>
        <v>395423.71197497053</v>
      </c>
    </row>
    <row r="131" spans="1:13" x14ac:dyDescent="0.2">
      <c r="A131" s="52" t="s">
        <v>66</v>
      </c>
      <c r="B131" s="110">
        <v>0.35</v>
      </c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</row>
    <row r="132" spans="1:13" ht="17" thickBot="1" x14ac:dyDescent="0.25">
      <c r="A132" s="52"/>
      <c r="B132" s="108" t="s">
        <v>97</v>
      </c>
      <c r="C132" s="104"/>
      <c r="D132" s="111">
        <f>D130*0.35*-1</f>
        <v>11453.974358974359</v>
      </c>
      <c r="E132" s="111">
        <f>E130*0.35*-1</f>
        <v>-2285.3193910256391</v>
      </c>
      <c r="F132" s="111">
        <f t="shared" ref="F132:M132" si="93">F130*0.35*-1</f>
        <v>-16668.793172275648</v>
      </c>
      <c r="G132" s="111">
        <f t="shared" si="93"/>
        <v>-31729.309807119436</v>
      </c>
      <c r="H132" s="111">
        <f t="shared" si="93"/>
        <v>-47501.578802376469</v>
      </c>
      <c r="I132" s="111">
        <f t="shared" si="93"/>
        <v>-64022.2701295898</v>
      </c>
      <c r="J132" s="111">
        <f t="shared" si="93"/>
        <v>-81330.135549948609</v>
      </c>
      <c r="K132" s="111">
        <f t="shared" si="93"/>
        <v>-99466.138010182956</v>
      </c>
      <c r="L132" s="111">
        <f t="shared" si="93"/>
        <v>-118473.58967361756</v>
      </c>
      <c r="M132" s="111">
        <f t="shared" si="93"/>
        <v>-138398.29919123967</v>
      </c>
    </row>
    <row r="133" spans="1:13" x14ac:dyDescent="0.2">
      <c r="A133" s="52" t="s">
        <v>67</v>
      </c>
      <c r="B133" s="52"/>
      <c r="C133" s="52"/>
      <c r="D133" s="106">
        <f>D125+D132</f>
        <v>101778.97435897436</v>
      </c>
      <c r="E133" s="106">
        <f t="shared" ref="E133" si="94">E125+E132</f>
        <v>119571.68060897436</v>
      </c>
      <c r="F133" s="106">
        <f t="shared" ref="F133" si="95">F125+F132</f>
        <v>137981.48682772438</v>
      </c>
      <c r="G133" s="106">
        <f t="shared" ref="G133" si="96">G125+G132</f>
        <v>157025.98139288067</v>
      </c>
      <c r="H133" s="106">
        <f t="shared" ref="H133" si="97">H125+H132</f>
        <v>176722.92404562369</v>
      </c>
      <c r="I133" s="106">
        <f t="shared" ref="I133" si="98">I125+I132</f>
        <v>197090.21283233041</v>
      </c>
      <c r="J133" s="106">
        <f t="shared" ref="J133" si="99">J125+J132</f>
        <v>218145.84673044848</v>
      </c>
      <c r="K133" s="106">
        <f t="shared" ref="K133" si="100">K125+K132</f>
        <v>239907.88356143009</v>
      </c>
      <c r="L133" s="106">
        <f t="shared" ref="L133" si="101">L125+L132</f>
        <v>262394.39276086009</v>
      </c>
      <c r="M133" s="106">
        <f t="shared" ref="M133" si="102">M125+M132</f>
        <v>285623.40254061727</v>
      </c>
    </row>
    <row r="134" spans="1:13" x14ac:dyDescent="0.2">
      <c r="A134" s="52" t="s">
        <v>68</v>
      </c>
      <c r="B134" s="52"/>
      <c r="C134" s="109">
        <v>-2400000</v>
      </c>
      <c r="D134" s="52"/>
      <c r="E134" s="52"/>
      <c r="F134" s="52"/>
      <c r="G134" s="52"/>
      <c r="H134" s="52"/>
      <c r="I134" s="52"/>
      <c r="J134" s="52"/>
      <c r="K134" s="52"/>
      <c r="L134" s="52"/>
      <c r="M134" s="52"/>
    </row>
    <row r="135" spans="1:13" ht="17" customHeight="1" thickBot="1" x14ac:dyDescent="0.25">
      <c r="A135" s="52" t="s">
        <v>69</v>
      </c>
      <c r="B135" s="52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12">
        <f>I142</f>
        <v>6591732.2322880458</v>
      </c>
    </row>
    <row r="136" spans="1:13" ht="16" customHeight="1" thickBot="1" x14ac:dyDescent="0.25">
      <c r="A136" s="104" t="s">
        <v>70</v>
      </c>
      <c r="B136" s="104"/>
      <c r="C136" s="113">
        <f>C134</f>
        <v>-2400000</v>
      </c>
      <c r="D136" s="113">
        <f>D133</f>
        <v>101778.97435897436</v>
      </c>
      <c r="E136" s="113">
        <f t="shared" ref="E136:L136" si="103">E133</f>
        <v>119571.68060897436</v>
      </c>
      <c r="F136" s="113">
        <f t="shared" si="103"/>
        <v>137981.48682772438</v>
      </c>
      <c r="G136" s="113">
        <f t="shared" si="103"/>
        <v>157025.98139288067</v>
      </c>
      <c r="H136" s="113">
        <f t="shared" si="103"/>
        <v>176722.92404562369</v>
      </c>
      <c r="I136" s="113">
        <f t="shared" si="103"/>
        <v>197090.21283233041</v>
      </c>
      <c r="J136" s="113">
        <f t="shared" si="103"/>
        <v>218145.84673044848</v>
      </c>
      <c r="K136" s="113">
        <f t="shared" si="103"/>
        <v>239907.88356143009</v>
      </c>
      <c r="L136" s="113">
        <f t="shared" si="103"/>
        <v>262394.39276086009</v>
      </c>
      <c r="M136" s="113">
        <f>M133+M135</f>
        <v>6877355.6348286634</v>
      </c>
    </row>
    <row r="137" spans="1:13" ht="16" customHeight="1" x14ac:dyDescent="0.2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</row>
    <row r="138" spans="1:13" ht="17" customHeight="1" thickBot="1" x14ac:dyDescent="0.25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</row>
    <row r="139" spans="1:13" ht="17" customHeight="1" x14ac:dyDescent="0.2">
      <c r="A139" s="114" t="s">
        <v>71</v>
      </c>
      <c r="B139" s="115">
        <v>9400000</v>
      </c>
      <c r="C139" s="114"/>
      <c r="D139" s="114" t="s">
        <v>75</v>
      </c>
      <c r="E139" s="115">
        <v>13300000</v>
      </c>
      <c r="F139" s="114"/>
      <c r="G139" s="114" t="s">
        <v>75</v>
      </c>
      <c r="H139" s="114"/>
      <c r="I139" s="115">
        <f>E139</f>
        <v>13300000</v>
      </c>
      <c r="J139" s="114"/>
      <c r="K139" s="114"/>
      <c r="L139" s="114"/>
      <c r="M139" s="114"/>
    </row>
    <row r="140" spans="1:13" ht="16" customHeight="1" x14ac:dyDescent="0.2">
      <c r="A140" s="116" t="s">
        <v>72</v>
      </c>
      <c r="B140" s="117">
        <f>15000*10</f>
        <v>150000</v>
      </c>
      <c r="C140" s="116"/>
      <c r="D140" s="116" t="s">
        <v>76</v>
      </c>
      <c r="E140" s="118">
        <f>B142*-1</f>
        <v>-7139743.58974359</v>
      </c>
      <c r="F140" s="116"/>
      <c r="G140" s="116" t="s">
        <v>83</v>
      </c>
      <c r="H140" s="116"/>
      <c r="I140" s="119">
        <f>E147*-1</f>
        <v>-1165064.1025641025</v>
      </c>
      <c r="J140" s="116"/>
      <c r="K140" s="116"/>
      <c r="L140" s="116"/>
      <c r="M140" s="116"/>
    </row>
    <row r="141" spans="1:13" x14ac:dyDescent="0.2">
      <c r="A141" s="116" t="s">
        <v>64</v>
      </c>
      <c r="B141" s="120">
        <f>D129*10</f>
        <v>-2410256.4102564105</v>
      </c>
      <c r="C141" s="116"/>
      <c r="D141" s="116" t="s">
        <v>77</v>
      </c>
      <c r="E141" s="119">
        <f>E139+E140</f>
        <v>6160256.41025641</v>
      </c>
      <c r="F141" s="116"/>
      <c r="G141" s="116" t="s">
        <v>84</v>
      </c>
      <c r="H141" s="116"/>
      <c r="I141" s="118">
        <f>M151*-1</f>
        <v>-5543203.6651478522</v>
      </c>
      <c r="J141" s="116"/>
      <c r="K141" s="116"/>
      <c r="L141" s="116"/>
      <c r="M141" s="116"/>
    </row>
    <row r="142" spans="1:13" x14ac:dyDescent="0.2">
      <c r="A142" s="116" t="s">
        <v>73</v>
      </c>
      <c r="B142" s="119">
        <f>B139+B140+B141</f>
        <v>7139743.58974359</v>
      </c>
      <c r="C142" s="116"/>
      <c r="D142" s="116"/>
      <c r="E142" s="116"/>
      <c r="F142" s="116"/>
      <c r="G142" s="116" t="s">
        <v>85</v>
      </c>
      <c r="H142" s="116"/>
      <c r="I142" s="119">
        <f>I139+I140+I141</f>
        <v>6591732.2322880458</v>
      </c>
      <c r="J142" s="116"/>
      <c r="K142" s="116"/>
      <c r="L142" s="116"/>
      <c r="M142" s="116"/>
    </row>
    <row r="143" spans="1:13" x14ac:dyDescent="0.2">
      <c r="A143" s="116"/>
      <c r="B143" s="116"/>
      <c r="C143" s="116"/>
      <c r="D143" s="116" t="s">
        <v>78</v>
      </c>
      <c r="E143" s="119">
        <f>B141*-1</f>
        <v>2410256.4102564105</v>
      </c>
      <c r="F143" s="116"/>
      <c r="G143" s="116"/>
      <c r="H143" s="116"/>
      <c r="I143" s="116"/>
      <c r="J143" s="116"/>
      <c r="K143" s="116"/>
      <c r="L143" s="116"/>
      <c r="M143" s="116"/>
    </row>
    <row r="144" spans="1:13" x14ac:dyDescent="0.2">
      <c r="A144" s="116" t="s">
        <v>74</v>
      </c>
      <c r="B144" s="117">
        <v>0</v>
      </c>
      <c r="C144" s="116"/>
      <c r="D144" s="116" t="s">
        <v>79</v>
      </c>
      <c r="E144" s="119">
        <f>E143*0.25</f>
        <v>602564.10256410262</v>
      </c>
      <c r="F144" s="116"/>
      <c r="G144" s="116"/>
      <c r="H144" s="116"/>
      <c r="I144" s="116"/>
      <c r="J144" s="116"/>
      <c r="K144" s="116"/>
      <c r="L144" s="116"/>
      <c r="M144" s="116"/>
    </row>
    <row r="145" spans="1:13" x14ac:dyDescent="0.2">
      <c r="A145" s="116" t="s">
        <v>2</v>
      </c>
      <c r="B145" s="119">
        <f>B139-B144</f>
        <v>9400000</v>
      </c>
      <c r="C145" s="116"/>
      <c r="D145" s="116" t="s">
        <v>80</v>
      </c>
      <c r="E145" s="119">
        <f>E141-E143</f>
        <v>3749999.9999999995</v>
      </c>
      <c r="F145" s="116"/>
      <c r="G145" s="116"/>
      <c r="H145" s="121"/>
      <c r="I145" s="116"/>
      <c r="J145" s="116"/>
      <c r="K145" s="116"/>
      <c r="L145" s="116"/>
      <c r="M145" s="116"/>
    </row>
    <row r="146" spans="1:13" x14ac:dyDescent="0.2">
      <c r="A146" s="116"/>
      <c r="B146" s="116"/>
      <c r="C146" s="116"/>
      <c r="D146" s="116" t="s">
        <v>81</v>
      </c>
      <c r="E146" s="118">
        <f>E145*0.15</f>
        <v>562499.99999999988</v>
      </c>
      <c r="F146" s="116"/>
      <c r="G146" s="116" t="s">
        <v>86</v>
      </c>
      <c r="H146" s="116"/>
      <c r="I146" s="122">
        <f>NPV(0.12,D136:M136)+C136</f>
        <v>688849.9859138811</v>
      </c>
      <c r="J146" s="123"/>
      <c r="K146" s="116"/>
      <c r="L146" s="116"/>
      <c r="M146" s="116"/>
    </row>
    <row r="147" spans="1:13" ht="16" customHeight="1" thickBot="1" x14ac:dyDescent="0.25">
      <c r="A147" s="104"/>
      <c r="B147" s="104"/>
      <c r="C147" s="104"/>
      <c r="D147" s="104" t="s">
        <v>82</v>
      </c>
      <c r="E147" s="112">
        <f>E144+E146</f>
        <v>1165064.1025641025</v>
      </c>
      <c r="F147" s="104"/>
      <c r="G147" s="104" t="s">
        <v>87</v>
      </c>
      <c r="H147" s="104"/>
      <c r="I147" s="124">
        <f>IRR(C136:M136)</f>
        <v>0.15380960786496134</v>
      </c>
      <c r="J147" s="104"/>
      <c r="K147" s="104"/>
      <c r="L147" s="104"/>
      <c r="M147" s="104"/>
    </row>
    <row r="148" spans="1:13" ht="16" customHeight="1" x14ac:dyDescent="0.2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</row>
    <row r="149" spans="1:13" ht="16" customHeight="1" thickBot="1" x14ac:dyDescent="0.25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</row>
    <row r="150" spans="1:13" ht="17" thickBot="1" x14ac:dyDescent="0.25">
      <c r="A150" s="100" t="s">
        <v>88</v>
      </c>
      <c r="B150" s="100"/>
      <c r="C150" s="100">
        <v>0</v>
      </c>
      <c r="D150" s="100">
        <v>1</v>
      </c>
      <c r="E150" s="100">
        <v>2</v>
      </c>
      <c r="F150" s="100">
        <v>3</v>
      </c>
      <c r="G150" s="100">
        <v>4</v>
      </c>
      <c r="H150" s="100">
        <v>5</v>
      </c>
      <c r="I150" s="100">
        <v>6</v>
      </c>
      <c r="J150" s="100">
        <v>7</v>
      </c>
      <c r="K150" s="100">
        <v>8</v>
      </c>
      <c r="L150" s="100">
        <v>9</v>
      </c>
      <c r="M150" s="100">
        <v>10</v>
      </c>
    </row>
    <row r="151" spans="1:13" x14ac:dyDescent="0.2">
      <c r="A151" s="52" t="s">
        <v>89</v>
      </c>
      <c r="B151" s="52"/>
      <c r="C151" s="125">
        <v>7000000</v>
      </c>
      <c r="D151" s="102">
        <f>C151-D156</f>
        <v>6897025</v>
      </c>
      <c r="E151" s="102">
        <f>D151-E156</f>
        <v>6786326.875</v>
      </c>
      <c r="F151" s="102">
        <f t="shared" ref="F151:M151" si="104">E151-F156</f>
        <v>6667326.390625</v>
      </c>
      <c r="G151" s="102">
        <f t="shared" si="104"/>
        <v>6539400.8699218752</v>
      </c>
      <c r="H151" s="102">
        <f t="shared" si="104"/>
        <v>6401880.9351660162</v>
      </c>
      <c r="I151" s="102">
        <f t="shared" si="104"/>
        <v>6254047.0053034676</v>
      </c>
      <c r="J151" s="102">
        <f t="shared" si="104"/>
        <v>6095125.5307012275</v>
      </c>
      <c r="K151" s="102">
        <f t="shared" si="104"/>
        <v>5924284.9455038197</v>
      </c>
      <c r="L151" s="102">
        <f t="shared" si="104"/>
        <v>5740631.3164166063</v>
      </c>
      <c r="M151" s="102">
        <f t="shared" si="104"/>
        <v>5543203.6651478522</v>
      </c>
    </row>
    <row r="152" spans="1:13" x14ac:dyDescent="0.2">
      <c r="A152" s="52" t="s">
        <v>90</v>
      </c>
      <c r="B152" s="52"/>
      <c r="C152" s="52"/>
      <c r="D152" s="125">
        <v>627975</v>
      </c>
      <c r="E152" s="125">
        <v>627975</v>
      </c>
      <c r="F152" s="125">
        <v>627975</v>
      </c>
      <c r="G152" s="125">
        <v>627975</v>
      </c>
      <c r="H152" s="125">
        <v>627975</v>
      </c>
      <c r="I152" s="125">
        <v>627975</v>
      </c>
      <c r="J152" s="125">
        <v>627975</v>
      </c>
      <c r="K152" s="125">
        <v>627975</v>
      </c>
      <c r="L152" s="125">
        <v>627975</v>
      </c>
      <c r="M152" s="125">
        <v>627975</v>
      </c>
    </row>
    <row r="153" spans="1:13" x14ac:dyDescent="0.2">
      <c r="A153" s="52" t="s">
        <v>91</v>
      </c>
      <c r="B153" s="108" t="s">
        <v>103</v>
      </c>
      <c r="C153" s="52"/>
      <c r="D153" s="102"/>
      <c r="E153" s="52"/>
      <c r="F153" s="52"/>
      <c r="G153" s="52"/>
      <c r="H153" s="52"/>
      <c r="I153" s="52"/>
      <c r="J153" s="52"/>
      <c r="K153" s="52"/>
      <c r="L153" s="52"/>
      <c r="M153" s="52"/>
    </row>
    <row r="154" spans="1:13" x14ac:dyDescent="0.2">
      <c r="A154" s="52"/>
      <c r="B154" s="108" t="s">
        <v>94</v>
      </c>
      <c r="C154" s="52"/>
      <c r="D154" s="102">
        <f>C151*0.075</f>
        <v>525000</v>
      </c>
      <c r="E154" s="102">
        <f t="shared" ref="E154:M154" si="105">D151*0.075</f>
        <v>517276.875</v>
      </c>
      <c r="F154" s="102">
        <f t="shared" si="105"/>
        <v>508974.515625</v>
      </c>
      <c r="G154" s="102">
        <f t="shared" si="105"/>
        <v>500049.47929687495</v>
      </c>
      <c r="H154" s="102">
        <f t="shared" si="105"/>
        <v>490455.06524414063</v>
      </c>
      <c r="I154" s="102">
        <f t="shared" si="105"/>
        <v>480141.07013745117</v>
      </c>
      <c r="J154" s="102">
        <f t="shared" si="105"/>
        <v>469053.52539776004</v>
      </c>
      <c r="K154" s="102">
        <f t="shared" si="105"/>
        <v>457134.41480259207</v>
      </c>
      <c r="L154" s="102">
        <f t="shared" si="105"/>
        <v>444321.37091278646</v>
      </c>
      <c r="M154" s="102">
        <f t="shared" si="105"/>
        <v>430547.34873124544</v>
      </c>
    </row>
    <row r="155" spans="1:13" x14ac:dyDescent="0.2">
      <c r="A155" s="52" t="s">
        <v>92</v>
      </c>
      <c r="B155" s="108">
        <v>25</v>
      </c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</row>
    <row r="156" spans="1:13" ht="17" thickBot="1" x14ac:dyDescent="0.25">
      <c r="A156" s="104"/>
      <c r="B156" s="126" t="s">
        <v>95</v>
      </c>
      <c r="C156" s="104"/>
      <c r="D156" s="112">
        <f>D152-D154</f>
        <v>102975</v>
      </c>
      <c r="E156" s="112">
        <f>E152-E154</f>
        <v>110698.125</v>
      </c>
      <c r="F156" s="112">
        <f t="shared" ref="F156:M156" si="106">F152-F154</f>
        <v>119000.484375</v>
      </c>
      <c r="G156" s="112">
        <f t="shared" si="106"/>
        <v>127925.52070312505</v>
      </c>
      <c r="H156" s="112">
        <f t="shared" si="106"/>
        <v>137519.93475585937</v>
      </c>
      <c r="I156" s="112">
        <f t="shared" si="106"/>
        <v>147833.92986254883</v>
      </c>
      <c r="J156" s="112">
        <f t="shared" si="106"/>
        <v>158921.47460223996</v>
      </c>
      <c r="K156" s="112">
        <f t="shared" si="106"/>
        <v>170840.58519740793</v>
      </c>
      <c r="L156" s="112">
        <f t="shared" si="106"/>
        <v>183653.62908721354</v>
      </c>
      <c r="M156" s="112">
        <f t="shared" si="106"/>
        <v>197427.65126875456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B6D6F-D5CB-F24F-9F60-DFFD344D9670}">
  <dimension ref="C3:Q36"/>
  <sheetViews>
    <sheetView tabSelected="1" workbookViewId="0">
      <selection activeCell="G6" sqref="E6:K36"/>
    </sheetView>
  </sheetViews>
  <sheetFormatPr baseColWidth="10" defaultRowHeight="16" x14ac:dyDescent="0.2"/>
  <cols>
    <col min="1" max="4" width="10.83203125" style="6"/>
    <col min="5" max="5" width="15.1640625" style="6" bestFit="1" customWidth="1"/>
    <col min="6" max="6" width="12.5" style="6" bestFit="1" customWidth="1"/>
    <col min="7" max="11" width="12" style="6" customWidth="1"/>
    <col min="12" max="12" width="10.83203125" style="6"/>
    <col min="13" max="13" width="29.5" style="6" bestFit="1" customWidth="1"/>
    <col min="14" max="17" width="15.33203125" style="6" bestFit="1" customWidth="1"/>
    <col min="18" max="18" width="14.33203125" style="6" bestFit="1" customWidth="1"/>
    <col min="19" max="16384" width="10.83203125" style="6"/>
  </cols>
  <sheetData>
    <row r="3" spans="3:17" x14ac:dyDescent="0.2">
      <c r="C3" s="141"/>
      <c r="D3" s="141"/>
      <c r="E3" s="141"/>
      <c r="F3" s="141"/>
      <c r="G3" s="193"/>
      <c r="H3" s="193"/>
      <c r="I3" s="193"/>
      <c r="J3" s="193"/>
      <c r="K3" s="193"/>
    </row>
    <row r="4" spans="3:17" x14ac:dyDescent="0.2">
      <c r="C4" s="141"/>
      <c r="D4" s="141"/>
      <c r="E4" s="141"/>
      <c r="F4" s="141"/>
      <c r="G4" s="141"/>
      <c r="H4" s="141"/>
      <c r="I4" s="141"/>
      <c r="J4" s="141"/>
      <c r="K4" s="141"/>
    </row>
    <row r="5" spans="3:17" x14ac:dyDescent="0.2">
      <c r="C5" s="141"/>
      <c r="D5" s="141"/>
      <c r="E5" s="141"/>
      <c r="F5" s="141"/>
      <c r="G5" s="141"/>
      <c r="H5" s="141"/>
      <c r="I5" s="141"/>
      <c r="J5" s="141"/>
      <c r="K5" s="141"/>
    </row>
    <row r="6" spans="3:17" ht="17" thickBot="1" x14ac:dyDescent="0.25">
      <c r="C6" s="141"/>
      <c r="D6" s="141"/>
      <c r="E6" s="17" t="s">
        <v>150</v>
      </c>
      <c r="F6" s="17"/>
      <c r="G6" s="18" t="s">
        <v>152</v>
      </c>
      <c r="H6" s="18"/>
      <c r="I6" s="18"/>
      <c r="J6" s="18"/>
      <c r="K6" s="18"/>
      <c r="M6" s="6" t="s">
        <v>167</v>
      </c>
      <c r="N6" s="192" t="s">
        <v>163</v>
      </c>
      <c r="O6" s="192" t="s">
        <v>164</v>
      </c>
      <c r="P6" s="192" t="s">
        <v>165</v>
      </c>
      <c r="Q6" s="192" t="s">
        <v>166</v>
      </c>
    </row>
    <row r="7" spans="3:17" ht="17" thickBot="1" x14ac:dyDescent="0.25">
      <c r="C7" s="141"/>
      <c r="D7" s="205" t="s">
        <v>153</v>
      </c>
      <c r="E7" s="17"/>
      <c r="F7" s="17"/>
      <c r="G7" s="12">
        <v>25.5</v>
      </c>
      <c r="H7" s="12">
        <v>26.842105263157897</v>
      </c>
      <c r="I7" s="12">
        <v>28.333333333333336</v>
      </c>
      <c r="J7" s="12">
        <v>30.000000000000004</v>
      </c>
      <c r="K7" s="12">
        <v>31.875000000000011</v>
      </c>
      <c r="M7" s="179" t="s">
        <v>152</v>
      </c>
      <c r="N7" s="180">
        <v>26.842105263157897</v>
      </c>
      <c r="O7" s="180">
        <v>28.333333333333336</v>
      </c>
      <c r="P7" s="180">
        <v>30.000000000000004</v>
      </c>
      <c r="Q7" s="181">
        <v>31.875000000000011</v>
      </c>
    </row>
    <row r="8" spans="3:17" ht="17" customHeight="1" x14ac:dyDescent="0.2">
      <c r="C8" s="141"/>
      <c r="D8" s="141">
        <v>1</v>
      </c>
      <c r="E8" s="16" t="s">
        <v>157</v>
      </c>
      <c r="F8" s="11">
        <f>13300000</f>
        <v>13300000</v>
      </c>
      <c r="G8" s="7">
        <v>688849.9859138811</v>
      </c>
      <c r="H8" s="8">
        <v>965662.80600000476</v>
      </c>
      <c r="I8" s="7">
        <v>1231060.6644330896</v>
      </c>
      <c r="J8" s="7">
        <v>1527681.8003288922</v>
      </c>
      <c r="K8" s="7">
        <v>1861380.5782116717</v>
      </c>
      <c r="M8" s="194" t="s">
        <v>48</v>
      </c>
      <c r="N8" s="195">
        <v>0.93</v>
      </c>
      <c r="O8" s="195">
        <v>0.93</v>
      </c>
      <c r="P8" s="195">
        <v>0.93</v>
      </c>
      <c r="Q8" s="196">
        <v>0.93</v>
      </c>
    </row>
    <row r="9" spans="3:17" x14ac:dyDescent="0.2">
      <c r="C9" s="206"/>
      <c r="D9" s="141">
        <v>0.97499999999999998</v>
      </c>
      <c r="E9" s="16"/>
      <c r="F9" s="11">
        <v>12967500</v>
      </c>
      <c r="G9" s="7">
        <v>597852.29992243601</v>
      </c>
      <c r="H9" s="7">
        <v>874665.1200085585</v>
      </c>
      <c r="I9" s="7">
        <v>1140062.978441644</v>
      </c>
      <c r="J9" s="7">
        <v>1436684.1143374471</v>
      </c>
      <c r="K9" s="7">
        <v>1770382.8922202257</v>
      </c>
      <c r="M9" s="197" t="s">
        <v>49</v>
      </c>
      <c r="N9" s="198">
        <v>0.11580098039215692</v>
      </c>
      <c r="O9" s="198">
        <v>0.15375882352941175</v>
      </c>
      <c r="P9" s="198">
        <v>0.19171666666666679</v>
      </c>
      <c r="Q9" s="199">
        <v>0.22967450980392179</v>
      </c>
    </row>
    <row r="10" spans="3:17" x14ac:dyDescent="0.2">
      <c r="C10" s="206"/>
      <c r="D10" s="141">
        <v>0.95</v>
      </c>
      <c r="E10" s="16"/>
      <c r="F10" s="11">
        <v>12635000</v>
      </c>
      <c r="G10" s="7">
        <v>506854.61393099045</v>
      </c>
      <c r="H10" s="7">
        <v>783667.43401711294</v>
      </c>
      <c r="I10" s="7">
        <v>1049065.2924501984</v>
      </c>
      <c r="J10" s="7">
        <v>1345686.4283460025</v>
      </c>
      <c r="K10" s="7">
        <v>1679385.2062287801</v>
      </c>
      <c r="M10" s="197" t="s">
        <v>50</v>
      </c>
      <c r="N10" s="200">
        <v>0.81419901960784313</v>
      </c>
      <c r="O10" s="200">
        <v>0.77624117647058832</v>
      </c>
      <c r="P10" s="200">
        <v>0.73828333333333329</v>
      </c>
      <c r="Q10" s="201">
        <v>0.70032549019607826</v>
      </c>
    </row>
    <row r="11" spans="3:17" x14ac:dyDescent="0.2">
      <c r="C11" s="206"/>
      <c r="D11" s="141">
        <v>0.92500000000000004</v>
      </c>
      <c r="E11" s="16"/>
      <c r="F11" s="11">
        <v>12302500</v>
      </c>
      <c r="G11" s="7">
        <v>415856.9279395449</v>
      </c>
      <c r="H11" s="7">
        <v>692669.74802566739</v>
      </c>
      <c r="I11" s="7">
        <v>958067.60645875335</v>
      </c>
      <c r="J11" s="7">
        <v>1254688.7423545569</v>
      </c>
      <c r="K11" s="7">
        <v>1588387.520237335</v>
      </c>
      <c r="M11" s="197" t="s">
        <v>51</v>
      </c>
      <c r="N11" s="200">
        <v>0.74468085106382975</v>
      </c>
      <c r="O11" s="200">
        <v>0.74468085106382975</v>
      </c>
      <c r="P11" s="200">
        <v>0.74468085106382975</v>
      </c>
      <c r="Q11" s="201">
        <v>0.74468085106382975</v>
      </c>
    </row>
    <row r="12" spans="3:17" ht="17" thickBot="1" x14ac:dyDescent="0.25">
      <c r="C12" s="206"/>
      <c r="D12" s="141">
        <v>0.9</v>
      </c>
      <c r="E12" s="16"/>
      <c r="F12" s="11">
        <v>11970000</v>
      </c>
      <c r="G12" s="7">
        <v>324859.24194809934</v>
      </c>
      <c r="H12" s="9">
        <v>601672.0620342223</v>
      </c>
      <c r="I12" s="7">
        <v>867069.92046730826</v>
      </c>
      <c r="J12" s="7">
        <v>1163691.0563631114</v>
      </c>
      <c r="K12" s="7">
        <v>1497389.8342458894</v>
      </c>
      <c r="M12" s="202" t="s">
        <v>52</v>
      </c>
      <c r="N12" s="203">
        <v>1.129410079157563</v>
      </c>
      <c r="O12" s="203">
        <v>1.129410079157563</v>
      </c>
      <c r="P12" s="203">
        <v>1.129410079157563</v>
      </c>
      <c r="Q12" s="204">
        <v>1.129410079157563</v>
      </c>
    </row>
    <row r="14" spans="3:17" ht="17" thickBot="1" x14ac:dyDescent="0.25">
      <c r="E14" s="17" t="s">
        <v>151</v>
      </c>
      <c r="F14" s="17"/>
      <c r="G14" s="15" t="s">
        <v>152</v>
      </c>
      <c r="H14" s="15"/>
      <c r="I14" s="15"/>
      <c r="J14" s="15"/>
      <c r="K14" s="15"/>
      <c r="M14" s="6" t="s">
        <v>162</v>
      </c>
    </row>
    <row r="15" spans="3:17" ht="17" thickBot="1" x14ac:dyDescent="0.25">
      <c r="E15" s="17"/>
      <c r="F15" s="17"/>
      <c r="G15" s="13">
        <v>25.5</v>
      </c>
      <c r="H15" s="13">
        <v>26.842105263157897</v>
      </c>
      <c r="I15" s="13">
        <v>28.333333333333336</v>
      </c>
      <c r="J15" s="13">
        <v>30.000000000000004</v>
      </c>
      <c r="K15" s="13">
        <v>31.875000000000011</v>
      </c>
      <c r="M15" s="179" t="s">
        <v>152</v>
      </c>
      <c r="N15" s="180">
        <v>26.842105263157897</v>
      </c>
      <c r="O15" s="180">
        <v>28.333333333333336</v>
      </c>
      <c r="P15" s="180">
        <v>30.000000000000004</v>
      </c>
      <c r="Q15" s="181">
        <v>31.875000000000011</v>
      </c>
    </row>
    <row r="16" spans="3:17" x14ac:dyDescent="0.2">
      <c r="E16" s="16" t="s">
        <v>157</v>
      </c>
      <c r="F16" s="11">
        <f>13300000</f>
        <v>13300000</v>
      </c>
      <c r="G16" s="10">
        <v>0.15380960786496134</v>
      </c>
      <c r="H16" s="10">
        <v>0.16768014078346427</v>
      </c>
      <c r="I16" s="10">
        <v>0.18113078491458023</v>
      </c>
      <c r="J16" s="10">
        <v>0.19633855341808104</v>
      </c>
      <c r="K16" s="10">
        <v>0.21366489897232266</v>
      </c>
      <c r="M16" s="182" t="s">
        <v>24</v>
      </c>
      <c r="N16" s="183">
        <v>1342105.2631578948</v>
      </c>
      <c r="O16" s="183">
        <v>1416666.6666666667</v>
      </c>
      <c r="P16" s="183">
        <v>1500000.0000000002</v>
      </c>
      <c r="Q16" s="184">
        <v>1593750.0000000005</v>
      </c>
    </row>
    <row r="17" spans="5:17" ht="16" customHeight="1" thickBot="1" x14ac:dyDescent="0.25">
      <c r="E17" s="16"/>
      <c r="F17" s="11">
        <v>12967500</v>
      </c>
      <c r="G17" s="10">
        <v>0.14986414540189541</v>
      </c>
      <c r="H17" s="10">
        <v>0.16393982212757874</v>
      </c>
      <c r="I17" s="10">
        <v>0.17758142560218837</v>
      </c>
      <c r="J17" s="10">
        <v>0.19299578246126292</v>
      </c>
      <c r="K17" s="10">
        <v>0.21054566465138191</v>
      </c>
      <c r="M17" s="185" t="s">
        <v>25</v>
      </c>
      <c r="N17" s="186">
        <v>-93947.368421052641</v>
      </c>
      <c r="O17" s="186">
        <v>-99166.666666666686</v>
      </c>
      <c r="P17" s="186">
        <v>-105000.00000000003</v>
      </c>
      <c r="Q17" s="187">
        <v>-111562.50000000004</v>
      </c>
    </row>
    <row r="18" spans="5:17" x14ac:dyDescent="0.2">
      <c r="E18" s="16"/>
      <c r="F18" s="11">
        <v>12635000</v>
      </c>
      <c r="G18" s="10">
        <v>0.14578270309143204</v>
      </c>
      <c r="H18" s="10">
        <v>0.16007641060282274</v>
      </c>
      <c r="I18" s="10">
        <v>0.17392049751687444</v>
      </c>
      <c r="J18" s="10">
        <v>0.18955337930926097</v>
      </c>
      <c r="K18" s="10">
        <v>0.20733907004933272</v>
      </c>
      <c r="M18" s="182" t="s">
        <v>26</v>
      </c>
      <c r="N18" s="183">
        <v>1248157.8947368423</v>
      </c>
      <c r="O18" s="183">
        <v>1317500</v>
      </c>
      <c r="P18" s="183">
        <v>1395000.0000000002</v>
      </c>
      <c r="Q18" s="184">
        <v>1482187.5000000005</v>
      </c>
    </row>
    <row r="19" spans="5:17" x14ac:dyDescent="0.2">
      <c r="E19" s="16"/>
      <c r="F19" s="11">
        <v>12302500</v>
      </c>
      <c r="G19" s="10">
        <v>0.14155481101553402</v>
      </c>
      <c r="H19" s="10">
        <v>0.15608083462695266</v>
      </c>
      <c r="I19" s="10">
        <v>0.1701401302545702</v>
      </c>
      <c r="J19" s="10">
        <v>0.18600466455545184</v>
      </c>
      <c r="K19" s="10">
        <v>0.20403959877339539</v>
      </c>
      <c r="M19" s="188" t="s">
        <v>27</v>
      </c>
      <c r="N19" s="9">
        <v>-124815.78947368423</v>
      </c>
      <c r="O19" s="9">
        <v>-131750</v>
      </c>
      <c r="P19" s="9">
        <v>-139500.00000000003</v>
      </c>
      <c r="Q19" s="189">
        <v>-148218.75000000006</v>
      </c>
    </row>
    <row r="20" spans="5:17" x14ac:dyDescent="0.2">
      <c r="E20" s="16"/>
      <c r="F20" s="11">
        <v>11970000</v>
      </c>
      <c r="G20" s="10">
        <v>0.13716870451302365</v>
      </c>
      <c r="H20" s="10">
        <v>0.15194294853350532</v>
      </c>
      <c r="I20" s="10">
        <v>0.16623156125572436</v>
      </c>
      <c r="J20" s="10">
        <v>0.18234223915816505</v>
      </c>
      <c r="K20" s="10">
        <v>0.20064117463133102</v>
      </c>
      <c r="M20" s="188" t="s">
        <v>28</v>
      </c>
      <c r="N20" s="9">
        <v>-254950</v>
      </c>
      <c r="O20" s="9">
        <v>-254950</v>
      </c>
      <c r="P20" s="9">
        <v>-254950</v>
      </c>
      <c r="Q20" s="189">
        <v>-254950</v>
      </c>
    </row>
    <row r="21" spans="5:17" ht="17" thickBot="1" x14ac:dyDescent="0.25">
      <c r="M21" s="185" t="s">
        <v>29</v>
      </c>
      <c r="N21" s="186">
        <v>-15000</v>
      </c>
      <c r="O21" s="186">
        <v>-15000</v>
      </c>
      <c r="P21" s="186">
        <v>-15000</v>
      </c>
      <c r="Q21" s="187">
        <v>-15000</v>
      </c>
    </row>
    <row r="22" spans="5:17" x14ac:dyDescent="0.2">
      <c r="E22" s="17" t="s">
        <v>154</v>
      </c>
      <c r="F22" s="17"/>
      <c r="G22" s="15" t="s">
        <v>152</v>
      </c>
      <c r="H22" s="15"/>
      <c r="I22" s="15"/>
      <c r="J22" s="15"/>
      <c r="K22" s="15"/>
      <c r="M22" s="182" t="s">
        <v>30</v>
      </c>
      <c r="N22" s="183">
        <v>853392.10526315798</v>
      </c>
      <c r="O22" s="183">
        <v>915800</v>
      </c>
      <c r="P22" s="183">
        <v>985550.00000000023</v>
      </c>
      <c r="Q22" s="184">
        <v>1064018.7500000005</v>
      </c>
    </row>
    <row r="23" spans="5:17" x14ac:dyDescent="0.2">
      <c r="E23" s="17"/>
      <c r="F23" s="17"/>
      <c r="G23" s="13">
        <v>25.5</v>
      </c>
      <c r="H23" s="13">
        <v>26.842105263157897</v>
      </c>
      <c r="I23" s="13">
        <v>28.333333333333336</v>
      </c>
      <c r="J23" s="13">
        <v>30.000000000000004</v>
      </c>
      <c r="K23" s="13">
        <v>31.875000000000011</v>
      </c>
      <c r="M23" s="188" t="s">
        <v>31</v>
      </c>
      <c r="N23" s="9">
        <v>-627975</v>
      </c>
      <c r="O23" s="9">
        <v>-627975</v>
      </c>
      <c r="P23" s="9">
        <v>-627975</v>
      </c>
      <c r="Q23" s="189">
        <v>-627975</v>
      </c>
    </row>
    <row r="24" spans="5:17" ht="17" thickBot="1" x14ac:dyDescent="0.25">
      <c r="E24" s="14" t="s">
        <v>71</v>
      </c>
      <c r="F24" s="11">
        <v>9400000</v>
      </c>
      <c r="G24" s="10">
        <f>'Exhibit 1'!E9/'Exhibit 1'!E4</f>
        <v>8.3861702127659574E-2</v>
      </c>
      <c r="H24" s="10">
        <f>N22/'Exhibit 1'!$E$4</f>
        <v>9.0786394176931698E-2</v>
      </c>
      <c r="I24" s="10">
        <f>O22/'Exhibit 1'!$E$4</f>
        <v>9.7425531914893615E-2</v>
      </c>
      <c r="J24" s="10">
        <f>P22/'Exhibit 1'!$E$4</f>
        <v>0.10484574468085109</v>
      </c>
      <c r="K24" s="10">
        <f>Q22/'Exhibit 1'!$E$4</f>
        <v>0.11319348404255324</v>
      </c>
      <c r="M24" s="185" t="s">
        <v>32</v>
      </c>
      <c r="N24" s="186">
        <v>-70000</v>
      </c>
      <c r="O24" s="186">
        <v>-70000</v>
      </c>
      <c r="P24" s="186">
        <v>-70000</v>
      </c>
      <c r="Q24" s="187">
        <v>-70000</v>
      </c>
    </row>
    <row r="25" spans="5:17" ht="17" thickBot="1" x14ac:dyDescent="0.25">
      <c r="M25" s="179" t="s">
        <v>33</v>
      </c>
      <c r="N25" s="190">
        <v>155417.10526315798</v>
      </c>
      <c r="O25" s="190">
        <v>217825</v>
      </c>
      <c r="P25" s="190">
        <v>287575.00000000023</v>
      </c>
      <c r="Q25" s="191">
        <v>366043.75000000047</v>
      </c>
    </row>
    <row r="26" spans="5:17" ht="16" customHeight="1" x14ac:dyDescent="0.2">
      <c r="E26" s="17" t="s">
        <v>155</v>
      </c>
      <c r="F26" s="17"/>
      <c r="G26" s="15" t="s">
        <v>152</v>
      </c>
      <c r="H26" s="15"/>
      <c r="I26" s="15"/>
      <c r="J26" s="15"/>
      <c r="K26" s="15"/>
    </row>
    <row r="27" spans="5:17" x14ac:dyDescent="0.2">
      <c r="E27" s="17"/>
      <c r="F27" s="17"/>
      <c r="G27" s="13">
        <v>25.5</v>
      </c>
      <c r="H27" s="13">
        <v>26.842105263157897</v>
      </c>
      <c r="I27" s="13">
        <v>28.333333333333336</v>
      </c>
      <c r="J27" s="13">
        <v>30.000000000000004</v>
      </c>
      <c r="K27" s="13">
        <v>31.875000000000011</v>
      </c>
    </row>
    <row r="28" spans="5:17" x14ac:dyDescent="0.2">
      <c r="E28" s="14" t="s">
        <v>106</v>
      </c>
      <c r="F28" s="11">
        <v>2400000</v>
      </c>
      <c r="G28" s="10">
        <f>'Exhibit 2'!E12/'Exhibit 5.a'!F28</f>
        <v>3.7635416666666664E-2</v>
      </c>
      <c r="H28" s="10">
        <f>N25/$F$28</f>
        <v>6.4757127192982489E-2</v>
      </c>
      <c r="I28" s="10">
        <f>O25/$F$28</f>
        <v>9.0760416666666663E-2</v>
      </c>
      <c r="J28" s="10">
        <f>P25/$F$28</f>
        <v>0.11982291666666676</v>
      </c>
      <c r="K28" s="10">
        <f>Q25/$F$28</f>
        <v>0.15251822916666685</v>
      </c>
    </row>
    <row r="30" spans="5:17" x14ac:dyDescent="0.2">
      <c r="E30" s="17" t="s">
        <v>156</v>
      </c>
      <c r="F30" s="17"/>
      <c r="G30" s="18" t="s">
        <v>152</v>
      </c>
      <c r="H30" s="18"/>
      <c r="I30" s="18"/>
      <c r="J30" s="18"/>
      <c r="K30" s="18"/>
    </row>
    <row r="31" spans="5:17" x14ac:dyDescent="0.2">
      <c r="E31" s="17"/>
      <c r="F31" s="17"/>
      <c r="G31" s="12">
        <v>25.5</v>
      </c>
      <c r="H31" s="12">
        <v>26.842105263157897</v>
      </c>
      <c r="I31" s="12">
        <v>28.333333333333336</v>
      </c>
      <c r="J31" s="12">
        <v>30.000000000000004</v>
      </c>
      <c r="K31" s="12">
        <v>31.875000000000011</v>
      </c>
    </row>
    <row r="32" spans="5:17" x14ac:dyDescent="0.2">
      <c r="E32" s="16" t="s">
        <v>157</v>
      </c>
      <c r="F32" s="11">
        <f>13300000</f>
        <v>13300000</v>
      </c>
      <c r="G32" s="10">
        <f>G8/$F$28</f>
        <v>0.28702082746411711</v>
      </c>
      <c r="H32" s="10">
        <f t="shared" ref="H32:K32" si="0">H8/$F$28</f>
        <v>0.40235950250000196</v>
      </c>
      <c r="I32" s="10">
        <f t="shared" si="0"/>
        <v>0.5129419435137873</v>
      </c>
      <c r="J32" s="10">
        <f t="shared" si="0"/>
        <v>0.63653408347037177</v>
      </c>
      <c r="K32" s="10">
        <f t="shared" si="0"/>
        <v>0.77557524092152985</v>
      </c>
    </row>
    <row r="33" spans="5:11" ht="16" customHeight="1" x14ac:dyDescent="0.2">
      <c r="E33" s="16"/>
      <c r="F33" s="11">
        <v>12967500</v>
      </c>
      <c r="G33" s="10">
        <f t="shared" ref="G33:K33" si="1">G9/$F$28</f>
        <v>0.24910512496768167</v>
      </c>
      <c r="H33" s="10">
        <f t="shared" si="1"/>
        <v>0.36444380000356602</v>
      </c>
      <c r="I33" s="10">
        <f t="shared" si="1"/>
        <v>0.47502624101735169</v>
      </c>
      <c r="J33" s="10">
        <f t="shared" si="1"/>
        <v>0.59861838097393627</v>
      </c>
      <c r="K33" s="10">
        <f t="shared" si="1"/>
        <v>0.73765953842509402</v>
      </c>
    </row>
    <row r="34" spans="5:11" ht="16" customHeight="1" x14ac:dyDescent="0.2">
      <c r="E34" s="16"/>
      <c r="F34" s="11">
        <v>12635000</v>
      </c>
      <c r="G34" s="10">
        <f t="shared" ref="G34:K34" si="2">G10/$F$28</f>
        <v>0.21118942247124603</v>
      </c>
      <c r="H34" s="10">
        <f t="shared" si="2"/>
        <v>0.32652809750713041</v>
      </c>
      <c r="I34" s="10">
        <f t="shared" si="2"/>
        <v>0.43711053852091603</v>
      </c>
      <c r="J34" s="10">
        <f t="shared" si="2"/>
        <v>0.56070267847750099</v>
      </c>
      <c r="K34" s="10">
        <f t="shared" si="2"/>
        <v>0.69974383592865841</v>
      </c>
    </row>
    <row r="35" spans="5:11" ht="16" customHeight="1" x14ac:dyDescent="0.2">
      <c r="E35" s="16"/>
      <c r="F35" s="11">
        <v>12302500</v>
      </c>
      <c r="G35" s="10">
        <f t="shared" ref="G35:K35" si="3">G11/$F$28</f>
        <v>0.17327371997481036</v>
      </c>
      <c r="H35" s="10">
        <f t="shared" si="3"/>
        <v>0.28861239501069474</v>
      </c>
      <c r="I35" s="10">
        <f t="shared" si="3"/>
        <v>0.39919483602448058</v>
      </c>
      <c r="J35" s="10">
        <f t="shared" si="3"/>
        <v>0.52278697598106538</v>
      </c>
      <c r="K35" s="10">
        <f t="shared" si="3"/>
        <v>0.66182813343222291</v>
      </c>
    </row>
    <row r="36" spans="5:11" x14ac:dyDescent="0.2">
      <c r="E36" s="16"/>
      <c r="F36" s="11">
        <v>11970000</v>
      </c>
      <c r="G36" s="10">
        <f t="shared" ref="G36:K36" si="4">G12/$F$28</f>
        <v>0.13535801747837473</v>
      </c>
      <c r="H36" s="10">
        <f t="shared" si="4"/>
        <v>0.2506966925142593</v>
      </c>
      <c r="I36" s="10">
        <f t="shared" si="4"/>
        <v>0.36127913352804508</v>
      </c>
      <c r="J36" s="10">
        <f t="shared" si="4"/>
        <v>0.48487127348462972</v>
      </c>
      <c r="K36" s="10">
        <f t="shared" si="4"/>
        <v>0.6239124309357873</v>
      </c>
    </row>
  </sheetData>
  <mergeCells count="13">
    <mergeCell ref="E32:E36"/>
    <mergeCell ref="E22:F23"/>
    <mergeCell ref="G22:K22"/>
    <mergeCell ref="E26:F27"/>
    <mergeCell ref="G26:K26"/>
    <mergeCell ref="E30:F31"/>
    <mergeCell ref="G30:K30"/>
    <mergeCell ref="G14:K14"/>
    <mergeCell ref="E16:E20"/>
    <mergeCell ref="E6:F7"/>
    <mergeCell ref="G6:K6"/>
    <mergeCell ref="E8:E12"/>
    <mergeCell ref="E14:F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A511A-3675-264D-AF2C-D670B88891B9}">
  <dimension ref="A1:E18"/>
  <sheetViews>
    <sheetView zoomScale="200" zoomScaleNormal="200" workbookViewId="0">
      <selection activeCell="E2" sqref="A2:E13"/>
    </sheetView>
  </sheetViews>
  <sheetFormatPr baseColWidth="10" defaultRowHeight="16" x14ac:dyDescent="0.2"/>
  <cols>
    <col min="1" max="1" width="25.6640625" style="6" bestFit="1" customWidth="1"/>
    <col min="2" max="2" width="18.6640625" style="6" bestFit="1" customWidth="1"/>
    <col min="3" max="3" width="14.83203125" style="6" bestFit="1" customWidth="1"/>
    <col min="4" max="4" width="11.5" style="6" bestFit="1" customWidth="1"/>
    <col min="5" max="5" width="19.6640625" style="6" bestFit="1" customWidth="1"/>
    <col min="6" max="16384" width="10.83203125" style="6"/>
  </cols>
  <sheetData>
    <row r="1" spans="1:5" ht="17" thickBot="1" x14ac:dyDescent="0.25">
      <c r="A1" s="6" t="s">
        <v>105</v>
      </c>
    </row>
    <row r="2" spans="1:5" ht="17" thickBot="1" x14ac:dyDescent="0.25">
      <c r="A2" s="19"/>
      <c r="B2" s="48" t="s">
        <v>34</v>
      </c>
      <c r="C2" s="49" t="s">
        <v>16</v>
      </c>
      <c r="D2" s="50" t="s">
        <v>17</v>
      </c>
      <c r="E2" s="51" t="s">
        <v>18</v>
      </c>
    </row>
    <row r="3" spans="1:5" x14ac:dyDescent="0.2">
      <c r="A3" s="6" t="s">
        <v>106</v>
      </c>
      <c r="B3" s="25">
        <f>'Exhibit 1'!B12</f>
        <v>3600000</v>
      </c>
      <c r="C3" s="26">
        <f>'Exhibit 1'!C12</f>
        <v>3500000</v>
      </c>
      <c r="D3" s="27">
        <f>'Exhibit 1'!D12</f>
        <v>2900000</v>
      </c>
      <c r="E3" s="28">
        <f>'Exhibit 1'!E12</f>
        <v>2400000</v>
      </c>
    </row>
    <row r="4" spans="1:5" x14ac:dyDescent="0.2">
      <c r="A4" s="132" t="s">
        <v>107</v>
      </c>
      <c r="B4" s="21"/>
      <c r="C4" s="30"/>
      <c r="D4" s="23"/>
      <c r="E4" s="31"/>
    </row>
    <row r="5" spans="1:5" x14ac:dyDescent="0.2">
      <c r="A5" s="6" t="s">
        <v>108</v>
      </c>
      <c r="B5" s="44">
        <f>'Exhibit 1'!B9/'Exhibit 1'!B4</f>
        <v>9.0645833333333328E-2</v>
      </c>
      <c r="C5" s="45">
        <f>'Exhibit 1'!C9/'Exhibit 1'!C4</f>
        <v>9.1930434782608692E-2</v>
      </c>
      <c r="D5" s="46">
        <f>'Exhibit 1'!D9/'Exhibit 1'!D4</f>
        <v>9.1154761904761905E-2</v>
      </c>
      <c r="E5" s="47">
        <f>'Exhibit 1'!E9/'Exhibit 1'!E4</f>
        <v>8.3861702127659574E-2</v>
      </c>
    </row>
    <row r="6" spans="1:5" x14ac:dyDescent="0.2">
      <c r="A6" s="141" t="s">
        <v>109</v>
      </c>
      <c r="B6" s="44">
        <f>'Exhibit 5'!M5/'Exhibit 1'!B7</f>
        <v>9.083308996545672E-2</v>
      </c>
      <c r="C6" s="45">
        <f>'Exhibit 5'!M44/'Exhibit 1'!C7</f>
        <v>9.513146275477774E-2</v>
      </c>
      <c r="D6" s="46">
        <f>'Exhibit 5'!M83/'Exhibit 1'!D7</f>
        <v>9.5149031129338382E-2</v>
      </c>
      <c r="E6" s="47">
        <f>'Exhibit 5'!M122/'Exhibit 1'!E7</f>
        <v>8.4360654265553156E-2</v>
      </c>
    </row>
    <row r="7" spans="1:5" x14ac:dyDescent="0.2">
      <c r="A7" s="6" t="s">
        <v>110</v>
      </c>
      <c r="B7" s="44">
        <f>'Exhibit 2'!B12/'Exhibit 6'!B3</f>
        <v>0.12064083333333334</v>
      </c>
      <c r="C7" s="45">
        <f>'Exhibit 2'!C12/'Exhibit 6'!C3</f>
        <v>9.4614000000000004E-2</v>
      </c>
      <c r="D7" s="46">
        <f>'Exhibit 2'!D12/'Exhibit 6'!D3</f>
        <v>0.11590724137931034</v>
      </c>
      <c r="E7" s="47">
        <f>'Exhibit 2'!E12/'Exhibit 6'!E3</f>
        <v>3.7635416666666664E-2</v>
      </c>
    </row>
    <row r="8" spans="1:5" x14ac:dyDescent="0.2">
      <c r="A8" s="6" t="s">
        <v>111</v>
      </c>
      <c r="B8" s="44">
        <f>('Exhibit 1'!B7-'Exhibit 1'!B4)/'Exhibit 1'!B4</f>
        <v>0.30208333333333331</v>
      </c>
      <c r="C8" s="45">
        <f>('Exhibit 1'!C7-'Exhibit 1'!C4)/'Exhibit 1'!C4</f>
        <v>0.2608695652173913</v>
      </c>
      <c r="D8" s="46">
        <f>('Exhibit 1'!D7-'Exhibit 1'!D4)/'Exhibit 1'!D4</f>
        <v>0.25</v>
      </c>
      <c r="E8" s="47">
        <f>('Exhibit 1'!E7-'Exhibit 1'!E4)/'Exhibit 1'!E4</f>
        <v>0.41489361702127658</v>
      </c>
    </row>
    <row r="9" spans="1:5" x14ac:dyDescent="0.2">
      <c r="B9" s="21"/>
      <c r="C9" s="30"/>
      <c r="D9" s="23"/>
      <c r="E9" s="31"/>
    </row>
    <row r="10" spans="1:5" x14ac:dyDescent="0.2">
      <c r="A10" s="132" t="s">
        <v>112</v>
      </c>
      <c r="B10" s="21"/>
      <c r="C10" s="30"/>
      <c r="D10" s="23"/>
      <c r="E10" s="31"/>
    </row>
    <row r="11" spans="1:5" x14ac:dyDescent="0.2">
      <c r="A11" s="6" t="s">
        <v>113</v>
      </c>
      <c r="B11" s="133">
        <f>'Exhibit 5'!I30</f>
        <v>0.14925646118571145</v>
      </c>
      <c r="C11" s="134">
        <f>'Exhibit 5'!I69</f>
        <v>0.14539823121039053</v>
      </c>
      <c r="D11" s="135">
        <f>'Exhibit 5'!I108</f>
        <v>0.15128811737524339</v>
      </c>
      <c r="E11" s="97">
        <f>'Exhibit 5'!I147</f>
        <v>0.15380960786496134</v>
      </c>
    </row>
    <row r="12" spans="1:5" x14ac:dyDescent="0.2">
      <c r="A12" s="6" t="s">
        <v>114</v>
      </c>
      <c r="B12" s="136">
        <f>'Exhibit 5'!I29</f>
        <v>734295.27238809224</v>
      </c>
      <c r="C12" s="137">
        <f>'Exhibit 5'!I68</f>
        <v>699916.3688003961</v>
      </c>
      <c r="D12" s="138">
        <f>'Exhibit 5'!I107</f>
        <v>619679.36216078512</v>
      </c>
      <c r="E12" s="139">
        <f>'Exhibit 5'!I146</f>
        <v>688849.9859138811</v>
      </c>
    </row>
    <row r="13" spans="1:5" ht="34" x14ac:dyDescent="0.2">
      <c r="A13" s="140" t="s">
        <v>115</v>
      </c>
      <c r="B13" s="44">
        <f>B12/B3</f>
        <v>0.20397090899669229</v>
      </c>
      <c r="C13" s="45">
        <f t="shared" ref="C13:D13" si="0">C12/C3</f>
        <v>0.19997610537154173</v>
      </c>
      <c r="D13" s="46">
        <f t="shared" si="0"/>
        <v>0.21368253867613279</v>
      </c>
      <c r="E13" s="47">
        <f>E12/E3</f>
        <v>0.28702082746411711</v>
      </c>
    </row>
    <row r="18" spans="1:2" x14ac:dyDescent="0.2">
      <c r="A18" s="6" t="s">
        <v>149</v>
      </c>
      <c r="B18" s="6" t="s">
        <v>148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4012B-4B91-0042-9CAC-E5DEEF58B8A5}">
  <dimension ref="A1:E11"/>
  <sheetViews>
    <sheetView zoomScale="200" zoomScaleNormal="200" workbookViewId="0">
      <selection activeCell="E2" sqref="A2:E11"/>
    </sheetView>
  </sheetViews>
  <sheetFormatPr baseColWidth="10" defaultRowHeight="16" x14ac:dyDescent="0.2"/>
  <cols>
    <col min="1" max="1" width="25.6640625" bestFit="1" customWidth="1"/>
    <col min="2" max="2" width="13.33203125" bestFit="1" customWidth="1"/>
    <col min="3" max="3" width="14.83203125" bestFit="1" customWidth="1"/>
    <col min="4" max="4" width="11.1640625" bestFit="1" customWidth="1"/>
    <col min="5" max="5" width="19.6640625" bestFit="1" customWidth="1"/>
  </cols>
  <sheetData>
    <row r="1" spans="1:5" ht="17" thickBot="1" x14ac:dyDescent="0.25">
      <c r="A1" t="s">
        <v>116</v>
      </c>
    </row>
    <row r="2" spans="1:5" ht="17" thickBot="1" x14ac:dyDescent="0.25">
      <c r="A2" s="19"/>
      <c r="B2" s="48" t="s">
        <v>34</v>
      </c>
      <c r="C2" s="49" t="s">
        <v>16</v>
      </c>
      <c r="D2" s="50" t="s">
        <v>17</v>
      </c>
      <c r="E2" s="51" t="s">
        <v>18</v>
      </c>
    </row>
    <row r="3" spans="1:5" x14ac:dyDescent="0.2">
      <c r="A3" s="132" t="s">
        <v>107</v>
      </c>
      <c r="B3" s="21"/>
      <c r="C3" s="30"/>
      <c r="D3" s="23"/>
      <c r="E3" s="31"/>
    </row>
    <row r="4" spans="1:5" x14ac:dyDescent="0.2">
      <c r="A4" s="6" t="s">
        <v>108</v>
      </c>
      <c r="B4" s="147">
        <v>3</v>
      </c>
      <c r="C4" s="148">
        <v>1</v>
      </c>
      <c r="D4" s="149">
        <v>2</v>
      </c>
      <c r="E4" s="150">
        <v>4</v>
      </c>
    </row>
    <row r="5" spans="1:5" x14ac:dyDescent="0.2">
      <c r="A5" s="141" t="s">
        <v>109</v>
      </c>
      <c r="B5" s="147">
        <v>3</v>
      </c>
      <c r="C5" s="148">
        <v>1</v>
      </c>
      <c r="D5" s="149">
        <v>1</v>
      </c>
      <c r="E5" s="150">
        <v>4</v>
      </c>
    </row>
    <row r="6" spans="1:5" x14ac:dyDescent="0.2">
      <c r="A6" s="6" t="s">
        <v>117</v>
      </c>
      <c r="B6" s="147">
        <v>1</v>
      </c>
      <c r="C6" s="148">
        <v>3</v>
      </c>
      <c r="D6" s="149">
        <v>2</v>
      </c>
      <c r="E6" s="150">
        <v>4</v>
      </c>
    </row>
    <row r="7" spans="1:5" x14ac:dyDescent="0.2">
      <c r="A7" s="6"/>
      <c r="B7" s="147"/>
      <c r="C7" s="148"/>
      <c r="D7" s="149"/>
      <c r="E7" s="150"/>
    </row>
    <row r="8" spans="1:5" x14ac:dyDescent="0.2">
      <c r="A8" s="132" t="s">
        <v>118</v>
      </c>
      <c r="B8" s="147"/>
      <c r="C8" s="148"/>
      <c r="D8" s="149"/>
      <c r="E8" s="150"/>
    </row>
    <row r="9" spans="1:5" x14ac:dyDescent="0.2">
      <c r="A9" s="6" t="s">
        <v>113</v>
      </c>
      <c r="B9" s="147">
        <v>3</v>
      </c>
      <c r="C9" s="148">
        <v>4</v>
      </c>
      <c r="D9" s="149">
        <v>2</v>
      </c>
      <c r="E9" s="150">
        <v>1</v>
      </c>
    </row>
    <row r="10" spans="1:5" x14ac:dyDescent="0.2">
      <c r="A10" s="6" t="s">
        <v>119</v>
      </c>
      <c r="B10" s="147">
        <v>1</v>
      </c>
      <c r="C10" s="148">
        <v>2</v>
      </c>
      <c r="D10" s="149">
        <v>4</v>
      </c>
      <c r="E10" s="150">
        <v>3</v>
      </c>
    </row>
    <row r="11" spans="1:5" x14ac:dyDescent="0.2">
      <c r="A11" s="6" t="s">
        <v>120</v>
      </c>
      <c r="B11" s="147">
        <v>3</v>
      </c>
      <c r="C11" s="148">
        <v>4</v>
      </c>
      <c r="D11" s="149">
        <v>2</v>
      </c>
      <c r="E11" s="150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1C309-E444-B245-ACE7-A2E06C415CA5}">
  <dimension ref="A1:L68"/>
  <sheetViews>
    <sheetView zoomScale="150" zoomScaleNormal="150" workbookViewId="0">
      <selection activeCell="L54" sqref="A54:L68"/>
    </sheetView>
  </sheetViews>
  <sheetFormatPr baseColWidth="10" defaultRowHeight="16" x14ac:dyDescent="0.2"/>
  <cols>
    <col min="1" max="1" width="10.83203125" style="6"/>
    <col min="2" max="2" width="13.83203125" style="6" customWidth="1"/>
    <col min="3" max="3" width="14.33203125" style="6" customWidth="1"/>
    <col min="4" max="4" width="10.83203125" style="6"/>
    <col min="5" max="5" width="14.1640625" style="6" bestFit="1" customWidth="1"/>
    <col min="6" max="6" width="12.1640625" style="6" bestFit="1" customWidth="1"/>
    <col min="7" max="7" width="10.83203125" style="6"/>
    <col min="8" max="8" width="16" style="6" bestFit="1" customWidth="1"/>
    <col min="9" max="9" width="15" style="6" bestFit="1" customWidth="1"/>
    <col min="10" max="10" width="10.83203125" style="6"/>
    <col min="11" max="11" width="16" style="6" bestFit="1" customWidth="1"/>
    <col min="12" max="12" width="15" style="6" bestFit="1" customWidth="1"/>
    <col min="13" max="16384" width="10.83203125" style="6"/>
  </cols>
  <sheetData>
    <row r="1" spans="1:12" x14ac:dyDescent="0.2">
      <c r="A1" s="52" t="s">
        <v>121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2" x14ac:dyDescent="0.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</row>
    <row r="3" spans="1:12" s="94" customFormat="1" ht="17" thickBot="1" x14ac:dyDescent="0.25">
      <c r="A3" s="151" t="s">
        <v>15</v>
      </c>
      <c r="B3" s="151"/>
      <c r="C3" s="151"/>
      <c r="D3" s="151"/>
      <c r="E3" s="151"/>
      <c r="F3" s="151"/>
      <c r="G3" s="151" t="s">
        <v>131</v>
      </c>
      <c r="H3" s="152"/>
      <c r="I3" s="151"/>
      <c r="J3" s="151"/>
      <c r="K3" s="151"/>
      <c r="L3" s="151"/>
    </row>
    <row r="4" spans="1:12" ht="17" thickBot="1" x14ac:dyDescent="0.25">
      <c r="A4" s="20"/>
      <c r="B4" s="153" t="s">
        <v>127</v>
      </c>
      <c r="C4" s="153"/>
      <c r="D4" s="20"/>
      <c r="E4" s="153" t="s">
        <v>128</v>
      </c>
      <c r="F4" s="153"/>
      <c r="G4" s="20"/>
      <c r="H4" s="153" t="s">
        <v>129</v>
      </c>
      <c r="I4" s="153"/>
      <c r="J4" s="20"/>
      <c r="K4" s="153" t="s">
        <v>130</v>
      </c>
      <c r="L4" s="153"/>
    </row>
    <row r="5" spans="1:12" ht="17" thickBot="1" x14ac:dyDescent="0.25">
      <c r="A5" s="55" t="s">
        <v>122</v>
      </c>
      <c r="B5" s="55" t="s">
        <v>123</v>
      </c>
      <c r="C5" s="55" t="s">
        <v>124</v>
      </c>
      <c r="D5" s="55"/>
      <c r="E5" s="55" t="s">
        <v>123</v>
      </c>
      <c r="F5" s="55" t="s">
        <v>125</v>
      </c>
      <c r="G5" s="55"/>
      <c r="H5" s="55" t="s">
        <v>126</v>
      </c>
      <c r="I5" s="55" t="s">
        <v>125</v>
      </c>
      <c r="J5" s="55"/>
      <c r="K5" s="55" t="s">
        <v>126</v>
      </c>
      <c r="L5" s="55" t="s">
        <v>124</v>
      </c>
    </row>
    <row r="6" spans="1:12" x14ac:dyDescent="0.2">
      <c r="A6" s="52">
        <v>1</v>
      </c>
      <c r="B6" s="125">
        <f>'Exhibit 5'!D8</f>
        <v>434307</v>
      </c>
      <c r="C6" s="125">
        <f>B6/(1+0.1493)</f>
        <v>377888.27982250066</v>
      </c>
      <c r="D6" s="52"/>
      <c r="E6" s="125">
        <f>'Exhibit 5'!D15</f>
        <v>-91865.454545454544</v>
      </c>
      <c r="F6" s="102">
        <f>E6/(1+0.1493)^A6</f>
        <v>-79931.658005268022</v>
      </c>
      <c r="G6" s="52"/>
      <c r="H6" s="154">
        <v>0</v>
      </c>
      <c r="I6" s="101">
        <v>0</v>
      </c>
      <c r="J6" s="52"/>
      <c r="K6" s="125">
        <f>'Exhibit 5'!D19</f>
        <v>342441.54545454547</v>
      </c>
      <c r="L6" s="102">
        <f>K6/(1+0.1493)^A6</f>
        <v>297956.62181723263</v>
      </c>
    </row>
    <row r="7" spans="1:12" x14ac:dyDescent="0.2">
      <c r="A7" s="52">
        <v>2</v>
      </c>
      <c r="B7" s="125">
        <f>'Exhibit 5'!E8</f>
        <v>460413</v>
      </c>
      <c r="C7" s="125">
        <f>B7/(1+0.1493)^2</f>
        <v>348562.58220164792</v>
      </c>
      <c r="D7" s="52"/>
      <c r="E7" s="125">
        <f>'Exhibit 5'!E15</f>
        <v>-102596.30754545458</v>
      </c>
      <c r="F7" s="102">
        <f t="shared" ref="F7:F15" si="0">E7/(1+0.1493)^A7</f>
        <v>-77672.076771068721</v>
      </c>
      <c r="G7" s="52"/>
      <c r="H7" s="154">
        <v>0</v>
      </c>
      <c r="I7" s="101">
        <v>0</v>
      </c>
      <c r="J7" s="52"/>
      <c r="K7" s="125">
        <f>'Exhibit 5'!E19</f>
        <v>357816.69245454541</v>
      </c>
      <c r="L7" s="102">
        <f t="shared" ref="L7:L15" si="1">K7/(1+0.1493)^A7</f>
        <v>270890.50543057919</v>
      </c>
    </row>
    <row r="8" spans="1:12" x14ac:dyDescent="0.2">
      <c r="A8" s="52">
        <v>3</v>
      </c>
      <c r="B8" s="125">
        <f>'Exhibit 5'!F8</f>
        <v>487302.18000000005</v>
      </c>
      <c r="C8" s="125">
        <f>B8/(1+0.1493)^3</f>
        <v>320994.90132846887</v>
      </c>
      <c r="D8" s="52"/>
      <c r="E8" s="125">
        <f>'Exhibit 5'!F15</f>
        <v>-113696.89872545456</v>
      </c>
      <c r="F8" s="102">
        <f t="shared" si="0"/>
        <v>-74894.236647433427</v>
      </c>
      <c r="G8" s="52"/>
      <c r="H8" s="154">
        <v>0</v>
      </c>
      <c r="I8" s="101">
        <v>0</v>
      </c>
      <c r="J8" s="52"/>
      <c r="K8" s="125">
        <f>'Exhibit 5'!F19</f>
        <v>373605.28127454547</v>
      </c>
      <c r="L8" s="102">
        <f t="shared" si="1"/>
        <v>246100.66468103541</v>
      </c>
    </row>
    <row r="9" spans="1:12" x14ac:dyDescent="0.2">
      <c r="A9" s="52">
        <v>4</v>
      </c>
      <c r="B9" s="125">
        <f>'Exhibit 5'!G8</f>
        <v>514998.03540000005</v>
      </c>
      <c r="C9" s="125">
        <f>B9/(1+0.1493)^4</f>
        <v>295169.81663546187</v>
      </c>
      <c r="D9" s="52"/>
      <c r="E9" s="125">
        <f>'Exhibit 5'!G15</f>
        <v>-125181.18898625455</v>
      </c>
      <c r="F9" s="102">
        <f t="shared" si="0"/>
        <v>-71747.280687358245</v>
      </c>
      <c r="G9" s="52"/>
      <c r="H9" s="154">
        <v>0</v>
      </c>
      <c r="I9" s="101">
        <v>0</v>
      </c>
      <c r="J9" s="52"/>
      <c r="K9" s="125">
        <f>'Exhibit 5'!G19</f>
        <v>389816.84641374549</v>
      </c>
      <c r="L9" s="102">
        <f t="shared" si="1"/>
        <v>223422.53594810364</v>
      </c>
    </row>
    <row r="10" spans="1:12" x14ac:dyDescent="0.2">
      <c r="A10" s="52">
        <v>5</v>
      </c>
      <c r="B10" s="125">
        <f>'Exhibit 5'!H8</f>
        <v>543524.76646200009</v>
      </c>
      <c r="C10" s="125">
        <f>B10/(1+0.1493)^5</f>
        <v>271051.80555711617</v>
      </c>
      <c r="D10" s="52"/>
      <c r="E10" s="125">
        <f>'Exhibit 5'!H15</f>
        <v>-137063.73018100261</v>
      </c>
      <c r="F10" s="102">
        <f t="shared" si="0"/>
        <v>-68352.674678995609</v>
      </c>
      <c r="G10" s="52"/>
      <c r="H10" s="154">
        <v>0</v>
      </c>
      <c r="I10" s="101">
        <v>0</v>
      </c>
      <c r="J10" s="52"/>
      <c r="K10" s="125">
        <f>'Exhibit 5'!H19</f>
        <v>406461.03628099745</v>
      </c>
      <c r="L10" s="102">
        <f t="shared" si="1"/>
        <v>202699.13087812054</v>
      </c>
    </row>
    <row r="11" spans="1:12" x14ac:dyDescent="0.2">
      <c r="A11" s="52">
        <v>6</v>
      </c>
      <c r="B11" s="125">
        <f>'Exhibit 5'!I8</f>
        <v>572907.29945586016</v>
      </c>
      <c r="C11" s="125">
        <f>B11/(1+0.1493)^6</f>
        <v>248590.14945505839</v>
      </c>
      <c r="D11" s="52"/>
      <c r="E11" s="125">
        <f>'Exhibit 5'!I15</f>
        <v>-149359.69317128448</v>
      </c>
      <c r="F11" s="102">
        <f t="shared" si="0"/>
        <v>-64808.649642405049</v>
      </c>
      <c r="G11" s="52"/>
      <c r="H11" s="154">
        <v>0</v>
      </c>
      <c r="I11" s="101">
        <v>0</v>
      </c>
      <c r="J11" s="52"/>
      <c r="K11" s="125">
        <f>'Exhibit 5'!I19</f>
        <v>423547.60628457565</v>
      </c>
      <c r="L11" s="102">
        <f t="shared" si="1"/>
        <v>183781.49981265335</v>
      </c>
    </row>
    <row r="12" spans="1:12" x14ac:dyDescent="0.2">
      <c r="A12" s="52">
        <v>7</v>
      </c>
      <c r="B12" s="125">
        <f>'Exhibit 5'!J8</f>
        <v>603171.30843953602</v>
      </c>
      <c r="C12" s="125">
        <f>B12/(1+0.1493)^A12</f>
        <v>227722.96405633783</v>
      </c>
      <c r="D12" s="52"/>
      <c r="E12" s="125">
        <f>'Exhibit 5'!J15</f>
        <v>-162084.89734454779</v>
      </c>
      <c r="F12" s="102">
        <f t="shared" si="0"/>
        <v>-61193.980442403117</v>
      </c>
      <c r="G12" s="52"/>
      <c r="H12" s="154">
        <v>0</v>
      </c>
      <c r="I12" s="101">
        <v>0</v>
      </c>
      <c r="J12" s="52"/>
      <c r="K12" s="125">
        <f>'Exhibit 5'!J19</f>
        <v>441086.41109498823</v>
      </c>
      <c r="L12" s="102">
        <f t="shared" si="1"/>
        <v>166528.98361393472</v>
      </c>
    </row>
    <row r="13" spans="1:12" x14ac:dyDescent="0.2">
      <c r="A13" s="52">
        <v>8</v>
      </c>
      <c r="B13" s="125">
        <f>'Exhibit 5'!K8</f>
        <v>634343.23769272212</v>
      </c>
      <c r="C13" s="125">
        <f t="shared" ref="C13:C15" si="2">B13/(1+0.1493)^A13</f>
        <v>208380.4928589398</v>
      </c>
      <c r="D13" s="52"/>
      <c r="E13" s="125">
        <f>'Exhibit 5'!K15</f>
        <v>-175255.84167387825</v>
      </c>
      <c r="F13" s="102">
        <f t="shared" si="0"/>
        <v>-57571.195678295269</v>
      </c>
      <c r="G13" s="52"/>
      <c r="H13" s="154">
        <v>0</v>
      </c>
      <c r="I13" s="101">
        <v>0</v>
      </c>
      <c r="J13" s="52"/>
      <c r="K13" s="125">
        <f>'Exhibit 5'!K19</f>
        <v>459087.39601884387</v>
      </c>
      <c r="L13" s="102">
        <f t="shared" si="1"/>
        <v>150809.29718064453</v>
      </c>
    </row>
    <row r="14" spans="1:12" x14ac:dyDescent="0.2">
      <c r="A14" s="52">
        <v>9</v>
      </c>
      <c r="B14" s="125">
        <f>'Exhibit 5'!L8</f>
        <v>666450.32482350385</v>
      </c>
      <c r="C14" s="125">
        <f t="shared" si="2"/>
        <v>190487.78140632572</v>
      </c>
      <c r="D14" s="52"/>
      <c r="E14" s="125">
        <f>'Exhibit 5'!L15</f>
        <v>-188889.73740581013</v>
      </c>
      <c r="F14" s="102">
        <f t="shared" si="0"/>
        <v>-53989.300730531017</v>
      </c>
      <c r="G14" s="52"/>
      <c r="H14" s="154">
        <v>0</v>
      </c>
      <c r="I14" s="101">
        <v>0</v>
      </c>
      <c r="J14" s="52"/>
      <c r="K14" s="125">
        <f>'Exhibit 5'!L19</f>
        <v>477560.58741769369</v>
      </c>
      <c r="L14" s="102">
        <f t="shared" si="1"/>
        <v>136498.48067579471</v>
      </c>
    </row>
    <row r="15" spans="1:12" x14ac:dyDescent="0.2">
      <c r="A15" s="52">
        <v>10</v>
      </c>
      <c r="B15" s="125">
        <f>'Exhibit 5'!M8</f>
        <v>699520.62456820905</v>
      </c>
      <c r="C15" s="125">
        <f t="shared" si="2"/>
        <v>173966.83271675385</v>
      </c>
      <c r="D15" s="52"/>
      <c r="E15" s="125">
        <f>'Exhibit 5'!M15</f>
        <v>-203004.54246678474</v>
      </c>
      <c r="F15" s="102">
        <f t="shared" si="0"/>
        <v>-50486.084383658774</v>
      </c>
      <c r="G15" s="52"/>
      <c r="H15" s="125">
        <f>'Exhibit 5'!M18</f>
        <v>6421011.8887439333</v>
      </c>
      <c r="I15" s="102">
        <f>H15/(1+0.1493)^A15</f>
        <v>1596869.4301342682</v>
      </c>
      <c r="J15" s="52"/>
      <c r="K15" s="125">
        <f>'Exhibit 5'!M19</f>
        <v>6917527.9708453575</v>
      </c>
      <c r="L15" s="102">
        <f t="shared" si="1"/>
        <v>1720350.1784673634</v>
      </c>
    </row>
    <row r="16" spans="1:12" ht="17" thickBot="1" x14ac:dyDescent="0.25">
      <c r="A16" s="108" t="s">
        <v>130</v>
      </c>
      <c r="B16" s="113">
        <f>SUM(B6:B15)</f>
        <v>5616937.7768418323</v>
      </c>
      <c r="C16" s="113">
        <f>SUM(C6:C15)</f>
        <v>2662815.6060386109</v>
      </c>
      <c r="D16" s="104"/>
      <c r="E16" s="112">
        <f>SUM(E6:E15)</f>
        <v>-1448998.2920459262</v>
      </c>
      <c r="F16" s="112">
        <f>SUM(F6:F15)</f>
        <v>-660647.13766741729</v>
      </c>
      <c r="G16" s="104"/>
      <c r="H16" s="113">
        <f>SUM(H6:H15)</f>
        <v>6421011.8887439333</v>
      </c>
      <c r="I16" s="113">
        <f>SUM(I6:I15)</f>
        <v>1596869.4301342682</v>
      </c>
      <c r="J16" s="104"/>
      <c r="K16" s="113">
        <f>SUM(K6:K15)</f>
        <v>10588951.373539839</v>
      </c>
      <c r="L16" s="113">
        <f>SUM(L6:L15)</f>
        <v>3599037.8985054619</v>
      </c>
    </row>
    <row r="17" spans="1:12" ht="17" thickBot="1" x14ac:dyDescent="0.25">
      <c r="A17" s="155" t="s">
        <v>132</v>
      </c>
      <c r="B17" s="104"/>
      <c r="C17" s="156">
        <f>C16/3600000</f>
        <v>0.73967100167739197</v>
      </c>
      <c r="D17" s="104"/>
      <c r="E17" s="104"/>
      <c r="F17" s="156">
        <f>F16/3600000</f>
        <v>-0.18351309379650479</v>
      </c>
      <c r="G17" s="104"/>
      <c r="H17" s="104"/>
      <c r="I17" s="156">
        <f>I16/3600000</f>
        <v>0.44357484170396339</v>
      </c>
      <c r="J17" s="104"/>
      <c r="K17" s="104"/>
      <c r="L17" s="157">
        <f>L16/3600000</f>
        <v>0.99973274958485048</v>
      </c>
    </row>
    <row r="18" spans="1:12" x14ac:dyDescent="0.2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</row>
    <row r="19" spans="1:12" x14ac:dyDescent="0.2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</row>
    <row r="20" spans="1:12" ht="17" thickBot="1" x14ac:dyDescent="0.25">
      <c r="A20" s="158" t="s">
        <v>16</v>
      </c>
      <c r="B20" s="158"/>
      <c r="C20" s="158"/>
      <c r="D20" s="158"/>
      <c r="E20" s="158"/>
      <c r="F20" s="158"/>
      <c r="G20" s="158" t="s">
        <v>133</v>
      </c>
      <c r="H20" s="159"/>
      <c r="I20" s="158"/>
      <c r="J20" s="158"/>
      <c r="K20" s="158"/>
      <c r="L20" s="158"/>
    </row>
    <row r="21" spans="1:12" ht="17" thickBot="1" x14ac:dyDescent="0.25">
      <c r="A21" s="20"/>
      <c r="B21" s="153" t="s">
        <v>127</v>
      </c>
      <c r="C21" s="153"/>
      <c r="D21" s="20"/>
      <c r="E21" s="153" t="s">
        <v>128</v>
      </c>
      <c r="F21" s="153"/>
      <c r="G21" s="20"/>
      <c r="H21" s="153" t="s">
        <v>129</v>
      </c>
      <c r="I21" s="153"/>
      <c r="J21" s="20"/>
      <c r="K21" s="153" t="s">
        <v>130</v>
      </c>
      <c r="L21" s="153"/>
    </row>
    <row r="22" spans="1:12" ht="17" thickBot="1" x14ac:dyDescent="0.25">
      <c r="A22" s="55" t="s">
        <v>122</v>
      </c>
      <c r="B22" s="55" t="s">
        <v>123</v>
      </c>
      <c r="C22" s="55" t="s">
        <v>124</v>
      </c>
      <c r="D22" s="55"/>
      <c r="E22" s="55" t="s">
        <v>123</v>
      </c>
      <c r="F22" s="55" t="s">
        <v>125</v>
      </c>
      <c r="G22" s="55"/>
      <c r="H22" s="55" t="s">
        <v>126</v>
      </c>
      <c r="I22" s="55" t="s">
        <v>125</v>
      </c>
      <c r="J22" s="55"/>
      <c r="K22" s="55" t="s">
        <v>126</v>
      </c>
      <c r="L22" s="55" t="s">
        <v>124</v>
      </c>
    </row>
    <row r="23" spans="1:12" x14ac:dyDescent="0.2">
      <c r="A23" s="52">
        <v>1</v>
      </c>
      <c r="B23" s="125">
        <f>'Exhibit 5'!D47</f>
        <v>331149</v>
      </c>
      <c r="C23" s="125">
        <f>B23/(1+0.1454)^A23</f>
        <v>289112.10057621793</v>
      </c>
      <c r="D23" s="52"/>
      <c r="E23" s="125">
        <f>'Exhibit 5'!D54</f>
        <v>-123260.1282051282</v>
      </c>
      <c r="F23" s="102">
        <f>E23/(1+0.1454)^A23</f>
        <v>-107613.17286985175</v>
      </c>
      <c r="G23" s="52"/>
      <c r="H23" s="154">
        <v>0</v>
      </c>
      <c r="I23" s="101">
        <v>0</v>
      </c>
      <c r="J23" s="52"/>
      <c r="K23" s="125">
        <f>'Exhibit 5'!D58</f>
        <v>207888.87179487181</v>
      </c>
      <c r="L23" s="102">
        <f>K23/(1+0.1454)^A23</f>
        <v>181498.92770636617</v>
      </c>
    </row>
    <row r="24" spans="1:12" x14ac:dyDescent="0.2">
      <c r="A24" s="52">
        <v>2</v>
      </c>
      <c r="B24" s="125">
        <f>'Exhibit 5'!E47</f>
        <v>362865</v>
      </c>
      <c r="C24" s="125">
        <f t="shared" ref="C24:C32" si="3">B24/(1+0.1454)^A24</f>
        <v>276586.33714944962</v>
      </c>
      <c r="D24" s="52"/>
      <c r="E24" s="125">
        <f>'Exhibit 5'!E54</f>
        <v>-139048.38845512818</v>
      </c>
      <c r="F24" s="102">
        <f t="shared" ref="F24:F32" si="4">E24/(1+0.1454)^A24</f>
        <v>-105986.75664320814</v>
      </c>
      <c r="G24" s="52"/>
      <c r="H24" s="154">
        <v>0</v>
      </c>
      <c r="I24" s="101">
        <v>0</v>
      </c>
      <c r="J24" s="52"/>
      <c r="K24" s="125">
        <f>'Exhibit 5'!E58</f>
        <v>223816.61154487182</v>
      </c>
      <c r="L24" s="102">
        <f t="shared" ref="L24:L32" si="5">K24/(1+0.1454)^A24</f>
        <v>170599.58050624147</v>
      </c>
    </row>
    <row r="25" spans="1:12" x14ac:dyDescent="0.2">
      <c r="A25" s="52">
        <v>3</v>
      </c>
      <c r="B25" s="125">
        <f>'Exhibit 5'!F47</f>
        <v>395532.48</v>
      </c>
      <c r="C25" s="125">
        <f t="shared" si="3"/>
        <v>263214.98844169511</v>
      </c>
      <c r="D25" s="52"/>
      <c r="E25" s="125">
        <f>'Exhibit 5'!F54</f>
        <v>-155474.36462137816</v>
      </c>
      <c r="F25" s="102">
        <f t="shared" si="4"/>
        <v>-103463.521091355</v>
      </c>
      <c r="G25" s="52"/>
      <c r="H25" s="154">
        <v>0</v>
      </c>
      <c r="I25" s="101">
        <v>0</v>
      </c>
      <c r="J25" s="52"/>
      <c r="K25" s="125">
        <f>'Exhibit 5'!F58</f>
        <v>240058.11537862182</v>
      </c>
      <c r="L25" s="102">
        <f t="shared" si="5"/>
        <v>159751.46735034013</v>
      </c>
    </row>
    <row r="26" spans="1:12" x14ac:dyDescent="0.2">
      <c r="A26" s="52">
        <v>4</v>
      </c>
      <c r="B26" s="125">
        <f>'Exhibit 5'!G47</f>
        <v>429179.98439999996</v>
      </c>
      <c r="C26" s="125">
        <f t="shared" si="3"/>
        <v>249350.78772216855</v>
      </c>
      <c r="D26" s="52"/>
      <c r="E26" s="125">
        <f>'Exhibit 5'!G54</f>
        <v>-172567.85260843445</v>
      </c>
      <c r="F26" s="102">
        <f t="shared" si="4"/>
        <v>-100260.80327020072</v>
      </c>
      <c r="G26" s="52"/>
      <c r="H26" s="154">
        <v>0</v>
      </c>
      <c r="I26" s="101">
        <v>0</v>
      </c>
      <c r="J26" s="52"/>
      <c r="K26" s="125">
        <f>'Exhibit 5'!G55</f>
        <v>256612.13179156551</v>
      </c>
      <c r="L26" s="102">
        <f t="shared" si="5"/>
        <v>149089.98445196784</v>
      </c>
    </row>
    <row r="27" spans="1:12" x14ac:dyDescent="0.2">
      <c r="A27" s="52">
        <v>5</v>
      </c>
      <c r="B27" s="125">
        <f>'Exhibit 5'!H47</f>
        <v>463836.91393200005</v>
      </c>
      <c r="C27" s="125">
        <f t="shared" si="3"/>
        <v>235276.96789900778</v>
      </c>
      <c r="D27" s="52"/>
      <c r="E27" s="125">
        <f>'Exhibit 5'!H54</f>
        <v>-190360.23538574934</v>
      </c>
      <c r="F27" s="102">
        <f t="shared" si="4"/>
        <v>-96558.461918075118</v>
      </c>
      <c r="G27" s="52"/>
      <c r="H27" s="154">
        <v>0</v>
      </c>
      <c r="I27" s="101">
        <v>0</v>
      </c>
      <c r="J27" s="52"/>
      <c r="K27" s="125">
        <f>'Exhibit 5'!H58</f>
        <v>273476.67854625068</v>
      </c>
      <c r="L27" s="102">
        <f t="shared" si="5"/>
        <v>138718.50598093265</v>
      </c>
    </row>
    <row r="28" spans="1:12" x14ac:dyDescent="0.2">
      <c r="A28" s="52">
        <v>6</v>
      </c>
      <c r="B28" s="125">
        <f>'Exhibit 5'!I47</f>
        <v>499533.55134996003</v>
      </c>
      <c r="C28" s="125">
        <f t="shared" si="3"/>
        <v>221218.57498560305</v>
      </c>
      <c r="D28" s="52"/>
      <c r="E28" s="125">
        <f>'Exhibit 5'!I54</f>
        <v>-208884.57565682274</v>
      </c>
      <c r="F28" s="102">
        <f t="shared" si="4"/>
        <v>-92504.593612175217</v>
      </c>
      <c r="G28" s="52"/>
      <c r="H28" s="154">
        <v>0</v>
      </c>
      <c r="I28" s="101">
        <v>0</v>
      </c>
      <c r="J28" s="52"/>
      <c r="K28" s="125">
        <f>'Exhibit 5'!I58</f>
        <v>290648.97569313727</v>
      </c>
      <c r="L28" s="102">
        <f t="shared" si="5"/>
        <v>128713.98137342781</v>
      </c>
    </row>
    <row r="29" spans="1:12" x14ac:dyDescent="0.2">
      <c r="A29" s="52">
        <v>7</v>
      </c>
      <c r="B29" s="125">
        <f>'Exhibit 5'!J47</f>
        <v>536301.08789045876</v>
      </c>
      <c r="C29" s="125">
        <f t="shared" si="3"/>
        <v>207352.0944450715</v>
      </c>
      <c r="D29" s="52"/>
      <c r="E29" s="125">
        <f>'Exhibit 5'!J54</f>
        <v>-228175.71423714585</v>
      </c>
      <c r="F29" s="102">
        <f t="shared" si="4"/>
        <v>-88220.429376112123</v>
      </c>
      <c r="G29" s="52"/>
      <c r="H29" s="154">
        <v>0</v>
      </c>
      <c r="I29" s="101">
        <v>0</v>
      </c>
      <c r="J29" s="52"/>
      <c r="K29" s="125">
        <f>'Exhibit 5'!J58</f>
        <v>308125.37365331291</v>
      </c>
      <c r="L29" s="102">
        <f t="shared" si="5"/>
        <v>119131.6650689594</v>
      </c>
    </row>
    <row r="30" spans="1:12" x14ac:dyDescent="0.2">
      <c r="A30" s="52">
        <v>8</v>
      </c>
      <c r="B30" s="125">
        <f>'Exhibit 5'!K47</f>
        <v>574171.65052717249</v>
      </c>
      <c r="C30" s="125">
        <f t="shared" si="3"/>
        <v>193813.62986501641</v>
      </c>
      <c r="D30" s="52"/>
      <c r="E30" s="125">
        <f>'Exhibit 5'!K54</f>
        <v>-248270.37450256885</v>
      </c>
      <c r="F30" s="102">
        <f t="shared" si="4"/>
        <v>-83804.525051194098</v>
      </c>
      <c r="G30" s="52"/>
      <c r="H30" s="154">
        <v>0</v>
      </c>
      <c r="I30" s="101">
        <v>0</v>
      </c>
      <c r="J30" s="52"/>
      <c r="K30" s="125">
        <f>'Exhibit 5'!K58</f>
        <v>325901.27602460363</v>
      </c>
      <c r="L30" s="102">
        <f t="shared" si="5"/>
        <v>110009.10481382231</v>
      </c>
    </row>
    <row r="31" spans="1:12" x14ac:dyDescent="0.2">
      <c r="A31" s="52">
        <v>9</v>
      </c>
      <c r="B31" s="125">
        <f>'Exhibit 5'!L47</f>
        <v>613178.3300429876</v>
      </c>
      <c r="C31" s="125">
        <f t="shared" si="3"/>
        <v>180705.84047060282</v>
      </c>
      <c r="D31" s="52"/>
      <c r="E31" s="125">
        <f>'Exhibit 5'!L54</f>
        <v>-269207.27329294459</v>
      </c>
      <c r="F31" s="102">
        <f t="shared" si="4"/>
        <v>-79336.343438278942</v>
      </c>
      <c r="G31" s="52"/>
      <c r="H31" s="154">
        <v>0</v>
      </c>
      <c r="I31" s="101">
        <v>0</v>
      </c>
      <c r="J31" s="52"/>
      <c r="K31" s="125">
        <f>'Exhibit 5'!L58</f>
        <v>343971.056750043</v>
      </c>
      <c r="L31" s="102">
        <f t="shared" si="5"/>
        <v>101369.49703232388</v>
      </c>
    </row>
    <row r="32" spans="1:12" x14ac:dyDescent="0.2">
      <c r="A32" s="52">
        <v>10</v>
      </c>
      <c r="B32" s="125">
        <f>'Exhibit 5'!M47</f>
        <v>653355.2099442773</v>
      </c>
      <c r="C32" s="125">
        <f t="shared" si="3"/>
        <v>168103.81547853941</v>
      </c>
      <c r="D32" s="52"/>
      <c r="E32" s="125">
        <f>'Exhibit 5'!M54</f>
        <v>-291027.23868062609</v>
      </c>
      <c r="F32" s="102">
        <f t="shared" si="4"/>
        <v>-74879.312946122052</v>
      </c>
      <c r="G32" s="52"/>
      <c r="H32" s="125">
        <f>'Exhibit 5'!M57</f>
        <v>8347868.7465059031</v>
      </c>
      <c r="I32" s="102">
        <f>H32/(1+0.1454)^A32</f>
        <v>2147849.3873514505</v>
      </c>
      <c r="J32" s="52"/>
      <c r="K32" s="125">
        <f>'Exhibit 5'!M58</f>
        <v>8710196.7177695539</v>
      </c>
      <c r="L32" s="102">
        <f t="shared" si="5"/>
        <v>2241073.8898838679</v>
      </c>
    </row>
    <row r="33" spans="1:12" ht="17" thickBot="1" x14ac:dyDescent="0.25">
      <c r="A33" s="108" t="s">
        <v>130</v>
      </c>
      <c r="B33" s="113">
        <f>SUM(B23:B32)</f>
        <v>4859103.2080868566</v>
      </c>
      <c r="C33" s="113">
        <f>SUM(C23:C32)</f>
        <v>2284735.1370333722</v>
      </c>
      <c r="D33" s="104"/>
      <c r="E33" s="112">
        <f>SUM(E23:E32)</f>
        <v>-2026276.1456459262</v>
      </c>
      <c r="F33" s="112">
        <f>SUM(F23:F32)</f>
        <v>-932627.92021657329</v>
      </c>
      <c r="G33" s="104"/>
      <c r="H33" s="113">
        <f>SUM(H23:H32)</f>
        <v>8347868.7465059031</v>
      </c>
      <c r="I33" s="113">
        <f>SUM(I23:I32)</f>
        <v>2147849.3873514505</v>
      </c>
      <c r="J33" s="104"/>
      <c r="K33" s="113">
        <f>SUM(K23:K32)</f>
        <v>11180695.808946833</v>
      </c>
      <c r="L33" s="113">
        <f>SUM(L23:L32)</f>
        <v>3499956.6041682493</v>
      </c>
    </row>
    <row r="34" spans="1:12" ht="17" thickBot="1" x14ac:dyDescent="0.25">
      <c r="A34" s="155" t="s">
        <v>132</v>
      </c>
      <c r="B34" s="104"/>
      <c r="C34" s="156">
        <f>C33/3500000</f>
        <v>0.65278146772382062</v>
      </c>
      <c r="D34" s="104"/>
      <c r="E34" s="104"/>
      <c r="F34" s="156">
        <f>F33/3500000</f>
        <v>-0.26646512006187806</v>
      </c>
      <c r="G34" s="104"/>
      <c r="H34" s="104"/>
      <c r="I34" s="156">
        <f>I33/3500000</f>
        <v>0.61367125352898588</v>
      </c>
      <c r="J34" s="104"/>
      <c r="K34" s="104"/>
      <c r="L34" s="157">
        <f>L33/3500000</f>
        <v>0.99998760119092833</v>
      </c>
    </row>
    <row r="35" spans="1:12" x14ac:dyDescent="0.2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</row>
    <row r="36" spans="1:12" x14ac:dyDescent="0.2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</row>
    <row r="37" spans="1:12" ht="17" thickBot="1" x14ac:dyDescent="0.25">
      <c r="A37" s="160" t="s">
        <v>17</v>
      </c>
      <c r="B37" s="160"/>
      <c r="C37" s="160"/>
      <c r="D37" s="160"/>
      <c r="E37" s="160"/>
      <c r="F37" s="160"/>
      <c r="G37" s="160" t="s">
        <v>134</v>
      </c>
      <c r="H37" s="161"/>
      <c r="I37" s="160"/>
      <c r="J37" s="160"/>
      <c r="K37" s="160"/>
      <c r="L37" s="160"/>
    </row>
    <row r="38" spans="1:12" ht="17" thickBot="1" x14ac:dyDescent="0.25">
      <c r="A38" s="20"/>
      <c r="B38" s="153" t="s">
        <v>127</v>
      </c>
      <c r="C38" s="153"/>
      <c r="D38" s="20"/>
      <c r="E38" s="153" t="s">
        <v>128</v>
      </c>
      <c r="F38" s="153"/>
      <c r="G38" s="20"/>
      <c r="H38" s="153" t="s">
        <v>129</v>
      </c>
      <c r="I38" s="153"/>
      <c r="J38" s="20"/>
      <c r="K38" s="153" t="s">
        <v>130</v>
      </c>
      <c r="L38" s="153"/>
    </row>
    <row r="39" spans="1:12" ht="17" thickBot="1" x14ac:dyDescent="0.25">
      <c r="A39" s="55" t="s">
        <v>122</v>
      </c>
      <c r="B39" s="55" t="s">
        <v>123</v>
      </c>
      <c r="C39" s="55" t="s">
        <v>124</v>
      </c>
      <c r="D39" s="55"/>
      <c r="E39" s="55" t="s">
        <v>123</v>
      </c>
      <c r="F39" s="55" t="s">
        <v>125</v>
      </c>
      <c r="G39" s="55"/>
      <c r="H39" s="55" t="s">
        <v>126</v>
      </c>
      <c r="I39" s="55" t="s">
        <v>125</v>
      </c>
      <c r="J39" s="55"/>
      <c r="K39" s="55" t="s">
        <v>126</v>
      </c>
      <c r="L39" s="55" t="s">
        <v>124</v>
      </c>
    </row>
    <row r="40" spans="1:12" x14ac:dyDescent="0.2">
      <c r="A40" s="52">
        <v>1</v>
      </c>
      <c r="B40" s="125">
        <f>'Exhibit 5'!D86</f>
        <v>336131</v>
      </c>
      <c r="C40" s="125">
        <f>B40/(1+0.1513)^A40</f>
        <v>291957.78684964823</v>
      </c>
      <c r="D40" s="52"/>
      <c r="E40" s="125">
        <f>'Exhibit 5'!D93</f>
        <v>-42085.909090909081</v>
      </c>
      <c r="F40" s="102">
        <f>E40/(1+0.1513)^A40</f>
        <v>-36555.11950917144</v>
      </c>
      <c r="G40" s="52"/>
      <c r="H40" s="154">
        <v>0</v>
      </c>
      <c r="I40" s="101">
        <v>0</v>
      </c>
      <c r="J40" s="52"/>
      <c r="K40" s="125">
        <f>'Exhibit 5'!D97</f>
        <v>294045.09090909094</v>
      </c>
      <c r="L40" s="102">
        <f>K40/(1+0.1513)^A40</f>
        <v>255402.66734047679</v>
      </c>
    </row>
    <row r="41" spans="1:12" x14ac:dyDescent="0.2">
      <c r="A41" s="52">
        <v>2</v>
      </c>
      <c r="B41" s="125">
        <f>'Exhibit 5'!E86</f>
        <v>359102</v>
      </c>
      <c r="C41" s="125">
        <f t="shared" ref="C41:C49" si="6">B41/(1+0.1513)^A41</f>
        <v>270919.84258309461</v>
      </c>
      <c r="D41" s="52"/>
      <c r="E41" s="125">
        <f>'Exhibit 5'!E93</f>
        <v>-51586.708090909087</v>
      </c>
      <c r="F41" s="102">
        <f t="shared" ref="F41:F49" si="7">E41/(1+0.1513)^A41</f>
        <v>-38918.922298870908</v>
      </c>
      <c r="G41" s="52"/>
      <c r="H41" s="154">
        <v>0</v>
      </c>
      <c r="I41" s="101">
        <v>0</v>
      </c>
      <c r="J41" s="52"/>
      <c r="K41" s="125">
        <f>'Exhibit 5'!E97</f>
        <v>307515.29190909094</v>
      </c>
      <c r="L41" s="102">
        <f t="shared" ref="L41:L49" si="8">K41/(1+0.1513)^A41</f>
        <v>232000.92028422368</v>
      </c>
    </row>
    <row r="42" spans="1:12" x14ac:dyDescent="0.2">
      <c r="A42" s="52">
        <v>3</v>
      </c>
      <c r="B42" s="125">
        <f>'Exhibit 5'!F86</f>
        <v>382762.13</v>
      </c>
      <c r="C42" s="125">
        <f t="shared" si="6"/>
        <v>250820.74224069517</v>
      </c>
      <c r="D42" s="52"/>
      <c r="E42" s="125">
        <f>'Exhibit 5'!F93</f>
        <v>-61416.359530909067</v>
      </c>
      <c r="F42" s="102">
        <f t="shared" si="7"/>
        <v>-40245.613857525575</v>
      </c>
      <c r="G42" s="52"/>
      <c r="H42" s="154">
        <v>0</v>
      </c>
      <c r="I42" s="101">
        <v>0</v>
      </c>
      <c r="J42" s="52"/>
      <c r="K42" s="125">
        <f>'Exhibit 5'!F97</f>
        <v>321345.77046909096</v>
      </c>
      <c r="L42" s="102">
        <f t="shared" si="8"/>
        <v>210575.12838316959</v>
      </c>
    </row>
    <row r="43" spans="1:12" x14ac:dyDescent="0.2">
      <c r="A43" s="52">
        <v>4</v>
      </c>
      <c r="B43" s="125">
        <f>'Exhibit 5'!G86</f>
        <v>407132.06390000007</v>
      </c>
      <c r="C43" s="125">
        <f t="shared" si="6"/>
        <v>231729.48058172184</v>
      </c>
      <c r="D43" s="52"/>
      <c r="E43" s="125">
        <f>'Exhibit 5'!G93</f>
        <v>-71587.358692309106</v>
      </c>
      <c r="F43" s="102">
        <f t="shared" si="7"/>
        <v>-40745.750376616794</v>
      </c>
      <c r="G43" s="52"/>
      <c r="H43" s="154">
        <v>0</v>
      </c>
      <c r="I43" s="101">
        <v>0</v>
      </c>
      <c r="J43" s="52"/>
      <c r="K43" s="125">
        <f>'Exhibit 5'!G97</f>
        <v>335544.70520769095</v>
      </c>
      <c r="L43" s="102">
        <f t="shared" si="8"/>
        <v>190983.73020510504</v>
      </c>
    </row>
    <row r="44" spans="1:12" x14ac:dyDescent="0.2">
      <c r="A44" s="52">
        <v>5</v>
      </c>
      <c r="B44" s="125">
        <f>'Exhibit 5'!H86</f>
        <v>432233.09581700014</v>
      </c>
      <c r="C44" s="125">
        <f t="shared" si="6"/>
        <v>213685.71688998575</v>
      </c>
      <c r="D44" s="52"/>
      <c r="E44" s="125">
        <f>'Exhibit 5'!H93</f>
        <v>-82112.733497443143</v>
      </c>
      <c r="F44" s="102">
        <f t="shared" si="7"/>
        <v>-40594.573837599622</v>
      </c>
      <c r="G44" s="52"/>
      <c r="H44" s="154">
        <v>0</v>
      </c>
      <c r="I44" s="101">
        <v>0</v>
      </c>
      <c r="J44" s="52"/>
      <c r="K44" s="125">
        <f>'Exhibit 5'!H94</f>
        <v>350120.362319557</v>
      </c>
      <c r="L44" s="102">
        <f t="shared" si="8"/>
        <v>173091.14305238615</v>
      </c>
    </row>
    <row r="45" spans="1:12" x14ac:dyDescent="0.2">
      <c r="A45" s="52">
        <v>6</v>
      </c>
      <c r="B45" s="125">
        <f>'Exhibit 5'!I86</f>
        <v>458087.15869151021</v>
      </c>
      <c r="C45" s="125">
        <f t="shared" si="6"/>
        <v>196705.7656071544</v>
      </c>
      <c r="D45" s="52"/>
      <c r="E45" s="125">
        <f>'Exhibit 5'!I93</f>
        <v>-93006.069955756713</v>
      </c>
      <c r="F45" s="102">
        <f t="shared" si="7"/>
        <v>-39937.443889537142</v>
      </c>
      <c r="G45" s="52"/>
      <c r="H45" s="154">
        <v>0</v>
      </c>
      <c r="I45" s="101">
        <v>0</v>
      </c>
      <c r="J45" s="52"/>
      <c r="K45" s="125">
        <f>'Exhibit 5'!I94</f>
        <v>365081.0887357535</v>
      </c>
      <c r="L45" s="102">
        <f t="shared" si="8"/>
        <v>156768.32171761728</v>
      </c>
    </row>
    <row r="46" spans="1:12" x14ac:dyDescent="0.2">
      <c r="A46" s="52">
        <v>7</v>
      </c>
      <c r="B46" s="125">
        <f>'Exhibit 5'!J86</f>
        <v>484716.84345225559</v>
      </c>
      <c r="C46" s="125">
        <f t="shared" si="6"/>
        <v>180787.57470645019</v>
      </c>
      <c r="D46" s="52"/>
      <c r="E46" s="125">
        <f>'Exhibit 5'!J93</f>
        <v>-104281.53894138674</v>
      </c>
      <c r="F46" s="102">
        <f t="shared" si="7"/>
        <v>-38894.473684050019</v>
      </c>
      <c r="G46" s="52"/>
      <c r="H46" s="154">
        <v>0</v>
      </c>
      <c r="I46" s="101">
        <v>0</v>
      </c>
      <c r="J46" s="52"/>
      <c r="K46" s="125">
        <f>'Exhibit 5'!J97</f>
        <v>380435.30451086885</v>
      </c>
      <c r="L46" s="102">
        <f t="shared" si="8"/>
        <v>141893.10102240017</v>
      </c>
    </row>
    <row r="47" spans="1:12" x14ac:dyDescent="0.2">
      <c r="A47" s="52">
        <v>8</v>
      </c>
      <c r="B47" s="125">
        <f>'Exhibit 5'!K86</f>
        <v>512145.41875582328</v>
      </c>
      <c r="C47" s="125">
        <f t="shared" si="6"/>
        <v>165914.84853932899</v>
      </c>
      <c r="D47" s="52"/>
      <c r="E47" s="125">
        <f>'Exhibit 5'!K93</f>
        <v>-115953.92437616673</v>
      </c>
      <c r="F47" s="102">
        <f t="shared" si="7"/>
        <v>-37564.482851666166</v>
      </c>
      <c r="G47" s="52"/>
      <c r="H47" s="154">
        <v>0</v>
      </c>
      <c r="I47" s="101">
        <v>0</v>
      </c>
      <c r="J47" s="52"/>
      <c r="K47" s="125">
        <f>'Exhibit 5'!K97</f>
        <v>396191.49437965656</v>
      </c>
      <c r="L47" s="102">
        <f t="shared" si="8"/>
        <v>128350.36568766282</v>
      </c>
    </row>
    <row r="48" spans="1:12" x14ac:dyDescent="0.2">
      <c r="A48" s="52">
        <v>9</v>
      </c>
      <c r="B48" s="125">
        <f>'Exhibit 5'!L86</f>
        <v>540396.85131849803</v>
      </c>
      <c r="C48" s="125">
        <f t="shared" si="6"/>
        <v>152060.44879294198</v>
      </c>
      <c r="D48" s="52"/>
      <c r="E48" s="125">
        <f>'Exhibit 5'!L93</f>
        <v>-128038.65289634603</v>
      </c>
      <c r="F48" s="102">
        <f t="shared" si="7"/>
        <v>-36028.365033509668</v>
      </c>
      <c r="G48" s="52"/>
      <c r="H48" s="154">
        <v>0</v>
      </c>
      <c r="I48" s="101">
        <v>0</v>
      </c>
      <c r="J48" s="52"/>
      <c r="K48" s="125">
        <f>'Exhibit 5'!L97</f>
        <v>412358.19842215197</v>
      </c>
      <c r="L48" s="102">
        <f t="shared" si="8"/>
        <v>116032.08375943231</v>
      </c>
    </row>
    <row r="49" spans="1:12" x14ac:dyDescent="0.2">
      <c r="A49" s="52">
        <v>10</v>
      </c>
      <c r="B49" s="125">
        <f>'Exhibit 5'!M86</f>
        <v>569495.82685805298</v>
      </c>
      <c r="C49" s="125">
        <f t="shared" si="6"/>
        <v>139189.18739956699</v>
      </c>
      <c r="D49" s="52"/>
      <c r="E49" s="125">
        <f>'Exhibit 5'!M93</f>
        <v>-140551.82508582808</v>
      </c>
      <c r="F49" s="102">
        <f t="shared" si="7"/>
        <v>-34351.953778405194</v>
      </c>
      <c r="G49" s="52"/>
      <c r="H49" s="125">
        <f>'Exhibit 5'!M96</f>
        <v>4868338.3597101346</v>
      </c>
      <c r="I49" s="102">
        <f>H49/(1+0.1513)^A49</f>
        <v>1189859.5710747701</v>
      </c>
      <c r="J49" s="52"/>
      <c r="K49" s="125">
        <f>'Exhibit 5'!M97</f>
        <v>5297282.3614823595</v>
      </c>
      <c r="L49" s="102">
        <f t="shared" si="8"/>
        <v>1294696.8046959317</v>
      </c>
    </row>
    <row r="50" spans="1:12" ht="17" thickBot="1" x14ac:dyDescent="0.25">
      <c r="A50" s="108" t="s">
        <v>130</v>
      </c>
      <c r="B50" s="113">
        <f>SUM(B40:B49)</f>
        <v>4482202.3887931406</v>
      </c>
      <c r="C50" s="113">
        <f>SUM(C40:C49)</f>
        <v>2093771.394190588</v>
      </c>
      <c r="D50" s="104"/>
      <c r="E50" s="112">
        <f>SUM(E40:E49)</f>
        <v>-890621.08015796379</v>
      </c>
      <c r="F50" s="112">
        <f>SUM(F40:F49)</f>
        <v>-383836.6991169526</v>
      </c>
      <c r="G50" s="104"/>
      <c r="H50" s="113">
        <f>SUM(H40:H49)</f>
        <v>4868338.3597101346</v>
      </c>
      <c r="I50" s="113">
        <f>SUM(I40:I49)</f>
        <v>1189859.5710747701</v>
      </c>
      <c r="J50" s="104"/>
      <c r="K50" s="113">
        <f>SUM(K40:K49)</f>
        <v>8459919.6683453117</v>
      </c>
      <c r="L50" s="113">
        <f>SUM(L40:L49)</f>
        <v>2899794.2661484056</v>
      </c>
    </row>
    <row r="51" spans="1:12" ht="17" thickBot="1" x14ac:dyDescent="0.25">
      <c r="A51" s="155" t="s">
        <v>132</v>
      </c>
      <c r="B51" s="104"/>
      <c r="C51" s="156">
        <f>C50/2900000</f>
        <v>0.72199013592778893</v>
      </c>
      <c r="D51" s="104"/>
      <c r="E51" s="104"/>
      <c r="F51" s="156">
        <f>F50/2900000</f>
        <v>-0.1323574824541216</v>
      </c>
      <c r="G51" s="104"/>
      <c r="H51" s="104"/>
      <c r="I51" s="156">
        <f>I50/2900000</f>
        <v>0.41029640381888621</v>
      </c>
      <c r="J51" s="104"/>
      <c r="K51" s="104"/>
      <c r="L51" s="157">
        <f>L50/2900000</f>
        <v>0.99992905729255366</v>
      </c>
    </row>
    <row r="52" spans="1:12" x14ac:dyDescent="0.2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</row>
    <row r="53" spans="1:12" x14ac:dyDescent="0.2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</row>
    <row r="54" spans="1:12" ht="17" thickBot="1" x14ac:dyDescent="0.25">
      <c r="A54" s="162" t="s">
        <v>135</v>
      </c>
      <c r="B54" s="162"/>
      <c r="C54" s="162"/>
      <c r="D54" s="162"/>
      <c r="E54" s="162"/>
      <c r="F54" s="162"/>
      <c r="G54" s="162" t="s">
        <v>136</v>
      </c>
      <c r="H54" s="163"/>
      <c r="I54" s="162"/>
      <c r="J54" s="162"/>
      <c r="K54" s="162"/>
      <c r="L54" s="162"/>
    </row>
    <row r="55" spans="1:12" ht="17" thickBot="1" x14ac:dyDescent="0.25">
      <c r="A55" s="164"/>
      <c r="B55" s="165" t="s">
        <v>127</v>
      </c>
      <c r="C55" s="165"/>
      <c r="D55" s="164"/>
      <c r="E55" s="165" t="s">
        <v>128</v>
      </c>
      <c r="F55" s="165"/>
      <c r="G55" s="164"/>
      <c r="H55" s="165" t="s">
        <v>129</v>
      </c>
      <c r="I55" s="165"/>
      <c r="J55" s="164"/>
      <c r="K55" s="165" t="s">
        <v>130</v>
      </c>
      <c r="L55" s="165"/>
    </row>
    <row r="56" spans="1:12" ht="17" thickBot="1" x14ac:dyDescent="0.25">
      <c r="A56" s="166" t="s">
        <v>122</v>
      </c>
      <c r="B56" s="166" t="s">
        <v>123</v>
      </c>
      <c r="C56" s="166" t="s">
        <v>124</v>
      </c>
      <c r="D56" s="166"/>
      <c r="E56" s="166" t="s">
        <v>123</v>
      </c>
      <c r="F56" s="166" t="s">
        <v>125</v>
      </c>
      <c r="G56" s="166"/>
      <c r="H56" s="166" t="s">
        <v>126</v>
      </c>
      <c r="I56" s="166" t="s">
        <v>125</v>
      </c>
      <c r="J56" s="166"/>
      <c r="K56" s="166" t="s">
        <v>126</v>
      </c>
      <c r="L56" s="166" t="s">
        <v>124</v>
      </c>
    </row>
    <row r="57" spans="1:12" x14ac:dyDescent="0.2">
      <c r="A57" s="167">
        <v>1</v>
      </c>
      <c r="B57" s="168">
        <f>'Exhibit 5'!D125</f>
        <v>90325</v>
      </c>
      <c r="C57" s="168">
        <f>B57/(1+0.1538)^A57</f>
        <v>78284.798058589018</v>
      </c>
      <c r="D57" s="167"/>
      <c r="E57" s="168">
        <f>'Exhibit 5'!D132</f>
        <v>11453.974358974359</v>
      </c>
      <c r="F57" s="168">
        <f>E57/(1+0.1538)^A57</f>
        <v>9927.1748647723689</v>
      </c>
      <c r="G57" s="167"/>
      <c r="H57" s="169">
        <v>0</v>
      </c>
      <c r="I57" s="170">
        <v>0</v>
      </c>
      <c r="J57" s="167"/>
      <c r="K57" s="168">
        <f>'Exhibit 5'!D136</f>
        <v>101778.97435897436</v>
      </c>
      <c r="L57" s="168">
        <f>K57/(1+0.1538)^A57</f>
        <v>88211.972923361391</v>
      </c>
    </row>
    <row r="58" spans="1:12" x14ac:dyDescent="0.2">
      <c r="A58" s="167">
        <v>2</v>
      </c>
      <c r="B58" s="168">
        <f>'Exhibit 5'!E125</f>
        <v>121857</v>
      </c>
      <c r="C58" s="168">
        <f t="shared" ref="C58:C66" si="9">B58/(1+0.1538)^A58</f>
        <v>91535.469357758542</v>
      </c>
      <c r="D58" s="167"/>
      <c r="E58" s="168">
        <f>'Exhibit 5'!E132</f>
        <v>-2285.3193910256391</v>
      </c>
      <c r="F58" s="168">
        <f t="shared" ref="F58:F66" si="10">E58/(1+0.1538)^A58</f>
        <v>-1716.6661175797763</v>
      </c>
      <c r="G58" s="167"/>
      <c r="H58" s="169">
        <v>0</v>
      </c>
      <c r="I58" s="170">
        <v>0</v>
      </c>
      <c r="J58" s="167"/>
      <c r="K58" s="168">
        <f>'Exhibit 5'!E136</f>
        <v>119571.68060897436</v>
      </c>
      <c r="L58" s="168">
        <f t="shared" ref="L58:L66" si="11">K58/(1+0.1538)^A58</f>
        <v>89818.803240178764</v>
      </c>
    </row>
    <row r="59" spans="1:12" x14ac:dyDescent="0.2">
      <c r="A59" s="167">
        <v>3</v>
      </c>
      <c r="B59" s="168">
        <f>'Exhibit 5'!F125</f>
        <v>154650.28000000003</v>
      </c>
      <c r="C59" s="168">
        <f t="shared" si="9"/>
        <v>100683.68605090273</v>
      </c>
      <c r="D59" s="167"/>
      <c r="E59" s="168">
        <f>'Exhibit 5'!F132</f>
        <v>-16668.793172275648</v>
      </c>
      <c r="F59" s="168">
        <f t="shared" si="10"/>
        <v>-10852.069188654765</v>
      </c>
      <c r="G59" s="167"/>
      <c r="H59" s="169">
        <v>0</v>
      </c>
      <c r="I59" s="170">
        <v>0</v>
      </c>
      <c r="J59" s="167"/>
      <c r="K59" s="168">
        <f>'Exhibit 5'!F136</f>
        <v>137981.48682772438</v>
      </c>
      <c r="L59" s="168">
        <f t="shared" si="11"/>
        <v>89831.616862247974</v>
      </c>
    </row>
    <row r="60" spans="1:12" x14ac:dyDescent="0.2">
      <c r="A60" s="167">
        <v>4</v>
      </c>
      <c r="B60" s="168">
        <f>'Exhibit 5'!G125</f>
        <v>188755.29120000009</v>
      </c>
      <c r="C60" s="168">
        <f t="shared" si="9"/>
        <v>106506.71653543224</v>
      </c>
      <c r="D60" s="167"/>
      <c r="E60" s="168">
        <f>'Exhibit 5'!G132</f>
        <v>-31729.309807119436</v>
      </c>
      <c r="F60" s="168">
        <f t="shared" si="10"/>
        <v>-17903.522513236854</v>
      </c>
      <c r="G60" s="167"/>
      <c r="H60" s="169">
        <v>0</v>
      </c>
      <c r="I60" s="170">
        <v>0</v>
      </c>
      <c r="J60" s="167"/>
      <c r="K60" s="168">
        <f>'Exhibit 5'!G136</f>
        <v>157025.98139288067</v>
      </c>
      <c r="L60" s="168">
        <f t="shared" si="11"/>
        <v>88603.194022195385</v>
      </c>
    </row>
    <row r="61" spans="1:12" x14ac:dyDescent="0.2">
      <c r="A61" s="167">
        <v>5</v>
      </c>
      <c r="B61" s="168">
        <f>'Exhibit 5'!H125</f>
        <v>224224.50284800015</v>
      </c>
      <c r="C61" s="168">
        <f t="shared" si="9"/>
        <v>109655.49423126644</v>
      </c>
      <c r="D61" s="167"/>
      <c r="E61" s="168">
        <f>'Exhibit 5'!H132</f>
        <v>-47501.578802376469</v>
      </c>
      <c r="F61" s="168">
        <f t="shared" si="10"/>
        <v>-23230.329576741431</v>
      </c>
      <c r="G61" s="167"/>
      <c r="H61" s="169">
        <v>0</v>
      </c>
      <c r="I61" s="170">
        <v>0</v>
      </c>
      <c r="J61" s="167"/>
      <c r="K61" s="168">
        <f>'Exhibit 5'!H136</f>
        <v>176722.92404562369</v>
      </c>
      <c r="L61" s="168">
        <f t="shared" si="11"/>
        <v>86425.164654525011</v>
      </c>
    </row>
    <row r="62" spans="1:12" x14ac:dyDescent="0.2">
      <c r="A62" s="167">
        <v>6</v>
      </c>
      <c r="B62" s="168">
        <f>'Exhibit 5'!I125</f>
        <v>261112.48296192021</v>
      </c>
      <c r="C62" s="168">
        <f t="shared" si="9"/>
        <v>110673.69935756407</v>
      </c>
      <c r="D62" s="167"/>
      <c r="E62" s="168">
        <f>'Exhibit 5'!I132</f>
        <v>-64022.2701295898</v>
      </c>
      <c r="F62" s="168">
        <f t="shared" si="10"/>
        <v>-27136.126914102049</v>
      </c>
      <c r="G62" s="167"/>
      <c r="H62" s="169">
        <v>0</v>
      </c>
      <c r="I62" s="170">
        <v>0</v>
      </c>
      <c r="J62" s="167"/>
      <c r="K62" s="168">
        <f>'Exhibit 5'!I136</f>
        <v>197090.21283233041</v>
      </c>
      <c r="L62" s="168">
        <f t="shared" si="11"/>
        <v>83537.572443462021</v>
      </c>
    </row>
    <row r="63" spans="1:12" x14ac:dyDescent="0.2">
      <c r="A63" s="167">
        <v>7</v>
      </c>
      <c r="B63" s="168">
        <f>'Exhibit 5'!J125</f>
        <v>299475.98228039709</v>
      </c>
      <c r="C63" s="168">
        <f t="shared" si="9"/>
        <v>110014.07605427258</v>
      </c>
      <c r="D63" s="167"/>
      <c r="E63" s="168">
        <f>'Exhibit 5'!J132</f>
        <v>-81330.135549948609</v>
      </c>
      <c r="F63" s="168">
        <f t="shared" si="10"/>
        <v>-29877.052743144206</v>
      </c>
      <c r="G63" s="167"/>
      <c r="H63" s="169">
        <v>0</v>
      </c>
      <c r="I63" s="170">
        <v>0</v>
      </c>
      <c r="J63" s="167"/>
      <c r="K63" s="168">
        <f>'Exhibit 5'!J136</f>
        <v>218145.84673044848</v>
      </c>
      <c r="L63" s="168">
        <f t="shared" si="11"/>
        <v>80137.02331112836</v>
      </c>
    </row>
    <row r="64" spans="1:12" x14ac:dyDescent="0.2">
      <c r="A64" s="167">
        <v>8</v>
      </c>
      <c r="B64" s="168">
        <f>'Exhibit 5'!K125</f>
        <v>339374.02157161303</v>
      </c>
      <c r="C64" s="168">
        <f t="shared" si="9"/>
        <v>108052.37517857936</v>
      </c>
      <c r="D64" s="167"/>
      <c r="E64" s="168">
        <f>'Exhibit 5'!K132</f>
        <v>-99466.138010182956</v>
      </c>
      <c r="F64" s="168">
        <f t="shared" si="10"/>
        <v>-31668.754172961195</v>
      </c>
      <c r="G64" s="167"/>
      <c r="H64" s="169">
        <v>0</v>
      </c>
      <c r="I64" s="170">
        <v>0</v>
      </c>
      <c r="J64" s="167"/>
      <c r="K64" s="168">
        <f>'Exhibit 5'!K136</f>
        <v>239907.88356143009</v>
      </c>
      <c r="L64" s="168">
        <f t="shared" si="11"/>
        <v>76383.621005618174</v>
      </c>
    </row>
    <row r="65" spans="1:12" x14ac:dyDescent="0.2">
      <c r="A65" s="167">
        <v>9</v>
      </c>
      <c r="B65" s="168">
        <f>'Exhibit 5'!L125</f>
        <v>380867.98243447766</v>
      </c>
      <c r="C65" s="168">
        <f t="shared" si="9"/>
        <v>105099.25892520446</v>
      </c>
      <c r="D65" s="167"/>
      <c r="E65" s="168">
        <f>'Exhibit 5'!L132</f>
        <v>-118473.58967361756</v>
      </c>
      <c r="F65" s="168">
        <f t="shared" si="10"/>
        <v>-32692.394874772766</v>
      </c>
      <c r="G65" s="167"/>
      <c r="H65" s="169">
        <v>0</v>
      </c>
      <c r="I65" s="170">
        <v>0</v>
      </c>
      <c r="J65" s="167"/>
      <c r="K65" s="168">
        <f>'Exhibit 5'!L136</f>
        <v>262394.39276086009</v>
      </c>
      <c r="L65" s="168">
        <f t="shared" si="11"/>
        <v>72406.864050431686</v>
      </c>
    </row>
    <row r="66" spans="1:12" x14ac:dyDescent="0.2">
      <c r="A66" s="167">
        <v>10</v>
      </c>
      <c r="B66" s="168">
        <f>'Exhibit 5'!M125</f>
        <v>424021.70173185691</v>
      </c>
      <c r="C66" s="168">
        <f t="shared" si="9"/>
        <v>101410.4566727269</v>
      </c>
      <c r="D66" s="167"/>
      <c r="E66" s="168">
        <f>'Exhibit 5'!M132</f>
        <v>-138398.29919123967</v>
      </c>
      <c r="F66" s="168">
        <f t="shared" si="10"/>
        <v>-33099.802831761161</v>
      </c>
      <c r="G66" s="167"/>
      <c r="H66" s="168">
        <f>'Exhibit 5'!M135</f>
        <v>6591732.2322880458</v>
      </c>
      <c r="I66" s="168">
        <f>H66/(1+0.1538)^A66</f>
        <v>1576500.8564665213</v>
      </c>
      <c r="J66" s="167"/>
      <c r="K66" s="168">
        <f>'Exhibit 5'!M136</f>
        <v>6877355.6348286634</v>
      </c>
      <c r="L66" s="168">
        <f t="shared" si="11"/>
        <v>1644811.5103074871</v>
      </c>
    </row>
    <row r="67" spans="1:12" ht="17" thickBot="1" x14ac:dyDescent="0.25">
      <c r="A67" s="171" t="s">
        <v>130</v>
      </c>
      <c r="B67" s="172">
        <f>SUM(B57:B66)</f>
        <v>2484664.2450282653</v>
      </c>
      <c r="C67" s="172">
        <f>SUM(C57:C66)</f>
        <v>1021916.0304222964</v>
      </c>
      <c r="D67" s="173"/>
      <c r="E67" s="172">
        <f>SUM(E57:E66)</f>
        <v>-588421.45936840144</v>
      </c>
      <c r="F67" s="172">
        <f>SUM(F57:F66)</f>
        <v>-198249.54406818183</v>
      </c>
      <c r="G67" s="173"/>
      <c r="H67" s="172">
        <f>SUM(H57:H66)</f>
        <v>6591732.2322880458</v>
      </c>
      <c r="I67" s="172">
        <f>SUM(I57:I66)</f>
        <v>1576500.8564665213</v>
      </c>
      <c r="J67" s="173"/>
      <c r="K67" s="172">
        <f>SUM(K57:K66)</f>
        <v>8487975.0179479104</v>
      </c>
      <c r="L67" s="172">
        <f>SUM(L57:L66)</f>
        <v>2400167.342820636</v>
      </c>
    </row>
    <row r="68" spans="1:12" ht="17" thickBot="1" x14ac:dyDescent="0.25">
      <c r="A68" s="174" t="s">
        <v>132</v>
      </c>
      <c r="B68" s="173"/>
      <c r="C68" s="175">
        <f>C67/2400000</f>
        <v>0.42579834600929017</v>
      </c>
      <c r="D68" s="173"/>
      <c r="E68" s="173"/>
      <c r="F68" s="176">
        <f>F67/2400000</f>
        <v>-8.2603976695075756E-2</v>
      </c>
      <c r="G68" s="173"/>
      <c r="H68" s="173"/>
      <c r="I68" s="175">
        <f>I67/2400000</f>
        <v>0.65687535686105059</v>
      </c>
      <c r="J68" s="173"/>
      <c r="K68" s="173"/>
      <c r="L68" s="177">
        <f>L67/2400000</f>
        <v>1.0000697261752649</v>
      </c>
    </row>
  </sheetData>
  <mergeCells count="16">
    <mergeCell ref="B4:C4"/>
    <mergeCell ref="E4:F4"/>
    <mergeCell ref="H4:I4"/>
    <mergeCell ref="K4:L4"/>
    <mergeCell ref="B55:C55"/>
    <mergeCell ref="E55:F55"/>
    <mergeCell ref="H55:I55"/>
    <mergeCell ref="K55:L55"/>
    <mergeCell ref="B21:C21"/>
    <mergeCell ref="E21:F21"/>
    <mergeCell ref="H21:I21"/>
    <mergeCell ref="K21:L21"/>
    <mergeCell ref="B38:C38"/>
    <mergeCell ref="E38:F38"/>
    <mergeCell ref="H38:I38"/>
    <mergeCell ref="K38:L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Exhibit 1</vt:lpstr>
      <vt:lpstr>Exhibit 2</vt:lpstr>
      <vt:lpstr>Exhibit 3</vt:lpstr>
      <vt:lpstr>Exhibit 4</vt:lpstr>
      <vt:lpstr>Exhibit 5</vt:lpstr>
      <vt:lpstr>Exhibit 5.a</vt:lpstr>
      <vt:lpstr>Exhibit 6</vt:lpstr>
      <vt:lpstr>Exhibit 7</vt:lpstr>
      <vt:lpstr>Exhibit 8</vt:lpstr>
      <vt:lpstr>Exhibit 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2019-11-01T23:06:38Z</dcterms:created>
  <dcterms:modified xsi:type="dcterms:W3CDTF">2019-11-04T19:35:23Z</dcterms:modified>
</cp:coreProperties>
</file>