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Desktop Files\Schulich\Year 2 - Sem 2\ACTG 2020\"/>
    </mc:Choice>
  </mc:AlternateContent>
  <xr:revisionPtr revIDLastSave="0" documentId="13_ncr:1_{B7A77123-F5F2-4471-858F-3E1DBE180487}" xr6:coauthVersionLast="45" xr6:coauthVersionMax="45" xr10:uidLastSave="{00000000-0000-0000-0000-000000000000}"/>
  <bookViews>
    <workbookView xWindow="-120" yWindow="-120" windowWidth="21840" windowHeight="13290" activeTab="2" xr2:uid="{A55D3A03-7DEF-4A5E-8AB3-0BD162981B76}"/>
  </bookViews>
  <sheets>
    <sheet name="Sales Budget + Sch $ Collection" sheetId="1" r:id="rId1"/>
    <sheet name="Production Budget" sheetId="2" r:id="rId2"/>
    <sheet name="DM Budget" sheetId="3" r:id="rId3"/>
    <sheet name="DL Budget" sheetId="4" r:id="rId4"/>
    <sheet name="OH Budget" sheetId="5" r:id="rId5"/>
    <sheet name="Selling &amp; Admin Budget" sheetId="6" r:id="rId6"/>
    <sheet name="Cash Budget" sheetId="7" r:id="rId7"/>
    <sheet name="Budgeted IS" sheetId="8" r:id="rId8"/>
    <sheet name="Budgeted B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9" l="1"/>
  <c r="B25" i="9" s="1"/>
  <c r="B22" i="9"/>
  <c r="B21" i="9"/>
  <c r="B19" i="9"/>
  <c r="B17" i="9"/>
  <c r="B12" i="9"/>
  <c r="B14" i="9" s="1"/>
  <c r="B8" i="9"/>
  <c r="E14" i="8" l="1"/>
  <c r="E12" i="8"/>
  <c r="C12" i="8"/>
  <c r="D12" i="8"/>
  <c r="C14" i="8"/>
  <c r="D14" i="8"/>
  <c r="C15" i="8"/>
  <c r="E15" i="8" s="1"/>
  <c r="D15" i="8"/>
  <c r="B12" i="8"/>
  <c r="B15" i="8"/>
  <c r="B14" i="8"/>
  <c r="E6" i="8"/>
  <c r="E7" i="8"/>
  <c r="D3" i="8"/>
  <c r="D5" i="8" s="1"/>
  <c r="D8" i="8" s="1"/>
  <c r="D9" i="8" s="1"/>
  <c r="C3" i="8"/>
  <c r="C5" i="8" s="1"/>
  <c r="C8" i="8" s="1"/>
  <c r="C9" i="8" s="1"/>
  <c r="B3" i="8"/>
  <c r="E3" i="8" s="1"/>
  <c r="C14" i="7"/>
  <c r="D14" i="7"/>
  <c r="B14" i="7"/>
  <c r="D18" i="7"/>
  <c r="B18" i="7"/>
  <c r="E17" i="7"/>
  <c r="E18" i="7" s="1"/>
  <c r="C17" i="7"/>
  <c r="C18" i="7" s="1"/>
  <c r="C19" i="7" s="1"/>
  <c r="C21" i="7" s="1"/>
  <c r="D17" i="7"/>
  <c r="B17" i="7"/>
  <c r="E13" i="7"/>
  <c r="E14" i="7" s="1"/>
  <c r="C30" i="7"/>
  <c r="C31" i="7" s="1"/>
  <c r="E29" i="7"/>
  <c r="E30" i="7"/>
  <c r="D31" i="7"/>
  <c r="E25" i="7"/>
  <c r="E24" i="7"/>
  <c r="B31" i="7"/>
  <c r="E28" i="7"/>
  <c r="B25" i="7"/>
  <c r="C6" i="7"/>
  <c r="D6" i="7"/>
  <c r="E6" i="7"/>
  <c r="B6" i="7"/>
  <c r="C4" i="6"/>
  <c r="B4" i="6"/>
  <c r="E5" i="6"/>
  <c r="C5" i="6"/>
  <c r="D5" i="6"/>
  <c r="B5" i="6"/>
  <c r="D4" i="6"/>
  <c r="I17" i="5"/>
  <c r="E7" i="5"/>
  <c r="C7" i="5"/>
  <c r="D7" i="5"/>
  <c r="B7" i="5"/>
  <c r="D6" i="5"/>
  <c r="D8" i="5" s="1"/>
  <c r="E6" i="5"/>
  <c r="E8" i="5" s="1"/>
  <c r="B6" i="5"/>
  <c r="B8" i="5" s="1"/>
  <c r="C5" i="5"/>
  <c r="C6" i="5" s="1"/>
  <c r="C8" i="5" s="1"/>
  <c r="D5" i="5"/>
  <c r="E5" i="5"/>
  <c r="B5" i="5"/>
  <c r="E6" i="4"/>
  <c r="B5" i="4"/>
  <c r="C6" i="4" s="1"/>
  <c r="E16" i="3"/>
  <c r="C16" i="3"/>
  <c r="D15" i="3" s="1"/>
  <c r="C15" i="3"/>
  <c r="B16" i="3"/>
  <c r="B17" i="3" s="1"/>
  <c r="B15" i="3"/>
  <c r="E15" i="3" s="1"/>
  <c r="C14" i="3"/>
  <c r="D14" i="3"/>
  <c r="D17" i="3" s="1"/>
  <c r="D19" i="3" s="1"/>
  <c r="E14" i="3"/>
  <c r="E17" i="3" s="1"/>
  <c r="B14" i="3"/>
  <c r="D12" i="3"/>
  <c r="E11" i="3"/>
  <c r="C11" i="3"/>
  <c r="D10" i="3" s="1"/>
  <c r="C9" i="3"/>
  <c r="D9" i="3"/>
  <c r="E9" i="3"/>
  <c r="B11" i="3"/>
  <c r="B9" i="3"/>
  <c r="B10" i="3"/>
  <c r="E10" i="3" s="1"/>
  <c r="B6" i="2"/>
  <c r="E6" i="2" s="1"/>
  <c r="E5" i="2"/>
  <c r="E4" i="2"/>
  <c r="D5" i="2"/>
  <c r="D6" i="2" s="1"/>
  <c r="D4" i="2"/>
  <c r="C5" i="2"/>
  <c r="B5" i="2"/>
  <c r="C4" i="2" s="1"/>
  <c r="C6" i="2" s="1"/>
  <c r="E3" i="2"/>
  <c r="C7" i="1"/>
  <c r="D8" i="1" s="1"/>
  <c r="D7" i="1"/>
  <c r="D5" i="1"/>
  <c r="C5" i="1"/>
  <c r="B5" i="1"/>
  <c r="B7" i="1" s="1"/>
  <c r="C17" i="8" l="1"/>
  <c r="B8" i="1"/>
  <c r="E8" i="1" s="1"/>
  <c r="C8" i="1"/>
  <c r="E12" i="3"/>
  <c r="E19" i="3" s="1"/>
  <c r="B12" i="3"/>
  <c r="B19" i="3" s="1"/>
  <c r="B20" i="3" s="1"/>
  <c r="B6" i="4"/>
  <c r="D6" i="4"/>
  <c r="C6" i="6"/>
  <c r="D19" i="7"/>
  <c r="D21" i="7" s="1"/>
  <c r="B13" i="8"/>
  <c r="D13" i="8"/>
  <c r="D17" i="8" s="1"/>
  <c r="B5" i="8"/>
  <c r="C13" i="8"/>
  <c r="C10" i="3"/>
  <c r="C12" i="3" s="1"/>
  <c r="C17" i="3"/>
  <c r="C19" i="3" s="1"/>
  <c r="D20" i="3" s="1"/>
  <c r="D6" i="6"/>
  <c r="E19" i="7"/>
  <c r="E21" i="7" s="1"/>
  <c r="D33" i="7"/>
  <c r="C33" i="7"/>
  <c r="E31" i="7"/>
  <c r="E33" i="7" s="1"/>
  <c r="B19" i="7"/>
  <c r="B21" i="7" s="1"/>
  <c r="B33" i="7" s="1"/>
  <c r="B35" i="7" s="1"/>
  <c r="E4" i="6"/>
  <c r="E6" i="6" s="1"/>
  <c r="B6" i="6"/>
  <c r="E13" i="8" l="1"/>
  <c r="C20" i="3"/>
  <c r="E20" i="3" s="1"/>
  <c r="B8" i="8"/>
  <c r="B9" i="8" s="1"/>
  <c r="B17" i="8" s="1"/>
  <c r="E5" i="8"/>
  <c r="E8" i="8" s="1"/>
  <c r="E9" i="8" s="1"/>
  <c r="E17" i="8" s="1"/>
  <c r="C35" i="7"/>
  <c r="D35" i="7" s="1"/>
  <c r="E35" i="7" s="1"/>
  <c r="E5" i="1"/>
  <c r="E7" i="1"/>
</calcChain>
</file>

<file path=xl/sharedStrings.xml><?xml version="1.0" encoding="utf-8"?>
<sst xmlns="http://schemas.openxmlformats.org/spreadsheetml/2006/main" count="131" uniqueCount="93">
  <si>
    <t>Selling Price</t>
  </si>
  <si>
    <t>per plane</t>
  </si>
  <si>
    <t>Jan</t>
  </si>
  <si>
    <t>Feb</t>
  </si>
  <si>
    <t>Mar</t>
  </si>
  <si>
    <t>Total</t>
  </si>
  <si>
    <t>Sales</t>
  </si>
  <si>
    <t>Unit Sales</t>
  </si>
  <si>
    <t>Sales Revenue</t>
  </si>
  <si>
    <t>Collection of Sales</t>
  </si>
  <si>
    <t>Demand</t>
  </si>
  <si>
    <t>(Beg. Inv.)</t>
  </si>
  <si>
    <t>Required End. Inv.</t>
  </si>
  <si>
    <t xml:space="preserve">Units of Production </t>
  </si>
  <si>
    <t>Production</t>
  </si>
  <si>
    <t>Paper/Plane</t>
  </si>
  <si>
    <t>sheets</t>
  </si>
  <si>
    <t>Cost/Paper</t>
  </si>
  <si>
    <t>Decals/Paper</t>
  </si>
  <si>
    <t>Decals</t>
  </si>
  <si>
    <t>Cost/Decal</t>
  </si>
  <si>
    <t>Demand for Paper</t>
  </si>
  <si>
    <t>End. Inv. Required for Paper</t>
  </si>
  <si>
    <t>Paper Ordered</t>
  </si>
  <si>
    <t>Demand for Decals</t>
  </si>
  <si>
    <t>End.Inv. Required for Decals</t>
  </si>
  <si>
    <t>(Beg.Inv. for Decals)</t>
  </si>
  <si>
    <t>(Beg.Inv. for Paper)</t>
  </si>
  <si>
    <t>Decals Ordered</t>
  </si>
  <si>
    <t>Total Order $ Amount</t>
  </si>
  <si>
    <t>Cash Paid Out</t>
  </si>
  <si>
    <t>Units Produced</t>
  </si>
  <si>
    <t>Wage/Hour</t>
  </si>
  <si>
    <t>Planes Produced/Hour</t>
  </si>
  <si>
    <t>Direct Labour</t>
  </si>
  <si>
    <t>Variable OH</t>
  </si>
  <si>
    <t>Variable OH/DLH</t>
  </si>
  <si>
    <t>DLH</t>
  </si>
  <si>
    <t>Fixed OH</t>
  </si>
  <si>
    <t>Total OH</t>
  </si>
  <si>
    <t>Commission &amp; Shipping Costs</t>
  </si>
  <si>
    <t>Fixed Operating Expenses</t>
  </si>
  <si>
    <t>Total Operating Expenses</t>
  </si>
  <si>
    <t>Operating Cash Flows</t>
  </si>
  <si>
    <t>Inflow</t>
  </si>
  <si>
    <t>Revenue Collections</t>
  </si>
  <si>
    <t>Outflow</t>
  </si>
  <si>
    <t>DM</t>
  </si>
  <si>
    <t>DL</t>
  </si>
  <si>
    <t>OH</t>
  </si>
  <si>
    <t>Selling and Admin.</t>
  </si>
  <si>
    <t>Fixed Selling Expenses</t>
  </si>
  <si>
    <t>Variable Selling Expenses</t>
  </si>
  <si>
    <t>Total Selling Expenses</t>
  </si>
  <si>
    <t>Total Outflow</t>
  </si>
  <si>
    <t>Total Inflow</t>
  </si>
  <si>
    <t>Net OCF</t>
  </si>
  <si>
    <t>Investment Cash Flow</t>
  </si>
  <si>
    <t>New Computer System</t>
  </si>
  <si>
    <t>Net ICF</t>
  </si>
  <si>
    <t>Financing Cash Flow</t>
  </si>
  <si>
    <t>Dividends</t>
  </si>
  <si>
    <t>Bank Loan</t>
  </si>
  <si>
    <t>Net FCF</t>
  </si>
  <si>
    <t>Total Cash Flow</t>
  </si>
  <si>
    <t xml:space="preserve">Interest </t>
  </si>
  <si>
    <t>Cash</t>
  </si>
  <si>
    <t>Expenses</t>
  </si>
  <si>
    <t>Revenues</t>
  </si>
  <si>
    <t>Cost of Goods Sold</t>
  </si>
  <si>
    <t>VOH</t>
  </si>
  <si>
    <t>Total COGS</t>
  </si>
  <si>
    <t>Gross Profit</t>
  </si>
  <si>
    <t>Fixed OH Expenses</t>
  </si>
  <si>
    <t>Commission and Shipping</t>
  </si>
  <si>
    <t>Depreciation</t>
  </si>
  <si>
    <t>Net Revenue</t>
  </si>
  <si>
    <t>Quarter</t>
  </si>
  <si>
    <t>Assets</t>
  </si>
  <si>
    <t>A/R</t>
  </si>
  <si>
    <t>Raw Materials</t>
  </si>
  <si>
    <t>Finished Goods</t>
  </si>
  <si>
    <t>Current Assets</t>
  </si>
  <si>
    <t>Equipment</t>
  </si>
  <si>
    <t>Equipment, Net</t>
  </si>
  <si>
    <t>Total Assets</t>
  </si>
  <si>
    <t>Liabilities and Shareholders' Equity</t>
  </si>
  <si>
    <t>A/P</t>
  </si>
  <si>
    <t>Total Liability</t>
  </si>
  <si>
    <t xml:space="preserve">Common Stock </t>
  </si>
  <si>
    <t>Retained Earnings</t>
  </si>
  <si>
    <t>Total Shareholder's Equity</t>
  </si>
  <si>
    <t>Total Liability and 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</si>
</sst>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_(* #,##0_);_(* \(#,##0\);_(* &quot;-&quot;?_);_(@_)"/>
    <numFmt numFmtId="169" formatCode="_(&quot;$&quot;* #,##0_);_(&quot;$&quot;* \(#,##0\);_(&quot;$&quot;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2" applyFont="1"/>
    <xf numFmtId="166" fontId="0" fillId="0" borderId="0" xfId="2" applyNumberFormat="1" applyFont="1"/>
    <xf numFmtId="167" fontId="0" fillId="0" borderId="0" xfId="1" applyNumberFormat="1" applyFont="1"/>
    <xf numFmtId="0" fontId="0" fillId="0" borderId="0" xfId="0" applyNumberFormat="1"/>
    <xf numFmtId="164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0" fillId="0" borderId="0" xfId="0" applyAlignment="1">
      <alignment horizontal="left" indent="3"/>
    </xf>
    <xf numFmtId="0" fontId="0" fillId="0" borderId="0" xfId="0" applyFont="1"/>
    <xf numFmtId="0" fontId="3" fillId="0" borderId="0" xfId="0" applyFont="1"/>
    <xf numFmtId="1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12E2-A26A-4503-826D-9C04306E0E3A}">
  <dimension ref="A2:E8"/>
  <sheetViews>
    <sheetView workbookViewId="0">
      <selection activeCell="B8" sqref="B8:E8"/>
    </sheetView>
  </sheetViews>
  <sheetFormatPr defaultRowHeight="15" x14ac:dyDescent="0.25"/>
  <cols>
    <col min="1" max="1" width="17.5703125" bestFit="1" customWidth="1"/>
    <col min="2" max="5" width="12.5703125" bestFit="1" customWidth="1"/>
  </cols>
  <sheetData>
    <row r="2" spans="1:5" x14ac:dyDescent="0.25">
      <c r="A2" t="s">
        <v>0</v>
      </c>
      <c r="B2" s="2">
        <v>7</v>
      </c>
      <c r="C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t="s">
        <v>7</v>
      </c>
      <c r="B5">
        <f>30000</f>
        <v>30000</v>
      </c>
      <c r="C5">
        <f>55000</f>
        <v>55000</v>
      </c>
      <c r="D5">
        <f>25000</f>
        <v>25000</v>
      </c>
      <c r="E5">
        <f ca="1">SUM(B5:E5)</f>
        <v>110000</v>
      </c>
    </row>
    <row r="7" spans="1:5" x14ac:dyDescent="0.25">
      <c r="A7" t="s">
        <v>8</v>
      </c>
      <c r="B7" s="2">
        <f>B5*$B$2</f>
        <v>210000</v>
      </c>
      <c r="C7" s="2">
        <f t="shared" ref="C7:D7" si="0">C5*$B$2</f>
        <v>385000</v>
      </c>
      <c r="D7" s="2">
        <f t="shared" si="0"/>
        <v>175000</v>
      </c>
      <c r="E7" s="2">
        <f ca="1">E5*$B$2</f>
        <v>770000</v>
      </c>
    </row>
    <row r="8" spans="1:5" x14ac:dyDescent="0.25">
      <c r="A8" t="s">
        <v>9</v>
      </c>
      <c r="B8" s="2">
        <f>(0.6*B7)+60000</f>
        <v>186000</v>
      </c>
      <c r="C8" s="2">
        <f t="shared" ref="C8:D8" si="1">(0.6*C7)+(0.4*B7)</f>
        <v>315000</v>
      </c>
      <c r="D8" s="2">
        <f t="shared" si="1"/>
        <v>259000</v>
      </c>
      <c r="E8" s="2">
        <f>SUM(B8:D8)</f>
        <v>760000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359F-E8F5-4CBC-A59D-E99BDFB468B7}">
  <dimension ref="A2:E6"/>
  <sheetViews>
    <sheetView workbookViewId="0">
      <selection activeCell="B6" sqref="B6:E6"/>
    </sheetView>
  </sheetViews>
  <sheetFormatPr defaultRowHeight="15" x14ac:dyDescent="0.25"/>
  <cols>
    <col min="1" max="1" width="18.7109375" bestFit="1" customWidth="1"/>
    <col min="2" max="4" width="10.5703125" bestFit="1" customWidth="1"/>
    <col min="5" max="5" width="11.570312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 s="3">
        <v>30000</v>
      </c>
      <c r="C3" s="3">
        <v>55000</v>
      </c>
      <c r="D3" s="3">
        <v>25000</v>
      </c>
      <c r="E3" s="3">
        <f>SUM(B3:D3)</f>
        <v>110000</v>
      </c>
    </row>
    <row r="4" spans="1:5" x14ac:dyDescent="0.25">
      <c r="A4" t="s">
        <v>11</v>
      </c>
      <c r="B4" s="3">
        <v>3000</v>
      </c>
      <c r="C4" s="3">
        <f>B5</f>
        <v>6000</v>
      </c>
      <c r="D4" s="3">
        <f>C5</f>
        <v>11000</v>
      </c>
      <c r="E4" s="3">
        <f>B4</f>
        <v>3000</v>
      </c>
    </row>
    <row r="5" spans="1:5" x14ac:dyDescent="0.25">
      <c r="A5" t="s">
        <v>12</v>
      </c>
      <c r="B5" s="3">
        <f>B3*0.2</f>
        <v>6000</v>
      </c>
      <c r="C5" s="3">
        <f>C3*0.2</f>
        <v>11000</v>
      </c>
      <c r="D5" s="3">
        <f>30000*0.2</f>
        <v>6000</v>
      </c>
      <c r="E5" s="3">
        <f>D5</f>
        <v>6000</v>
      </c>
    </row>
    <row r="6" spans="1:5" x14ac:dyDescent="0.25">
      <c r="A6" t="s">
        <v>13</v>
      </c>
      <c r="B6" s="3">
        <f>B3+B5-B4</f>
        <v>33000</v>
      </c>
      <c r="C6" s="3">
        <f t="shared" ref="C6:D6" si="0">C3+C5-C4</f>
        <v>60000</v>
      </c>
      <c r="D6" s="3">
        <f t="shared" si="0"/>
        <v>20000</v>
      </c>
      <c r="E6" s="3">
        <f>SUM(B6:D6)</f>
        <v>113000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62D1-BE48-4690-877A-2A685906E9B7}">
  <dimension ref="A2:E20"/>
  <sheetViews>
    <sheetView tabSelected="1" workbookViewId="0">
      <selection activeCell="H18" sqref="H18"/>
    </sheetView>
  </sheetViews>
  <sheetFormatPr defaultRowHeight="15" x14ac:dyDescent="0.25"/>
  <cols>
    <col min="1" max="1" width="31.42578125" bestFit="1" customWidth="1"/>
    <col min="2" max="5" width="11.570312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 s="3">
        <v>33000</v>
      </c>
      <c r="C3" s="3">
        <v>60000</v>
      </c>
      <c r="D3" s="3">
        <v>20000</v>
      </c>
      <c r="E3" s="3">
        <v>113000</v>
      </c>
    </row>
    <row r="4" spans="1:5" x14ac:dyDescent="0.25">
      <c r="A4" t="s">
        <v>15</v>
      </c>
      <c r="B4" s="4">
        <v>0.5</v>
      </c>
      <c r="C4" t="s">
        <v>16</v>
      </c>
    </row>
    <row r="5" spans="1:5" x14ac:dyDescent="0.25">
      <c r="A5" t="s">
        <v>17</v>
      </c>
      <c r="B5" s="5">
        <v>1</v>
      </c>
    </row>
    <row r="6" spans="1:5" x14ac:dyDescent="0.25">
      <c r="A6" t="s">
        <v>18</v>
      </c>
      <c r="B6">
        <v>4</v>
      </c>
      <c r="C6" t="s">
        <v>19</v>
      </c>
    </row>
    <row r="7" spans="1:5" x14ac:dyDescent="0.25">
      <c r="A7" t="s">
        <v>20</v>
      </c>
      <c r="B7" s="5">
        <v>0.2</v>
      </c>
    </row>
    <row r="9" spans="1:5" x14ac:dyDescent="0.25">
      <c r="A9" t="s">
        <v>21</v>
      </c>
      <c r="B9" s="6">
        <f>B3*$B$4</f>
        <v>16500</v>
      </c>
      <c r="C9" s="6">
        <f t="shared" ref="C9:E9" si="0">C3*$B$4</f>
        <v>30000</v>
      </c>
      <c r="D9" s="6">
        <f t="shared" si="0"/>
        <v>10000</v>
      </c>
      <c r="E9" s="6">
        <f t="shared" si="0"/>
        <v>56500</v>
      </c>
    </row>
    <row r="10" spans="1:5" x14ac:dyDescent="0.25">
      <c r="A10" t="s">
        <v>27</v>
      </c>
      <c r="B10" s="3">
        <f>1500</f>
        <v>1500</v>
      </c>
      <c r="C10" s="7">
        <f>B11</f>
        <v>3000</v>
      </c>
      <c r="D10" s="7">
        <f>C11</f>
        <v>1000</v>
      </c>
      <c r="E10" s="6">
        <f>B10</f>
        <v>1500</v>
      </c>
    </row>
    <row r="11" spans="1:5" x14ac:dyDescent="0.25">
      <c r="A11" t="s">
        <v>22</v>
      </c>
      <c r="B11" s="7">
        <f>C3*$B$4*0.1</f>
        <v>3000</v>
      </c>
      <c r="C11" s="7">
        <f>D3*$B$4*0.1</f>
        <v>1000</v>
      </c>
      <c r="D11" s="3">
        <v>2500</v>
      </c>
      <c r="E11" s="6">
        <f>D11</f>
        <v>2500</v>
      </c>
    </row>
    <row r="12" spans="1:5" x14ac:dyDescent="0.25">
      <c r="A12" t="s">
        <v>23</v>
      </c>
      <c r="B12" s="6">
        <f>B9+B11-B10</f>
        <v>18000</v>
      </c>
      <c r="C12" s="6">
        <f t="shared" ref="C12:E12" si="1">C9+C11-C10</f>
        <v>28000</v>
      </c>
      <c r="D12" s="6">
        <f t="shared" si="1"/>
        <v>11500</v>
      </c>
      <c r="E12" s="6">
        <f t="shared" si="1"/>
        <v>57500</v>
      </c>
    </row>
    <row r="14" spans="1:5" x14ac:dyDescent="0.25">
      <c r="A14" t="s">
        <v>24</v>
      </c>
      <c r="B14" s="6">
        <f>B3*$B$6</f>
        <v>132000</v>
      </c>
      <c r="C14" s="6">
        <f t="shared" ref="C14:E14" si="2">C3*$B$6</f>
        <v>240000</v>
      </c>
      <c r="D14" s="6">
        <f t="shared" si="2"/>
        <v>80000</v>
      </c>
      <c r="E14" s="6">
        <f t="shared" si="2"/>
        <v>452000</v>
      </c>
    </row>
    <row r="15" spans="1:5" x14ac:dyDescent="0.25">
      <c r="A15" t="s">
        <v>26</v>
      </c>
      <c r="B15" s="3">
        <f>20000</f>
        <v>20000</v>
      </c>
      <c r="C15" s="7">
        <f>B16</f>
        <v>24000</v>
      </c>
      <c r="D15" s="7">
        <f>C16</f>
        <v>8000</v>
      </c>
      <c r="E15" s="6">
        <f>B15</f>
        <v>20000</v>
      </c>
    </row>
    <row r="16" spans="1:5" x14ac:dyDescent="0.25">
      <c r="A16" t="s">
        <v>25</v>
      </c>
      <c r="B16" s="7">
        <f>C14*0.1</f>
        <v>24000</v>
      </c>
      <c r="C16" s="7">
        <f>D14*0.1</f>
        <v>8000</v>
      </c>
      <c r="D16" s="3">
        <v>7000</v>
      </c>
      <c r="E16" s="3">
        <f>D16</f>
        <v>7000</v>
      </c>
    </row>
    <row r="17" spans="1:5" x14ac:dyDescent="0.25">
      <c r="A17" t="s">
        <v>28</v>
      </c>
      <c r="B17" s="6">
        <f>B14+B16-B15</f>
        <v>136000</v>
      </c>
      <c r="C17" s="6">
        <f t="shared" ref="C17:D17" si="3">C14+C16-C15</f>
        <v>224000</v>
      </c>
      <c r="D17" s="6">
        <f t="shared" si="3"/>
        <v>79000</v>
      </c>
      <c r="E17" s="6">
        <f>E14+E16-E15</f>
        <v>439000</v>
      </c>
    </row>
    <row r="19" spans="1:5" x14ac:dyDescent="0.25">
      <c r="A19" t="s">
        <v>29</v>
      </c>
      <c r="B19" s="2">
        <f>(B17*$B$7)+(B12*$B$5)</f>
        <v>45200</v>
      </c>
      <c r="C19" s="2">
        <f t="shared" ref="C19:E19" si="4">(C17*$B$7)+(C12*$B$5)</f>
        <v>72800</v>
      </c>
      <c r="D19" s="2">
        <f t="shared" si="4"/>
        <v>27300</v>
      </c>
      <c r="E19" s="2">
        <f t="shared" si="4"/>
        <v>145300</v>
      </c>
    </row>
    <row r="20" spans="1:5" x14ac:dyDescent="0.25">
      <c r="A20" t="s">
        <v>30</v>
      </c>
      <c r="B20" s="8">
        <f>0.5*B19+23000</f>
        <v>45600</v>
      </c>
      <c r="C20" s="2">
        <f t="shared" ref="C20:D20" si="5">0.5*C19+0.5*B19</f>
        <v>59000</v>
      </c>
      <c r="D20" s="2">
        <f t="shared" si="5"/>
        <v>50050</v>
      </c>
      <c r="E20" s="8">
        <f>SUM(B20:D20)</f>
        <v>154650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EB03-1ADF-47DA-A6E1-24A9D9AB9C64}">
  <dimension ref="A2:E6"/>
  <sheetViews>
    <sheetView workbookViewId="0">
      <selection activeCell="B6" sqref="B6:E6"/>
    </sheetView>
  </sheetViews>
  <sheetFormatPr defaultRowHeight="15" x14ac:dyDescent="0.25"/>
  <cols>
    <col min="1" max="1" width="21.140625" bestFit="1" customWidth="1"/>
    <col min="2" max="2" width="11.5703125" bestFit="1" customWidth="1"/>
    <col min="3" max="3" width="10" bestFit="1" customWidth="1"/>
    <col min="5" max="5" width="10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31</v>
      </c>
      <c r="B3" s="3">
        <v>33000</v>
      </c>
      <c r="C3" s="3">
        <v>60000</v>
      </c>
      <c r="D3" s="3">
        <v>20000</v>
      </c>
      <c r="E3" s="3">
        <v>113000</v>
      </c>
    </row>
    <row r="4" spans="1:5" x14ac:dyDescent="0.25">
      <c r="A4" t="s">
        <v>32</v>
      </c>
      <c r="B4" s="2">
        <v>10</v>
      </c>
    </row>
    <row r="5" spans="1:5" x14ac:dyDescent="0.25">
      <c r="A5" t="s">
        <v>33</v>
      </c>
      <c r="B5">
        <f>1/4</f>
        <v>0.25</v>
      </c>
    </row>
    <row r="6" spans="1:5" x14ac:dyDescent="0.25">
      <c r="A6" t="s">
        <v>34</v>
      </c>
      <c r="B6" s="2">
        <f>B3*$B$5*$B$4</f>
        <v>82500</v>
      </c>
      <c r="C6" s="2">
        <f t="shared" ref="C6:E6" si="0">C3*$B$5*$B$4</f>
        <v>150000</v>
      </c>
      <c r="D6" s="2">
        <f t="shared" si="0"/>
        <v>50000</v>
      </c>
      <c r="E6" s="2">
        <f t="shared" si="0"/>
        <v>282500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821B-8AF7-4C63-9924-C4BDD5138D44}">
  <dimension ref="A2:I17"/>
  <sheetViews>
    <sheetView workbookViewId="0">
      <selection activeCell="B6" sqref="B6:E8"/>
    </sheetView>
  </sheetViews>
  <sheetFormatPr defaultRowHeight="15" x14ac:dyDescent="0.25"/>
  <cols>
    <col min="1" max="1" width="16" bestFit="1" customWidth="1"/>
    <col min="2" max="2" width="11.7109375" bestFit="1" customWidth="1"/>
    <col min="3" max="5" width="11.570312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 s="3">
        <v>33000</v>
      </c>
      <c r="C3" s="3">
        <v>60000</v>
      </c>
      <c r="D3" s="3">
        <v>20000</v>
      </c>
      <c r="E3" s="3">
        <v>113000</v>
      </c>
    </row>
    <row r="4" spans="1:5" x14ac:dyDescent="0.25">
      <c r="A4" t="s">
        <v>36</v>
      </c>
      <c r="B4" s="1">
        <v>3</v>
      </c>
    </row>
    <row r="5" spans="1:5" x14ac:dyDescent="0.25">
      <c r="A5" t="s">
        <v>37</v>
      </c>
      <c r="B5" s="6">
        <f>B3*0.25</f>
        <v>8250</v>
      </c>
      <c r="C5" s="6">
        <f t="shared" ref="C5:E5" si="0">C3*0.25</f>
        <v>15000</v>
      </c>
      <c r="D5" s="6">
        <f t="shared" si="0"/>
        <v>5000</v>
      </c>
      <c r="E5" s="6">
        <f t="shared" si="0"/>
        <v>28250</v>
      </c>
    </row>
    <row r="6" spans="1:5" x14ac:dyDescent="0.25">
      <c r="A6" t="s">
        <v>36</v>
      </c>
      <c r="B6" s="2">
        <f>B5*$B$4</f>
        <v>24750</v>
      </c>
      <c r="C6" s="2">
        <f t="shared" ref="C6:E6" si="1">C5*$B$4</f>
        <v>45000</v>
      </c>
      <c r="D6" s="2">
        <f t="shared" si="1"/>
        <v>15000</v>
      </c>
      <c r="E6" s="2">
        <f t="shared" si="1"/>
        <v>84750</v>
      </c>
    </row>
    <row r="7" spans="1:5" x14ac:dyDescent="0.25">
      <c r="A7" t="s">
        <v>38</v>
      </c>
      <c r="B7" s="2">
        <f>16000</f>
        <v>16000</v>
      </c>
      <c r="C7" s="2">
        <f>16000</f>
        <v>16000</v>
      </c>
      <c r="D7" s="2">
        <f>16000</f>
        <v>16000</v>
      </c>
      <c r="E7" s="2">
        <f>SUM(B7:D7)</f>
        <v>48000</v>
      </c>
    </row>
    <row r="8" spans="1:5" x14ac:dyDescent="0.25">
      <c r="A8" t="s">
        <v>39</v>
      </c>
      <c r="B8" s="9">
        <f>B6+B7</f>
        <v>40750</v>
      </c>
      <c r="C8" s="9">
        <f t="shared" ref="C8:E8" si="2">C6+C7</f>
        <v>61000</v>
      </c>
      <c r="D8" s="9">
        <f t="shared" si="2"/>
        <v>31000</v>
      </c>
      <c r="E8" s="9">
        <f t="shared" si="2"/>
        <v>132750</v>
      </c>
    </row>
    <row r="17" spans="9:9" x14ac:dyDescent="0.25">
      <c r="I17">
        <f>18.2/25</f>
        <v>0.72799999999999998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D42B-4750-4A87-B6C2-FAEC2BA90B16}">
  <dimension ref="A2:E6"/>
  <sheetViews>
    <sheetView workbookViewId="0">
      <selection activeCell="B4" sqref="B4:E6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 s="2">
        <v>210000</v>
      </c>
      <c r="C3" s="2">
        <v>385000</v>
      </c>
      <c r="D3" s="2">
        <v>175000</v>
      </c>
      <c r="E3" s="2">
        <v>770000</v>
      </c>
    </row>
    <row r="4" spans="1:5" x14ac:dyDescent="0.25">
      <c r="A4" t="s">
        <v>40</v>
      </c>
      <c r="B4" s="2">
        <f>B3*0.03</f>
        <v>6300</v>
      </c>
      <c r="C4" s="2">
        <f t="shared" ref="C4:D4" si="0">C3*0.03</f>
        <v>11550</v>
      </c>
      <c r="D4" s="2">
        <f t="shared" si="0"/>
        <v>5250</v>
      </c>
      <c r="E4" s="2">
        <f>SUM(B4:D4)</f>
        <v>23100</v>
      </c>
    </row>
    <row r="5" spans="1:5" x14ac:dyDescent="0.25">
      <c r="A5" t="s">
        <v>41</v>
      </c>
      <c r="B5" s="2">
        <f>9000</f>
        <v>9000</v>
      </c>
      <c r="C5" s="2">
        <f>9000</f>
        <v>9000</v>
      </c>
      <c r="D5" s="2">
        <f>9000</f>
        <v>9000</v>
      </c>
      <c r="E5" s="2">
        <f>SUM(B5:D5)</f>
        <v>27000</v>
      </c>
    </row>
    <row r="6" spans="1:5" x14ac:dyDescent="0.25">
      <c r="A6" t="s">
        <v>42</v>
      </c>
      <c r="B6" s="2">
        <f>B5+B4</f>
        <v>15300</v>
      </c>
      <c r="C6" s="2">
        <f t="shared" ref="C6:E6" si="1">C5+C4</f>
        <v>20550</v>
      </c>
      <c r="D6" s="2">
        <f t="shared" si="1"/>
        <v>14250</v>
      </c>
      <c r="E6" s="2">
        <f t="shared" si="1"/>
        <v>50100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FA77-AE45-44F1-8719-9581FB1E25AF}">
  <dimension ref="A2:E35"/>
  <sheetViews>
    <sheetView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12.42578125" bestFit="1" customWidth="1"/>
    <col min="3" max="3" width="12.28515625" bestFit="1" customWidth="1"/>
    <col min="4" max="5" width="10.14062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12" t="s">
        <v>43</v>
      </c>
    </row>
    <row r="4" spans="1:5" x14ac:dyDescent="0.25">
      <c r="A4" s="10" t="s">
        <v>44</v>
      </c>
    </row>
    <row r="5" spans="1:5" x14ac:dyDescent="0.25">
      <c r="A5" s="11" t="s">
        <v>45</v>
      </c>
      <c r="B5" s="2">
        <v>186000</v>
      </c>
      <c r="C5" s="2">
        <v>315000</v>
      </c>
      <c r="D5" s="2">
        <v>259000</v>
      </c>
      <c r="E5" s="2">
        <v>760000</v>
      </c>
    </row>
    <row r="6" spans="1:5" x14ac:dyDescent="0.25">
      <c r="A6" s="10" t="s">
        <v>55</v>
      </c>
      <c r="B6" s="9">
        <f>B5</f>
        <v>186000</v>
      </c>
      <c r="C6" s="9">
        <f t="shared" ref="C6:E6" si="0">C5</f>
        <v>315000</v>
      </c>
      <c r="D6" s="9">
        <f t="shared" si="0"/>
        <v>259000</v>
      </c>
      <c r="E6" s="9">
        <f t="shared" si="0"/>
        <v>760000</v>
      </c>
    </row>
    <row r="7" spans="1:5" x14ac:dyDescent="0.25">
      <c r="A7" s="10"/>
    </row>
    <row r="8" spans="1:5" x14ac:dyDescent="0.25">
      <c r="A8" s="10" t="s">
        <v>46</v>
      </c>
    </row>
    <row r="9" spans="1:5" x14ac:dyDescent="0.25">
      <c r="A9" s="11" t="s">
        <v>47</v>
      </c>
      <c r="B9" s="8">
        <v>45600</v>
      </c>
      <c r="C9" s="2">
        <v>59000</v>
      </c>
      <c r="D9" s="2">
        <v>50050</v>
      </c>
      <c r="E9" s="8">
        <v>154650</v>
      </c>
    </row>
    <row r="10" spans="1:5" x14ac:dyDescent="0.25">
      <c r="A10" s="11" t="s">
        <v>48</v>
      </c>
      <c r="B10" s="2">
        <v>82500</v>
      </c>
      <c r="C10" s="2">
        <v>150000</v>
      </c>
      <c r="D10" s="2">
        <v>50000</v>
      </c>
      <c r="E10" s="2">
        <v>282500</v>
      </c>
    </row>
    <row r="11" spans="1:5" x14ac:dyDescent="0.25">
      <c r="A11" s="11" t="s">
        <v>49</v>
      </c>
    </row>
    <row r="12" spans="1:5" x14ac:dyDescent="0.25">
      <c r="A12" s="13" t="s">
        <v>35</v>
      </c>
      <c r="B12" s="2">
        <v>24750</v>
      </c>
      <c r="C12" s="2">
        <v>45000</v>
      </c>
      <c r="D12" s="2">
        <v>15000</v>
      </c>
      <c r="E12" s="2">
        <v>84750</v>
      </c>
    </row>
    <row r="13" spans="1:5" x14ac:dyDescent="0.25">
      <c r="A13" s="13" t="s">
        <v>38</v>
      </c>
      <c r="B13" s="2">
        <v>11000</v>
      </c>
      <c r="C13" s="2">
        <v>11000</v>
      </c>
      <c r="D13" s="2">
        <v>11000</v>
      </c>
      <c r="E13" s="2">
        <f>SUM(B13:D13)</f>
        <v>33000</v>
      </c>
    </row>
    <row r="14" spans="1:5" x14ac:dyDescent="0.25">
      <c r="A14" s="11" t="s">
        <v>39</v>
      </c>
      <c r="B14" s="9">
        <f>B12+B13</f>
        <v>35750</v>
      </c>
      <c r="C14" s="9">
        <f t="shared" ref="C14:E14" si="1">C12+C13</f>
        <v>56000</v>
      </c>
      <c r="D14" s="9">
        <f t="shared" si="1"/>
        <v>26000</v>
      </c>
      <c r="E14" s="9">
        <f t="shared" si="1"/>
        <v>117750</v>
      </c>
    </row>
    <row r="15" spans="1:5" x14ac:dyDescent="0.25">
      <c r="A15" s="11" t="s">
        <v>50</v>
      </c>
    </row>
    <row r="16" spans="1:5" x14ac:dyDescent="0.25">
      <c r="A16" s="13" t="s">
        <v>52</v>
      </c>
      <c r="B16" s="2">
        <v>6300</v>
      </c>
      <c r="C16" s="2">
        <v>11550</v>
      </c>
      <c r="D16" s="2">
        <v>5250</v>
      </c>
      <c r="E16" s="2">
        <v>23100</v>
      </c>
    </row>
    <row r="17" spans="1:5" x14ac:dyDescent="0.25">
      <c r="A17" s="13" t="s">
        <v>51</v>
      </c>
      <c r="B17" s="2">
        <f>7500</f>
        <v>7500</v>
      </c>
      <c r="C17" s="2">
        <f>7500</f>
        <v>7500</v>
      </c>
      <c r="D17" s="2">
        <f>7500</f>
        <v>7500</v>
      </c>
      <c r="E17" s="2">
        <f>SUM(B17:D17)</f>
        <v>22500</v>
      </c>
    </row>
    <row r="18" spans="1:5" x14ac:dyDescent="0.25">
      <c r="A18" s="11" t="s">
        <v>53</v>
      </c>
      <c r="B18" s="2">
        <f>B16+B17</f>
        <v>13800</v>
      </c>
      <c r="C18" s="2">
        <f t="shared" ref="C18:E18" si="2">C16+C17</f>
        <v>19050</v>
      </c>
      <c r="D18" s="2">
        <f t="shared" si="2"/>
        <v>12750</v>
      </c>
      <c r="E18" s="2">
        <f t="shared" si="2"/>
        <v>45600</v>
      </c>
    </row>
    <row r="19" spans="1:5" x14ac:dyDescent="0.25">
      <c r="A19" s="10" t="s">
        <v>54</v>
      </c>
      <c r="B19" s="9">
        <f>B18+B14+B10+B9</f>
        <v>177650</v>
      </c>
      <c r="C19" s="9">
        <f t="shared" ref="C19:E19" si="3">C18+C14+C10+C9</f>
        <v>284050</v>
      </c>
      <c r="D19" s="9">
        <f t="shared" si="3"/>
        <v>138800</v>
      </c>
      <c r="E19" s="9">
        <f t="shared" si="3"/>
        <v>600500</v>
      </c>
    </row>
    <row r="21" spans="1:5" x14ac:dyDescent="0.25">
      <c r="A21" t="s">
        <v>56</v>
      </c>
      <c r="B21" s="9">
        <f>B6-B19</f>
        <v>8350</v>
      </c>
      <c r="C21" s="9">
        <f t="shared" ref="C21:D21" si="4">C6-C19</f>
        <v>30950</v>
      </c>
      <c r="D21" s="9">
        <f t="shared" si="4"/>
        <v>120200</v>
      </c>
      <c r="E21" s="9">
        <f>E6-E19</f>
        <v>159500</v>
      </c>
    </row>
    <row r="23" spans="1:5" x14ac:dyDescent="0.25">
      <c r="A23" s="12" t="s">
        <v>57</v>
      </c>
    </row>
    <row r="24" spans="1:5" x14ac:dyDescent="0.25">
      <c r="A24" s="10" t="s">
        <v>58</v>
      </c>
      <c r="B24" s="2">
        <v>-15000</v>
      </c>
      <c r="C24" s="1">
        <v>0</v>
      </c>
      <c r="D24" s="1">
        <v>0</v>
      </c>
      <c r="E24" s="9">
        <f>SUM(B24:D24)</f>
        <v>-15000</v>
      </c>
    </row>
    <row r="25" spans="1:5" x14ac:dyDescent="0.25">
      <c r="A25" t="s">
        <v>59</v>
      </c>
      <c r="B25" s="9">
        <f>B24</f>
        <v>-15000</v>
      </c>
      <c r="C25" s="1">
        <v>0</v>
      </c>
      <c r="D25" s="1">
        <v>0</v>
      </c>
      <c r="E25" s="9">
        <f>SUM(B25:D25)</f>
        <v>-15000</v>
      </c>
    </row>
    <row r="27" spans="1:5" x14ac:dyDescent="0.25">
      <c r="A27" s="12" t="s">
        <v>60</v>
      </c>
    </row>
    <row r="28" spans="1:5" x14ac:dyDescent="0.25">
      <c r="A28" t="s">
        <v>61</v>
      </c>
      <c r="B28">
        <v>-5000</v>
      </c>
      <c r="C28">
        <v>-5000</v>
      </c>
      <c r="D28">
        <v>-5000</v>
      </c>
      <c r="E28">
        <f>SUM(B28:D28)</f>
        <v>-15000</v>
      </c>
    </row>
    <row r="29" spans="1:5" x14ac:dyDescent="0.25">
      <c r="A29" t="s">
        <v>62</v>
      </c>
      <c r="B29" s="2">
        <v>10000</v>
      </c>
      <c r="C29" s="2">
        <v>-10000</v>
      </c>
      <c r="D29" s="2">
        <v>0</v>
      </c>
      <c r="E29" s="2">
        <f>SUM(B29:D29)</f>
        <v>0</v>
      </c>
    </row>
    <row r="30" spans="1:5" x14ac:dyDescent="0.25">
      <c r="A30" t="s">
        <v>65</v>
      </c>
      <c r="B30" s="2">
        <v>0</v>
      </c>
      <c r="C30" s="2">
        <f>C29*(0.09/12)*2</f>
        <v>-150</v>
      </c>
      <c r="D30" s="2">
        <v>0</v>
      </c>
      <c r="E30" s="2">
        <f>SUM(B30:D30)</f>
        <v>-150</v>
      </c>
    </row>
    <row r="31" spans="1:5" x14ac:dyDescent="0.25">
      <c r="A31" t="s">
        <v>63</v>
      </c>
      <c r="B31" s="9">
        <f>B28+B29+B30</f>
        <v>5000</v>
      </c>
      <c r="C31" s="9">
        <f t="shared" ref="C31:E31" si="5">C28+C29+C30</f>
        <v>-15150</v>
      </c>
      <c r="D31" s="9">
        <f t="shared" si="5"/>
        <v>-5000</v>
      </c>
      <c r="E31" s="9">
        <f t="shared" si="5"/>
        <v>-15150</v>
      </c>
    </row>
    <row r="33" spans="1:5" x14ac:dyDescent="0.25">
      <c r="A33" s="12" t="s">
        <v>64</v>
      </c>
      <c r="B33" s="9">
        <f>B31+B25+B21</f>
        <v>-1650</v>
      </c>
      <c r="C33" s="9">
        <f t="shared" ref="C33:E33" si="6">C31+C25+C21</f>
        <v>15800</v>
      </c>
      <c r="D33" s="9">
        <f t="shared" si="6"/>
        <v>115200</v>
      </c>
      <c r="E33" s="9">
        <f t="shared" si="6"/>
        <v>129350</v>
      </c>
    </row>
    <row r="35" spans="1:5" x14ac:dyDescent="0.25">
      <c r="A35" s="12" t="s">
        <v>66</v>
      </c>
      <c r="B35" s="9">
        <f>15500+B33</f>
        <v>13850</v>
      </c>
      <c r="C35" s="9">
        <f>B35+C33</f>
        <v>29650</v>
      </c>
      <c r="D35" s="9">
        <f t="shared" ref="D35:E35" si="7">C35+D33</f>
        <v>144850</v>
      </c>
      <c r="E35" s="9">
        <f t="shared" si="7"/>
        <v>274200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8F35-4069-4FE0-AC12-54E22B1F83A6}">
  <dimension ref="A2:E17"/>
  <sheetViews>
    <sheetView workbookViewId="0">
      <selection activeCell="F4" sqref="F4"/>
    </sheetView>
  </sheetViews>
  <sheetFormatPr defaultRowHeight="15" x14ac:dyDescent="0.25"/>
  <cols>
    <col min="1" max="1" width="24.28515625" bestFit="1" customWidth="1"/>
    <col min="2" max="4" width="12.5703125" bestFit="1" customWidth="1"/>
    <col min="5" max="5" width="12.7109375" bestFit="1" customWidth="1"/>
  </cols>
  <sheetData>
    <row r="2" spans="1:5" x14ac:dyDescent="0.25">
      <c r="A2" s="15" t="s">
        <v>68</v>
      </c>
      <c r="B2" t="s">
        <v>2</v>
      </c>
      <c r="C2" t="s">
        <v>3</v>
      </c>
      <c r="D2" t="s">
        <v>4</v>
      </c>
      <c r="E2" t="s">
        <v>77</v>
      </c>
    </row>
    <row r="3" spans="1:5" x14ac:dyDescent="0.25">
      <c r="A3" s="14" t="s">
        <v>6</v>
      </c>
      <c r="B3" s="2">
        <f>30000*7</f>
        <v>210000</v>
      </c>
      <c r="C3" s="2">
        <f>55000*7</f>
        <v>385000</v>
      </c>
      <c r="D3" s="2">
        <f>25000*7</f>
        <v>175000</v>
      </c>
      <c r="E3" s="2">
        <f>SUM(B3:D3)</f>
        <v>770000</v>
      </c>
    </row>
    <row r="4" spans="1:5" x14ac:dyDescent="0.25">
      <c r="A4" t="s">
        <v>69</v>
      </c>
    </row>
    <row r="5" spans="1:5" x14ac:dyDescent="0.25">
      <c r="A5" s="14" t="s">
        <v>47</v>
      </c>
      <c r="B5" s="2">
        <f>(B3/7)*1.8</f>
        <v>54000</v>
      </c>
      <c r="C5" s="2">
        <f t="shared" ref="C5:D5" si="0">(C3/7)*1.8</f>
        <v>99000</v>
      </c>
      <c r="D5" s="2">
        <f t="shared" si="0"/>
        <v>45000</v>
      </c>
      <c r="E5" s="2">
        <f>SUM(B5:D5)</f>
        <v>198000</v>
      </c>
    </row>
    <row r="6" spans="1:5" x14ac:dyDescent="0.25">
      <c r="A6" s="14" t="s">
        <v>48</v>
      </c>
      <c r="B6" s="2">
        <v>82500</v>
      </c>
      <c r="C6" s="2">
        <v>150000</v>
      </c>
      <c r="D6" s="2">
        <v>50000</v>
      </c>
      <c r="E6" s="2">
        <f t="shared" ref="E6:E7" si="1">SUM(B6:D6)</f>
        <v>282500</v>
      </c>
    </row>
    <row r="7" spans="1:5" x14ac:dyDescent="0.25">
      <c r="A7" s="14" t="s">
        <v>70</v>
      </c>
      <c r="B7" s="2">
        <v>24750</v>
      </c>
      <c r="C7" s="2">
        <v>45000</v>
      </c>
      <c r="D7" s="2">
        <v>15000</v>
      </c>
      <c r="E7" s="2">
        <f t="shared" si="1"/>
        <v>84750</v>
      </c>
    </row>
    <row r="8" spans="1:5" x14ac:dyDescent="0.25">
      <c r="A8" s="14" t="s">
        <v>71</v>
      </c>
      <c r="B8" s="2">
        <f>SUM(B5:B7)</f>
        <v>161250</v>
      </c>
      <c r="C8" s="2">
        <f t="shared" ref="C8:E8" si="2">SUM(C5:C7)</f>
        <v>294000</v>
      </c>
      <c r="D8" s="2">
        <f t="shared" si="2"/>
        <v>110000</v>
      </c>
      <c r="E8" s="2">
        <f t="shared" si="2"/>
        <v>565250</v>
      </c>
    </row>
    <row r="9" spans="1:5" x14ac:dyDescent="0.25">
      <c r="A9" s="14" t="s">
        <v>72</v>
      </c>
      <c r="B9" s="2">
        <f>B3-B8</f>
        <v>48750</v>
      </c>
      <c r="C9" s="2">
        <f t="shared" ref="C9:E9" si="3">C3-C8</f>
        <v>91000</v>
      </c>
      <c r="D9" s="2">
        <f t="shared" si="3"/>
        <v>65000</v>
      </c>
      <c r="E9" s="2">
        <f t="shared" si="3"/>
        <v>204750</v>
      </c>
    </row>
    <row r="11" spans="1:5" x14ac:dyDescent="0.25">
      <c r="A11" s="15" t="s">
        <v>67</v>
      </c>
    </row>
    <row r="12" spans="1:5" x14ac:dyDescent="0.25">
      <c r="A12" t="s">
        <v>73</v>
      </c>
      <c r="B12" s="2">
        <f>11000</f>
        <v>11000</v>
      </c>
      <c r="C12" s="2">
        <f>11000</f>
        <v>11000</v>
      </c>
      <c r="D12" s="2">
        <f>11000</f>
        <v>11000</v>
      </c>
      <c r="E12" s="2">
        <f>SUM(B12:D12)</f>
        <v>33000</v>
      </c>
    </row>
    <row r="13" spans="1:5" x14ac:dyDescent="0.25">
      <c r="A13" t="s">
        <v>74</v>
      </c>
      <c r="B13" s="2">
        <f>B3*0.03</f>
        <v>6300</v>
      </c>
      <c r="C13" s="2">
        <f t="shared" ref="C13:D13" si="4">C3*0.03</f>
        <v>11550</v>
      </c>
      <c r="D13" s="2">
        <f t="shared" si="4"/>
        <v>5250</v>
      </c>
      <c r="E13" s="2">
        <f t="shared" ref="E13:E15" si="5">SUM(B13:D13)</f>
        <v>23100</v>
      </c>
    </row>
    <row r="14" spans="1:5" x14ac:dyDescent="0.25">
      <c r="A14" t="s">
        <v>41</v>
      </c>
      <c r="B14" s="2">
        <f>7500</f>
        <v>7500</v>
      </c>
      <c r="C14" s="2">
        <f>7500</f>
        <v>7500</v>
      </c>
      <c r="D14" s="2">
        <f>7500</f>
        <v>7500</v>
      </c>
      <c r="E14" s="2">
        <f t="shared" si="5"/>
        <v>22500</v>
      </c>
    </row>
    <row r="15" spans="1:5" x14ac:dyDescent="0.25">
      <c r="A15" t="s">
        <v>75</v>
      </c>
      <c r="B15" s="2">
        <f>1500+5000</f>
        <v>6500</v>
      </c>
      <c r="C15" s="2">
        <f t="shared" ref="C15:D15" si="6">1500+5000</f>
        <v>6500</v>
      </c>
      <c r="D15" s="2">
        <f t="shared" si="6"/>
        <v>6500</v>
      </c>
      <c r="E15" s="2">
        <f t="shared" si="5"/>
        <v>19500</v>
      </c>
    </row>
    <row r="17" spans="1:5" x14ac:dyDescent="0.25">
      <c r="A17" t="s">
        <v>76</v>
      </c>
      <c r="B17" s="2">
        <f>B9-(SUM(B12:B15))</f>
        <v>17450</v>
      </c>
      <c r="C17" s="2">
        <f t="shared" ref="C17:E17" si="7">C9-(SUM(C12:C15))</f>
        <v>54450</v>
      </c>
      <c r="D17" s="2">
        <f t="shared" si="7"/>
        <v>34750</v>
      </c>
      <c r="E17" s="2">
        <f t="shared" si="7"/>
        <v>106650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AAFA-5DC0-4897-9BCA-AFD30E019232}">
  <dimension ref="A2:C25"/>
  <sheetViews>
    <sheetView workbookViewId="0">
      <selection activeCell="C25" sqref="C25"/>
    </sheetView>
  </sheetViews>
  <sheetFormatPr defaultRowHeight="15" x14ac:dyDescent="0.25"/>
  <cols>
    <col min="1" max="1" width="36" bestFit="1" customWidth="1"/>
    <col min="2" max="2" width="10.7109375" bestFit="1" customWidth="1"/>
    <col min="3" max="3" width="9.7109375" bestFit="1" customWidth="1"/>
  </cols>
  <sheetData>
    <row r="2" spans="1:3" x14ac:dyDescent="0.25">
      <c r="B2" s="16">
        <v>41274</v>
      </c>
      <c r="C2" s="16">
        <v>41364</v>
      </c>
    </row>
    <row r="3" spans="1:3" x14ac:dyDescent="0.25">
      <c r="A3" t="s">
        <v>78</v>
      </c>
    </row>
    <row r="4" spans="1:3" x14ac:dyDescent="0.25">
      <c r="A4" s="11" t="s">
        <v>66</v>
      </c>
      <c r="B4">
        <v>15500</v>
      </c>
    </row>
    <row r="5" spans="1:3" x14ac:dyDescent="0.25">
      <c r="A5" s="11" t="s">
        <v>79</v>
      </c>
      <c r="B5">
        <v>60000</v>
      </c>
    </row>
    <row r="6" spans="1:3" x14ac:dyDescent="0.25">
      <c r="A6" s="11" t="s">
        <v>80</v>
      </c>
      <c r="B6">
        <v>6500</v>
      </c>
    </row>
    <row r="7" spans="1:3" x14ac:dyDescent="0.25">
      <c r="A7" s="11" t="s">
        <v>81</v>
      </c>
      <c r="B7">
        <v>16500</v>
      </c>
    </row>
    <row r="8" spans="1:3" x14ac:dyDescent="0.25">
      <c r="A8" s="10" t="s">
        <v>82</v>
      </c>
      <c r="B8">
        <f>SUM(B4:B7)</f>
        <v>98500</v>
      </c>
    </row>
    <row r="10" spans="1:3" x14ac:dyDescent="0.25">
      <c r="A10" s="11" t="s">
        <v>83</v>
      </c>
      <c r="B10">
        <v>250000</v>
      </c>
    </row>
    <row r="11" spans="1:3" x14ac:dyDescent="0.25">
      <c r="A11" s="11" t="s">
        <v>75</v>
      </c>
      <c r="B11">
        <v>-155000</v>
      </c>
    </row>
    <row r="12" spans="1:3" x14ac:dyDescent="0.25">
      <c r="A12" s="10" t="s">
        <v>84</v>
      </c>
      <c r="B12">
        <f>SUM(B10:B11)</f>
        <v>95000</v>
      </c>
    </row>
    <row r="14" spans="1:3" x14ac:dyDescent="0.25">
      <c r="A14" t="s">
        <v>85</v>
      </c>
      <c r="B14">
        <f>B12+B8</f>
        <v>193500</v>
      </c>
    </row>
    <row r="16" spans="1:3" x14ac:dyDescent="0.25">
      <c r="A16" t="s">
        <v>86</v>
      </c>
    </row>
    <row r="17" spans="1:2" x14ac:dyDescent="0.25">
      <c r="A17" s="11" t="s">
        <v>87</v>
      </c>
      <c r="B17">
        <f>23000</f>
        <v>23000</v>
      </c>
    </row>
    <row r="18" spans="1:2" x14ac:dyDescent="0.25">
      <c r="A18" s="11" t="s">
        <v>62</v>
      </c>
      <c r="B18">
        <v>0</v>
      </c>
    </row>
    <row r="19" spans="1:2" x14ac:dyDescent="0.25">
      <c r="A19" s="10" t="s">
        <v>88</v>
      </c>
      <c r="B19">
        <f>SUM(B17:B18)</f>
        <v>23000</v>
      </c>
    </row>
    <row r="21" spans="1:2" x14ac:dyDescent="0.25">
      <c r="A21" s="11" t="s">
        <v>89</v>
      </c>
      <c r="B21">
        <f>135000</f>
        <v>135000</v>
      </c>
    </row>
    <row r="22" spans="1:2" x14ac:dyDescent="0.25">
      <c r="A22" s="11" t="s">
        <v>90</v>
      </c>
      <c r="B22">
        <f>35550</f>
        <v>35550</v>
      </c>
    </row>
    <row r="23" spans="1:2" x14ac:dyDescent="0.25">
      <c r="A23" s="10" t="s">
        <v>91</v>
      </c>
      <c r="B23">
        <f>SUM(B21:B22)</f>
        <v>170550</v>
      </c>
    </row>
    <row r="25" spans="1:2" x14ac:dyDescent="0.25">
      <c r="A25" t="s">
        <v>92</v>
      </c>
      <c r="B25">
        <f>B23+B19</f>
        <v>193550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Budget + Sch $ Collection</vt:lpstr>
      <vt:lpstr>Production Budget</vt:lpstr>
      <vt:lpstr>DM Budget</vt:lpstr>
      <vt:lpstr>DL Budget</vt:lpstr>
      <vt:lpstr>OH Budget</vt:lpstr>
      <vt:lpstr>Selling &amp; Admin Budget</vt:lpstr>
      <vt:lpstr>Cash Budget</vt:lpstr>
      <vt:lpstr>Budgeted IS</vt:lpstr>
      <vt:lpstr>Budgeted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2018-04-09T16:18:28Z</dcterms:created>
  <dcterms:modified xsi:type="dcterms:W3CDTF">2021-02-16T20:07:37Z</dcterms:modified>
</cp:coreProperties>
</file>