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Case Competitions\"/>
    </mc:Choice>
  </mc:AlternateContent>
  <xr:revisionPtr revIDLastSave="0" documentId="13_ncr:1_{573FDEAB-DF5C-4516-9018-AA39615A8209}" xr6:coauthVersionLast="32" xr6:coauthVersionMax="32" xr10:uidLastSave="{00000000-0000-0000-0000-000000000000}"/>
  <bookViews>
    <workbookView minimized="1" xWindow="0" yWindow="0" windowWidth="28800" windowHeight="12210" xr2:uid="{B97B6228-7FB6-47C8-8665-923C00872E6D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E45" i="1"/>
  <c r="D46" i="1"/>
  <c r="E46" i="1"/>
  <c r="F33" i="1"/>
  <c r="E51" i="1"/>
  <c r="D51" i="1"/>
  <c r="I31" i="1"/>
  <c r="I33" i="1"/>
  <c r="I25" i="1"/>
  <c r="I27" i="1"/>
  <c r="E44" i="1"/>
  <c r="D53" i="1"/>
  <c r="E52" i="1"/>
  <c r="D52" i="1"/>
  <c r="E53" i="1"/>
  <c r="E49" i="1"/>
  <c r="D49" i="1"/>
  <c r="F28" i="1"/>
  <c r="F29" i="1"/>
  <c r="F31" i="1"/>
  <c r="F24" i="1"/>
  <c r="F25" i="1"/>
  <c r="E28" i="1"/>
  <c r="E29" i="1"/>
  <c r="E30" i="1"/>
  <c r="E24" i="1"/>
  <c r="E25" i="1"/>
  <c r="D37" i="1"/>
  <c r="E31" i="1"/>
  <c r="D7" i="1"/>
  <c r="D12" i="1"/>
  <c r="D13" i="1"/>
  <c r="D14" i="1"/>
  <c r="D54" i="1"/>
  <c r="E54" i="1"/>
  <c r="E55" i="1"/>
  <c r="E56" i="1"/>
  <c r="D55" i="1"/>
  <c r="D56" i="1"/>
  <c r="F30" i="1"/>
  <c r="F26" i="1"/>
  <c r="E26" i="1"/>
  <c r="E27" i="1"/>
  <c r="F27" i="1"/>
  <c r="D18" i="1"/>
  <c r="D19" i="1"/>
  <c r="D20" i="1"/>
  <c r="E32" i="1"/>
  <c r="F32" i="1"/>
  <c r="E33" i="1"/>
</calcChain>
</file>

<file path=xl/sharedStrings.xml><?xml version="1.0" encoding="utf-8"?>
<sst xmlns="http://schemas.openxmlformats.org/spreadsheetml/2006/main" count="70" uniqueCount="62">
  <si>
    <t>8 minutes</t>
  </si>
  <si>
    <t>2 dollars</t>
  </si>
  <si>
    <t>10 litres</t>
  </si>
  <si>
    <t>Canadian Population (millions)</t>
  </si>
  <si>
    <t>Number of Consumers using our products (millions)</t>
  </si>
  <si>
    <t>Cost to make</t>
  </si>
  <si>
    <t>Unit Sale Price</t>
  </si>
  <si>
    <t>Gross Profit per Unit</t>
  </si>
  <si>
    <t>5 minutes</t>
  </si>
  <si>
    <t>Expected Sales Per Consumer (per year)</t>
  </si>
  <si>
    <t>19 billion</t>
  </si>
  <si>
    <t>65 billion</t>
  </si>
  <si>
    <t>Ratio of PPE:Sales</t>
  </si>
  <si>
    <t>Razor Body</t>
  </si>
  <si>
    <t>Disposable Razor</t>
  </si>
  <si>
    <t>Year</t>
  </si>
  <si>
    <t>Total Expected Sales</t>
  </si>
  <si>
    <t>Women aged 25-50 (millions)</t>
  </si>
  <si>
    <t>P&amp;G Market Share</t>
  </si>
  <si>
    <t>Number of Showers (Per week, Per consumer)</t>
  </si>
  <si>
    <t>Time Spent (Per Shower)</t>
  </si>
  <si>
    <t>Litres Used (Per Minute)</t>
  </si>
  <si>
    <t>Total Litres in a Year (millions)</t>
  </si>
  <si>
    <t>Total Environmental Impact by P&amp;G consumers (millions)</t>
  </si>
  <si>
    <t>Number of Shaves (Per Week, Per Consumer)</t>
  </si>
  <si>
    <t>Time Spent on Shaving (Per Shave)</t>
  </si>
  <si>
    <t>Litres Used by All Consumers (Per Day, millions)</t>
  </si>
  <si>
    <t>Environmental Impact</t>
  </si>
  <si>
    <t>Litres Saved in One Day if Shaving was Skipped</t>
  </si>
  <si>
    <t>Litres Saved in the Year if Shaving was Skipped</t>
  </si>
  <si>
    <t>Total Reduction of Environmental Impact if Shaving was Skipped</t>
  </si>
  <si>
    <t>PPE (P&amp;G)</t>
  </si>
  <si>
    <t>Sales (P&amp;G)</t>
  </si>
  <si>
    <t>used to determine equipment investment needed</t>
  </si>
  <si>
    <t>(market share * women aged 25-50)</t>
  </si>
  <si>
    <t>(Time Spent * Litres Used * Consumers using our products)</t>
  </si>
  <si>
    <t>(Litres used by consumers * 365)</t>
  </si>
  <si>
    <t>(Total Litres * $2)</t>
  </si>
  <si>
    <t>(time spent on shaving * number of consumers using our products)</t>
  </si>
  <si>
    <t>(litres saved in one day * number of shaves per week * 52 weeks in year)</t>
  </si>
  <si>
    <t>(litres saved in the year * $2)</t>
  </si>
  <si>
    <t>Sales</t>
  </si>
  <si>
    <t>Cost of Goods Sold</t>
  </si>
  <si>
    <t>Gross Profit</t>
  </si>
  <si>
    <t>Advertising Expense</t>
  </si>
  <si>
    <t>Television</t>
  </si>
  <si>
    <t>Social Media</t>
  </si>
  <si>
    <t>Operating Expenses</t>
  </si>
  <si>
    <t>Selling Expense</t>
  </si>
  <si>
    <t>Earning Before Interest and Tax</t>
  </si>
  <si>
    <t>Net Income</t>
  </si>
  <si>
    <t>Facebook</t>
  </si>
  <si>
    <t>CPM</t>
  </si>
  <si>
    <t>target market (women 25-50, working)</t>
  </si>
  <si>
    <t>Cost</t>
  </si>
  <si>
    <t>Instagram</t>
  </si>
  <si>
    <t>Number of ads per person over the month</t>
  </si>
  <si>
    <t>Research and Development</t>
  </si>
  <si>
    <t>Tax (33%)</t>
  </si>
  <si>
    <t>Venus Floras</t>
  </si>
  <si>
    <t>Projected Income Statement</t>
  </si>
  <si>
    <t>Expected 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</si>
</sst>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2" xfId="1" applyNumberFormat="1" applyFont="1" applyBorder="1"/>
    <xf numFmtId="0" fontId="0" fillId="3" borderId="5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0" applyNumberFormat="1" applyBorder="1"/>
    <xf numFmtId="0" fontId="0" fillId="0" borderId="6" xfId="0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left" indent="1"/>
    </xf>
    <xf numFmtId="0" fontId="0" fillId="2" borderId="2" xfId="0" applyFill="1" applyBorder="1" applyAlignment="1">
      <alignment horizontal="left"/>
    </xf>
    <xf numFmtId="0" fontId="0" fillId="2" borderId="8" xfId="0" applyFill="1" applyBorder="1"/>
    <xf numFmtId="0" fontId="0" fillId="2" borderId="6" xfId="0" applyFill="1" applyBorder="1" applyAlignment="1">
      <alignment horizontal="left" indent="1"/>
    </xf>
    <xf numFmtId="0" fontId="0" fillId="2" borderId="6" xfId="0" applyFill="1" applyBorder="1" applyAlignment="1">
      <alignment horizontal="left" indent="2"/>
    </xf>
    <xf numFmtId="0" fontId="0" fillId="2" borderId="9" xfId="0" applyFill="1" applyBorder="1" applyAlignment="1">
      <alignment horizontal="left" indent="1"/>
    </xf>
    <xf numFmtId="0" fontId="0" fillId="2" borderId="8" xfId="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66FF"/>
      <color rgb="FFFC78F3"/>
      <color rgb="FFFA0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05B8-7C11-4188-8F6F-0377A74E30B6}">
  <dimension ref="A2:P56"/>
  <sheetViews>
    <sheetView tabSelected="1" zoomScale="90" zoomScaleNormal="90" workbookViewId="0">
      <selection activeCell="H46" sqref="H46"/>
    </sheetView>
  </sheetViews>
  <sheetFormatPr defaultRowHeight="15" x14ac:dyDescent="0.25"/>
  <cols>
    <col min="1" max="1" width="9.140625" customWidth="1"/>
    <col min="2" max="2" width="4.7109375" customWidth="1"/>
    <col min="3" max="3" width="59.140625" customWidth="1"/>
    <col min="4" max="4" width="37" customWidth="1"/>
    <col min="5" max="5" width="12.140625" customWidth="1"/>
    <col min="6" max="7" width="12.140625" bestFit="1" customWidth="1"/>
    <col min="8" max="8" width="39.140625" bestFit="1" customWidth="1"/>
    <col min="10" max="10" width="4" customWidth="1"/>
    <col min="11" max="11" width="8.85546875" bestFit="1" customWidth="1"/>
    <col min="12" max="12" width="39.140625" bestFit="1" customWidth="1"/>
    <col min="13" max="13" width="11.140625" bestFit="1" customWidth="1"/>
    <col min="14" max="16" width="10" bestFit="1" customWidth="1"/>
  </cols>
  <sheetData>
    <row r="2" spans="1:1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1" x14ac:dyDescent="0.25">
      <c r="A3" s="23"/>
      <c r="B3" s="29"/>
      <c r="C3" s="29"/>
      <c r="D3" s="29"/>
      <c r="E3" s="29"/>
      <c r="F3" s="29"/>
      <c r="G3" s="29"/>
      <c r="H3" s="29"/>
      <c r="I3" s="29"/>
      <c r="J3" s="29"/>
      <c r="K3" s="23"/>
    </row>
    <row r="4" spans="1:11" x14ac:dyDescent="0.25">
      <c r="A4" s="23"/>
      <c r="B4" s="29"/>
      <c r="C4" s="24" t="s">
        <v>3</v>
      </c>
      <c r="D4" s="25">
        <v>36.29</v>
      </c>
      <c r="E4" s="29"/>
      <c r="F4" s="29"/>
      <c r="G4" s="29"/>
      <c r="H4" s="29"/>
      <c r="I4" s="29"/>
      <c r="J4" s="29"/>
      <c r="K4" s="23"/>
    </row>
    <row r="5" spans="1:11" x14ac:dyDescent="0.25">
      <c r="A5" s="23"/>
      <c r="B5" s="29"/>
      <c r="C5" s="24" t="s">
        <v>17</v>
      </c>
      <c r="D5" s="25">
        <v>6.2</v>
      </c>
      <c r="E5" s="29"/>
      <c r="F5" s="29"/>
      <c r="G5" s="29"/>
      <c r="H5" s="29"/>
      <c r="I5" s="29"/>
      <c r="J5" s="29"/>
      <c r="K5" s="23"/>
    </row>
    <row r="6" spans="1:11" x14ac:dyDescent="0.25">
      <c r="A6" s="23"/>
      <c r="B6" s="29"/>
      <c r="C6" s="24" t="s">
        <v>18</v>
      </c>
      <c r="D6" s="26">
        <v>0.58799999999999997</v>
      </c>
      <c r="E6" s="29"/>
      <c r="F6" s="29"/>
      <c r="G6" s="29"/>
      <c r="H6" s="29"/>
      <c r="I6" s="29"/>
      <c r="J6" s="29"/>
      <c r="K6" s="23"/>
    </row>
    <row r="7" spans="1:11" x14ac:dyDescent="0.25">
      <c r="A7" s="23"/>
      <c r="B7" s="29"/>
      <c r="C7" s="24" t="s">
        <v>4</v>
      </c>
      <c r="D7" s="27">
        <f>6.2*0.588</f>
        <v>3.6456</v>
      </c>
      <c r="E7" s="23" t="s">
        <v>34</v>
      </c>
      <c r="F7" s="23"/>
      <c r="G7" s="23"/>
      <c r="H7" s="29"/>
      <c r="I7" s="29"/>
      <c r="J7" s="29"/>
      <c r="K7" s="23"/>
    </row>
    <row r="8" spans="1:11" x14ac:dyDescent="0.25">
      <c r="A8" s="23"/>
      <c r="B8" s="29"/>
      <c r="C8" s="24" t="s">
        <v>19</v>
      </c>
      <c r="D8" s="25">
        <v>7</v>
      </c>
      <c r="E8" s="29"/>
      <c r="F8" s="29"/>
      <c r="G8" s="29"/>
      <c r="H8" s="29"/>
      <c r="I8" s="29"/>
      <c r="J8" s="29"/>
      <c r="K8" s="23"/>
    </row>
    <row r="9" spans="1:11" x14ac:dyDescent="0.25">
      <c r="A9" s="23"/>
      <c r="B9" s="29"/>
      <c r="C9" s="24" t="s">
        <v>20</v>
      </c>
      <c r="D9" s="25" t="s">
        <v>0</v>
      </c>
      <c r="E9" s="29"/>
      <c r="F9" s="29"/>
      <c r="G9" s="29"/>
      <c r="H9" s="29"/>
      <c r="I9" s="29"/>
      <c r="J9" s="29"/>
      <c r="K9" s="23"/>
    </row>
    <row r="10" spans="1:11" x14ac:dyDescent="0.25">
      <c r="A10" s="23"/>
      <c r="B10" s="29"/>
      <c r="C10" s="24" t="s">
        <v>21</v>
      </c>
      <c r="D10" s="25" t="s">
        <v>2</v>
      </c>
      <c r="E10" s="29"/>
      <c r="F10" s="29"/>
      <c r="G10" s="29"/>
      <c r="H10" s="29"/>
      <c r="I10" s="29"/>
      <c r="J10" s="29"/>
      <c r="K10" s="23"/>
    </row>
    <row r="11" spans="1:11" x14ac:dyDescent="0.25">
      <c r="A11" s="23"/>
      <c r="B11" s="29"/>
      <c r="C11" s="24" t="s">
        <v>27</v>
      </c>
      <c r="D11" s="25" t="s">
        <v>1</v>
      </c>
      <c r="E11" s="29"/>
      <c r="F11" s="29"/>
      <c r="G11" s="29"/>
      <c r="H11" s="29"/>
      <c r="I11" s="29"/>
      <c r="J11" s="29"/>
      <c r="K11" s="23"/>
    </row>
    <row r="12" spans="1:11" x14ac:dyDescent="0.25">
      <c r="A12" s="23"/>
      <c r="B12" s="29"/>
      <c r="C12" s="24" t="s">
        <v>26</v>
      </c>
      <c r="D12" s="28">
        <f>80*D7</f>
        <v>291.64800000000002</v>
      </c>
      <c r="E12" s="23" t="s">
        <v>35</v>
      </c>
      <c r="F12" s="23"/>
      <c r="G12" s="23"/>
      <c r="H12" s="23"/>
      <c r="I12" s="29"/>
      <c r="J12" s="29"/>
      <c r="K12" s="23"/>
    </row>
    <row r="13" spans="1:11" x14ac:dyDescent="0.25">
      <c r="A13" s="23"/>
      <c r="B13" s="29"/>
      <c r="C13" s="24" t="s">
        <v>22</v>
      </c>
      <c r="D13" s="28">
        <f>D12*365</f>
        <v>106451.52</v>
      </c>
      <c r="E13" s="23" t="s">
        <v>36</v>
      </c>
      <c r="F13" s="23"/>
      <c r="G13" s="23"/>
      <c r="H13" s="29"/>
      <c r="I13" s="29"/>
      <c r="J13" s="29"/>
      <c r="K13" s="23"/>
    </row>
    <row r="14" spans="1:11" x14ac:dyDescent="0.25">
      <c r="A14" s="23"/>
      <c r="B14" s="29"/>
      <c r="C14" s="24" t="s">
        <v>23</v>
      </c>
      <c r="D14" s="28">
        <f>D13*2</f>
        <v>212903.04000000001</v>
      </c>
      <c r="E14" s="23" t="s">
        <v>37</v>
      </c>
      <c r="F14" s="23"/>
      <c r="G14" s="29"/>
      <c r="H14" s="29"/>
      <c r="I14" s="29"/>
      <c r="J14" s="29"/>
      <c r="K14" s="23"/>
    </row>
    <row r="15" spans="1:11" x14ac:dyDescent="0.25">
      <c r="A15" s="23"/>
      <c r="B15" s="29"/>
      <c r="C15" s="30"/>
      <c r="D15" s="31"/>
      <c r="E15" s="29"/>
      <c r="F15" s="29"/>
      <c r="G15" s="29"/>
      <c r="H15" s="29"/>
      <c r="I15" s="29"/>
      <c r="J15" s="29"/>
      <c r="K15" s="23"/>
    </row>
    <row r="16" spans="1:11" x14ac:dyDescent="0.25">
      <c r="A16" s="23"/>
      <c r="B16" s="29"/>
      <c r="C16" s="24" t="s">
        <v>24</v>
      </c>
      <c r="D16" s="25">
        <v>6</v>
      </c>
      <c r="E16" s="29"/>
      <c r="F16" s="29"/>
      <c r="G16" s="29"/>
      <c r="H16" s="29"/>
      <c r="I16" s="29"/>
      <c r="J16" s="29"/>
      <c r="K16" s="23"/>
    </row>
    <row r="17" spans="1:16" x14ac:dyDescent="0.25">
      <c r="A17" s="23"/>
      <c r="B17" s="29"/>
      <c r="C17" s="24" t="s">
        <v>25</v>
      </c>
      <c r="D17" s="25" t="s">
        <v>8</v>
      </c>
      <c r="E17" s="29"/>
      <c r="F17" s="29"/>
      <c r="G17" s="29"/>
      <c r="H17" s="29"/>
      <c r="I17" s="29"/>
      <c r="J17" s="29"/>
      <c r="K17" s="23"/>
    </row>
    <row r="18" spans="1:16" x14ac:dyDescent="0.25">
      <c r="A18" s="23"/>
      <c r="B18" s="29"/>
      <c r="C18" s="24" t="s">
        <v>28</v>
      </c>
      <c r="D18" s="28">
        <f>5*10*D7</f>
        <v>182.28</v>
      </c>
      <c r="E18" s="23" t="s">
        <v>38</v>
      </c>
      <c r="F18" s="23"/>
      <c r="G18" s="23"/>
      <c r="H18" s="23"/>
      <c r="I18" s="29"/>
      <c r="J18" s="29"/>
      <c r="K18" s="23"/>
    </row>
    <row r="19" spans="1:16" x14ac:dyDescent="0.25">
      <c r="A19" s="23"/>
      <c r="B19" s="29"/>
      <c r="C19" s="24" t="s">
        <v>29</v>
      </c>
      <c r="D19" s="28">
        <f>D18*6*52</f>
        <v>56871.360000000001</v>
      </c>
      <c r="E19" s="23" t="s">
        <v>39</v>
      </c>
      <c r="F19" s="23"/>
      <c r="G19" s="23"/>
      <c r="H19" s="23"/>
      <c r="I19" s="29"/>
      <c r="J19" s="29"/>
      <c r="K19" s="23"/>
    </row>
    <row r="20" spans="1:16" x14ac:dyDescent="0.25">
      <c r="A20" s="23"/>
      <c r="B20" s="29"/>
      <c r="C20" s="24" t="s">
        <v>30</v>
      </c>
      <c r="D20" s="28">
        <f>D19*2</f>
        <v>113742.72</v>
      </c>
      <c r="E20" s="23" t="s">
        <v>40</v>
      </c>
      <c r="F20" s="23"/>
      <c r="G20" s="23"/>
      <c r="H20" s="29"/>
      <c r="I20" s="29"/>
      <c r="J20" s="29"/>
      <c r="K20" s="23"/>
    </row>
    <row r="21" spans="1:16" x14ac:dyDescent="0.25">
      <c r="A21" s="23"/>
      <c r="B21" s="29"/>
      <c r="C21" s="29"/>
      <c r="D21" s="29"/>
      <c r="E21" s="29"/>
      <c r="F21" s="29"/>
      <c r="G21" s="29"/>
      <c r="H21" s="29"/>
      <c r="I21" s="29"/>
      <c r="J21" s="29"/>
      <c r="K21" s="23"/>
    </row>
    <row r="22" spans="1:16" x14ac:dyDescent="0.25">
      <c r="A22" s="23"/>
      <c r="B22" s="29"/>
      <c r="C22" s="29"/>
      <c r="D22" s="29"/>
      <c r="E22" s="29"/>
      <c r="F22" s="29"/>
      <c r="G22" s="29"/>
      <c r="H22" s="29"/>
      <c r="I22" s="29"/>
      <c r="J22" s="29"/>
      <c r="K22" s="23"/>
    </row>
    <row r="23" spans="1:16" x14ac:dyDescent="0.25">
      <c r="A23" s="23"/>
      <c r="B23" s="29"/>
      <c r="C23" s="29"/>
      <c r="D23" s="2" t="s">
        <v>15</v>
      </c>
      <c r="E23" s="2">
        <v>1</v>
      </c>
      <c r="F23" s="2">
        <v>2</v>
      </c>
      <c r="G23" s="32"/>
      <c r="H23" t="s">
        <v>51</v>
      </c>
      <c r="I23" s="29"/>
      <c r="J23" s="29"/>
      <c r="K23" s="23"/>
      <c r="L23" s="1"/>
      <c r="M23" s="1"/>
      <c r="N23" s="1"/>
      <c r="O23" s="1"/>
      <c r="P23" s="1"/>
    </row>
    <row r="24" spans="1:16" x14ac:dyDescent="0.25">
      <c r="A24" s="23"/>
      <c r="B24" s="29"/>
      <c r="C24" s="45" t="s">
        <v>13</v>
      </c>
      <c r="D24" s="2" t="s">
        <v>6</v>
      </c>
      <c r="E24" s="3">
        <f>50</f>
        <v>50</v>
      </c>
      <c r="F24" s="3">
        <f>50</f>
        <v>50</v>
      </c>
      <c r="G24" s="33"/>
      <c r="H24" t="s">
        <v>52</v>
      </c>
      <c r="I24">
        <v>5.21</v>
      </c>
      <c r="J24" s="29"/>
      <c r="K24" s="23"/>
      <c r="L24" s="1"/>
      <c r="M24" s="1"/>
      <c r="N24" s="1"/>
      <c r="O24" s="1"/>
      <c r="P24" s="1"/>
    </row>
    <row r="25" spans="1:16" x14ac:dyDescent="0.25">
      <c r="A25" s="23"/>
      <c r="B25" s="29"/>
      <c r="C25" s="45"/>
      <c r="D25" s="2" t="s">
        <v>5</v>
      </c>
      <c r="E25" s="3">
        <f>E24*0.4</f>
        <v>20</v>
      </c>
      <c r="F25" s="3">
        <f t="shared" ref="F25" si="0">F24*0.4</f>
        <v>20</v>
      </c>
      <c r="G25" s="33"/>
      <c r="H25" t="s">
        <v>53</v>
      </c>
      <c r="I25">
        <f>14000000*0.44*(0.3+0.18+0.055)</f>
        <v>3295600</v>
      </c>
      <c r="J25" s="29"/>
      <c r="K25" s="23"/>
      <c r="L25" s="1"/>
      <c r="M25" s="1"/>
      <c r="N25" s="1"/>
      <c r="O25" s="1"/>
      <c r="P25" s="1"/>
    </row>
    <row r="26" spans="1:16" x14ac:dyDescent="0.25">
      <c r="A26" s="23"/>
      <c r="B26" s="29"/>
      <c r="C26" s="45"/>
      <c r="D26" s="2" t="s">
        <v>7</v>
      </c>
      <c r="E26" s="3">
        <f>E24-E25</f>
        <v>30</v>
      </c>
      <c r="F26" s="3">
        <f t="shared" ref="F26" si="1">F24-F25</f>
        <v>30</v>
      </c>
      <c r="G26" s="33"/>
      <c r="H26" t="s">
        <v>56</v>
      </c>
      <c r="I26">
        <v>2</v>
      </c>
      <c r="J26" s="29"/>
      <c r="K26" s="23"/>
    </row>
    <row r="27" spans="1:16" x14ac:dyDescent="0.25">
      <c r="A27" s="23"/>
      <c r="B27" s="29"/>
      <c r="C27" s="45"/>
      <c r="D27" s="2" t="s">
        <v>61</v>
      </c>
      <c r="E27" s="4">
        <f>D7*0.05*1000000*E26</f>
        <v>5468400</v>
      </c>
      <c r="F27" s="4">
        <f>E27*1.057</f>
        <v>5780098.7999999998</v>
      </c>
      <c r="G27" s="34"/>
      <c r="H27" t="s">
        <v>54</v>
      </c>
      <c r="I27" s="1">
        <f>I25/1000*I24*I26*12</f>
        <v>412081.82400000002</v>
      </c>
      <c r="J27" s="29"/>
      <c r="K27" s="23"/>
    </row>
    <row r="28" spans="1:16" x14ac:dyDescent="0.25">
      <c r="A28" s="23"/>
      <c r="B28" s="29"/>
      <c r="C28" s="45" t="s">
        <v>14</v>
      </c>
      <c r="D28" s="2" t="s">
        <v>6</v>
      </c>
      <c r="E28" s="3">
        <f>10</f>
        <v>10</v>
      </c>
      <c r="F28" s="3">
        <f>10</f>
        <v>10</v>
      </c>
      <c r="G28" s="34"/>
      <c r="H28" s="29"/>
      <c r="I28" s="29"/>
      <c r="J28" s="29"/>
      <c r="K28" s="23"/>
    </row>
    <row r="29" spans="1:16" x14ac:dyDescent="0.25">
      <c r="A29" s="23"/>
      <c r="B29" s="29"/>
      <c r="C29" s="45"/>
      <c r="D29" s="2" t="s">
        <v>5</v>
      </c>
      <c r="E29" s="3">
        <f>E28*0.4</f>
        <v>4</v>
      </c>
      <c r="F29" s="3">
        <f t="shared" ref="F29" si="2">F28*0.4</f>
        <v>4</v>
      </c>
      <c r="G29" s="33"/>
      <c r="H29" t="s">
        <v>55</v>
      </c>
      <c r="I29" s="29"/>
      <c r="J29" s="29"/>
      <c r="K29" s="23"/>
    </row>
    <row r="30" spans="1:16" x14ac:dyDescent="0.25">
      <c r="A30" s="23"/>
      <c r="B30" s="29"/>
      <c r="C30" s="45"/>
      <c r="D30" s="2" t="s">
        <v>7</v>
      </c>
      <c r="E30" s="3">
        <f>E28-E29</f>
        <v>6</v>
      </c>
      <c r="F30" s="3">
        <f t="shared" ref="F30" si="3">F28-F29</f>
        <v>6</v>
      </c>
      <c r="G30" s="33"/>
      <c r="H30" t="s">
        <v>52</v>
      </c>
      <c r="I30">
        <v>6.7</v>
      </c>
      <c r="J30" s="29"/>
      <c r="K30" s="23"/>
    </row>
    <row r="31" spans="1:16" x14ac:dyDescent="0.25">
      <c r="A31" s="23"/>
      <c r="B31" s="29"/>
      <c r="C31" s="45"/>
      <c r="D31" s="2" t="s">
        <v>9</v>
      </c>
      <c r="E31" s="5">
        <f>365/14/5</f>
        <v>5.2142857142857144</v>
      </c>
      <c r="F31" s="5">
        <f t="shared" ref="F31" si="4">365/14/5</f>
        <v>5.2142857142857144</v>
      </c>
      <c r="G31" s="33"/>
      <c r="H31" t="s">
        <v>53</v>
      </c>
      <c r="I31" s="1">
        <f>8500000*0.382*0.59*0.39</f>
        <v>747134.70000000007</v>
      </c>
      <c r="J31" s="29"/>
      <c r="K31" s="23"/>
    </row>
    <row r="32" spans="1:16" x14ac:dyDescent="0.25">
      <c r="A32" s="23"/>
      <c r="B32" s="29"/>
      <c r="C32" s="45"/>
      <c r="D32" s="2" t="s">
        <v>61</v>
      </c>
      <c r="E32" s="4">
        <f>E31*E30*0.05*1000000*D7</f>
        <v>5702760</v>
      </c>
      <c r="F32" s="4">
        <f>E32*1.057</f>
        <v>6027817.3199999994</v>
      </c>
      <c r="G32" s="35"/>
      <c r="H32" t="s">
        <v>56</v>
      </c>
      <c r="I32">
        <v>2</v>
      </c>
      <c r="J32" s="29"/>
      <c r="K32" s="23"/>
    </row>
    <row r="33" spans="1:11" x14ac:dyDescent="0.25">
      <c r="A33" s="23"/>
      <c r="B33" s="29"/>
      <c r="C33" s="45"/>
      <c r="D33" s="2" t="s">
        <v>16</v>
      </c>
      <c r="E33" s="4">
        <f>E32+E27</f>
        <v>11171160</v>
      </c>
      <c r="F33" s="4">
        <f>E46</f>
        <v>11817207.149999999</v>
      </c>
      <c r="G33" s="34"/>
      <c r="H33" t="s">
        <v>54</v>
      </c>
      <c r="I33" s="1">
        <f>I31/1000*I32*I30*12</f>
        <v>120139.25976000002</v>
      </c>
      <c r="J33" s="29"/>
      <c r="K33" s="23"/>
    </row>
    <row r="34" spans="1:11" x14ac:dyDescent="0.25">
      <c r="A34" s="23"/>
      <c r="B34" s="36"/>
      <c r="C34" s="29"/>
      <c r="D34" s="29"/>
      <c r="E34" s="29"/>
      <c r="F34" s="34"/>
      <c r="G34" s="34"/>
      <c r="H34" s="34"/>
      <c r="I34" s="29"/>
      <c r="J34" s="29"/>
      <c r="K34" s="23"/>
    </row>
    <row r="35" spans="1:11" x14ac:dyDescent="0.25">
      <c r="A35" s="23"/>
      <c r="B35" s="36"/>
      <c r="C35" s="23" t="s">
        <v>31</v>
      </c>
      <c r="D35" s="25" t="s">
        <v>10</v>
      </c>
      <c r="E35" s="38" t="s">
        <v>33</v>
      </c>
      <c r="F35" s="4"/>
      <c r="G35" s="4"/>
      <c r="H35" s="4"/>
      <c r="I35" s="29"/>
      <c r="J35" s="29"/>
      <c r="K35" s="23"/>
    </row>
    <row r="36" spans="1:11" x14ac:dyDescent="0.25">
      <c r="A36" s="23"/>
      <c r="B36" s="29"/>
      <c r="C36" s="23" t="s">
        <v>32</v>
      </c>
      <c r="D36" s="25" t="s">
        <v>11</v>
      </c>
      <c r="E36" s="29"/>
      <c r="F36" s="29"/>
      <c r="G36" s="29"/>
      <c r="H36" s="29"/>
      <c r="I36" s="29"/>
      <c r="J36" s="29"/>
      <c r="K36" s="23"/>
    </row>
    <row r="37" spans="1:11" x14ac:dyDescent="0.25">
      <c r="A37" s="23"/>
      <c r="B37" s="29"/>
      <c r="C37" s="23" t="s">
        <v>12</v>
      </c>
      <c r="D37" s="27">
        <f>19/65</f>
        <v>0.29230769230769232</v>
      </c>
      <c r="E37" s="29"/>
      <c r="F37" s="37"/>
      <c r="G37" s="37"/>
      <c r="H37" s="37"/>
      <c r="I37" s="29"/>
      <c r="J37" s="29"/>
      <c r="K37" s="23"/>
    </row>
    <row r="38" spans="1:11" x14ac:dyDescent="0.25">
      <c r="A38" s="23"/>
      <c r="B38" s="29"/>
      <c r="C38" s="29"/>
      <c r="D38" s="29"/>
      <c r="E38" s="29"/>
      <c r="F38" s="29"/>
      <c r="G38" s="29"/>
      <c r="H38" s="29"/>
      <c r="I38" s="29"/>
      <c r="J38" s="29"/>
      <c r="K38" s="23"/>
    </row>
    <row r="39" spans="1:1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 spans="1:11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1" ht="15.75" thickBot="1" x14ac:dyDescent="0.3">
      <c r="C41" s="42" t="s">
        <v>59</v>
      </c>
      <c r="D41" s="43"/>
      <c r="E41" s="44"/>
    </row>
    <row r="42" spans="1:11" ht="15.75" thickBot="1" x14ac:dyDescent="0.3">
      <c r="C42" s="39" t="s">
        <v>60</v>
      </c>
      <c r="D42" s="40"/>
      <c r="E42" s="41"/>
    </row>
    <row r="43" spans="1:11" x14ac:dyDescent="0.25">
      <c r="C43" s="14"/>
      <c r="D43" s="7">
        <v>2018</v>
      </c>
      <c r="E43" s="7">
        <v>2019</v>
      </c>
    </row>
    <row r="44" spans="1:11" x14ac:dyDescent="0.25">
      <c r="C44" s="15" t="s">
        <v>41</v>
      </c>
      <c r="D44" s="8">
        <f>(3650000*0.05*50)+(3650000*0.05*10*5.21)</f>
        <v>18633250</v>
      </c>
      <c r="E44" s="8">
        <f>D44*1.057</f>
        <v>19695345.25</v>
      </c>
    </row>
    <row r="45" spans="1:11" ht="15.75" thickBot="1" x14ac:dyDescent="0.3">
      <c r="C45" s="16" t="s">
        <v>42</v>
      </c>
      <c r="D45" s="9">
        <f>D44*0.4</f>
        <v>7453300</v>
      </c>
      <c r="E45" s="9">
        <f>D45*1.057</f>
        <v>7878138.0999999996</v>
      </c>
    </row>
    <row r="46" spans="1:11" ht="15.75" thickBot="1" x14ac:dyDescent="0.3">
      <c r="C46" s="17" t="s">
        <v>43</v>
      </c>
      <c r="D46" s="6">
        <f>D44-D45</f>
        <v>11179950</v>
      </c>
      <c r="E46" s="6">
        <f>D46*1.057</f>
        <v>11817207.149999999</v>
      </c>
    </row>
    <row r="47" spans="1:11" x14ac:dyDescent="0.25">
      <c r="C47" s="18"/>
      <c r="D47" s="10"/>
      <c r="E47" s="10"/>
    </row>
    <row r="48" spans="1:11" x14ac:dyDescent="0.25">
      <c r="C48" s="15" t="s">
        <v>47</v>
      </c>
      <c r="D48" s="8"/>
      <c r="E48" s="8"/>
    </row>
    <row r="49" spans="3:5" x14ac:dyDescent="0.25">
      <c r="C49" s="19" t="s">
        <v>57</v>
      </c>
      <c r="D49" s="8">
        <f>1.8/65*D46</f>
        <v>309598.61538461538</v>
      </c>
      <c r="E49" s="8">
        <f>1.8/65*E46</f>
        <v>327245.73646153841</v>
      </c>
    </row>
    <row r="50" spans="3:5" x14ac:dyDescent="0.25">
      <c r="C50" s="19" t="s">
        <v>44</v>
      </c>
      <c r="D50" s="13"/>
      <c r="E50" s="8"/>
    </row>
    <row r="51" spans="3:5" x14ac:dyDescent="0.25">
      <c r="C51" s="20" t="s">
        <v>45</v>
      </c>
      <c r="D51" s="8">
        <f>2600000</f>
        <v>2600000</v>
      </c>
      <c r="E51" s="8">
        <f>2600000</f>
        <v>2600000</v>
      </c>
    </row>
    <row r="52" spans="3:5" x14ac:dyDescent="0.25">
      <c r="C52" s="20" t="s">
        <v>46</v>
      </c>
      <c r="D52" s="8">
        <f>$I$33+$I$27</f>
        <v>532221.08376000007</v>
      </c>
      <c r="E52" s="8">
        <f>$I$33+$I$27</f>
        <v>532221.08376000007</v>
      </c>
    </row>
    <row r="53" spans="3:5" ht="15.75" thickBot="1" x14ac:dyDescent="0.3">
      <c r="C53" s="21" t="s">
        <v>48</v>
      </c>
      <c r="D53" s="11">
        <f>19/65*D46*0.5</f>
        <v>1633992.6923076925</v>
      </c>
      <c r="E53" s="11">
        <f>19/65*E46*0.5</f>
        <v>1727130.2757692307</v>
      </c>
    </row>
    <row r="54" spans="3:5" x14ac:dyDescent="0.25">
      <c r="C54" s="22" t="s">
        <v>49</v>
      </c>
      <c r="D54" s="10">
        <f>D46-D49-D51-D52-D53</f>
        <v>6104137.6085476913</v>
      </c>
      <c r="E54" s="10">
        <f>E46-E49-E51-E52-E53</f>
        <v>6630610.0540092289</v>
      </c>
    </row>
    <row r="55" spans="3:5" ht="15.75" thickBot="1" x14ac:dyDescent="0.3">
      <c r="C55" s="16" t="s">
        <v>58</v>
      </c>
      <c r="D55" s="9">
        <f>D54*0.33</f>
        <v>2014365.4108207382</v>
      </c>
      <c r="E55" s="9">
        <f>E54*0.33</f>
        <v>2188101.3178230459</v>
      </c>
    </row>
    <row r="56" spans="3:5" ht="15.75" thickBot="1" x14ac:dyDescent="0.3">
      <c r="C56" s="17" t="s">
        <v>50</v>
      </c>
      <c r="D56" s="12">
        <f>D54-D55</f>
        <v>4089772.1977269528</v>
      </c>
      <c r="E56" s="12">
        <f>E54-E55</f>
        <v>4442508.7361861831</v>
      </c>
    </row>
  </sheetData>
  <mergeCells count="4">
    <mergeCell ref="C42:E42"/>
    <mergeCell ref="C41:E41"/>
    <mergeCell ref="C24:C27"/>
    <mergeCell ref="C28:C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2018-01-15T22:18:07Z</dcterms:created>
  <dcterms:modified xsi:type="dcterms:W3CDTF">2018-05-31T12:40:36Z</dcterms:modified>
</cp:coreProperties>
</file>